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0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harts/chartEx1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X9 Pro/My Files/Data Analytics/Utility Bill Analysis/"/>
    </mc:Choice>
  </mc:AlternateContent>
  <xr:revisionPtr revIDLastSave="0" documentId="13_ncr:1_{828CC6AF-D5E5-4443-9CA0-1FFBCFDE8EF6}" xr6:coauthVersionLast="47" xr6:coauthVersionMax="47" xr10:uidLastSave="{00000000-0000-0000-0000-000000000000}"/>
  <bookViews>
    <workbookView xWindow="0" yWindow="500" windowWidth="51200" windowHeight="26540" xr2:uid="{C85BFA8E-3299-B944-ADB9-57FD2FF4653A}"/>
  </bookViews>
  <sheets>
    <sheet name="Forecasts" sheetId="40" r:id="rId1"/>
    <sheet name="YrMoUtilities" sheetId="28" state="hidden" r:id="rId2"/>
    <sheet name="YrPivot" sheetId="44" r:id="rId3"/>
    <sheet name="Seasonal" sheetId="42" r:id="rId4"/>
    <sheet name="PerChange" sheetId="30" r:id="rId5"/>
    <sheet name="Trends" sheetId="36" r:id="rId6"/>
    <sheet name="RateDaysCorrelations" sheetId="39" state="hidden" r:id="rId7"/>
    <sheet name="UtilityCorrelations" sheetId="45" state="hidden" r:id="rId8"/>
    <sheet name="CPDandRate" sheetId="37" r:id="rId9"/>
    <sheet name="Breakdown" sheetId="35" r:id="rId10"/>
    <sheet name="SummaryStats" sheetId="20" r:id="rId11"/>
    <sheet name="SummaryUtilitieswSep22" sheetId="19" state="hidden" r:id="rId12"/>
    <sheet name="CleanUtilities" sheetId="18" r:id="rId13"/>
    <sheet name="RawUtilities" sheetId="17" r:id="rId14"/>
  </sheets>
  <definedNames>
    <definedName name="_xlchart.v1.0" hidden="1">SummaryStats!$A$2:$A$21</definedName>
    <definedName name="_xlchart.v1.1" hidden="1">SummaryStats!$F$1</definedName>
    <definedName name="_xlchart.v1.2" hidden="1">SummaryStats!$F$2:$F$21</definedName>
  </definedNames>
  <calcPr calcId="191029"/>
  <pivotCaches>
    <pivotCache cacheId="3" r:id="rId15"/>
    <pivotCache cacheId="4" r:id="rId16"/>
    <pivotCache cacheId="5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8" l="1"/>
  <c r="B45" i="40" a="1"/>
  <c r="B45" i="40" s="1"/>
  <c r="E21" i="45"/>
  <c r="E20" i="45"/>
  <c r="E19" i="45"/>
  <c r="E18" i="45"/>
  <c r="E17" i="45"/>
  <c r="E16" i="45"/>
  <c r="E15" i="45"/>
  <c r="E14" i="45"/>
  <c r="E13" i="45"/>
  <c r="E12" i="45"/>
  <c r="E11" i="45"/>
  <c r="E10" i="45"/>
  <c r="E9" i="45"/>
  <c r="E8" i="45"/>
  <c r="E7" i="45"/>
  <c r="E6" i="45"/>
  <c r="E5" i="45"/>
  <c r="E4" i="45"/>
  <c r="E3" i="45"/>
  <c r="E2" i="45"/>
  <c r="C2" i="42"/>
  <c r="C3" i="42"/>
  <c r="C4" i="42"/>
  <c r="C5" i="42"/>
  <c r="C6" i="42"/>
  <c r="C7" i="42"/>
  <c r="C8" i="42"/>
  <c r="C9" i="42"/>
  <c r="C10" i="42"/>
  <c r="C11" i="42"/>
  <c r="C12" i="42"/>
  <c r="C13" i="42"/>
  <c r="C14" i="42"/>
  <c r="C15" i="42"/>
  <c r="C16" i="42"/>
  <c r="C17" i="42"/>
  <c r="C18" i="42"/>
  <c r="C19" i="42"/>
  <c r="C20" i="42"/>
  <c r="C21" i="42"/>
  <c r="F31" i="35"/>
  <c r="F30" i="35"/>
  <c r="F29" i="35"/>
  <c r="F21" i="40"/>
  <c r="G21" i="40" s="1"/>
  <c r="N5" i="37"/>
  <c r="O5" i="37"/>
  <c r="O4" i="37"/>
  <c r="N4" i="37"/>
  <c r="M4" i="37"/>
  <c r="L4" i="37"/>
  <c r="K4" i="37"/>
  <c r="F21" i="37"/>
  <c r="G21" i="37" s="1"/>
  <c r="E21" i="36"/>
  <c r="B21" i="35"/>
  <c r="F32" i="35"/>
  <c r="C31" i="35"/>
  <c r="C30" i="35"/>
  <c r="C29" i="35"/>
  <c r="C32" i="35" s="1"/>
  <c r="C33" i="20"/>
  <c r="C32" i="20"/>
  <c r="C31" i="20"/>
  <c r="C30" i="20"/>
  <c r="H27" i="20"/>
  <c r="G27" i="20"/>
  <c r="F27" i="20"/>
  <c r="E27" i="20"/>
  <c r="D27" i="20"/>
  <c r="C27" i="20"/>
  <c r="F21" i="20"/>
  <c r="G21" i="20"/>
  <c r="F26" i="20"/>
  <c r="F25" i="20"/>
  <c r="E26" i="20"/>
  <c r="E25" i="20"/>
  <c r="D26" i="20"/>
  <c r="D25" i="20"/>
  <c r="C26" i="20"/>
  <c r="C25" i="20"/>
  <c r="H24" i="20"/>
  <c r="G24" i="20"/>
  <c r="F24" i="20"/>
  <c r="E24" i="20"/>
  <c r="D24" i="20"/>
  <c r="C24" i="20"/>
  <c r="H21" i="18"/>
  <c r="G21" i="18"/>
  <c r="I2" i="17"/>
  <c r="B20" i="35"/>
  <c r="B3" i="35"/>
  <c r="B4" i="35"/>
  <c r="B5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" i="35"/>
  <c r="F20" i="40"/>
  <c r="G20" i="40" s="1"/>
  <c r="F19" i="40"/>
  <c r="G19" i="40" s="1"/>
  <c r="F18" i="40"/>
  <c r="G18" i="40" s="1"/>
  <c r="F17" i="40"/>
  <c r="G17" i="40" s="1"/>
  <c r="F16" i="40"/>
  <c r="G16" i="40" s="1"/>
  <c r="F15" i="40"/>
  <c r="G15" i="40" s="1"/>
  <c r="F14" i="40"/>
  <c r="G14" i="40" s="1"/>
  <c r="F13" i="40"/>
  <c r="G13" i="40" s="1"/>
  <c r="F12" i="40"/>
  <c r="G12" i="40" s="1"/>
  <c r="F11" i="40"/>
  <c r="G11" i="40" s="1"/>
  <c r="F10" i="40"/>
  <c r="G10" i="40" s="1"/>
  <c r="F9" i="40"/>
  <c r="G9" i="40" s="1"/>
  <c r="F8" i="40"/>
  <c r="G8" i="40" s="1"/>
  <c r="F7" i="40"/>
  <c r="G7" i="40" s="1"/>
  <c r="F6" i="40"/>
  <c r="G6" i="40" s="1"/>
  <c r="F5" i="40"/>
  <c r="G5" i="40" s="1"/>
  <c r="F4" i="40"/>
  <c r="G4" i="40" s="1"/>
  <c r="F3" i="40"/>
  <c r="G3" i="40" s="1"/>
  <c r="F2" i="40"/>
  <c r="G2" i="40" s="1"/>
  <c r="F20" i="39"/>
  <c r="G20" i="39" s="1"/>
  <c r="G19" i="39"/>
  <c r="F19" i="39"/>
  <c r="F18" i="39"/>
  <c r="G18" i="39" s="1"/>
  <c r="F17" i="39"/>
  <c r="G17" i="39" s="1"/>
  <c r="F16" i="39"/>
  <c r="G16" i="39" s="1"/>
  <c r="F15" i="39"/>
  <c r="G15" i="39" s="1"/>
  <c r="F14" i="39"/>
  <c r="G14" i="39" s="1"/>
  <c r="F13" i="39"/>
  <c r="G13" i="39" s="1"/>
  <c r="F12" i="39"/>
  <c r="G12" i="39" s="1"/>
  <c r="F11" i="39"/>
  <c r="G11" i="39" s="1"/>
  <c r="F10" i="39"/>
  <c r="G10" i="39" s="1"/>
  <c r="F9" i="39"/>
  <c r="G9" i="39" s="1"/>
  <c r="F8" i="39"/>
  <c r="G8" i="39" s="1"/>
  <c r="F7" i="39"/>
  <c r="G7" i="39" s="1"/>
  <c r="F6" i="39"/>
  <c r="G6" i="39" s="1"/>
  <c r="P5" i="39"/>
  <c r="N5" i="39"/>
  <c r="M5" i="39"/>
  <c r="O5" i="39" s="1"/>
  <c r="L5" i="39"/>
  <c r="K5" i="39"/>
  <c r="F5" i="39"/>
  <c r="G5" i="39" s="1"/>
  <c r="F4" i="39"/>
  <c r="G4" i="39" s="1"/>
  <c r="F3" i="39"/>
  <c r="G3" i="39" s="1"/>
  <c r="F2" i="39"/>
  <c r="G2" i="39" s="1"/>
  <c r="G2" i="37"/>
  <c r="G3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K5" i="37"/>
  <c r="L5" i="37"/>
  <c r="M5" i="37"/>
  <c r="P5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F5" i="37"/>
  <c r="F4" i="37"/>
  <c r="F3" i="37"/>
  <c r="F2" i="37"/>
  <c r="E20" i="36"/>
  <c r="E19" i="36"/>
  <c r="E18" i="36"/>
  <c r="E17" i="36"/>
  <c r="E16" i="36"/>
  <c r="E15" i="36"/>
  <c r="E14" i="36"/>
  <c r="E13" i="36"/>
  <c r="E12" i="36"/>
  <c r="E11" i="36"/>
  <c r="E10" i="36"/>
  <c r="E9" i="36"/>
  <c r="E8" i="36"/>
  <c r="E7" i="36"/>
  <c r="E6" i="36"/>
  <c r="E5" i="36"/>
  <c r="E4" i="36"/>
  <c r="E3" i="36"/>
  <c r="E2" i="36"/>
  <c r="H26" i="20"/>
  <c r="H25" i="20"/>
  <c r="F2" i="20"/>
  <c r="G2" i="20" s="1"/>
  <c r="F3" i="20"/>
  <c r="G3" i="20" s="1"/>
  <c r="F4" i="20"/>
  <c r="G4" i="20" s="1"/>
  <c r="F5" i="20"/>
  <c r="G5" i="20" s="1"/>
  <c r="F6" i="20"/>
  <c r="G6" i="20" s="1"/>
  <c r="F7" i="20"/>
  <c r="G7" i="20" s="1"/>
  <c r="F8" i="20"/>
  <c r="G8" i="20" s="1"/>
  <c r="F9" i="20"/>
  <c r="G9" i="20" s="1"/>
  <c r="F10" i="20"/>
  <c r="G10" i="20" s="1"/>
  <c r="F11" i="20"/>
  <c r="G11" i="20" s="1"/>
  <c r="F12" i="20"/>
  <c r="G12" i="20" s="1"/>
  <c r="F13" i="20"/>
  <c r="G13" i="20" s="1"/>
  <c r="F14" i="20"/>
  <c r="F15" i="20"/>
  <c r="G15" i="20" s="1"/>
  <c r="F16" i="20"/>
  <c r="G16" i="20" s="1"/>
  <c r="F17" i="20"/>
  <c r="G17" i="20" s="1"/>
  <c r="F18" i="20"/>
  <c r="G18" i="20" s="1"/>
  <c r="F19" i="20"/>
  <c r="G19" i="20" s="1"/>
  <c r="F20" i="20"/>
  <c r="F28" i="19"/>
  <c r="G28" i="19"/>
  <c r="J28" i="19"/>
  <c r="E28" i="19"/>
  <c r="D28" i="19"/>
  <c r="F27" i="19"/>
  <c r="G27" i="19"/>
  <c r="I27" i="19"/>
  <c r="J27" i="19"/>
  <c r="E27" i="19"/>
  <c r="D27" i="19"/>
  <c r="F26" i="19"/>
  <c r="G26" i="19"/>
  <c r="J26" i="19"/>
  <c r="E26" i="19"/>
  <c r="D26" i="19"/>
  <c r="F25" i="19"/>
  <c r="G25" i="19"/>
  <c r="J25" i="19"/>
  <c r="E25" i="19"/>
  <c r="D25" i="19"/>
  <c r="F24" i="19"/>
  <c r="G24" i="19"/>
  <c r="J24" i="19"/>
  <c r="E24" i="19"/>
  <c r="D24" i="19"/>
  <c r="H21" i="19"/>
  <c r="I21" i="19" s="1"/>
  <c r="H20" i="19"/>
  <c r="I20" i="19" s="1"/>
  <c r="H19" i="19"/>
  <c r="I19" i="19" s="1"/>
  <c r="H18" i="19"/>
  <c r="I18" i="19" s="1"/>
  <c r="H17" i="19"/>
  <c r="I17" i="19" s="1"/>
  <c r="H16" i="19"/>
  <c r="I16" i="19" s="1"/>
  <c r="H15" i="19"/>
  <c r="I15" i="19" s="1"/>
  <c r="H14" i="19"/>
  <c r="I14" i="19" s="1"/>
  <c r="I25" i="19" s="1"/>
  <c r="H13" i="19"/>
  <c r="I13" i="19" s="1"/>
  <c r="H12" i="19"/>
  <c r="I12" i="19" s="1"/>
  <c r="H11" i="19"/>
  <c r="I11" i="19" s="1"/>
  <c r="H10" i="19"/>
  <c r="I10" i="19" s="1"/>
  <c r="H9" i="19"/>
  <c r="I9" i="19" s="1"/>
  <c r="H8" i="19"/>
  <c r="I8" i="19" s="1"/>
  <c r="H7" i="19"/>
  <c r="I7" i="19" s="1"/>
  <c r="H6" i="19"/>
  <c r="I6" i="19" s="1"/>
  <c r="H5" i="19"/>
  <c r="I5" i="19" s="1"/>
  <c r="H4" i="19"/>
  <c r="I4" i="19" s="1"/>
  <c r="H3" i="19"/>
  <c r="I3" i="19" s="1"/>
  <c r="H2" i="19"/>
  <c r="I2" i="19" s="1"/>
  <c r="I24" i="19" s="1"/>
  <c r="H8" i="18"/>
  <c r="I4" i="17"/>
  <c r="G2" i="18"/>
  <c r="G3" i="18"/>
  <c r="H3" i="18" s="1"/>
  <c r="G4" i="18"/>
  <c r="H4" i="18" s="1"/>
  <c r="G5" i="18"/>
  <c r="H5" i="18" s="1"/>
  <c r="G6" i="18"/>
  <c r="H6" i="18" s="1"/>
  <c r="G7" i="18"/>
  <c r="H7" i="18" s="1"/>
  <c r="G8" i="18"/>
  <c r="G9" i="18"/>
  <c r="H9" i="18" s="1"/>
  <c r="G10" i="18"/>
  <c r="H10" i="18" s="1"/>
  <c r="G11" i="18"/>
  <c r="H11" i="18" s="1"/>
  <c r="G12" i="18"/>
  <c r="H12" i="18" s="1"/>
  <c r="G13" i="18"/>
  <c r="H13" i="18" s="1"/>
  <c r="G14" i="18"/>
  <c r="H14" i="18" s="1"/>
  <c r="G15" i="18"/>
  <c r="H15" i="18" s="1"/>
  <c r="G16" i="18"/>
  <c r="H16" i="18" s="1"/>
  <c r="G17" i="18"/>
  <c r="H17" i="18" s="1"/>
  <c r="G18" i="18"/>
  <c r="H18" i="18" s="1"/>
  <c r="G19" i="18"/>
  <c r="H19" i="18" s="1"/>
  <c r="G20" i="18"/>
  <c r="H20" i="18" s="1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3" i="17"/>
  <c r="B53" i="40" l="1"/>
  <c r="B55" i="40"/>
  <c r="B52" i="40"/>
  <c r="B49" i="40"/>
  <c r="B54" i="40"/>
  <c r="B50" i="40"/>
  <c r="B46" i="40"/>
  <c r="B56" i="40"/>
  <c r="B51" i="40"/>
  <c r="B48" i="40"/>
  <c r="B47" i="40"/>
  <c r="P4" i="37"/>
  <c r="M4" i="39"/>
  <c r="N4" i="39"/>
  <c r="P4" i="39"/>
  <c r="L4" i="39"/>
  <c r="K4" i="39"/>
  <c r="D32" i="20"/>
  <c r="G25" i="20"/>
  <c r="G26" i="20"/>
  <c r="D33" i="20"/>
  <c r="H24" i="19"/>
  <c r="H26" i="19"/>
  <c r="H27" i="19"/>
  <c r="I26" i="19"/>
  <c r="I28" i="19"/>
  <c r="H28" i="19"/>
  <c r="H25" i="19"/>
  <c r="G14" i="20"/>
  <c r="G20" i="20"/>
  <c r="O4" i="39" l="1"/>
</calcChain>
</file>

<file path=xl/sharedStrings.xml><?xml version="1.0" encoding="utf-8"?>
<sst xmlns="http://schemas.openxmlformats.org/spreadsheetml/2006/main" count="290" uniqueCount="70">
  <si>
    <t>Statement Date</t>
  </si>
  <si>
    <t>Bill Period Start</t>
  </si>
  <si>
    <t>Bill Period End</t>
  </si>
  <si>
    <t>Trash Charges</t>
  </si>
  <si>
    <t>Water Charges</t>
  </si>
  <si>
    <t>Sewer Charges</t>
  </si>
  <si>
    <t>Rate</t>
  </si>
  <si>
    <t>Total Bill</t>
  </si>
  <si>
    <t>Cost Per Day</t>
  </si>
  <si>
    <t xml:space="preserve"> </t>
  </si>
  <si>
    <t>Row Labels</t>
  </si>
  <si>
    <t>Grand Total</t>
  </si>
  <si>
    <t>2022</t>
  </si>
  <si>
    <t>2023</t>
  </si>
  <si>
    <t>2024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</si>
  <si>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</si>
  <si>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</si>
  <si>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</si>
  <si>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</si>
  <si>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</si>
  <si>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</si>
  <si>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</si>
  <si>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</si>
  <si>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</si>
  <si>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</si>
  <si>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</si>
  <si>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</si>
  <si>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Average of Total Bill</t>
  </si>
  <si>
    <t>Average of Sewer Charges</t>
  </si>
  <si>
    <t>Average of Water Charges</t>
  </si>
  <si>
    <t>Average of Trash Charges</t>
  </si>
  <si>
    <t>Total</t>
  </si>
  <si>
    <t>Average</t>
  </si>
  <si>
    <t>Median</t>
  </si>
  <si>
    <t>Standard Deviation</t>
  </si>
  <si>
    <t>Max</t>
  </si>
  <si>
    <t>Min</t>
  </si>
  <si>
    <t>Average of Cost Per Day</t>
  </si>
  <si>
    <t>Billing Days</t>
  </si>
  <si>
    <t>Range</t>
  </si>
  <si>
    <t>Sum</t>
  </si>
  <si>
    <t>Charge</t>
  </si>
  <si>
    <t>Water</t>
  </si>
  <si>
    <t>Trash</t>
  </si>
  <si>
    <t>Sewer</t>
  </si>
  <si>
    <t>Bill Period</t>
  </si>
  <si>
    <t>% Change</t>
  </si>
  <si>
    <t>Statistics</t>
  </si>
  <si>
    <t>Average total bill cost?</t>
  </si>
  <si>
    <t>Lowest total bill?</t>
  </si>
  <si>
    <t>Highest total bill?</t>
  </si>
  <si>
    <t>Amount</t>
  </si>
  <si>
    <t>Question</t>
  </si>
  <si>
    <t>Range of total bills?</t>
  </si>
  <si>
    <t>Calculation</t>
  </si>
  <si>
    <t>Column1</t>
  </si>
  <si>
    <t>Column2</t>
  </si>
  <si>
    <t>Column3</t>
  </si>
  <si>
    <t>Season</t>
  </si>
  <si>
    <t>Fall</t>
  </si>
  <si>
    <t>Winter</t>
  </si>
  <si>
    <t>Spring</t>
  </si>
  <si>
    <t>Summer</t>
  </si>
  <si>
    <t>What period?</t>
  </si>
  <si>
    <t>N/A</t>
  </si>
  <si>
    <t>5/14/24</t>
  </si>
  <si>
    <t>Percent Change</t>
  </si>
  <si>
    <t>TREND</t>
  </si>
  <si>
    <t>FUTURE DATE</t>
  </si>
  <si>
    <t>TREND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</si>
</sst>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000000"/>
    <numFmt numFmtId="166" formatCode="#,##0.0000000"/>
  </numFmts>
  <fonts count="13" x14ac:knownFonts="1">
    <font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Georgia"/>
      <family val="1"/>
    </font>
    <font>
      <b/>
      <sz val="12"/>
      <color theme="1"/>
      <name val="Georgia"/>
      <family val="1"/>
    </font>
    <font>
      <b/>
      <sz val="12"/>
      <color rgb="FF000000"/>
      <name val="Georgia"/>
      <family val="1"/>
    </font>
    <font>
      <sz val="12"/>
      <color rgb="FF000000"/>
      <name val="Georgia"/>
      <family val="1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8"/>
      <color theme="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B9E9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rgb="FF156082"/>
      </left>
      <right/>
      <top/>
      <bottom/>
      <diagonal/>
    </border>
    <border>
      <left/>
      <right style="thin">
        <color rgb="FF156082"/>
      </right>
      <top/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pivotButton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164" fontId="0" fillId="3" borderId="0" xfId="1" applyNumberFormat="1" applyFont="1" applyFill="1" applyAlignment="1">
      <alignment horizontal="center" vertical="center"/>
    </xf>
    <xf numFmtId="14" fontId="10" fillId="4" borderId="0" xfId="0" applyNumberFormat="1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5" fontId="10" fillId="4" borderId="0" xfId="0" applyNumberFormat="1" applyFont="1" applyFill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" fontId="10" fillId="4" borderId="2" xfId="0" applyNumberFormat="1" applyFont="1" applyFill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165" fontId="8" fillId="0" borderId="5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5" fontId="10" fillId="4" borderId="5" xfId="0" applyNumberFormat="1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/>
    </xf>
    <xf numFmtId="14" fontId="10" fillId="4" borderId="1" xfId="0" applyNumberFormat="1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64" fontId="8" fillId="0" borderId="0" xfId="1" applyNumberFormat="1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164" fontId="0" fillId="6" borderId="0" xfId="1" applyNumberFormat="1" applyFont="1" applyFill="1" applyAlignment="1">
      <alignment horizontal="center" vertical="center"/>
    </xf>
    <xf numFmtId="164" fontId="8" fillId="6" borderId="0" xfId="0" applyNumberFormat="1" applyFont="1" applyFill="1" applyAlignment="1">
      <alignment horizontal="center" vertical="center"/>
    </xf>
    <xf numFmtId="14" fontId="8" fillId="6" borderId="0" xfId="0" applyNumberFormat="1" applyFon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8" fillId="6" borderId="0" xfId="0" applyNumberFormat="1" applyFont="1" applyFill="1" applyAlignment="1">
      <alignment horizontal="center" vertical="center"/>
    </xf>
    <xf numFmtId="165" fontId="8" fillId="6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64" fontId="10" fillId="4" borderId="8" xfId="0" applyNumberFormat="1" applyFont="1" applyFill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9" fillId="7" borderId="0" xfId="1" applyNumberFormat="1" applyFon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0" fontId="0" fillId="0" borderId="0" xfId="0" applyNumberFormat="1"/>
    <xf numFmtId="14" fontId="8" fillId="7" borderId="0" xfId="0" applyNumberFormat="1" applyFont="1" applyFill="1" applyAlignment="1">
      <alignment horizontal="center" vertical="center"/>
    </xf>
    <xf numFmtId="164" fontId="0" fillId="7" borderId="0" xfId="0" applyNumberFormat="1" applyFill="1" applyAlignment="1">
      <alignment horizontal="center"/>
    </xf>
    <xf numFmtId="14" fontId="6" fillId="8" borderId="0" xfId="0" applyNumberFormat="1" applyFont="1" applyFill="1" applyAlignment="1">
      <alignment horizontal="center" vertical="center"/>
    </xf>
    <xf numFmtId="164" fontId="6" fillId="8" borderId="0" xfId="0" applyNumberFormat="1" applyFont="1" applyFill="1" applyAlignment="1">
      <alignment horizontal="center" vertical="center"/>
    </xf>
  </cellXfs>
  <cellStyles count="2">
    <cellStyle name="Currency" xfId="1" builtinId="4"/>
    <cellStyle name="Normal" xfId="0" builtinId="0" customBuiltin="1"/>
  </cellStyles>
  <dxfs count="275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0.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m/d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numFmt numFmtId="164" formatCode="&quot;$&quot;#,##0.00"/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5" formatCode="0.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5" formatCode="0.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9" formatCode="m/d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9" formatCode="m/d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numFmt numFmtId="165" formatCode="0.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numFmt numFmtId="19" formatCode="m/d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numFmt numFmtId="19" formatCode="m/d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numFmt numFmtId="19" formatCode="m/d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family val="1"/>
        <scheme val="none"/>
      </font>
      <numFmt numFmtId="164" formatCode="&quot;$&quot;#,##0.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0.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m/d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m/d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0.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m/d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&quot;$&quot;#,##0.00"/>
      <alignment horizontal="center" vertical="center" textRotation="0" wrapText="0" indent="0" justifyLastLine="0" shrinkToFit="0" readingOrder="0"/>
    </dxf>
    <dxf>
      <border outline="0"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&quot;$&quot;#,##0.00"/>
      <alignment horizontal="center" vertical="center" textRotation="0" wrapText="0" indent="0" justifyLastLine="0" shrinkToFit="0" readingOrder="0"/>
    </dxf>
    <dxf>
      <border outline="0"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&quot;$&quot;#,##0.00"/>
      <alignment horizontal="center" vertical="center" textRotation="0" wrapText="0" indent="0" justifyLastLine="0" shrinkToFit="0" readingOrder="0"/>
    </dxf>
    <dxf>
      <border outline="0"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m/d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numFmt numFmtId="164" formatCode="&quot;$&quot;#,##0.00"/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0.00000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border outline="0"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0.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m/d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m/d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m/d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numFmt numFmtId="164" formatCode="&quot;$&quot;#,##0.00"/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/>
    </dxf>
    <dxf>
      <alignment horizontal="center"/>
    </dxf>
    <dxf>
      <numFmt numFmtId="164" formatCode="&quot;$&quot;#,##0.00"/>
    </dxf>
    <dxf>
      <numFmt numFmtId="164" formatCode="&quot;$&quot;#,##0.00"/>
    </dxf>
    <dxf>
      <alignment horizontal="center"/>
    </dxf>
    <dxf>
      <alignment horizontal="center"/>
    </dxf>
    <dxf>
      <numFmt numFmtId="164" formatCode="&quot;$&quot;#,##0.00"/>
    </dxf>
    <dxf>
      <numFmt numFmtId="164" formatCode="&quot;$&quot;#,##0.00"/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$&quot;#,##0.00"/>
    </dxf>
    <dxf>
      <numFmt numFmtId="164" formatCode="&quot;$&quot;#,##0.00"/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$&quot;#,##0.00"/>
    </dxf>
    <dxf>
      <numFmt numFmtId="164" formatCode="&quot;$&quot;#,##0.00"/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64" formatCode="&quot;$&quot;#,##0.00"/>
    </dxf>
    <dxf>
      <numFmt numFmtId="164" formatCode="&quot;$&quot;#,##0.00"/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$&quot;#,##0.00"/>
    </dxf>
    <dxf>
      <numFmt numFmtId="164" formatCode="&quot;$&quot;#,##0.00"/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5" formatCode="0.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m/d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&quot;$&quot;#,##0.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B9E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Utility Bill Forecast - 6 MONTHS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forward val="6"/>
            <c:dispRSqr val="0"/>
            <c:dispEq val="0"/>
          </c:trendline>
          <c:cat>
            <c:numRef>
              <c:f>Forecasts!$A$24:$A$43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Forecasts!$B$24:$B$43</c:f>
              <c:numCache>
                <c:formatCode>"$"#,##0.00</c:formatCode>
                <c:ptCount val="20"/>
                <c:pt idx="0">
                  <c:v>53.21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91-5C4D-AA55-146A70D16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68847"/>
        <c:axId val="122556815"/>
      </c:lineChart>
      <c:dateAx>
        <c:axId val="12246884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56815"/>
        <c:crosses val="autoZero"/>
        <c:auto val="1"/>
        <c:lblOffset val="100"/>
        <c:baseTimeUnit val="months"/>
      </c:dateAx>
      <c:valAx>
        <c:axId val="12255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6884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Utility Bill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2"/>
            <c:forward val="12"/>
            <c:dispRSqr val="0"/>
            <c:dispEq val="0"/>
          </c:trendline>
          <c:cat>
            <c:numRef>
              <c:f>Forecasts!$A$24:$A$43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Forecasts!$B$24:$B$43</c:f>
              <c:numCache>
                <c:formatCode>"$"#,##0.00</c:formatCode>
                <c:ptCount val="20"/>
                <c:pt idx="0">
                  <c:v>53.21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50-A049-9ED3-8B2047D25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68847"/>
        <c:axId val="122556815"/>
      </c:lineChart>
      <c:dateAx>
        <c:axId val="12246884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56815"/>
        <c:crosses val="autoZero"/>
        <c:auto val="1"/>
        <c:lblOffset val="100"/>
        <c:baseTimeUnit val="months"/>
      </c:dateAx>
      <c:valAx>
        <c:axId val="12255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6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Utility Bill Forecast - 1 YEAR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forward val="12"/>
            <c:dispRSqr val="0"/>
            <c:dispEq val="0"/>
          </c:trendline>
          <c:cat>
            <c:numRef>
              <c:f>Forecasts!$A$24:$A$43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Forecasts!$B$24:$B$43</c:f>
              <c:numCache>
                <c:formatCode>"$"#,##0.00</c:formatCode>
                <c:ptCount val="20"/>
                <c:pt idx="0">
                  <c:v>53.21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5-534E-9F4F-FDF11A5A6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68847"/>
        <c:axId val="122556815"/>
      </c:lineChart>
      <c:dateAx>
        <c:axId val="12246884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56815"/>
        <c:crosses val="autoZero"/>
        <c:auto val="1"/>
        <c:lblOffset val="100"/>
        <c:baseTimeUnit val="months"/>
      </c:dateAx>
      <c:valAx>
        <c:axId val="12255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6884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Utility Trends by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Seasonal!$C$1</c:f>
              <c:strCache>
                <c:ptCount val="1"/>
                <c:pt idx="0">
                  <c:v>Total Bill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Seasonal!$A$2:$B$21</c:f>
              <c:multiLvlStrCache>
                <c:ptCount val="20"/>
                <c:lvl>
                  <c:pt idx="0">
                    <c:v>Fall</c:v>
                  </c:pt>
                  <c:pt idx="1">
                    <c:v>Fall</c:v>
                  </c:pt>
                  <c:pt idx="2">
                    <c:v>Winter</c:v>
                  </c:pt>
                  <c:pt idx="3">
                    <c:v>Winter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Spring</c:v>
                  </c:pt>
                  <c:pt idx="7">
                    <c:v>Spring</c:v>
                  </c:pt>
                  <c:pt idx="8">
                    <c:v>Summer</c:v>
                  </c:pt>
                  <c:pt idx="9">
                    <c:v>Summer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Fall</c:v>
                  </c:pt>
                  <c:pt idx="13">
                    <c:v>Fall</c:v>
                  </c:pt>
                  <c:pt idx="14">
                    <c:v>Winter</c:v>
                  </c:pt>
                  <c:pt idx="15">
                    <c:v>Winter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Spring</c:v>
                  </c:pt>
                  <c:pt idx="19">
                    <c:v>Spring</c:v>
                  </c:pt>
                </c:lvl>
                <c:lvl>
                  <c:pt idx="0">
                    <c:v>10/14/22</c:v>
                  </c:pt>
                  <c:pt idx="1">
                    <c:v>11/14/22</c:v>
                  </c:pt>
                  <c:pt idx="2">
                    <c:v>12/14/22</c:v>
                  </c:pt>
                  <c:pt idx="3">
                    <c:v>1/14/23</c:v>
                  </c:pt>
                  <c:pt idx="4">
                    <c:v>2/14/23</c:v>
                  </c:pt>
                  <c:pt idx="5">
                    <c:v>3/14/23</c:v>
                  </c:pt>
                  <c:pt idx="6">
                    <c:v>4/14/23</c:v>
                  </c:pt>
                  <c:pt idx="7">
                    <c:v>5/14/23</c:v>
                  </c:pt>
                  <c:pt idx="8">
                    <c:v>6/14/23</c:v>
                  </c:pt>
                  <c:pt idx="9">
                    <c:v>7/14/23</c:v>
                  </c:pt>
                  <c:pt idx="10">
                    <c:v>8/14/23</c:v>
                  </c:pt>
                  <c:pt idx="11">
                    <c:v>9/14/23</c:v>
                  </c:pt>
                  <c:pt idx="12">
                    <c:v>10/14/23</c:v>
                  </c:pt>
                  <c:pt idx="13">
                    <c:v>11/14/23</c:v>
                  </c:pt>
                  <c:pt idx="14">
                    <c:v>12/14/23</c:v>
                  </c:pt>
                  <c:pt idx="15">
                    <c:v>1/14/24</c:v>
                  </c:pt>
                  <c:pt idx="16">
                    <c:v>2/14/24</c:v>
                  </c:pt>
                  <c:pt idx="17">
                    <c:v>3/14/24</c:v>
                  </c:pt>
                  <c:pt idx="18">
                    <c:v>4/14/24</c:v>
                  </c:pt>
                  <c:pt idx="19">
                    <c:v>5/14/24</c:v>
                  </c:pt>
                </c:lvl>
              </c:multiLvlStrCache>
            </c:multiLvlStrRef>
          </c:cat>
          <c:val>
            <c:numRef>
              <c:f>Seasonal!$C$2:$C$21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D-D74C-B504-2F8EA270EC7E}"/>
            </c:ext>
          </c:extLst>
        </c:ser>
        <c:ser>
          <c:idx val="1"/>
          <c:order val="1"/>
          <c:tx>
            <c:strRef>
              <c:f>Seasonal!$D$1</c:f>
              <c:strCache>
                <c:ptCount val="1"/>
                <c:pt idx="0">
                  <c:v>Trash Charges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Seasonal!$A$2:$B$21</c:f>
              <c:multiLvlStrCache>
                <c:ptCount val="20"/>
                <c:lvl>
                  <c:pt idx="0">
                    <c:v>Fall</c:v>
                  </c:pt>
                  <c:pt idx="1">
                    <c:v>Fall</c:v>
                  </c:pt>
                  <c:pt idx="2">
                    <c:v>Winter</c:v>
                  </c:pt>
                  <c:pt idx="3">
                    <c:v>Winter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Spring</c:v>
                  </c:pt>
                  <c:pt idx="7">
                    <c:v>Spring</c:v>
                  </c:pt>
                  <c:pt idx="8">
                    <c:v>Summer</c:v>
                  </c:pt>
                  <c:pt idx="9">
                    <c:v>Summer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Fall</c:v>
                  </c:pt>
                  <c:pt idx="13">
                    <c:v>Fall</c:v>
                  </c:pt>
                  <c:pt idx="14">
                    <c:v>Winter</c:v>
                  </c:pt>
                  <c:pt idx="15">
                    <c:v>Winter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Spring</c:v>
                  </c:pt>
                  <c:pt idx="19">
                    <c:v>Spring</c:v>
                  </c:pt>
                </c:lvl>
                <c:lvl>
                  <c:pt idx="0">
                    <c:v>10/14/22</c:v>
                  </c:pt>
                  <c:pt idx="1">
                    <c:v>11/14/22</c:v>
                  </c:pt>
                  <c:pt idx="2">
                    <c:v>12/14/22</c:v>
                  </c:pt>
                  <c:pt idx="3">
                    <c:v>1/14/23</c:v>
                  </c:pt>
                  <c:pt idx="4">
                    <c:v>2/14/23</c:v>
                  </c:pt>
                  <c:pt idx="5">
                    <c:v>3/14/23</c:v>
                  </c:pt>
                  <c:pt idx="6">
                    <c:v>4/14/23</c:v>
                  </c:pt>
                  <c:pt idx="7">
                    <c:v>5/14/23</c:v>
                  </c:pt>
                  <c:pt idx="8">
                    <c:v>6/14/23</c:v>
                  </c:pt>
                  <c:pt idx="9">
                    <c:v>7/14/23</c:v>
                  </c:pt>
                  <c:pt idx="10">
                    <c:v>8/14/23</c:v>
                  </c:pt>
                  <c:pt idx="11">
                    <c:v>9/14/23</c:v>
                  </c:pt>
                  <c:pt idx="12">
                    <c:v>10/14/23</c:v>
                  </c:pt>
                  <c:pt idx="13">
                    <c:v>11/14/23</c:v>
                  </c:pt>
                  <c:pt idx="14">
                    <c:v>12/14/23</c:v>
                  </c:pt>
                  <c:pt idx="15">
                    <c:v>1/14/24</c:v>
                  </c:pt>
                  <c:pt idx="16">
                    <c:v>2/14/24</c:v>
                  </c:pt>
                  <c:pt idx="17">
                    <c:v>3/14/24</c:v>
                  </c:pt>
                  <c:pt idx="18">
                    <c:v>4/14/24</c:v>
                  </c:pt>
                  <c:pt idx="19">
                    <c:v>5/14/24</c:v>
                  </c:pt>
                </c:lvl>
              </c:multiLvlStrCache>
            </c:multiLvlStrRef>
          </c:cat>
          <c:val>
            <c:numRef>
              <c:f>Seasonal!$D$2:$D$21</c:f>
              <c:numCache>
                <c:formatCode>"$"#,##0.00</c:formatCode>
                <c:ptCount val="20"/>
                <c:pt idx="0">
                  <c:v>16.71</c:v>
                </c:pt>
                <c:pt idx="1">
                  <c:v>16.940000000000001</c:v>
                </c:pt>
                <c:pt idx="2">
                  <c:v>17.04</c:v>
                </c:pt>
                <c:pt idx="3">
                  <c:v>17.760000000000002</c:v>
                </c:pt>
                <c:pt idx="4">
                  <c:v>17.87</c:v>
                </c:pt>
                <c:pt idx="5">
                  <c:v>17.62</c:v>
                </c:pt>
                <c:pt idx="6">
                  <c:v>17.39</c:v>
                </c:pt>
                <c:pt idx="7">
                  <c:v>17.600000000000001</c:v>
                </c:pt>
                <c:pt idx="8">
                  <c:v>17.55</c:v>
                </c:pt>
                <c:pt idx="9">
                  <c:v>17.8</c:v>
                </c:pt>
                <c:pt idx="10">
                  <c:v>17.84</c:v>
                </c:pt>
                <c:pt idx="11">
                  <c:v>18.100000000000001</c:v>
                </c:pt>
                <c:pt idx="12">
                  <c:v>18.22</c:v>
                </c:pt>
                <c:pt idx="13">
                  <c:v>20.11</c:v>
                </c:pt>
                <c:pt idx="14">
                  <c:v>20.190000000000001</c:v>
                </c:pt>
                <c:pt idx="15">
                  <c:v>20.45</c:v>
                </c:pt>
                <c:pt idx="16">
                  <c:v>20.12</c:v>
                </c:pt>
                <c:pt idx="17">
                  <c:v>21.66</c:v>
                </c:pt>
                <c:pt idx="18">
                  <c:v>20.27</c:v>
                </c:pt>
                <c:pt idx="19">
                  <c:v>21.93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D-D74C-B504-2F8EA270EC7E}"/>
            </c:ext>
          </c:extLst>
        </c:ser>
        <c:ser>
          <c:idx val="2"/>
          <c:order val="2"/>
          <c:tx>
            <c:strRef>
              <c:f>Seasonal!$E$1</c:f>
              <c:strCache>
                <c:ptCount val="1"/>
                <c:pt idx="0">
                  <c:v>Water Charges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Seasonal!$A$2:$B$21</c:f>
              <c:multiLvlStrCache>
                <c:ptCount val="20"/>
                <c:lvl>
                  <c:pt idx="0">
                    <c:v>Fall</c:v>
                  </c:pt>
                  <c:pt idx="1">
                    <c:v>Fall</c:v>
                  </c:pt>
                  <c:pt idx="2">
                    <c:v>Winter</c:v>
                  </c:pt>
                  <c:pt idx="3">
                    <c:v>Winter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Spring</c:v>
                  </c:pt>
                  <c:pt idx="7">
                    <c:v>Spring</c:v>
                  </c:pt>
                  <c:pt idx="8">
                    <c:v>Summer</c:v>
                  </c:pt>
                  <c:pt idx="9">
                    <c:v>Summer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Fall</c:v>
                  </c:pt>
                  <c:pt idx="13">
                    <c:v>Fall</c:v>
                  </c:pt>
                  <c:pt idx="14">
                    <c:v>Winter</c:v>
                  </c:pt>
                  <c:pt idx="15">
                    <c:v>Winter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Spring</c:v>
                  </c:pt>
                  <c:pt idx="19">
                    <c:v>Spring</c:v>
                  </c:pt>
                </c:lvl>
                <c:lvl>
                  <c:pt idx="0">
                    <c:v>10/14/22</c:v>
                  </c:pt>
                  <c:pt idx="1">
                    <c:v>11/14/22</c:v>
                  </c:pt>
                  <c:pt idx="2">
                    <c:v>12/14/22</c:v>
                  </c:pt>
                  <c:pt idx="3">
                    <c:v>1/14/23</c:v>
                  </c:pt>
                  <c:pt idx="4">
                    <c:v>2/14/23</c:v>
                  </c:pt>
                  <c:pt idx="5">
                    <c:v>3/14/23</c:v>
                  </c:pt>
                  <c:pt idx="6">
                    <c:v>4/14/23</c:v>
                  </c:pt>
                  <c:pt idx="7">
                    <c:v>5/14/23</c:v>
                  </c:pt>
                  <c:pt idx="8">
                    <c:v>6/14/23</c:v>
                  </c:pt>
                  <c:pt idx="9">
                    <c:v>7/14/23</c:v>
                  </c:pt>
                  <c:pt idx="10">
                    <c:v>8/14/23</c:v>
                  </c:pt>
                  <c:pt idx="11">
                    <c:v>9/14/23</c:v>
                  </c:pt>
                  <c:pt idx="12">
                    <c:v>10/14/23</c:v>
                  </c:pt>
                  <c:pt idx="13">
                    <c:v>11/14/23</c:v>
                  </c:pt>
                  <c:pt idx="14">
                    <c:v>12/14/23</c:v>
                  </c:pt>
                  <c:pt idx="15">
                    <c:v>1/14/24</c:v>
                  </c:pt>
                  <c:pt idx="16">
                    <c:v>2/14/24</c:v>
                  </c:pt>
                  <c:pt idx="17">
                    <c:v>3/14/24</c:v>
                  </c:pt>
                  <c:pt idx="18">
                    <c:v>4/14/24</c:v>
                  </c:pt>
                  <c:pt idx="19">
                    <c:v>5/14/24</c:v>
                  </c:pt>
                </c:lvl>
              </c:multiLvlStrCache>
            </c:multiLvlStrRef>
          </c:cat>
          <c:val>
            <c:numRef>
              <c:f>Seasonal!$E$2:$E$21</c:f>
              <c:numCache>
                <c:formatCode>"$"#,##0.00</c:formatCode>
                <c:ptCount val="20"/>
                <c:pt idx="0">
                  <c:v>21.95</c:v>
                </c:pt>
                <c:pt idx="1">
                  <c:v>24.34</c:v>
                </c:pt>
                <c:pt idx="2">
                  <c:v>27.76</c:v>
                </c:pt>
                <c:pt idx="3">
                  <c:v>25.94</c:v>
                </c:pt>
                <c:pt idx="4">
                  <c:v>25.17</c:v>
                </c:pt>
                <c:pt idx="5">
                  <c:v>28.9</c:v>
                </c:pt>
                <c:pt idx="6">
                  <c:v>27.32</c:v>
                </c:pt>
                <c:pt idx="7">
                  <c:v>27.28</c:v>
                </c:pt>
                <c:pt idx="8">
                  <c:v>28.68</c:v>
                </c:pt>
                <c:pt idx="9">
                  <c:v>25.92</c:v>
                </c:pt>
                <c:pt idx="10">
                  <c:v>29.19</c:v>
                </c:pt>
                <c:pt idx="11">
                  <c:v>33.450000000000003</c:v>
                </c:pt>
                <c:pt idx="12">
                  <c:v>38.770000000000003</c:v>
                </c:pt>
                <c:pt idx="13">
                  <c:v>40.42</c:v>
                </c:pt>
                <c:pt idx="14">
                  <c:v>54.16</c:v>
                </c:pt>
                <c:pt idx="15">
                  <c:v>43.63</c:v>
                </c:pt>
                <c:pt idx="16">
                  <c:v>36.729999999999997</c:v>
                </c:pt>
                <c:pt idx="17">
                  <c:v>38.75</c:v>
                </c:pt>
                <c:pt idx="18">
                  <c:v>30.28</c:v>
                </c:pt>
                <c:pt idx="19">
                  <c:v>29.06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FD-D74C-B504-2F8EA270EC7E}"/>
            </c:ext>
          </c:extLst>
        </c:ser>
        <c:ser>
          <c:idx val="3"/>
          <c:order val="3"/>
          <c:tx>
            <c:strRef>
              <c:f>Seasonal!$F$1</c:f>
              <c:strCache>
                <c:ptCount val="1"/>
                <c:pt idx="0">
                  <c:v>Sewer Charges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Seasonal!$A$2:$B$21</c:f>
              <c:multiLvlStrCache>
                <c:ptCount val="20"/>
                <c:lvl>
                  <c:pt idx="0">
                    <c:v>Fall</c:v>
                  </c:pt>
                  <c:pt idx="1">
                    <c:v>Fall</c:v>
                  </c:pt>
                  <c:pt idx="2">
                    <c:v>Winter</c:v>
                  </c:pt>
                  <c:pt idx="3">
                    <c:v>Winter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Spring</c:v>
                  </c:pt>
                  <c:pt idx="7">
                    <c:v>Spring</c:v>
                  </c:pt>
                  <c:pt idx="8">
                    <c:v>Summer</c:v>
                  </c:pt>
                  <c:pt idx="9">
                    <c:v>Summer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Fall</c:v>
                  </c:pt>
                  <c:pt idx="13">
                    <c:v>Fall</c:v>
                  </c:pt>
                  <c:pt idx="14">
                    <c:v>Winter</c:v>
                  </c:pt>
                  <c:pt idx="15">
                    <c:v>Winter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Spring</c:v>
                  </c:pt>
                  <c:pt idx="19">
                    <c:v>Spring</c:v>
                  </c:pt>
                </c:lvl>
                <c:lvl>
                  <c:pt idx="0">
                    <c:v>10/14/22</c:v>
                  </c:pt>
                  <c:pt idx="1">
                    <c:v>11/14/22</c:v>
                  </c:pt>
                  <c:pt idx="2">
                    <c:v>12/14/22</c:v>
                  </c:pt>
                  <c:pt idx="3">
                    <c:v>1/14/23</c:v>
                  </c:pt>
                  <c:pt idx="4">
                    <c:v>2/14/23</c:v>
                  </c:pt>
                  <c:pt idx="5">
                    <c:v>3/14/23</c:v>
                  </c:pt>
                  <c:pt idx="6">
                    <c:v>4/14/23</c:v>
                  </c:pt>
                  <c:pt idx="7">
                    <c:v>5/14/23</c:v>
                  </c:pt>
                  <c:pt idx="8">
                    <c:v>6/14/23</c:v>
                  </c:pt>
                  <c:pt idx="9">
                    <c:v>7/14/23</c:v>
                  </c:pt>
                  <c:pt idx="10">
                    <c:v>8/14/23</c:v>
                  </c:pt>
                  <c:pt idx="11">
                    <c:v>9/14/23</c:v>
                  </c:pt>
                  <c:pt idx="12">
                    <c:v>10/14/23</c:v>
                  </c:pt>
                  <c:pt idx="13">
                    <c:v>11/14/23</c:v>
                  </c:pt>
                  <c:pt idx="14">
                    <c:v>12/14/23</c:v>
                  </c:pt>
                  <c:pt idx="15">
                    <c:v>1/14/24</c:v>
                  </c:pt>
                  <c:pt idx="16">
                    <c:v>2/14/24</c:v>
                  </c:pt>
                  <c:pt idx="17">
                    <c:v>3/14/24</c:v>
                  </c:pt>
                  <c:pt idx="18">
                    <c:v>4/14/24</c:v>
                  </c:pt>
                  <c:pt idx="19">
                    <c:v>5/14/24</c:v>
                  </c:pt>
                </c:lvl>
              </c:multiLvlStrCache>
            </c:multiLvlStrRef>
          </c:cat>
          <c:val>
            <c:numRef>
              <c:f>Seasonal!$F$2:$F$21</c:f>
              <c:numCache>
                <c:formatCode>"$"#,##0.00</c:formatCode>
                <c:ptCount val="20"/>
                <c:pt idx="0">
                  <c:v>14.55</c:v>
                </c:pt>
                <c:pt idx="1">
                  <c:v>15.71</c:v>
                </c:pt>
                <c:pt idx="2">
                  <c:v>18.03</c:v>
                </c:pt>
                <c:pt idx="3">
                  <c:v>16.41</c:v>
                </c:pt>
                <c:pt idx="4">
                  <c:v>15.51</c:v>
                </c:pt>
                <c:pt idx="5">
                  <c:v>17.88</c:v>
                </c:pt>
                <c:pt idx="6">
                  <c:v>16.8</c:v>
                </c:pt>
                <c:pt idx="7">
                  <c:v>16.62</c:v>
                </c:pt>
                <c:pt idx="8">
                  <c:v>17.88</c:v>
                </c:pt>
                <c:pt idx="9">
                  <c:v>16.38</c:v>
                </c:pt>
                <c:pt idx="10">
                  <c:v>18.02</c:v>
                </c:pt>
                <c:pt idx="11">
                  <c:v>20.54</c:v>
                </c:pt>
                <c:pt idx="12">
                  <c:v>23.03</c:v>
                </c:pt>
                <c:pt idx="13">
                  <c:v>23.09</c:v>
                </c:pt>
                <c:pt idx="14">
                  <c:v>30.67</c:v>
                </c:pt>
                <c:pt idx="15">
                  <c:v>24.11</c:v>
                </c:pt>
                <c:pt idx="16">
                  <c:v>19.670000000000002</c:v>
                </c:pt>
                <c:pt idx="17">
                  <c:v>20.81</c:v>
                </c:pt>
                <c:pt idx="18">
                  <c:v>16.95</c:v>
                </c:pt>
                <c:pt idx="19">
                  <c:v>16.62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FD-D74C-B504-2F8EA270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4396528"/>
        <c:axId val="528390720"/>
      </c:lineChart>
      <c:catAx>
        <c:axId val="70439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0720"/>
        <c:crosses val="autoZero"/>
        <c:auto val="1"/>
        <c:lblAlgn val="ctr"/>
        <c:lblOffset val="100"/>
        <c:noMultiLvlLbl val="0"/>
      </c:catAx>
      <c:valAx>
        <c:axId val="528390720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9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Utility Trends by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Seasonal!$C$1</c:f>
              <c:strCache>
                <c:ptCount val="1"/>
                <c:pt idx="0">
                  <c:v>Total Bill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Seasonal!$A$2:$B$21</c:f>
              <c:multiLvlStrCache>
                <c:ptCount val="20"/>
                <c:lvl>
                  <c:pt idx="0">
                    <c:v>Fall</c:v>
                  </c:pt>
                  <c:pt idx="1">
                    <c:v>Fall</c:v>
                  </c:pt>
                  <c:pt idx="2">
                    <c:v>Winter</c:v>
                  </c:pt>
                  <c:pt idx="3">
                    <c:v>Winter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Spring</c:v>
                  </c:pt>
                  <c:pt idx="7">
                    <c:v>Spring</c:v>
                  </c:pt>
                  <c:pt idx="8">
                    <c:v>Summer</c:v>
                  </c:pt>
                  <c:pt idx="9">
                    <c:v>Summer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Fall</c:v>
                  </c:pt>
                  <c:pt idx="13">
                    <c:v>Fall</c:v>
                  </c:pt>
                  <c:pt idx="14">
                    <c:v>Winter</c:v>
                  </c:pt>
                  <c:pt idx="15">
                    <c:v>Winter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Spring</c:v>
                  </c:pt>
                  <c:pt idx="19">
                    <c:v>Spring</c:v>
                  </c:pt>
                </c:lvl>
                <c:lvl>
                  <c:pt idx="0">
                    <c:v>10/14/22</c:v>
                  </c:pt>
                  <c:pt idx="1">
                    <c:v>11/14/22</c:v>
                  </c:pt>
                  <c:pt idx="2">
                    <c:v>12/14/22</c:v>
                  </c:pt>
                  <c:pt idx="3">
                    <c:v>1/14/23</c:v>
                  </c:pt>
                  <c:pt idx="4">
                    <c:v>2/14/23</c:v>
                  </c:pt>
                  <c:pt idx="5">
                    <c:v>3/14/23</c:v>
                  </c:pt>
                  <c:pt idx="6">
                    <c:v>4/14/23</c:v>
                  </c:pt>
                  <c:pt idx="7">
                    <c:v>5/14/23</c:v>
                  </c:pt>
                  <c:pt idx="8">
                    <c:v>6/14/23</c:v>
                  </c:pt>
                  <c:pt idx="9">
                    <c:v>7/14/23</c:v>
                  </c:pt>
                  <c:pt idx="10">
                    <c:v>8/14/23</c:v>
                  </c:pt>
                  <c:pt idx="11">
                    <c:v>9/14/23</c:v>
                  </c:pt>
                  <c:pt idx="12">
                    <c:v>10/14/23</c:v>
                  </c:pt>
                  <c:pt idx="13">
                    <c:v>11/14/23</c:v>
                  </c:pt>
                  <c:pt idx="14">
                    <c:v>12/14/23</c:v>
                  </c:pt>
                  <c:pt idx="15">
                    <c:v>1/14/24</c:v>
                  </c:pt>
                  <c:pt idx="16">
                    <c:v>2/14/24</c:v>
                  </c:pt>
                  <c:pt idx="17">
                    <c:v>3/14/24</c:v>
                  </c:pt>
                  <c:pt idx="18">
                    <c:v>4/14/24</c:v>
                  </c:pt>
                  <c:pt idx="19">
                    <c:v>5/14/24</c:v>
                  </c:pt>
                </c:lvl>
              </c:multiLvlStrCache>
            </c:multiLvlStrRef>
          </c:cat>
          <c:val>
            <c:numRef>
              <c:f>Seasonal!$C$2:$C$21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A2-2346-B602-0AC377ECDECF}"/>
            </c:ext>
          </c:extLst>
        </c:ser>
        <c:ser>
          <c:idx val="1"/>
          <c:order val="1"/>
          <c:tx>
            <c:strRef>
              <c:f>Seasonal!$D$1</c:f>
              <c:strCache>
                <c:ptCount val="1"/>
                <c:pt idx="0">
                  <c:v>Trash Charges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Seasonal!$A$2:$B$21</c:f>
              <c:multiLvlStrCache>
                <c:ptCount val="20"/>
                <c:lvl>
                  <c:pt idx="0">
                    <c:v>Fall</c:v>
                  </c:pt>
                  <c:pt idx="1">
                    <c:v>Fall</c:v>
                  </c:pt>
                  <c:pt idx="2">
                    <c:v>Winter</c:v>
                  </c:pt>
                  <c:pt idx="3">
                    <c:v>Winter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Spring</c:v>
                  </c:pt>
                  <c:pt idx="7">
                    <c:v>Spring</c:v>
                  </c:pt>
                  <c:pt idx="8">
                    <c:v>Summer</c:v>
                  </c:pt>
                  <c:pt idx="9">
                    <c:v>Summer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Fall</c:v>
                  </c:pt>
                  <c:pt idx="13">
                    <c:v>Fall</c:v>
                  </c:pt>
                  <c:pt idx="14">
                    <c:v>Winter</c:v>
                  </c:pt>
                  <c:pt idx="15">
                    <c:v>Winter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Spring</c:v>
                  </c:pt>
                  <c:pt idx="19">
                    <c:v>Spring</c:v>
                  </c:pt>
                </c:lvl>
                <c:lvl>
                  <c:pt idx="0">
                    <c:v>10/14/22</c:v>
                  </c:pt>
                  <c:pt idx="1">
                    <c:v>11/14/22</c:v>
                  </c:pt>
                  <c:pt idx="2">
                    <c:v>12/14/22</c:v>
                  </c:pt>
                  <c:pt idx="3">
                    <c:v>1/14/23</c:v>
                  </c:pt>
                  <c:pt idx="4">
                    <c:v>2/14/23</c:v>
                  </c:pt>
                  <c:pt idx="5">
                    <c:v>3/14/23</c:v>
                  </c:pt>
                  <c:pt idx="6">
                    <c:v>4/14/23</c:v>
                  </c:pt>
                  <c:pt idx="7">
                    <c:v>5/14/23</c:v>
                  </c:pt>
                  <c:pt idx="8">
                    <c:v>6/14/23</c:v>
                  </c:pt>
                  <c:pt idx="9">
                    <c:v>7/14/23</c:v>
                  </c:pt>
                  <c:pt idx="10">
                    <c:v>8/14/23</c:v>
                  </c:pt>
                  <c:pt idx="11">
                    <c:v>9/14/23</c:v>
                  </c:pt>
                  <c:pt idx="12">
                    <c:v>10/14/23</c:v>
                  </c:pt>
                  <c:pt idx="13">
                    <c:v>11/14/23</c:v>
                  </c:pt>
                  <c:pt idx="14">
                    <c:v>12/14/23</c:v>
                  </c:pt>
                  <c:pt idx="15">
                    <c:v>1/14/24</c:v>
                  </c:pt>
                  <c:pt idx="16">
                    <c:v>2/14/24</c:v>
                  </c:pt>
                  <c:pt idx="17">
                    <c:v>3/14/24</c:v>
                  </c:pt>
                  <c:pt idx="18">
                    <c:v>4/14/24</c:v>
                  </c:pt>
                  <c:pt idx="19">
                    <c:v>5/14/24</c:v>
                  </c:pt>
                </c:lvl>
              </c:multiLvlStrCache>
            </c:multiLvlStrRef>
          </c:cat>
          <c:val>
            <c:numRef>
              <c:f>Seasonal!$D$2:$D$21</c:f>
              <c:numCache>
                <c:formatCode>"$"#,##0.00</c:formatCode>
                <c:ptCount val="20"/>
                <c:pt idx="0">
                  <c:v>16.71</c:v>
                </c:pt>
                <c:pt idx="1">
                  <c:v>16.940000000000001</c:v>
                </c:pt>
                <c:pt idx="2">
                  <c:v>17.04</c:v>
                </c:pt>
                <c:pt idx="3">
                  <c:v>17.760000000000002</c:v>
                </c:pt>
                <c:pt idx="4">
                  <c:v>17.87</c:v>
                </c:pt>
                <c:pt idx="5">
                  <c:v>17.62</c:v>
                </c:pt>
                <c:pt idx="6">
                  <c:v>17.39</c:v>
                </c:pt>
                <c:pt idx="7">
                  <c:v>17.600000000000001</c:v>
                </c:pt>
                <c:pt idx="8">
                  <c:v>17.55</c:v>
                </c:pt>
                <c:pt idx="9">
                  <c:v>17.8</c:v>
                </c:pt>
                <c:pt idx="10">
                  <c:v>17.84</c:v>
                </c:pt>
                <c:pt idx="11">
                  <c:v>18.100000000000001</c:v>
                </c:pt>
                <c:pt idx="12">
                  <c:v>18.22</c:v>
                </c:pt>
                <c:pt idx="13">
                  <c:v>20.11</c:v>
                </c:pt>
                <c:pt idx="14">
                  <c:v>20.190000000000001</c:v>
                </c:pt>
                <c:pt idx="15">
                  <c:v>20.45</c:v>
                </c:pt>
                <c:pt idx="16">
                  <c:v>20.12</c:v>
                </c:pt>
                <c:pt idx="17">
                  <c:v>21.66</c:v>
                </c:pt>
                <c:pt idx="18">
                  <c:v>20.27</c:v>
                </c:pt>
                <c:pt idx="19">
                  <c:v>21.93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A2-2346-B602-0AC377ECDECF}"/>
            </c:ext>
          </c:extLst>
        </c:ser>
        <c:ser>
          <c:idx val="2"/>
          <c:order val="2"/>
          <c:tx>
            <c:strRef>
              <c:f>Seasonal!$E$1</c:f>
              <c:strCache>
                <c:ptCount val="1"/>
                <c:pt idx="0">
                  <c:v>Water Charges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Seasonal!$A$2:$B$21</c:f>
              <c:multiLvlStrCache>
                <c:ptCount val="20"/>
                <c:lvl>
                  <c:pt idx="0">
                    <c:v>Fall</c:v>
                  </c:pt>
                  <c:pt idx="1">
                    <c:v>Fall</c:v>
                  </c:pt>
                  <c:pt idx="2">
                    <c:v>Winter</c:v>
                  </c:pt>
                  <c:pt idx="3">
                    <c:v>Winter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Spring</c:v>
                  </c:pt>
                  <c:pt idx="7">
                    <c:v>Spring</c:v>
                  </c:pt>
                  <c:pt idx="8">
                    <c:v>Summer</c:v>
                  </c:pt>
                  <c:pt idx="9">
                    <c:v>Summer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Fall</c:v>
                  </c:pt>
                  <c:pt idx="13">
                    <c:v>Fall</c:v>
                  </c:pt>
                  <c:pt idx="14">
                    <c:v>Winter</c:v>
                  </c:pt>
                  <c:pt idx="15">
                    <c:v>Winter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Spring</c:v>
                  </c:pt>
                  <c:pt idx="19">
                    <c:v>Spring</c:v>
                  </c:pt>
                </c:lvl>
                <c:lvl>
                  <c:pt idx="0">
                    <c:v>10/14/22</c:v>
                  </c:pt>
                  <c:pt idx="1">
                    <c:v>11/14/22</c:v>
                  </c:pt>
                  <c:pt idx="2">
                    <c:v>12/14/22</c:v>
                  </c:pt>
                  <c:pt idx="3">
                    <c:v>1/14/23</c:v>
                  </c:pt>
                  <c:pt idx="4">
                    <c:v>2/14/23</c:v>
                  </c:pt>
                  <c:pt idx="5">
                    <c:v>3/14/23</c:v>
                  </c:pt>
                  <c:pt idx="6">
                    <c:v>4/14/23</c:v>
                  </c:pt>
                  <c:pt idx="7">
                    <c:v>5/14/23</c:v>
                  </c:pt>
                  <c:pt idx="8">
                    <c:v>6/14/23</c:v>
                  </c:pt>
                  <c:pt idx="9">
                    <c:v>7/14/23</c:v>
                  </c:pt>
                  <c:pt idx="10">
                    <c:v>8/14/23</c:v>
                  </c:pt>
                  <c:pt idx="11">
                    <c:v>9/14/23</c:v>
                  </c:pt>
                  <c:pt idx="12">
                    <c:v>10/14/23</c:v>
                  </c:pt>
                  <c:pt idx="13">
                    <c:v>11/14/23</c:v>
                  </c:pt>
                  <c:pt idx="14">
                    <c:v>12/14/23</c:v>
                  </c:pt>
                  <c:pt idx="15">
                    <c:v>1/14/24</c:v>
                  </c:pt>
                  <c:pt idx="16">
                    <c:v>2/14/24</c:v>
                  </c:pt>
                  <c:pt idx="17">
                    <c:v>3/14/24</c:v>
                  </c:pt>
                  <c:pt idx="18">
                    <c:v>4/14/24</c:v>
                  </c:pt>
                  <c:pt idx="19">
                    <c:v>5/14/24</c:v>
                  </c:pt>
                </c:lvl>
              </c:multiLvlStrCache>
            </c:multiLvlStrRef>
          </c:cat>
          <c:val>
            <c:numRef>
              <c:f>Seasonal!$E$2:$E$21</c:f>
              <c:numCache>
                <c:formatCode>"$"#,##0.00</c:formatCode>
                <c:ptCount val="20"/>
                <c:pt idx="0">
                  <c:v>21.95</c:v>
                </c:pt>
                <c:pt idx="1">
                  <c:v>24.34</c:v>
                </c:pt>
                <c:pt idx="2">
                  <c:v>27.76</c:v>
                </c:pt>
                <c:pt idx="3">
                  <c:v>25.94</c:v>
                </c:pt>
                <c:pt idx="4">
                  <c:v>25.17</c:v>
                </c:pt>
                <c:pt idx="5">
                  <c:v>28.9</c:v>
                </c:pt>
                <c:pt idx="6">
                  <c:v>27.32</c:v>
                </c:pt>
                <c:pt idx="7">
                  <c:v>27.28</c:v>
                </c:pt>
                <c:pt idx="8">
                  <c:v>28.68</c:v>
                </c:pt>
                <c:pt idx="9">
                  <c:v>25.92</c:v>
                </c:pt>
                <c:pt idx="10">
                  <c:v>29.19</c:v>
                </c:pt>
                <c:pt idx="11">
                  <c:v>33.450000000000003</c:v>
                </c:pt>
                <c:pt idx="12">
                  <c:v>38.770000000000003</c:v>
                </c:pt>
                <c:pt idx="13">
                  <c:v>40.42</c:v>
                </c:pt>
                <c:pt idx="14">
                  <c:v>54.16</c:v>
                </c:pt>
                <c:pt idx="15">
                  <c:v>43.63</c:v>
                </c:pt>
                <c:pt idx="16">
                  <c:v>36.729999999999997</c:v>
                </c:pt>
                <c:pt idx="17">
                  <c:v>38.75</c:v>
                </c:pt>
                <c:pt idx="18">
                  <c:v>30.28</c:v>
                </c:pt>
                <c:pt idx="19">
                  <c:v>29.06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A2-2346-B602-0AC377ECDECF}"/>
            </c:ext>
          </c:extLst>
        </c:ser>
        <c:ser>
          <c:idx val="3"/>
          <c:order val="3"/>
          <c:tx>
            <c:strRef>
              <c:f>Seasonal!$F$1</c:f>
              <c:strCache>
                <c:ptCount val="1"/>
                <c:pt idx="0">
                  <c:v>Sewer Charges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Seasonal!$A$2:$B$21</c:f>
              <c:multiLvlStrCache>
                <c:ptCount val="20"/>
                <c:lvl>
                  <c:pt idx="0">
                    <c:v>Fall</c:v>
                  </c:pt>
                  <c:pt idx="1">
                    <c:v>Fall</c:v>
                  </c:pt>
                  <c:pt idx="2">
                    <c:v>Winter</c:v>
                  </c:pt>
                  <c:pt idx="3">
                    <c:v>Winter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Spring</c:v>
                  </c:pt>
                  <c:pt idx="7">
                    <c:v>Spring</c:v>
                  </c:pt>
                  <c:pt idx="8">
                    <c:v>Summer</c:v>
                  </c:pt>
                  <c:pt idx="9">
                    <c:v>Summer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Fall</c:v>
                  </c:pt>
                  <c:pt idx="13">
                    <c:v>Fall</c:v>
                  </c:pt>
                  <c:pt idx="14">
                    <c:v>Winter</c:v>
                  </c:pt>
                  <c:pt idx="15">
                    <c:v>Winter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Spring</c:v>
                  </c:pt>
                  <c:pt idx="19">
                    <c:v>Spring</c:v>
                  </c:pt>
                </c:lvl>
                <c:lvl>
                  <c:pt idx="0">
                    <c:v>10/14/22</c:v>
                  </c:pt>
                  <c:pt idx="1">
                    <c:v>11/14/22</c:v>
                  </c:pt>
                  <c:pt idx="2">
                    <c:v>12/14/22</c:v>
                  </c:pt>
                  <c:pt idx="3">
                    <c:v>1/14/23</c:v>
                  </c:pt>
                  <c:pt idx="4">
                    <c:v>2/14/23</c:v>
                  </c:pt>
                  <c:pt idx="5">
                    <c:v>3/14/23</c:v>
                  </c:pt>
                  <c:pt idx="6">
                    <c:v>4/14/23</c:v>
                  </c:pt>
                  <c:pt idx="7">
                    <c:v>5/14/23</c:v>
                  </c:pt>
                  <c:pt idx="8">
                    <c:v>6/14/23</c:v>
                  </c:pt>
                  <c:pt idx="9">
                    <c:v>7/14/23</c:v>
                  </c:pt>
                  <c:pt idx="10">
                    <c:v>8/14/23</c:v>
                  </c:pt>
                  <c:pt idx="11">
                    <c:v>9/14/23</c:v>
                  </c:pt>
                  <c:pt idx="12">
                    <c:v>10/14/23</c:v>
                  </c:pt>
                  <c:pt idx="13">
                    <c:v>11/14/23</c:v>
                  </c:pt>
                  <c:pt idx="14">
                    <c:v>12/14/23</c:v>
                  </c:pt>
                  <c:pt idx="15">
                    <c:v>1/14/24</c:v>
                  </c:pt>
                  <c:pt idx="16">
                    <c:v>2/14/24</c:v>
                  </c:pt>
                  <c:pt idx="17">
                    <c:v>3/14/24</c:v>
                  </c:pt>
                  <c:pt idx="18">
                    <c:v>4/14/24</c:v>
                  </c:pt>
                  <c:pt idx="19">
                    <c:v>5/14/24</c:v>
                  </c:pt>
                </c:lvl>
              </c:multiLvlStrCache>
            </c:multiLvlStrRef>
          </c:cat>
          <c:val>
            <c:numRef>
              <c:f>Seasonal!$F$2:$F$21</c:f>
              <c:numCache>
                <c:formatCode>"$"#,##0.00</c:formatCode>
                <c:ptCount val="20"/>
                <c:pt idx="0">
                  <c:v>14.55</c:v>
                </c:pt>
                <c:pt idx="1">
                  <c:v>15.71</c:v>
                </c:pt>
                <c:pt idx="2">
                  <c:v>18.03</c:v>
                </c:pt>
                <c:pt idx="3">
                  <c:v>16.41</c:v>
                </c:pt>
                <c:pt idx="4">
                  <c:v>15.51</c:v>
                </c:pt>
                <c:pt idx="5">
                  <c:v>17.88</c:v>
                </c:pt>
                <c:pt idx="6">
                  <c:v>16.8</c:v>
                </c:pt>
                <c:pt idx="7">
                  <c:v>16.62</c:v>
                </c:pt>
                <c:pt idx="8">
                  <c:v>17.88</c:v>
                </c:pt>
                <c:pt idx="9">
                  <c:v>16.38</c:v>
                </c:pt>
                <c:pt idx="10">
                  <c:v>18.02</c:v>
                </c:pt>
                <c:pt idx="11">
                  <c:v>20.54</c:v>
                </c:pt>
                <c:pt idx="12">
                  <c:v>23.03</c:v>
                </c:pt>
                <c:pt idx="13">
                  <c:v>23.09</c:v>
                </c:pt>
                <c:pt idx="14">
                  <c:v>30.67</c:v>
                </c:pt>
                <c:pt idx="15">
                  <c:v>24.11</c:v>
                </c:pt>
                <c:pt idx="16">
                  <c:v>19.670000000000002</c:v>
                </c:pt>
                <c:pt idx="17">
                  <c:v>20.81</c:v>
                </c:pt>
                <c:pt idx="18">
                  <c:v>16.95</c:v>
                </c:pt>
                <c:pt idx="19">
                  <c:v>16.62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A2-2346-B602-0AC377ECD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4396528"/>
        <c:axId val="528390720"/>
      </c:lineChart>
      <c:catAx>
        <c:axId val="70439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0720"/>
        <c:crosses val="autoZero"/>
        <c:auto val="1"/>
        <c:lblAlgn val="ctr"/>
        <c:lblOffset val="100"/>
        <c:noMultiLvlLbl val="0"/>
      </c:catAx>
      <c:valAx>
        <c:axId val="528390720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9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[UtilityBillsAnalysis.xlsx]PerChange!PivotTable6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CHANGES</a:t>
            </a:r>
            <a:r>
              <a:rPr lang="en-US" baseline="0"/>
              <a:t> IN BILL COST</a:t>
            </a:r>
            <a:endParaRPr lang="en-US"/>
          </a:p>
        </c:rich>
      </c:tx>
      <c:layout>
        <c:manualLayout>
          <c:xMode val="edge"/>
          <c:yMode val="edge"/>
          <c:x val="0.36257248767967137"/>
          <c:y val="6.251750454270139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2.4935212666386215E-2"/>
              <c:y val="4.00230163537250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5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6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7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8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1.9930471602816174E-2"/>
              <c:y val="4.00230163537250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1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2.9828505202476846E-2"/>
              <c:y val="3.07922471229557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2.068216401352271E-2"/>
              <c:y val="5.2330708661417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2.6398627256618876E-2"/>
              <c:y val="3.07922471229557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2.2648627369147682E-2"/>
              <c:y val="3.69460932768018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2.3791920017766949E-2"/>
              <c:y val="4.3099939430648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1.8075456774670654E-2"/>
              <c:y val="4.00230163537250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>
            <c:manualLayout>
              <c:x val="-1.6932164126051346E-2"/>
              <c:y val="4.00230163537250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PerChange!$O$3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Pt>
            <c:idx val="1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6A9-6B4B-9327-67347E7BBC00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6A9-6B4B-9327-67347E7BBC00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6A9-6B4B-9327-67347E7BBC00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E6A9-6B4B-9327-67347E7BBC00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E6A9-6B4B-9327-67347E7BBC00}"/>
              </c:ext>
            </c:extLst>
          </c:dPt>
          <c:dPt>
            <c:idx val="6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E6A9-6B4B-9327-67347E7BBC00}"/>
              </c:ext>
            </c:extLst>
          </c:dPt>
          <c:dPt>
            <c:idx val="7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E6A9-6B4B-9327-67347E7BBC00}"/>
              </c:ext>
            </c:extLst>
          </c:dPt>
          <c:dPt>
            <c:idx val="8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E6A9-6B4B-9327-67347E7BBC00}"/>
              </c:ext>
            </c:extLst>
          </c:dPt>
          <c:dPt>
            <c:idx val="9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E6A9-6B4B-9327-67347E7BBC00}"/>
              </c:ext>
            </c:extLst>
          </c:dPt>
          <c:dPt>
            <c:idx val="10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6A9-6B4B-9327-67347E7BBC00}"/>
              </c:ext>
            </c:extLst>
          </c:dPt>
          <c:dPt>
            <c:idx val="11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E6A9-6B4B-9327-67347E7BBC00}"/>
              </c:ext>
            </c:extLst>
          </c:dPt>
          <c:dPt>
            <c:idx val="13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E6A9-6B4B-9327-67347E7BBC00}"/>
              </c:ext>
            </c:extLst>
          </c:dPt>
          <c:dPt>
            <c:idx val="15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E6A9-6B4B-9327-67347E7BBC00}"/>
              </c:ext>
            </c:extLst>
          </c:dPt>
          <c:dPt>
            <c:idx val="16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E6A9-6B4B-9327-67347E7BBC00}"/>
              </c:ext>
            </c:extLst>
          </c:dPt>
          <c:dPt>
            <c:idx val="17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6A9-6B4B-9327-67347E7BBC00}"/>
              </c:ext>
            </c:extLst>
          </c:dPt>
          <c:dPt>
            <c:idx val="18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E6A9-6B4B-9327-67347E7BBC00}"/>
              </c:ext>
            </c:extLst>
          </c:dPt>
          <c:dLbls>
            <c:dLbl>
              <c:idx val="3"/>
              <c:layout>
                <c:manualLayout>
                  <c:x val="-2.4935212666386215E-2"/>
                  <c:y val="4.00230163537250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6A9-6B4B-9327-67347E7BBC00}"/>
                </c:ext>
              </c:extLst>
            </c:dLbl>
            <c:dLbl>
              <c:idx val="4"/>
              <c:layout>
                <c:manualLayout>
                  <c:x val="-1.8075456774670654E-2"/>
                  <c:y val="4.00230163537250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6A9-6B4B-9327-67347E7BBC00}"/>
                </c:ext>
              </c:extLst>
            </c:dLbl>
            <c:dLbl>
              <c:idx val="6"/>
              <c:layout>
                <c:manualLayout>
                  <c:x val="-2.3791920017766949E-2"/>
                  <c:y val="4.3099939430648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6A9-6B4B-9327-67347E7BBC00}"/>
                </c:ext>
              </c:extLst>
            </c:dLbl>
            <c:dLbl>
              <c:idx val="7"/>
              <c:layout>
                <c:manualLayout>
                  <c:x val="-1.6932164126051346E-2"/>
                  <c:y val="4.00230163537250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6A9-6B4B-9327-67347E7BBC00}"/>
                </c:ext>
              </c:extLst>
            </c:dLbl>
            <c:dLbl>
              <c:idx val="9"/>
              <c:layout>
                <c:manualLayout>
                  <c:x val="-2.2648627369147682E-2"/>
                  <c:y val="3.6946093276801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6A9-6B4B-9327-67347E7BBC00}"/>
                </c:ext>
              </c:extLst>
            </c:dLbl>
            <c:dLbl>
              <c:idx val="13"/>
              <c:layout>
                <c:manualLayout>
                  <c:x val="-1.9930471602816174E-2"/>
                  <c:y val="4.00230163537250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6A9-6B4B-9327-67347E7BBC00}"/>
                </c:ext>
              </c:extLst>
            </c:dLbl>
            <c:dLbl>
              <c:idx val="15"/>
              <c:layout>
                <c:manualLayout>
                  <c:x val="-2.9828505202476846E-2"/>
                  <c:y val="3.07922471229557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6A9-6B4B-9327-67347E7BBC00}"/>
                </c:ext>
              </c:extLst>
            </c:dLbl>
            <c:dLbl>
              <c:idx val="16"/>
              <c:layout>
                <c:manualLayout>
                  <c:x val="-2.068216401352271E-2"/>
                  <c:y val="5.233070866141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6A9-6B4B-9327-67347E7BBC00}"/>
                </c:ext>
              </c:extLst>
            </c:dLbl>
            <c:dLbl>
              <c:idx val="18"/>
              <c:layout>
                <c:manualLayout>
                  <c:x val="-2.6398627256618876E-2"/>
                  <c:y val="3.07922471229557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6A9-6B4B-9327-67347E7BBC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PerChange!$N$4:$N$23</c:f>
              <c:strCache>
                <c:ptCount val="20"/>
                <c:pt idx="0">
                  <c:v>10/14/22</c:v>
                </c:pt>
                <c:pt idx="1">
                  <c:v>11/14/22</c:v>
                </c:pt>
                <c:pt idx="2">
                  <c:v>12/14/22</c:v>
                </c:pt>
                <c:pt idx="3">
                  <c:v>1/14/23</c:v>
                </c:pt>
                <c:pt idx="4">
                  <c:v>2/14/23</c:v>
                </c:pt>
                <c:pt idx="5">
                  <c:v>3/14/23</c:v>
                </c:pt>
                <c:pt idx="6">
                  <c:v>4/14/23</c:v>
                </c:pt>
                <c:pt idx="7">
                  <c:v>5/14/23</c:v>
                </c:pt>
                <c:pt idx="8">
                  <c:v>6/14/23</c:v>
                </c:pt>
                <c:pt idx="9">
                  <c:v>7/14/23</c:v>
                </c:pt>
                <c:pt idx="10">
                  <c:v>8/14/23</c:v>
                </c:pt>
                <c:pt idx="11">
                  <c:v>9/14/23</c:v>
                </c:pt>
                <c:pt idx="12">
                  <c:v>10/14/23</c:v>
                </c:pt>
                <c:pt idx="13">
                  <c:v>11/14/23</c:v>
                </c:pt>
                <c:pt idx="14">
                  <c:v>12/14/23</c:v>
                </c:pt>
                <c:pt idx="15">
                  <c:v>1/14/24</c:v>
                </c:pt>
                <c:pt idx="16">
                  <c:v>2/14/24</c:v>
                </c:pt>
                <c:pt idx="17">
                  <c:v>3/14/24</c:v>
                </c:pt>
                <c:pt idx="18">
                  <c:v>4/14/24</c:v>
                </c:pt>
                <c:pt idx="19">
                  <c:v>5/14/24</c:v>
                </c:pt>
              </c:strCache>
            </c:strRef>
          </c:cat>
          <c:val>
            <c:numRef>
              <c:f>PerChange!$O$4:$O$23</c:f>
              <c:numCache>
                <c:formatCode>0.00%</c:formatCode>
                <c:ptCount val="20"/>
                <c:pt idx="1">
                  <c:v>7.1039278331140931E-2</c:v>
                </c:pt>
                <c:pt idx="2">
                  <c:v>0.10247411826636245</c:v>
                </c:pt>
                <c:pt idx="3">
                  <c:v>-4.3291421295559428E-2</c:v>
                </c:pt>
                <c:pt idx="4">
                  <c:v>-2.5952420562302365E-2</c:v>
                </c:pt>
                <c:pt idx="5">
                  <c:v>9.9914602903501057E-2</c:v>
                </c:pt>
                <c:pt idx="6">
                  <c:v>-4.4875776397515325E-2</c:v>
                </c:pt>
                <c:pt idx="7">
                  <c:v>-1.625751910259326E-4</c:v>
                </c:pt>
                <c:pt idx="8">
                  <c:v>4.2439024390243892E-2</c:v>
                </c:pt>
                <c:pt idx="9">
                  <c:v>-6.2548744345655979E-2</c:v>
                </c:pt>
                <c:pt idx="10">
                  <c:v>8.2362728785357789E-2</c:v>
                </c:pt>
                <c:pt idx="11">
                  <c:v>0.10822444273635674</c:v>
                </c:pt>
                <c:pt idx="12">
                  <c:v>0.1100013871549453</c:v>
                </c:pt>
                <c:pt idx="13">
                  <c:v>4.4988752811796977E-2</c:v>
                </c:pt>
                <c:pt idx="14">
                  <c:v>0.25591963645060978</c:v>
                </c:pt>
                <c:pt idx="15">
                  <c:v>-0.16025518948771661</c:v>
                </c:pt>
                <c:pt idx="16">
                  <c:v>-0.13232792833654611</c:v>
                </c:pt>
                <c:pt idx="17">
                  <c:v>6.1421850496602239E-2</c:v>
                </c:pt>
                <c:pt idx="18">
                  <c:v>-0.16892391036690468</c:v>
                </c:pt>
                <c:pt idx="19">
                  <c:v>1.6296296296296213E-3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A9-6B4B-9327-67347E7BBC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678724959"/>
        <c:axId val="1678400591"/>
      </c:lineChart>
      <c:catAx>
        <c:axId val="1678724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</a:t>
                </a:r>
                <a:r>
                  <a:rPr lang="en-US" baseline="0"/>
                  <a:t> period start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400591"/>
        <c:crosses val="autoZero"/>
        <c:auto val="0"/>
        <c:lblAlgn val="ctr"/>
        <c:lblOffset val="100"/>
        <c:noMultiLvlLbl val="0"/>
      </c:catAx>
      <c:valAx>
        <c:axId val="16784005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change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2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Utility Bill</a:t>
            </a:r>
            <a:r>
              <a:rPr lang="en-US" baseline="0"/>
              <a:t> costs 0ver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Trends!$B$1</c:f>
              <c:strCache>
                <c:ptCount val="1"/>
                <c:pt idx="0">
                  <c:v>Trash Charges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Trends!$A$2:$A$21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Trends!$B$2:$B$21</c:f>
              <c:numCache>
                <c:formatCode>"$"#,##0.00</c:formatCode>
                <c:ptCount val="20"/>
                <c:pt idx="0">
                  <c:v>16.71</c:v>
                </c:pt>
                <c:pt idx="1">
                  <c:v>16.940000000000001</c:v>
                </c:pt>
                <c:pt idx="2">
                  <c:v>17.04</c:v>
                </c:pt>
                <c:pt idx="3">
                  <c:v>17.760000000000002</c:v>
                </c:pt>
                <c:pt idx="4">
                  <c:v>17.87</c:v>
                </c:pt>
                <c:pt idx="5">
                  <c:v>17.62</c:v>
                </c:pt>
                <c:pt idx="6">
                  <c:v>17.39</c:v>
                </c:pt>
                <c:pt idx="7">
                  <c:v>17.600000000000001</c:v>
                </c:pt>
                <c:pt idx="8">
                  <c:v>17.55</c:v>
                </c:pt>
                <c:pt idx="9">
                  <c:v>17.8</c:v>
                </c:pt>
                <c:pt idx="10">
                  <c:v>17.84</c:v>
                </c:pt>
                <c:pt idx="11">
                  <c:v>18.100000000000001</c:v>
                </c:pt>
                <c:pt idx="12">
                  <c:v>18.22</c:v>
                </c:pt>
                <c:pt idx="13">
                  <c:v>20.11</c:v>
                </c:pt>
                <c:pt idx="14">
                  <c:v>20.190000000000001</c:v>
                </c:pt>
                <c:pt idx="15">
                  <c:v>20.45</c:v>
                </c:pt>
                <c:pt idx="16">
                  <c:v>20.12</c:v>
                </c:pt>
                <c:pt idx="17">
                  <c:v>21.66</c:v>
                </c:pt>
                <c:pt idx="18">
                  <c:v>20.27</c:v>
                </c:pt>
                <c:pt idx="19">
                  <c:v>21.93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5-6148-9C4C-94BE58E0CAEF}"/>
            </c:ext>
          </c:extLst>
        </c:ser>
        <c:ser>
          <c:idx val="1"/>
          <c:order val="1"/>
          <c:tx>
            <c:strRef>
              <c:f>Trends!$C$1</c:f>
              <c:strCache>
                <c:ptCount val="1"/>
                <c:pt idx="0">
                  <c:v>Water Charges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Trends!$A$2:$A$21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Trends!$C$2:$C$21</c:f>
              <c:numCache>
                <c:formatCode>"$"#,##0.00</c:formatCode>
                <c:ptCount val="20"/>
                <c:pt idx="0">
                  <c:v>21.95</c:v>
                </c:pt>
                <c:pt idx="1">
                  <c:v>24.34</c:v>
                </c:pt>
                <c:pt idx="2">
                  <c:v>27.76</c:v>
                </c:pt>
                <c:pt idx="3">
                  <c:v>25.94</c:v>
                </c:pt>
                <c:pt idx="4">
                  <c:v>25.17</c:v>
                </c:pt>
                <c:pt idx="5">
                  <c:v>28.9</c:v>
                </c:pt>
                <c:pt idx="6">
                  <c:v>27.32</c:v>
                </c:pt>
                <c:pt idx="7">
                  <c:v>27.28</c:v>
                </c:pt>
                <c:pt idx="8">
                  <c:v>28.68</c:v>
                </c:pt>
                <c:pt idx="9">
                  <c:v>25.92</c:v>
                </c:pt>
                <c:pt idx="10">
                  <c:v>29.19</c:v>
                </c:pt>
                <c:pt idx="11">
                  <c:v>33.450000000000003</c:v>
                </c:pt>
                <c:pt idx="12">
                  <c:v>38.770000000000003</c:v>
                </c:pt>
                <c:pt idx="13">
                  <c:v>40.42</c:v>
                </c:pt>
                <c:pt idx="14">
                  <c:v>54.16</c:v>
                </c:pt>
                <c:pt idx="15">
                  <c:v>43.63</c:v>
                </c:pt>
                <c:pt idx="16">
                  <c:v>36.729999999999997</c:v>
                </c:pt>
                <c:pt idx="17">
                  <c:v>38.75</c:v>
                </c:pt>
                <c:pt idx="18">
                  <c:v>30.28</c:v>
                </c:pt>
                <c:pt idx="19">
                  <c:v>29.06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65-6148-9C4C-94BE58E0CAEF}"/>
            </c:ext>
          </c:extLst>
        </c:ser>
        <c:ser>
          <c:idx val="2"/>
          <c:order val="2"/>
          <c:tx>
            <c:strRef>
              <c:f>Trends!$D$1</c:f>
              <c:strCache>
                <c:ptCount val="1"/>
                <c:pt idx="0">
                  <c:v>Sewer Charges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Trends!$A$2:$A$21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Trends!$D$2:$D$21</c:f>
              <c:numCache>
                <c:formatCode>"$"#,##0.00</c:formatCode>
                <c:ptCount val="20"/>
                <c:pt idx="0">
                  <c:v>14.55</c:v>
                </c:pt>
                <c:pt idx="1">
                  <c:v>15.71</c:v>
                </c:pt>
                <c:pt idx="2">
                  <c:v>18.03</c:v>
                </c:pt>
                <c:pt idx="3">
                  <c:v>16.41</c:v>
                </c:pt>
                <c:pt idx="4">
                  <c:v>15.51</c:v>
                </c:pt>
                <c:pt idx="5">
                  <c:v>17.88</c:v>
                </c:pt>
                <c:pt idx="6">
                  <c:v>16.8</c:v>
                </c:pt>
                <c:pt idx="7">
                  <c:v>16.62</c:v>
                </c:pt>
                <c:pt idx="8">
                  <c:v>17.88</c:v>
                </c:pt>
                <c:pt idx="9">
                  <c:v>16.38</c:v>
                </c:pt>
                <c:pt idx="10">
                  <c:v>18.02</c:v>
                </c:pt>
                <c:pt idx="11">
                  <c:v>20.54</c:v>
                </c:pt>
                <c:pt idx="12">
                  <c:v>23.03</c:v>
                </c:pt>
                <c:pt idx="13">
                  <c:v>23.09</c:v>
                </c:pt>
                <c:pt idx="14">
                  <c:v>30.67</c:v>
                </c:pt>
                <c:pt idx="15">
                  <c:v>24.11</c:v>
                </c:pt>
                <c:pt idx="16">
                  <c:v>19.670000000000002</c:v>
                </c:pt>
                <c:pt idx="17">
                  <c:v>20.81</c:v>
                </c:pt>
                <c:pt idx="18">
                  <c:v>16.95</c:v>
                </c:pt>
                <c:pt idx="19">
                  <c:v>16.62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65-6148-9C4C-94BE58E0CAEF}"/>
            </c:ext>
          </c:extLst>
        </c:ser>
        <c:ser>
          <c:idx val="3"/>
          <c:order val="3"/>
          <c:tx>
            <c:strRef>
              <c:f>Trends!$E$1</c:f>
              <c:strCache>
                <c:ptCount val="1"/>
                <c:pt idx="0">
                  <c:v>Total Bill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Trends!$A$2:$A$21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Trends!$E$2:$E$21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65-6148-9C4C-94BE58E0C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116271"/>
        <c:axId val="1674117983"/>
      </c:lineChart>
      <c:dateAx>
        <c:axId val="1674116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</a:t>
                </a:r>
                <a:r>
                  <a:rPr lang="en-US" baseline="0"/>
                  <a:t> Period Start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117983"/>
        <c:crosses val="autoZero"/>
        <c:auto val="1"/>
        <c:lblOffset val="100"/>
        <c:baseTimeUnit val="months"/>
      </c:dateAx>
      <c:valAx>
        <c:axId val="167411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(USD)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11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Bill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Trends!$E$1</c:f>
              <c:strCache>
                <c:ptCount val="1"/>
                <c:pt idx="0">
                  <c:v>Total Bill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Trends!$A$2:$A$21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Trends!$E$2:$E$21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70-8048-97A4-BEF3F5A00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116271"/>
        <c:axId val="1674117983"/>
      </c:lineChart>
      <c:dateAx>
        <c:axId val="1674116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</a:t>
                </a:r>
                <a:r>
                  <a:rPr lang="en-US" baseline="0"/>
                  <a:t> Period Start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117983"/>
        <c:crosses val="autoZero"/>
        <c:auto val="1"/>
        <c:lblOffset val="100"/>
        <c:baseTimeUnit val="months"/>
      </c:dateAx>
      <c:valAx>
        <c:axId val="167411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(USD)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11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Utility Bill</a:t>
            </a:r>
            <a:r>
              <a:rPr lang="en-US" baseline="0"/>
              <a:t> TRENDS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Trends!$B$1</c:f>
              <c:strCache>
                <c:ptCount val="1"/>
                <c:pt idx="0">
                  <c:v>Trash Charges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Trends!$A$2:$A$21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Trends!$B$2:$B$21</c:f>
              <c:numCache>
                <c:formatCode>"$"#,##0.00</c:formatCode>
                <c:ptCount val="20"/>
                <c:pt idx="0">
                  <c:v>16.71</c:v>
                </c:pt>
                <c:pt idx="1">
                  <c:v>16.940000000000001</c:v>
                </c:pt>
                <c:pt idx="2">
                  <c:v>17.04</c:v>
                </c:pt>
                <c:pt idx="3">
                  <c:v>17.760000000000002</c:v>
                </c:pt>
                <c:pt idx="4">
                  <c:v>17.87</c:v>
                </c:pt>
                <c:pt idx="5">
                  <c:v>17.62</c:v>
                </c:pt>
                <c:pt idx="6">
                  <c:v>17.39</c:v>
                </c:pt>
                <c:pt idx="7">
                  <c:v>17.600000000000001</c:v>
                </c:pt>
                <c:pt idx="8">
                  <c:v>17.55</c:v>
                </c:pt>
                <c:pt idx="9">
                  <c:v>17.8</c:v>
                </c:pt>
                <c:pt idx="10">
                  <c:v>17.84</c:v>
                </c:pt>
                <c:pt idx="11">
                  <c:v>18.100000000000001</c:v>
                </c:pt>
                <c:pt idx="12">
                  <c:v>18.22</c:v>
                </c:pt>
                <c:pt idx="13">
                  <c:v>20.11</c:v>
                </c:pt>
                <c:pt idx="14">
                  <c:v>20.190000000000001</c:v>
                </c:pt>
                <c:pt idx="15">
                  <c:v>20.45</c:v>
                </c:pt>
                <c:pt idx="16">
                  <c:v>20.12</c:v>
                </c:pt>
                <c:pt idx="17">
                  <c:v>21.66</c:v>
                </c:pt>
                <c:pt idx="18">
                  <c:v>20.27</c:v>
                </c:pt>
                <c:pt idx="19">
                  <c:v>21.93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10-024E-84C5-53699A698ACA}"/>
            </c:ext>
          </c:extLst>
        </c:ser>
        <c:ser>
          <c:idx val="1"/>
          <c:order val="1"/>
          <c:tx>
            <c:strRef>
              <c:f>Trends!$C$1</c:f>
              <c:strCache>
                <c:ptCount val="1"/>
                <c:pt idx="0">
                  <c:v>Water Charges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Trends!$A$2:$A$21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Trends!$C$2:$C$21</c:f>
              <c:numCache>
                <c:formatCode>"$"#,##0.00</c:formatCode>
                <c:ptCount val="20"/>
                <c:pt idx="0">
                  <c:v>21.95</c:v>
                </c:pt>
                <c:pt idx="1">
                  <c:v>24.34</c:v>
                </c:pt>
                <c:pt idx="2">
                  <c:v>27.76</c:v>
                </c:pt>
                <c:pt idx="3">
                  <c:v>25.94</c:v>
                </c:pt>
                <c:pt idx="4">
                  <c:v>25.17</c:v>
                </c:pt>
                <c:pt idx="5">
                  <c:v>28.9</c:v>
                </c:pt>
                <c:pt idx="6">
                  <c:v>27.32</c:v>
                </c:pt>
                <c:pt idx="7">
                  <c:v>27.28</c:v>
                </c:pt>
                <c:pt idx="8">
                  <c:v>28.68</c:v>
                </c:pt>
                <c:pt idx="9">
                  <c:v>25.92</c:v>
                </c:pt>
                <c:pt idx="10">
                  <c:v>29.19</c:v>
                </c:pt>
                <c:pt idx="11">
                  <c:v>33.450000000000003</c:v>
                </c:pt>
                <c:pt idx="12">
                  <c:v>38.770000000000003</c:v>
                </c:pt>
                <c:pt idx="13">
                  <c:v>40.42</c:v>
                </c:pt>
                <c:pt idx="14">
                  <c:v>54.16</c:v>
                </c:pt>
                <c:pt idx="15">
                  <c:v>43.63</c:v>
                </c:pt>
                <c:pt idx="16">
                  <c:v>36.729999999999997</c:v>
                </c:pt>
                <c:pt idx="17">
                  <c:v>38.75</c:v>
                </c:pt>
                <c:pt idx="18">
                  <c:v>30.28</c:v>
                </c:pt>
                <c:pt idx="19">
                  <c:v>29.06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10-024E-84C5-53699A698ACA}"/>
            </c:ext>
          </c:extLst>
        </c:ser>
        <c:ser>
          <c:idx val="2"/>
          <c:order val="2"/>
          <c:tx>
            <c:strRef>
              <c:f>Trends!$D$1</c:f>
              <c:strCache>
                <c:ptCount val="1"/>
                <c:pt idx="0">
                  <c:v>Sewer Charges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Trends!$A$2:$A$21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Trends!$D$2:$D$21</c:f>
              <c:numCache>
                <c:formatCode>"$"#,##0.00</c:formatCode>
                <c:ptCount val="20"/>
                <c:pt idx="0">
                  <c:v>14.55</c:v>
                </c:pt>
                <c:pt idx="1">
                  <c:v>15.71</c:v>
                </c:pt>
                <c:pt idx="2">
                  <c:v>18.03</c:v>
                </c:pt>
                <c:pt idx="3">
                  <c:v>16.41</c:v>
                </c:pt>
                <c:pt idx="4">
                  <c:v>15.51</c:v>
                </c:pt>
                <c:pt idx="5">
                  <c:v>17.88</c:v>
                </c:pt>
                <c:pt idx="6">
                  <c:v>16.8</c:v>
                </c:pt>
                <c:pt idx="7">
                  <c:v>16.62</c:v>
                </c:pt>
                <c:pt idx="8">
                  <c:v>17.88</c:v>
                </c:pt>
                <c:pt idx="9">
                  <c:v>16.38</c:v>
                </c:pt>
                <c:pt idx="10">
                  <c:v>18.02</c:v>
                </c:pt>
                <c:pt idx="11">
                  <c:v>20.54</c:v>
                </c:pt>
                <c:pt idx="12">
                  <c:v>23.03</c:v>
                </c:pt>
                <c:pt idx="13">
                  <c:v>23.09</c:v>
                </c:pt>
                <c:pt idx="14">
                  <c:v>30.67</c:v>
                </c:pt>
                <c:pt idx="15">
                  <c:v>24.11</c:v>
                </c:pt>
                <c:pt idx="16">
                  <c:v>19.670000000000002</c:v>
                </c:pt>
                <c:pt idx="17">
                  <c:v>20.81</c:v>
                </c:pt>
                <c:pt idx="18">
                  <c:v>16.95</c:v>
                </c:pt>
                <c:pt idx="19">
                  <c:v>16.62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10-024E-84C5-53699A698ACA}"/>
            </c:ext>
          </c:extLst>
        </c:ser>
        <c:ser>
          <c:idx val="3"/>
          <c:order val="3"/>
          <c:tx>
            <c:strRef>
              <c:f>Trends!$E$1</c:f>
              <c:strCache>
                <c:ptCount val="1"/>
                <c:pt idx="0">
                  <c:v>Total Bill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Trends!$A$2:$A$21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Trends!$E$2:$E$21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10-024E-84C5-53699A698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116271"/>
        <c:axId val="1674117983"/>
      </c:lineChart>
      <c:dateAx>
        <c:axId val="1674116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</a:t>
                </a:r>
                <a:r>
                  <a:rPr lang="en-US" baseline="0"/>
                  <a:t> Period Start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117983"/>
        <c:crosses val="autoZero"/>
        <c:auto val="1"/>
        <c:lblOffset val="100"/>
        <c:baseTimeUnit val="months"/>
      </c:dateAx>
      <c:valAx>
        <c:axId val="167411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(USD)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11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</a:t>
            </a:r>
            <a:r>
              <a:rPr lang="en-US" baseline="0"/>
              <a:t> of Period and </a:t>
            </a:r>
            <a:r>
              <a:rPr lang="en-US"/>
              <a:t>Total Bill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RateDaysCorrelations!$C$23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RateDaysCorrelations!$B$24:$B$43</c:f>
              <c:numCache>
                <c:formatCode>0</c:formatCode>
                <c:ptCount val="1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30</c:v>
                </c:pt>
                <c:pt idx="6">
                  <c:v>31</c:v>
                </c:pt>
                <c:pt idx="7">
                  <c:v>30</c:v>
                </c:pt>
                <c:pt idx="8">
                  <c:v>31</c:v>
                </c:pt>
                <c:pt idx="9">
                  <c:v>31</c:v>
                </c:pt>
                <c:pt idx="10">
                  <c:v>30</c:v>
                </c:pt>
                <c:pt idx="11">
                  <c:v>31</c:v>
                </c:pt>
                <c:pt idx="12">
                  <c:v>30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30</c:v>
                </c:pt>
                <c:pt idx="17">
                  <c:v>31</c:v>
                </c:pt>
              </c:numCache>
            </c:numRef>
          </c:xVal>
          <c:yVal>
            <c:numRef>
              <c:f>RateDaysCorrelations!$C$24:$C$43</c:f>
            </c:numRef>
          </c:yVal>
          <c:smooth val="0"/>
          <c:extLst>
            <c:ext xmlns:c16="http://schemas.microsoft.com/office/drawing/2014/chart" uri="{C3380CC4-5D6E-409C-BE32-E72D297353CC}">
              <c16:uniqueId val="{00000000-7558-9A4C-A4BA-051FDE26911B}"/>
            </c:ext>
          </c:extLst>
        </c:ser>
        <c:ser>
          <c:idx val="1"/>
          <c:order val="1"/>
          <c:tx>
            <c:strRef>
              <c:f>RateDaysCorrelations!$D$23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RateDaysCorrelations!$B$24:$B$43</c:f>
              <c:numCache>
                <c:formatCode>0</c:formatCode>
                <c:ptCount val="1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30</c:v>
                </c:pt>
                <c:pt idx="6">
                  <c:v>31</c:v>
                </c:pt>
                <c:pt idx="7">
                  <c:v>30</c:v>
                </c:pt>
                <c:pt idx="8">
                  <c:v>31</c:v>
                </c:pt>
                <c:pt idx="9">
                  <c:v>31</c:v>
                </c:pt>
                <c:pt idx="10">
                  <c:v>30</c:v>
                </c:pt>
                <c:pt idx="11">
                  <c:v>31</c:v>
                </c:pt>
                <c:pt idx="12">
                  <c:v>30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30</c:v>
                </c:pt>
                <c:pt idx="17">
                  <c:v>31</c:v>
                </c:pt>
              </c:numCache>
            </c:numRef>
          </c:xVal>
          <c:yVal>
            <c:numRef>
              <c:f>RateDaysCorrelations!$D$24:$D$43</c:f>
            </c:numRef>
          </c:yVal>
          <c:smooth val="0"/>
          <c:extLst>
            <c:ext xmlns:c16="http://schemas.microsoft.com/office/drawing/2014/chart" uri="{C3380CC4-5D6E-409C-BE32-E72D297353CC}">
              <c16:uniqueId val="{00000001-7558-9A4C-A4BA-051FDE26911B}"/>
            </c:ext>
          </c:extLst>
        </c:ser>
        <c:ser>
          <c:idx val="2"/>
          <c:order val="2"/>
          <c:tx>
            <c:strRef>
              <c:f>RateDaysCorrelations!$E$23</c:f>
              <c:strCache>
                <c:ptCount val="1"/>
                <c:pt idx="0">
                  <c:v>Column3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RateDaysCorrelations!$B$24:$B$43</c:f>
              <c:numCache>
                <c:formatCode>0</c:formatCode>
                <c:ptCount val="1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30</c:v>
                </c:pt>
                <c:pt idx="6">
                  <c:v>31</c:v>
                </c:pt>
                <c:pt idx="7">
                  <c:v>30</c:v>
                </c:pt>
                <c:pt idx="8">
                  <c:v>31</c:v>
                </c:pt>
                <c:pt idx="9">
                  <c:v>31</c:v>
                </c:pt>
                <c:pt idx="10">
                  <c:v>30</c:v>
                </c:pt>
                <c:pt idx="11">
                  <c:v>31</c:v>
                </c:pt>
                <c:pt idx="12">
                  <c:v>30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30</c:v>
                </c:pt>
                <c:pt idx="17">
                  <c:v>31</c:v>
                </c:pt>
              </c:numCache>
            </c:numRef>
          </c:xVal>
          <c:yVal>
            <c:numRef>
              <c:f>RateDaysCorrelations!$E$24:$E$43</c:f>
            </c:numRef>
          </c:yVal>
          <c:smooth val="0"/>
          <c:extLst>
            <c:ext xmlns:c16="http://schemas.microsoft.com/office/drawing/2014/chart" uri="{C3380CC4-5D6E-409C-BE32-E72D297353CC}">
              <c16:uniqueId val="{00000002-7558-9A4C-A4BA-051FDE26911B}"/>
            </c:ext>
          </c:extLst>
        </c:ser>
        <c:ser>
          <c:idx val="3"/>
          <c:order val="3"/>
          <c:tx>
            <c:strRef>
              <c:f>RateDaysCorrelations!$F$23</c:f>
              <c:strCache>
                <c:ptCount val="1"/>
                <c:pt idx="0">
                  <c:v>Total Bill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RateDaysCorrelations!$B$24:$B$43</c:f>
              <c:numCache>
                <c:formatCode>0</c:formatCode>
                <c:ptCount val="1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30</c:v>
                </c:pt>
                <c:pt idx="6">
                  <c:v>31</c:v>
                </c:pt>
                <c:pt idx="7">
                  <c:v>30</c:v>
                </c:pt>
                <c:pt idx="8">
                  <c:v>31</c:v>
                </c:pt>
                <c:pt idx="9">
                  <c:v>31</c:v>
                </c:pt>
                <c:pt idx="10">
                  <c:v>30</c:v>
                </c:pt>
                <c:pt idx="11">
                  <c:v>31</c:v>
                </c:pt>
                <c:pt idx="12">
                  <c:v>30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30</c:v>
                </c:pt>
                <c:pt idx="17">
                  <c:v>31</c:v>
                </c:pt>
              </c:numCache>
            </c:numRef>
          </c:xVal>
          <c:yVal>
            <c:numRef>
              <c:f>RateDaysCorrelations!$F$24:$F$43</c:f>
              <c:numCache>
                <c:formatCode>"$"#,##0.00</c:formatCode>
                <c:ptCount val="18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64.399999999999991</c:v>
                </c:pt>
                <c:pt idx="5">
                  <c:v>61.510000000000005</c:v>
                </c:pt>
                <c:pt idx="6">
                  <c:v>61.5</c:v>
                </c:pt>
                <c:pt idx="7">
                  <c:v>64.11</c:v>
                </c:pt>
                <c:pt idx="8">
                  <c:v>60.099999999999994</c:v>
                </c:pt>
                <c:pt idx="9">
                  <c:v>65.05</c:v>
                </c:pt>
                <c:pt idx="10">
                  <c:v>72.09</c:v>
                </c:pt>
                <c:pt idx="11">
                  <c:v>80.02000000000001</c:v>
                </c:pt>
                <c:pt idx="12">
                  <c:v>83.62</c:v>
                </c:pt>
                <c:pt idx="13">
                  <c:v>105.02</c:v>
                </c:pt>
                <c:pt idx="14">
                  <c:v>88.19</c:v>
                </c:pt>
                <c:pt idx="15">
                  <c:v>81.22</c:v>
                </c:pt>
                <c:pt idx="16">
                  <c:v>67.5</c:v>
                </c:pt>
                <c:pt idx="17">
                  <c:v>67.61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58-9A4C-A4BA-051FDE269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353471"/>
        <c:axId val="1881174655"/>
      </c:scatterChart>
      <c:valAx>
        <c:axId val="1674353471"/>
        <c:scaling>
          <c:orientation val="minMax"/>
          <c:max val="32"/>
          <c:min val="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74655"/>
        <c:crosses val="autoZero"/>
        <c:crossBetween val="midCat"/>
        <c:majorUnit val="1"/>
        <c:minorUnit val="1"/>
      </c:valAx>
      <c:valAx>
        <c:axId val="188117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Bill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35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Rate and Total Bill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RateDaysCorrelations!$L$22</c:f>
              <c:strCache>
                <c:ptCount val="1"/>
                <c:pt idx="0">
                  <c:v>Total Bill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RateDaysCorrelations!$K$23:$K$42</c:f>
              <c:numCache>
                <c:formatCode>0.0000000</c:formatCode>
                <c:ptCount val="18"/>
                <c:pt idx="0">
                  <c:v>0.53903230000000002</c:v>
                </c:pt>
                <c:pt idx="1">
                  <c:v>0.56466669999999997</c:v>
                </c:pt>
                <c:pt idx="2">
                  <c:v>0.54967739999999998</c:v>
                </c:pt>
                <c:pt idx="3">
                  <c:v>0.57290319999999995</c:v>
                </c:pt>
                <c:pt idx="4">
                  <c:v>0.63821430000000001</c:v>
                </c:pt>
                <c:pt idx="5">
                  <c:v>0.57966669999999998</c:v>
                </c:pt>
                <c:pt idx="6">
                  <c:v>0.56774190000000002</c:v>
                </c:pt>
                <c:pt idx="7">
                  <c:v>0.58499999999999996</c:v>
                </c:pt>
                <c:pt idx="8">
                  <c:v>0.57419350000000002</c:v>
                </c:pt>
                <c:pt idx="9">
                  <c:v>0.57548390000000005</c:v>
                </c:pt>
                <c:pt idx="10">
                  <c:v>0.60333329999999996</c:v>
                </c:pt>
                <c:pt idx="11">
                  <c:v>0.58774190000000004</c:v>
                </c:pt>
                <c:pt idx="12">
                  <c:v>0.67033330000000002</c:v>
                </c:pt>
                <c:pt idx="13">
                  <c:v>0.65129029999999999</c:v>
                </c:pt>
                <c:pt idx="14">
                  <c:v>0.65967739999999997</c:v>
                </c:pt>
                <c:pt idx="15">
                  <c:v>0.69379310000000005</c:v>
                </c:pt>
                <c:pt idx="16">
                  <c:v>0.67566669999999995</c:v>
                </c:pt>
                <c:pt idx="17">
                  <c:v>0.70741940000000003</c:v>
                </c:pt>
              </c:numCache>
            </c:numRef>
          </c:xVal>
          <c:yVal>
            <c:numRef>
              <c:f>RateDaysCorrelations!$L$23:$L$42</c:f>
              <c:numCache>
                <c:formatCode>"$"#,##0.00</c:formatCode>
                <c:ptCount val="18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61.510000000000005</c:v>
                </c:pt>
                <c:pt idx="6">
                  <c:v>61.5</c:v>
                </c:pt>
                <c:pt idx="7">
                  <c:v>64.11</c:v>
                </c:pt>
                <c:pt idx="8">
                  <c:v>60.099999999999994</c:v>
                </c:pt>
                <c:pt idx="9">
                  <c:v>65.05</c:v>
                </c:pt>
                <c:pt idx="10">
                  <c:v>72.09</c:v>
                </c:pt>
                <c:pt idx="11">
                  <c:v>80.02000000000001</c:v>
                </c:pt>
                <c:pt idx="12">
                  <c:v>83.62</c:v>
                </c:pt>
                <c:pt idx="13">
                  <c:v>105.02</c:v>
                </c:pt>
                <c:pt idx="14">
                  <c:v>88.19</c:v>
                </c:pt>
                <c:pt idx="15">
                  <c:v>76.52</c:v>
                </c:pt>
                <c:pt idx="16">
                  <c:v>67.5</c:v>
                </c:pt>
                <c:pt idx="17">
                  <c:v>67.61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0-AB48-A4A4-5C515698A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267663"/>
        <c:axId val="1109273327"/>
      </c:scatterChart>
      <c:valAx>
        <c:axId val="1109267663"/>
        <c:scaling>
          <c:orientation val="minMax"/>
          <c:max val="0.75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73327"/>
        <c:crosses val="autoZero"/>
        <c:crossBetween val="midCat"/>
        <c:majorUnit val="0.05"/>
        <c:minorUnit val="0.01"/>
      </c:valAx>
      <c:valAx>
        <c:axId val="11092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Bill Cost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6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Trash and Total Bill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UtilityCorrelations!$B$25</c:f>
              <c:strCache>
                <c:ptCount val="1"/>
                <c:pt idx="0">
                  <c:v>Trash Charges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UtilityCorrelations!$A$26:$A$45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xVal>
          <c:yVal>
            <c:numRef>
              <c:f>UtilityCorrelations!$B$26:$B$45</c:f>
              <c:numCache>
                <c:formatCode>"$"#,##0.00</c:formatCode>
                <c:ptCount val="20"/>
                <c:pt idx="0">
                  <c:v>16.71</c:v>
                </c:pt>
                <c:pt idx="1">
                  <c:v>16.940000000000001</c:v>
                </c:pt>
                <c:pt idx="2">
                  <c:v>17.04</c:v>
                </c:pt>
                <c:pt idx="3">
                  <c:v>17.760000000000002</c:v>
                </c:pt>
                <c:pt idx="4">
                  <c:v>17.87</c:v>
                </c:pt>
                <c:pt idx="5">
                  <c:v>17.62</c:v>
                </c:pt>
                <c:pt idx="6">
                  <c:v>17.39</c:v>
                </c:pt>
                <c:pt idx="7">
                  <c:v>17.600000000000001</c:v>
                </c:pt>
                <c:pt idx="8">
                  <c:v>17.55</c:v>
                </c:pt>
                <c:pt idx="9">
                  <c:v>17.8</c:v>
                </c:pt>
                <c:pt idx="10">
                  <c:v>17.84</c:v>
                </c:pt>
                <c:pt idx="11">
                  <c:v>18.100000000000001</c:v>
                </c:pt>
                <c:pt idx="12">
                  <c:v>18.22</c:v>
                </c:pt>
                <c:pt idx="13">
                  <c:v>20.11</c:v>
                </c:pt>
                <c:pt idx="14">
                  <c:v>20.190000000000001</c:v>
                </c:pt>
                <c:pt idx="15">
                  <c:v>20.45</c:v>
                </c:pt>
                <c:pt idx="16">
                  <c:v>20.12</c:v>
                </c:pt>
                <c:pt idx="17">
                  <c:v>21.66</c:v>
                </c:pt>
                <c:pt idx="18">
                  <c:v>20.27</c:v>
                </c:pt>
                <c:pt idx="19">
                  <c:v>21.93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97-6044-9F50-FF08F7085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53423"/>
        <c:axId val="75650655"/>
      </c:scatterChart>
      <c:valAx>
        <c:axId val="7575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50655"/>
        <c:crosses val="autoZero"/>
        <c:crossBetween val="midCat"/>
      </c:valAx>
      <c:valAx>
        <c:axId val="7565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5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 and Total Bill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UtilityCorrelations!$F$26:$F$45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xVal>
          <c:yVal>
            <c:numRef>
              <c:f>UtilityCorrelations!$G$26:$G$45</c:f>
              <c:numCache>
                <c:formatCode>"$"#,##0.00</c:formatCode>
                <c:ptCount val="20"/>
                <c:pt idx="0">
                  <c:v>21.95</c:v>
                </c:pt>
                <c:pt idx="1">
                  <c:v>24.34</c:v>
                </c:pt>
                <c:pt idx="2">
                  <c:v>27.76</c:v>
                </c:pt>
                <c:pt idx="3">
                  <c:v>25.94</c:v>
                </c:pt>
                <c:pt idx="4">
                  <c:v>25.17</c:v>
                </c:pt>
                <c:pt idx="5">
                  <c:v>28.9</c:v>
                </c:pt>
                <c:pt idx="6">
                  <c:v>27.32</c:v>
                </c:pt>
                <c:pt idx="7">
                  <c:v>27.28</c:v>
                </c:pt>
                <c:pt idx="8">
                  <c:v>28.68</c:v>
                </c:pt>
                <c:pt idx="9">
                  <c:v>25.92</c:v>
                </c:pt>
                <c:pt idx="10">
                  <c:v>29.19</c:v>
                </c:pt>
                <c:pt idx="11">
                  <c:v>33.450000000000003</c:v>
                </c:pt>
                <c:pt idx="12">
                  <c:v>38.770000000000003</c:v>
                </c:pt>
                <c:pt idx="13">
                  <c:v>40.42</c:v>
                </c:pt>
                <c:pt idx="14">
                  <c:v>54.16</c:v>
                </c:pt>
                <c:pt idx="15">
                  <c:v>43.63</c:v>
                </c:pt>
                <c:pt idx="16">
                  <c:v>36.729999999999997</c:v>
                </c:pt>
                <c:pt idx="17">
                  <c:v>38.75</c:v>
                </c:pt>
                <c:pt idx="18">
                  <c:v>30.28</c:v>
                </c:pt>
                <c:pt idx="19">
                  <c:v>29.06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D-E348-B1B8-A144F38E9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28799"/>
        <c:axId val="100305743"/>
      </c:scatterChart>
      <c:valAx>
        <c:axId val="10012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5743"/>
        <c:crosses val="autoZero"/>
        <c:crossBetween val="midCat"/>
      </c:valAx>
      <c:valAx>
        <c:axId val="10030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2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Sewer and Total</a:t>
            </a:r>
            <a:r>
              <a:rPr lang="en-US" baseline="0"/>
              <a:t> Bill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UtilityCorrelations!$L$25</c:f>
              <c:strCache>
                <c:ptCount val="1"/>
                <c:pt idx="0">
                  <c:v>Sewer Charges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UtilityCorrelations!$K$26:$K$45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xVal>
          <c:yVal>
            <c:numRef>
              <c:f>UtilityCorrelations!$L$26:$L$45</c:f>
              <c:numCache>
                <c:formatCode>"$"#,##0.00</c:formatCode>
                <c:ptCount val="20"/>
                <c:pt idx="0">
                  <c:v>14.55</c:v>
                </c:pt>
                <c:pt idx="1">
                  <c:v>15.71</c:v>
                </c:pt>
                <c:pt idx="2">
                  <c:v>18.03</c:v>
                </c:pt>
                <c:pt idx="3">
                  <c:v>16.41</c:v>
                </c:pt>
                <c:pt idx="4">
                  <c:v>15.51</c:v>
                </c:pt>
                <c:pt idx="5">
                  <c:v>17.88</c:v>
                </c:pt>
                <c:pt idx="6">
                  <c:v>16.8</c:v>
                </c:pt>
                <c:pt idx="7">
                  <c:v>16.62</c:v>
                </c:pt>
                <c:pt idx="8">
                  <c:v>17.88</c:v>
                </c:pt>
                <c:pt idx="9">
                  <c:v>16.38</c:v>
                </c:pt>
                <c:pt idx="10">
                  <c:v>18.02</c:v>
                </c:pt>
                <c:pt idx="11">
                  <c:v>20.54</c:v>
                </c:pt>
                <c:pt idx="12">
                  <c:v>23.03</c:v>
                </c:pt>
                <c:pt idx="13">
                  <c:v>23.09</c:v>
                </c:pt>
                <c:pt idx="14">
                  <c:v>30.67</c:v>
                </c:pt>
                <c:pt idx="15">
                  <c:v>24.11</c:v>
                </c:pt>
                <c:pt idx="16">
                  <c:v>19.670000000000002</c:v>
                </c:pt>
                <c:pt idx="17">
                  <c:v>20.81</c:v>
                </c:pt>
                <c:pt idx="18">
                  <c:v>16.95</c:v>
                </c:pt>
                <c:pt idx="19">
                  <c:v>16.62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7-8842-AE08-73BCFC623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32335"/>
        <c:axId val="83076879"/>
      </c:scatterChart>
      <c:valAx>
        <c:axId val="11663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76879"/>
        <c:crosses val="autoZero"/>
        <c:crossBetween val="midCat"/>
      </c:valAx>
      <c:valAx>
        <c:axId val="8307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3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CPDandRate!$C$1</c:f>
              <c:strCache>
                <c:ptCount val="1"/>
                <c:pt idx="0">
                  <c:v>Trash Charges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CPDandRate!$C$2:$C$21</c:f>
            </c:numRef>
          </c:val>
          <c:smooth val="0"/>
          <c:extLst>
            <c:ext xmlns:c16="http://schemas.microsoft.com/office/drawing/2014/chart" uri="{C3380CC4-5D6E-409C-BE32-E72D297353CC}">
              <c16:uniqueId val="{00000001-B464-9147-BBB2-C891F26CFF73}"/>
            </c:ext>
          </c:extLst>
        </c:ser>
        <c:ser>
          <c:idx val="2"/>
          <c:order val="1"/>
          <c:tx>
            <c:strRef>
              <c:f>CPDandRate!$D$1</c:f>
              <c:strCache>
                <c:ptCount val="1"/>
                <c:pt idx="0">
                  <c:v>Water Charges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CPDandRate!$D$2:$D$21</c:f>
            </c:numRef>
          </c:val>
          <c:smooth val="0"/>
          <c:extLst>
            <c:ext xmlns:c16="http://schemas.microsoft.com/office/drawing/2014/chart" uri="{C3380CC4-5D6E-409C-BE32-E72D297353CC}">
              <c16:uniqueId val="{00000002-B464-9147-BBB2-C891F26CFF73}"/>
            </c:ext>
          </c:extLst>
        </c:ser>
        <c:ser>
          <c:idx val="3"/>
          <c:order val="2"/>
          <c:tx>
            <c:strRef>
              <c:f>CPDandRate!$E$1</c:f>
              <c:strCache>
                <c:ptCount val="1"/>
                <c:pt idx="0">
                  <c:v>Sewer Charges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CPDandRate!$E$2:$E$21</c:f>
            </c:numRef>
          </c:val>
          <c:smooth val="0"/>
          <c:extLst>
            <c:ext xmlns:c16="http://schemas.microsoft.com/office/drawing/2014/chart" uri="{C3380CC4-5D6E-409C-BE32-E72D297353CC}">
              <c16:uniqueId val="{00000003-B464-9147-BBB2-C891F26CFF73}"/>
            </c:ext>
          </c:extLst>
        </c:ser>
        <c:ser>
          <c:idx val="6"/>
          <c:order val="3"/>
          <c:tx>
            <c:strRef>
              <c:f>CPDandRate!$H$1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CPDandRate!$H$2:$H$21</c:f>
              <c:numCache>
                <c:formatCode>0.0000000</c:formatCode>
                <c:ptCount val="20"/>
                <c:pt idx="0">
                  <c:v>0.53903230000000002</c:v>
                </c:pt>
                <c:pt idx="1">
                  <c:v>0.56466669999999997</c:v>
                </c:pt>
                <c:pt idx="2">
                  <c:v>0.54967739999999998</c:v>
                </c:pt>
                <c:pt idx="3">
                  <c:v>0.57290319999999995</c:v>
                </c:pt>
                <c:pt idx="4">
                  <c:v>0.63821430000000001</c:v>
                </c:pt>
                <c:pt idx="5">
                  <c:v>0.56838710000000003</c:v>
                </c:pt>
                <c:pt idx="6">
                  <c:v>0.57966669999999998</c:v>
                </c:pt>
                <c:pt idx="7">
                  <c:v>0.56774190000000002</c:v>
                </c:pt>
                <c:pt idx="8">
                  <c:v>0.58499999999999996</c:v>
                </c:pt>
                <c:pt idx="9">
                  <c:v>0.57419350000000002</c:v>
                </c:pt>
                <c:pt idx="10">
                  <c:v>0.57548390000000005</c:v>
                </c:pt>
                <c:pt idx="11">
                  <c:v>0.60333329999999996</c:v>
                </c:pt>
                <c:pt idx="12">
                  <c:v>0.58774190000000004</c:v>
                </c:pt>
                <c:pt idx="13">
                  <c:v>0.67033330000000002</c:v>
                </c:pt>
                <c:pt idx="14">
                  <c:v>0.65129029999999999</c:v>
                </c:pt>
                <c:pt idx="15">
                  <c:v>0.65967739999999997</c:v>
                </c:pt>
                <c:pt idx="16">
                  <c:v>0.69379310000000005</c:v>
                </c:pt>
                <c:pt idx="17">
                  <c:v>0.69870969999999999</c:v>
                </c:pt>
                <c:pt idx="18">
                  <c:v>0.67566669999999995</c:v>
                </c:pt>
                <c:pt idx="19">
                  <c:v>0.70741940000000003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64-9147-BBB2-C891F26CF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31680"/>
        <c:axId val="361933392"/>
      </c:lineChart>
      <c:dateAx>
        <c:axId val="36193168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3392"/>
        <c:crosses val="autoZero"/>
        <c:auto val="1"/>
        <c:lblOffset val="100"/>
        <c:baseTimeUnit val="months"/>
      </c:dateAx>
      <c:valAx>
        <c:axId val="3619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CPDandRate!$C$1</c:f>
              <c:strCache>
                <c:ptCount val="1"/>
                <c:pt idx="0">
                  <c:v>Trash Charges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CPDandRate!$C$2:$C$21</c:f>
            </c:numRef>
          </c:val>
          <c:smooth val="0"/>
          <c:extLst>
            <c:ext xmlns:c16="http://schemas.microsoft.com/office/drawing/2014/chart" uri="{C3380CC4-5D6E-409C-BE32-E72D297353CC}">
              <c16:uniqueId val="{00000004-28D0-F54B-B98A-481A4E40065B}"/>
            </c:ext>
          </c:extLst>
        </c:ser>
        <c:ser>
          <c:idx val="2"/>
          <c:order val="1"/>
          <c:tx>
            <c:strRef>
              <c:f>CPDandRate!$D$1</c:f>
              <c:strCache>
                <c:ptCount val="1"/>
                <c:pt idx="0">
                  <c:v>Water Charges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CPDandRate!$D$2:$D$21</c:f>
            </c:numRef>
          </c:val>
          <c:smooth val="0"/>
          <c:extLst>
            <c:ext xmlns:c16="http://schemas.microsoft.com/office/drawing/2014/chart" uri="{C3380CC4-5D6E-409C-BE32-E72D297353CC}">
              <c16:uniqueId val="{00000005-28D0-F54B-B98A-481A4E40065B}"/>
            </c:ext>
          </c:extLst>
        </c:ser>
        <c:ser>
          <c:idx val="3"/>
          <c:order val="2"/>
          <c:tx>
            <c:strRef>
              <c:f>CPDandRate!$E$1</c:f>
              <c:strCache>
                <c:ptCount val="1"/>
                <c:pt idx="0">
                  <c:v>Sewer Charges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CPDandRate!$E$2:$E$21</c:f>
            </c:numRef>
          </c:val>
          <c:smooth val="0"/>
          <c:extLst>
            <c:ext xmlns:c16="http://schemas.microsoft.com/office/drawing/2014/chart" uri="{C3380CC4-5D6E-409C-BE32-E72D297353CC}">
              <c16:uniqueId val="{00000006-28D0-F54B-B98A-481A4E40065B}"/>
            </c:ext>
          </c:extLst>
        </c:ser>
        <c:ser>
          <c:idx val="5"/>
          <c:order val="3"/>
          <c:tx>
            <c:strRef>
              <c:f>CPDandRate!$G$1</c:f>
              <c:strCache>
                <c:ptCount val="1"/>
                <c:pt idx="0">
                  <c:v>Cost Per Day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CPDandRate!$G$2:$G$21</c:f>
              <c:numCache>
                <c:formatCode>"$"#,##0.00</c:formatCode>
                <c:ptCount val="20"/>
                <c:pt idx="0">
                  <c:v>1.7164516129032257</c:v>
                </c:pt>
                <c:pt idx="1">
                  <c:v>1.8996666666666668</c:v>
                </c:pt>
                <c:pt idx="2">
                  <c:v>2.0267741935483872</c:v>
                </c:pt>
                <c:pt idx="3">
                  <c:v>1.9390322580645161</c:v>
                </c:pt>
                <c:pt idx="4">
                  <c:v>2.0910714285714289</c:v>
                </c:pt>
                <c:pt idx="5">
                  <c:v>2.0774193548387094</c:v>
                </c:pt>
                <c:pt idx="6">
                  <c:v>2.0503333333333336</c:v>
                </c:pt>
                <c:pt idx="7">
                  <c:v>1.9838709677419355</c:v>
                </c:pt>
                <c:pt idx="8">
                  <c:v>2.137</c:v>
                </c:pt>
                <c:pt idx="9">
                  <c:v>1.9387096774193546</c:v>
                </c:pt>
                <c:pt idx="10">
                  <c:v>2.0983870967741933</c:v>
                </c:pt>
                <c:pt idx="11">
                  <c:v>2.403</c:v>
                </c:pt>
                <c:pt idx="12">
                  <c:v>2.5812903225806454</c:v>
                </c:pt>
                <c:pt idx="13">
                  <c:v>2.7873333333333337</c:v>
                </c:pt>
                <c:pt idx="14">
                  <c:v>3.3877419354838709</c:v>
                </c:pt>
                <c:pt idx="15">
                  <c:v>2.8448387096774193</c:v>
                </c:pt>
                <c:pt idx="16">
                  <c:v>2.6386206896551725</c:v>
                </c:pt>
                <c:pt idx="17">
                  <c:v>2.62</c:v>
                </c:pt>
                <c:pt idx="18">
                  <c:v>2.25</c:v>
                </c:pt>
                <c:pt idx="19">
                  <c:v>2.180967741935484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D0-F54B-B98A-481A4E400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31680"/>
        <c:axId val="361933392"/>
      </c:lineChart>
      <c:dateAx>
        <c:axId val="36193168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3392"/>
        <c:crosses val="autoZero"/>
        <c:auto val="1"/>
        <c:lblOffset val="100"/>
        <c:baseTimeUnit val="months"/>
      </c:dateAx>
      <c:valAx>
        <c:axId val="3619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CPDandRate!$C$1</c:f>
              <c:strCache>
                <c:ptCount val="1"/>
                <c:pt idx="0">
                  <c:v>Trash Charges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CPDandRate!$C$2:$C$21</c:f>
            </c:numRef>
          </c:val>
          <c:smooth val="0"/>
          <c:extLst>
            <c:ext xmlns:c16="http://schemas.microsoft.com/office/drawing/2014/chart" uri="{C3380CC4-5D6E-409C-BE32-E72D297353CC}">
              <c16:uniqueId val="{00000001-5C41-DB4B-92B6-F36F9973347E}"/>
            </c:ext>
          </c:extLst>
        </c:ser>
        <c:ser>
          <c:idx val="3"/>
          <c:order val="1"/>
          <c:tx>
            <c:strRef>
              <c:f>CPDandRate!$D$1</c:f>
              <c:strCache>
                <c:ptCount val="1"/>
                <c:pt idx="0">
                  <c:v>Water Charges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CPDandRate!$D$2:$D$21</c:f>
            </c:numRef>
          </c:val>
          <c:smooth val="0"/>
          <c:extLst>
            <c:ext xmlns:c16="http://schemas.microsoft.com/office/drawing/2014/chart" uri="{C3380CC4-5D6E-409C-BE32-E72D297353CC}">
              <c16:uniqueId val="{00000002-5C41-DB4B-92B6-F36F9973347E}"/>
            </c:ext>
          </c:extLst>
        </c:ser>
        <c:ser>
          <c:idx val="5"/>
          <c:order val="2"/>
          <c:tx>
            <c:strRef>
              <c:f>CPDandRate!$E$1</c:f>
              <c:strCache>
                <c:ptCount val="1"/>
                <c:pt idx="0">
                  <c:v>Sewer Charges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CPDandRate!$E$2:$E$21</c:f>
            </c:numRef>
          </c:val>
          <c:smooth val="0"/>
          <c:extLst>
            <c:ext xmlns:c16="http://schemas.microsoft.com/office/drawing/2014/chart" uri="{C3380CC4-5D6E-409C-BE32-E72D297353CC}">
              <c16:uniqueId val="{00000003-5C41-DB4B-92B6-F36F9973347E}"/>
            </c:ext>
          </c:extLst>
        </c:ser>
        <c:ser>
          <c:idx val="1"/>
          <c:order val="3"/>
          <c:tx>
            <c:strRef>
              <c:f>CPDandRate!$F$1</c:f>
              <c:strCache>
                <c:ptCount val="1"/>
                <c:pt idx="0">
                  <c:v>Total Bill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CPDandRate!$A$2:$A$21</c:f>
              <c:numCache>
                <c:formatCode>m/d/yy</c:formatCode>
                <c:ptCount val="20"/>
                <c:pt idx="0">
                  <c:v>44848</c:v>
                </c:pt>
                <c:pt idx="1">
                  <c:v>44879</c:v>
                </c:pt>
                <c:pt idx="2">
                  <c:v>44909</c:v>
                </c:pt>
                <c:pt idx="3">
                  <c:v>44940</c:v>
                </c:pt>
                <c:pt idx="4">
                  <c:v>44971</c:v>
                </c:pt>
                <c:pt idx="5">
                  <c:v>44999</c:v>
                </c:pt>
                <c:pt idx="6">
                  <c:v>45030</c:v>
                </c:pt>
                <c:pt idx="7">
                  <c:v>45060</c:v>
                </c:pt>
                <c:pt idx="8">
                  <c:v>45091</c:v>
                </c:pt>
                <c:pt idx="9">
                  <c:v>45121</c:v>
                </c:pt>
                <c:pt idx="10">
                  <c:v>45152</c:v>
                </c:pt>
                <c:pt idx="11">
                  <c:v>45183</c:v>
                </c:pt>
                <c:pt idx="12">
                  <c:v>45213</c:v>
                </c:pt>
                <c:pt idx="13">
                  <c:v>45244</c:v>
                </c:pt>
                <c:pt idx="14">
                  <c:v>45274</c:v>
                </c:pt>
                <c:pt idx="15">
                  <c:v>45305</c:v>
                </c:pt>
                <c:pt idx="16">
                  <c:v>45336</c:v>
                </c:pt>
                <c:pt idx="17">
                  <c:v>45365</c:v>
                </c:pt>
                <c:pt idx="18">
                  <c:v>45396</c:v>
                </c:pt>
                <c:pt idx="19">
                  <c:v>45426</c:v>
                </c:pt>
              </c:numCache>
            </c:numRef>
          </c:cat>
          <c:val>
            <c:numRef>
              <c:f>CPDandRate!$F$2:$F$21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C41-DB4B-92B6-F36F99733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31680"/>
        <c:axId val="361933392"/>
      </c:lineChart>
      <c:dateAx>
        <c:axId val="36193168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3392"/>
        <c:crosses val="autoZero"/>
        <c:auto val="1"/>
        <c:lblOffset val="100"/>
        <c:baseTimeUnit val="months"/>
      </c:dateAx>
      <c:valAx>
        <c:axId val="3619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May 2024</a:t>
            </a:r>
            <a:r>
              <a:rPr lang="en-US" baseline="0"/>
              <a:t> </a:t>
            </a:r>
            <a:r>
              <a:rPr lang="en-US"/>
              <a:t>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Breakdown!$F$28</c:f>
              <c:strCache>
                <c:ptCount val="1"/>
                <c:pt idx="0">
                  <c:v>5/14/24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D66-DD47-81BD-DA72B77FEC17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D66-DD47-81BD-DA72B77FEC1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D66-DD47-81BD-DA72B77FEC17}"/>
              </c:ext>
            </c:extLst>
          </c:dPt>
          <c:dLbls>
            <c:dLbl>
              <c:idx val="0"/>
              <c:layout>
                <c:manualLayout>
                  <c:x val="-0.1580109225515054"/>
                  <c:y val="0.1476691947955822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545873522787149E-2"/>
                      <c:h val="0.1294920627577674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D66-DD47-81BD-DA72B77FEC17}"/>
                </c:ext>
              </c:extLst>
            </c:dLbl>
            <c:dLbl>
              <c:idx val="1"/>
              <c:layout>
                <c:manualLayout>
                  <c:x val="5.9408040675677211E-2"/>
                  <c:y val="-0.1989460596073225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545873522787149E-2"/>
                      <c:h val="0.1294920627577674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D66-DD47-81BD-DA72B77FEC17}"/>
                </c:ext>
              </c:extLst>
            </c:dLbl>
            <c:dLbl>
              <c:idx val="2"/>
              <c:layout>
                <c:manualLayout>
                  <c:x val="0.14890456401283167"/>
                  <c:y val="0.230891659375911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303459717336782"/>
                      <c:h val="0.183447088906837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D66-DD47-81BD-DA72B77FEC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Breakdown!$E$29:$E$31</c:f>
              <c:strCache>
                <c:ptCount val="3"/>
                <c:pt idx="0">
                  <c:v>Trash</c:v>
                </c:pt>
                <c:pt idx="1">
                  <c:v>Water</c:v>
                </c:pt>
                <c:pt idx="2">
                  <c:v>Sewer</c:v>
                </c:pt>
              </c:strCache>
            </c:strRef>
          </c:cat>
          <c:val>
            <c:numRef>
              <c:f>Breakdown!$F$29:$F$31</c:f>
              <c:numCache>
                <c:formatCode>"$"#,##0.00</c:formatCode>
                <c:ptCount val="3"/>
                <c:pt idx="0">
                  <c:v>21.93</c:v>
                </c:pt>
                <c:pt idx="1">
                  <c:v>29.06</c:v>
                </c:pt>
                <c:pt idx="2">
                  <c:v>16.62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66-DD47-81BD-DA72B77FEC1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Breakdown of ALL Total Bills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Breakdown!$C$28</c:f>
              <c:strCache>
                <c:ptCount val="1"/>
                <c:pt idx="0">
                  <c:v>Sum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CC6-9442-90D7-37315868E91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CC6-9442-90D7-37315868E91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CC6-9442-90D7-37315868E915}"/>
              </c:ext>
            </c:extLst>
          </c:dPt>
          <c:dLbls>
            <c:dLbl>
              <c:idx val="0"/>
              <c:layout>
                <c:manualLayout>
                  <c:x val="-0.13510241216419216"/>
                  <c:y val="0.18312387576246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125730939557561E-2"/>
                      <c:h val="0.131707285455328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CC6-9442-90D7-37315868E915}"/>
                </c:ext>
              </c:extLst>
            </c:dLbl>
            <c:dLbl>
              <c:idx val="1"/>
              <c:layout>
                <c:manualLayout>
                  <c:x val="-1.4412218508705076E-2"/>
                  <c:y val="-0.1945289527249489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125730939557561E-2"/>
                      <c:h val="0.131707285455328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CC6-9442-90D7-37315868E915}"/>
                </c:ext>
              </c:extLst>
            </c:dLbl>
            <c:dLbl>
              <c:idx val="2"/>
              <c:layout>
                <c:manualLayout>
                  <c:x val="0.15779162472693201"/>
                  <c:y val="0.1906387577686868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125730939557561E-2"/>
                      <c:h val="0.131707285455328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DCC6-9442-90D7-37315868E9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Breakdown!$B$29:$B$31</c:f>
              <c:strCache>
                <c:ptCount val="3"/>
                <c:pt idx="0">
                  <c:v>Trash</c:v>
                </c:pt>
                <c:pt idx="1">
                  <c:v>Water</c:v>
                </c:pt>
                <c:pt idx="2">
                  <c:v>Sewer</c:v>
                </c:pt>
              </c:strCache>
            </c:strRef>
          </c:cat>
          <c:val>
            <c:numRef>
              <c:f>Breakdown!$C$29:$C$31</c:f>
              <c:numCache>
                <c:formatCode>"$"#,##0.00</c:formatCode>
                <c:ptCount val="3"/>
                <c:pt idx="0">
                  <c:v>373.17</c:v>
                </c:pt>
                <c:pt idx="1">
                  <c:v>637.69999999999993</c:v>
                </c:pt>
                <c:pt idx="2">
                  <c:v>379.28000000000003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C6-9442-90D7-37315868E91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Relationship Between Utility Charges and Bill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Breakdown!$C$1</c:f>
              <c:strCache>
                <c:ptCount val="1"/>
                <c:pt idx="0">
                  <c:v>Trash Charges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Breakdown!$B$2:$B$21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xVal>
          <c:yVal>
            <c:numRef>
              <c:f>Breakdown!$C$2:$C$21</c:f>
              <c:numCache>
                <c:formatCode>"$"#,##0.00</c:formatCode>
                <c:ptCount val="20"/>
                <c:pt idx="0">
                  <c:v>16.71</c:v>
                </c:pt>
                <c:pt idx="1">
                  <c:v>16.940000000000001</c:v>
                </c:pt>
                <c:pt idx="2">
                  <c:v>17.04</c:v>
                </c:pt>
                <c:pt idx="3">
                  <c:v>17.760000000000002</c:v>
                </c:pt>
                <c:pt idx="4">
                  <c:v>17.87</c:v>
                </c:pt>
                <c:pt idx="5">
                  <c:v>17.62</c:v>
                </c:pt>
                <c:pt idx="6">
                  <c:v>17.39</c:v>
                </c:pt>
                <c:pt idx="7">
                  <c:v>17.600000000000001</c:v>
                </c:pt>
                <c:pt idx="8">
                  <c:v>17.55</c:v>
                </c:pt>
                <c:pt idx="9">
                  <c:v>17.8</c:v>
                </c:pt>
                <c:pt idx="10">
                  <c:v>17.84</c:v>
                </c:pt>
                <c:pt idx="11">
                  <c:v>18.100000000000001</c:v>
                </c:pt>
                <c:pt idx="12">
                  <c:v>18.22</c:v>
                </c:pt>
                <c:pt idx="13">
                  <c:v>20.11</c:v>
                </c:pt>
                <c:pt idx="14">
                  <c:v>20.190000000000001</c:v>
                </c:pt>
                <c:pt idx="15">
                  <c:v>20.45</c:v>
                </c:pt>
                <c:pt idx="16">
                  <c:v>20.12</c:v>
                </c:pt>
                <c:pt idx="17">
                  <c:v>21.66</c:v>
                </c:pt>
                <c:pt idx="18">
                  <c:v>20.27</c:v>
                </c:pt>
                <c:pt idx="19">
                  <c:v>21.93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A4-594D-8B50-91EF86FAF620}"/>
            </c:ext>
          </c:extLst>
        </c:ser>
        <c:ser>
          <c:idx val="1"/>
          <c:order val="1"/>
          <c:tx>
            <c:strRef>
              <c:f>Breakdown!$D$1</c:f>
              <c:strCache>
                <c:ptCount val="1"/>
                <c:pt idx="0">
                  <c:v>Water Charges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Breakdown!$B$2:$B$21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xVal>
          <c:yVal>
            <c:numRef>
              <c:f>Breakdown!$D$2:$D$21</c:f>
              <c:numCache>
                <c:formatCode>"$"#,##0.00</c:formatCode>
                <c:ptCount val="20"/>
                <c:pt idx="0">
                  <c:v>21.95</c:v>
                </c:pt>
                <c:pt idx="1">
                  <c:v>24.34</c:v>
                </c:pt>
                <c:pt idx="2">
                  <c:v>27.76</c:v>
                </c:pt>
                <c:pt idx="3">
                  <c:v>25.94</c:v>
                </c:pt>
                <c:pt idx="4">
                  <c:v>25.17</c:v>
                </c:pt>
                <c:pt idx="5">
                  <c:v>28.9</c:v>
                </c:pt>
                <c:pt idx="6">
                  <c:v>27.32</c:v>
                </c:pt>
                <c:pt idx="7">
                  <c:v>27.28</c:v>
                </c:pt>
                <c:pt idx="8">
                  <c:v>28.68</c:v>
                </c:pt>
                <c:pt idx="9">
                  <c:v>25.92</c:v>
                </c:pt>
                <c:pt idx="10">
                  <c:v>29.19</c:v>
                </c:pt>
                <c:pt idx="11">
                  <c:v>33.450000000000003</c:v>
                </c:pt>
                <c:pt idx="12">
                  <c:v>38.770000000000003</c:v>
                </c:pt>
                <c:pt idx="13">
                  <c:v>40.42</c:v>
                </c:pt>
                <c:pt idx="14">
                  <c:v>54.16</c:v>
                </c:pt>
                <c:pt idx="15">
                  <c:v>43.63</c:v>
                </c:pt>
                <c:pt idx="16">
                  <c:v>36.729999999999997</c:v>
                </c:pt>
                <c:pt idx="17">
                  <c:v>38.75</c:v>
                </c:pt>
                <c:pt idx="18">
                  <c:v>30.28</c:v>
                </c:pt>
                <c:pt idx="19">
                  <c:v>29.06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A4-594D-8B50-91EF86FAF620}"/>
            </c:ext>
          </c:extLst>
        </c:ser>
        <c:ser>
          <c:idx val="2"/>
          <c:order val="2"/>
          <c:tx>
            <c:strRef>
              <c:f>Breakdown!$E$1</c:f>
              <c:strCache>
                <c:ptCount val="1"/>
                <c:pt idx="0">
                  <c:v>Sewer Charges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Breakdown!$B$2:$B$21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xVal>
          <c:yVal>
            <c:numRef>
              <c:f>Breakdown!$E$2:$E$21</c:f>
              <c:numCache>
                <c:formatCode>"$"#,##0.00</c:formatCode>
                <c:ptCount val="20"/>
                <c:pt idx="0">
                  <c:v>14.55</c:v>
                </c:pt>
                <c:pt idx="1">
                  <c:v>15.71</c:v>
                </c:pt>
                <c:pt idx="2">
                  <c:v>18.03</c:v>
                </c:pt>
                <c:pt idx="3">
                  <c:v>16.41</c:v>
                </c:pt>
                <c:pt idx="4">
                  <c:v>15.51</c:v>
                </c:pt>
                <c:pt idx="5">
                  <c:v>17.88</c:v>
                </c:pt>
                <c:pt idx="6">
                  <c:v>16.8</c:v>
                </c:pt>
                <c:pt idx="7">
                  <c:v>16.62</c:v>
                </c:pt>
                <c:pt idx="8">
                  <c:v>17.88</c:v>
                </c:pt>
                <c:pt idx="9">
                  <c:v>16.38</c:v>
                </c:pt>
                <c:pt idx="10">
                  <c:v>18.02</c:v>
                </c:pt>
                <c:pt idx="11">
                  <c:v>20.54</c:v>
                </c:pt>
                <c:pt idx="12">
                  <c:v>23.03</c:v>
                </c:pt>
                <c:pt idx="13">
                  <c:v>23.09</c:v>
                </c:pt>
                <c:pt idx="14">
                  <c:v>30.67</c:v>
                </c:pt>
                <c:pt idx="15">
                  <c:v>24.11</c:v>
                </c:pt>
                <c:pt idx="16">
                  <c:v>19.670000000000002</c:v>
                </c:pt>
                <c:pt idx="17">
                  <c:v>20.81</c:v>
                </c:pt>
                <c:pt idx="18">
                  <c:v>16.95</c:v>
                </c:pt>
                <c:pt idx="19">
                  <c:v>16.62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A4-594D-8B50-91EF86FAF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419312"/>
        <c:axId val="524368928"/>
      </c:scatterChart>
      <c:valAx>
        <c:axId val="52741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Bill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368928"/>
        <c:crosses val="autoZero"/>
        <c:crossBetween val="midCat"/>
      </c:valAx>
      <c:valAx>
        <c:axId val="5243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Types</a:t>
                </a:r>
                <a:r>
                  <a:rPr lang="en-US" baseline="0"/>
                  <a:t> of charges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643431585853903E-2"/>
              <c:y val="0.4057651372567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1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accent2"/>
        </a:solidFill>
        <a:ln w="25400" cap="flat" cmpd="sng" algn="ctr">
          <a:solidFill>
            <a:schemeClr val="l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Breakdown!$C$1</c:f>
              <c:strCache>
                <c:ptCount val="1"/>
                <c:pt idx="0">
                  <c:v>Trash Charges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Breakdown!$B$2:$B$21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xVal>
          <c:yVal>
            <c:numRef>
              <c:f>Breakdown!$C$2:$C$21</c:f>
              <c:numCache>
                <c:formatCode>"$"#,##0.00</c:formatCode>
                <c:ptCount val="20"/>
                <c:pt idx="0">
                  <c:v>16.71</c:v>
                </c:pt>
                <c:pt idx="1">
                  <c:v>16.940000000000001</c:v>
                </c:pt>
                <c:pt idx="2">
                  <c:v>17.04</c:v>
                </c:pt>
                <c:pt idx="3">
                  <c:v>17.760000000000002</c:v>
                </c:pt>
                <c:pt idx="4">
                  <c:v>17.87</c:v>
                </c:pt>
                <c:pt idx="5">
                  <c:v>17.62</c:v>
                </c:pt>
                <c:pt idx="6">
                  <c:v>17.39</c:v>
                </c:pt>
                <c:pt idx="7">
                  <c:v>17.600000000000001</c:v>
                </c:pt>
                <c:pt idx="8">
                  <c:v>17.55</c:v>
                </c:pt>
                <c:pt idx="9">
                  <c:v>17.8</c:v>
                </c:pt>
                <c:pt idx="10">
                  <c:v>17.84</c:v>
                </c:pt>
                <c:pt idx="11">
                  <c:v>18.100000000000001</c:v>
                </c:pt>
                <c:pt idx="12">
                  <c:v>18.22</c:v>
                </c:pt>
                <c:pt idx="13">
                  <c:v>20.11</c:v>
                </c:pt>
                <c:pt idx="14">
                  <c:v>20.190000000000001</c:v>
                </c:pt>
                <c:pt idx="15">
                  <c:v>20.45</c:v>
                </c:pt>
                <c:pt idx="16">
                  <c:v>20.12</c:v>
                </c:pt>
                <c:pt idx="17">
                  <c:v>21.66</c:v>
                </c:pt>
                <c:pt idx="18">
                  <c:v>20.27</c:v>
                </c:pt>
                <c:pt idx="19">
                  <c:v>21.93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09-2140-A204-7697A46B1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584768"/>
        <c:axId val="1504764416"/>
      </c:scatterChart>
      <c:valAx>
        <c:axId val="55558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64416"/>
        <c:crosses val="autoZero"/>
        <c:crossBetween val="midCat"/>
      </c:valAx>
      <c:valAx>
        <c:axId val="15047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58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accent4"/>
        </a:solidFill>
        <a:ln w="25400" cap="flat" cmpd="sng" algn="ctr">
          <a:solidFill>
            <a:schemeClr val="l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Breakdown!$D$1</c:f>
              <c:strCache>
                <c:ptCount val="1"/>
                <c:pt idx="0">
                  <c:v>Water Charges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Breakdown!$B$2:$B$21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xVal>
          <c:yVal>
            <c:numRef>
              <c:f>Breakdown!$D$2:$D$21</c:f>
              <c:numCache>
                <c:formatCode>"$"#,##0.00</c:formatCode>
                <c:ptCount val="20"/>
                <c:pt idx="0">
                  <c:v>21.95</c:v>
                </c:pt>
                <c:pt idx="1">
                  <c:v>24.34</c:v>
                </c:pt>
                <c:pt idx="2">
                  <c:v>27.76</c:v>
                </c:pt>
                <c:pt idx="3">
                  <c:v>25.94</c:v>
                </c:pt>
                <c:pt idx="4">
                  <c:v>25.17</c:v>
                </c:pt>
                <c:pt idx="5">
                  <c:v>28.9</c:v>
                </c:pt>
                <c:pt idx="6">
                  <c:v>27.32</c:v>
                </c:pt>
                <c:pt idx="7">
                  <c:v>27.28</c:v>
                </c:pt>
                <c:pt idx="8">
                  <c:v>28.68</c:v>
                </c:pt>
                <c:pt idx="9">
                  <c:v>25.92</c:v>
                </c:pt>
                <c:pt idx="10">
                  <c:v>29.19</c:v>
                </c:pt>
                <c:pt idx="11">
                  <c:v>33.450000000000003</c:v>
                </c:pt>
                <c:pt idx="12">
                  <c:v>38.770000000000003</c:v>
                </c:pt>
                <c:pt idx="13">
                  <c:v>40.42</c:v>
                </c:pt>
                <c:pt idx="14">
                  <c:v>54.16</c:v>
                </c:pt>
                <c:pt idx="15">
                  <c:v>43.63</c:v>
                </c:pt>
                <c:pt idx="16">
                  <c:v>36.729999999999997</c:v>
                </c:pt>
                <c:pt idx="17">
                  <c:v>38.75</c:v>
                </c:pt>
                <c:pt idx="18">
                  <c:v>30.28</c:v>
                </c:pt>
                <c:pt idx="19">
                  <c:v>29.06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D0-6044-BE27-4C8041E77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584768"/>
        <c:axId val="1504764416"/>
      </c:scatterChart>
      <c:valAx>
        <c:axId val="55558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64416"/>
        <c:crosses val="autoZero"/>
        <c:crossBetween val="midCat"/>
      </c:valAx>
      <c:valAx>
        <c:axId val="15047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58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accent6"/>
        </a:solidFill>
        <a:ln w="25400" cap="flat" cmpd="sng" algn="ctr">
          <a:solidFill>
            <a:schemeClr val="l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Breakdown!$E$1</c:f>
              <c:strCache>
                <c:ptCount val="1"/>
                <c:pt idx="0">
                  <c:v>Sewer Charges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Breakdown!$B$2:$B$21</c:f>
              <c:numCache>
                <c:formatCode>"$"#,##0.00</c:formatCode>
                <c:ptCount val="20"/>
                <c:pt idx="0">
                  <c:v>53.209999999999994</c:v>
                </c:pt>
                <c:pt idx="1">
                  <c:v>56.99</c:v>
                </c:pt>
                <c:pt idx="2">
                  <c:v>62.83</c:v>
                </c:pt>
                <c:pt idx="3">
                  <c:v>60.11</c:v>
                </c:pt>
                <c:pt idx="4">
                  <c:v>58.550000000000004</c:v>
                </c:pt>
                <c:pt idx="5">
                  <c:v>64.399999999999991</c:v>
                </c:pt>
                <c:pt idx="6">
                  <c:v>61.510000000000005</c:v>
                </c:pt>
                <c:pt idx="7">
                  <c:v>61.5</c:v>
                </c:pt>
                <c:pt idx="8">
                  <c:v>64.11</c:v>
                </c:pt>
                <c:pt idx="9">
                  <c:v>60.099999999999994</c:v>
                </c:pt>
                <c:pt idx="10">
                  <c:v>65.05</c:v>
                </c:pt>
                <c:pt idx="11">
                  <c:v>72.09</c:v>
                </c:pt>
                <c:pt idx="12">
                  <c:v>80.02000000000001</c:v>
                </c:pt>
                <c:pt idx="13">
                  <c:v>83.62</c:v>
                </c:pt>
                <c:pt idx="14">
                  <c:v>105.02</c:v>
                </c:pt>
                <c:pt idx="15">
                  <c:v>88.19</c:v>
                </c:pt>
                <c:pt idx="16">
                  <c:v>76.52</c:v>
                </c:pt>
                <c:pt idx="17">
                  <c:v>81.22</c:v>
                </c:pt>
                <c:pt idx="18">
                  <c:v>67.5</c:v>
                </c:pt>
                <c:pt idx="19">
                  <c:v>67.61</c:v>
                </c:pt>
              </c:numCache>
            </c:numRef>
          </c:xVal>
          <c:yVal>
            <c:numRef>
              <c:f>Breakdown!$E$2:$E$21</c:f>
              <c:numCache>
                <c:formatCode>"$"#,##0.00</c:formatCode>
                <c:ptCount val="20"/>
                <c:pt idx="0">
                  <c:v>14.55</c:v>
                </c:pt>
                <c:pt idx="1">
                  <c:v>15.71</c:v>
                </c:pt>
                <c:pt idx="2">
                  <c:v>18.03</c:v>
                </c:pt>
                <c:pt idx="3">
                  <c:v>16.41</c:v>
                </c:pt>
                <c:pt idx="4">
                  <c:v>15.51</c:v>
                </c:pt>
                <c:pt idx="5">
                  <c:v>17.88</c:v>
                </c:pt>
                <c:pt idx="6">
                  <c:v>16.8</c:v>
                </c:pt>
                <c:pt idx="7">
                  <c:v>16.62</c:v>
                </c:pt>
                <c:pt idx="8">
                  <c:v>17.88</c:v>
                </c:pt>
                <c:pt idx="9">
                  <c:v>16.38</c:v>
                </c:pt>
                <c:pt idx="10">
                  <c:v>18.02</c:v>
                </c:pt>
                <c:pt idx="11">
                  <c:v>20.54</c:v>
                </c:pt>
                <c:pt idx="12">
                  <c:v>23.03</c:v>
                </c:pt>
                <c:pt idx="13">
                  <c:v>23.09</c:v>
                </c:pt>
                <c:pt idx="14">
                  <c:v>30.67</c:v>
                </c:pt>
                <c:pt idx="15">
                  <c:v>24.11</c:v>
                </c:pt>
                <c:pt idx="16">
                  <c:v>19.670000000000002</c:v>
                </c:pt>
                <c:pt idx="17">
                  <c:v>20.81</c:v>
                </c:pt>
                <c:pt idx="18">
                  <c:v>16.95</c:v>
                </c:pt>
                <c:pt idx="19">
                  <c:v>16.62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7-0B4E-A724-F085691C2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584768"/>
        <c:axId val="1504764416"/>
      </c:scatterChart>
      <c:valAx>
        <c:axId val="55558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64416"/>
        <c:crosses val="autoZero"/>
        <c:crossBetween val="midCat"/>
      </c:valAx>
      <c:valAx>
        <c:axId val="15047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58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distribution of bill totals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Aptos Narrow" panose="02110004020202020204"/>
            </a:rPr>
            <a:t>distribution of bill totals</a:t>
          </a:r>
        </a:p>
      </cx:txPr>
    </cx:title>
    <cx:plotArea>
      <cx:plotAreaRegion>
        <cx:series layoutId="clusteredColumn" uniqueId="{10332399-1DC6-EC42-9BE0-9E5D947C7969}" formatIdx="4">
          <cx:tx>
            <cx:txData>
              <cx:f>_xlchart.v1.1</cx:f>
              <cx:v>Total Bill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x:spPr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ln>
                      <a:noFill/>
                    </a:ln>
                  </a:defRPr>
                </a:pPr>
                <a:endParaRPr lang="en-US" sz="900" b="0" i="0" u="none" strike="noStrike" baseline="0">
                  <a:ln>
                    <a:noFill/>
                  </a:ln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Bill Totals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Bill Totals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Number of Bills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Number of Bills</a:t>
              </a:r>
            </a:p>
          </cx:txPr>
        </cx:title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26</xdr:row>
      <xdr:rowOff>25400</xdr:rowOff>
    </xdr:from>
    <xdr:to>
      <xdr:col>9</xdr:col>
      <xdr:colOff>1308100</xdr:colOff>
      <xdr:row>46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EDBF1A-6B27-B12E-F334-208EDD72C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1625600</xdr:colOff>
      <xdr:row>47</xdr:row>
      <xdr:rowOff>76200</xdr:rowOff>
    </xdr:from>
    <xdr:to>
      <xdr:col>12</xdr:col>
      <xdr:colOff>1009650</xdr:colOff>
      <xdr:row>67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D491C5-691D-E641-A1CA-71FA59A14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279400</xdr:colOff>
      <xdr:row>26</xdr:row>
      <xdr:rowOff>50800</xdr:rowOff>
    </xdr:from>
    <xdr:to>
      <xdr:col>15</xdr:col>
      <xdr:colOff>1314450</xdr:colOff>
      <xdr:row>46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A7AFC6-C668-D840-8D9F-E6E0846F5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0</xdr:row>
      <xdr:rowOff>84668</xdr:rowOff>
    </xdr:from>
    <xdr:to>
      <xdr:col>13</xdr:col>
      <xdr:colOff>994833</xdr:colOff>
      <xdr:row>30</xdr:row>
      <xdr:rowOff>31751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F06513-8166-F10F-858D-C6BDC2451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409222</xdr:colOff>
      <xdr:row>30</xdr:row>
      <xdr:rowOff>183443</xdr:rowOff>
    </xdr:from>
    <xdr:to>
      <xdr:col>13</xdr:col>
      <xdr:colOff>1054805</xdr:colOff>
      <xdr:row>60</xdr:row>
      <xdr:rowOff>130527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012BDE-0B2B-C84D-9195-6621C47C2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0.1474</cdr:x>
      <cdr:y>0.12646</cdr:y>
    </cdr:from>
    <cdr:to>
      <cdr:x>0.28647</cdr:x>
      <cdr:y>0.87521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23B83BC4-1FE9-1B05-4657-2052DA4CE1D9}"/>
            </a:ext>
          </a:extLst>
        </cdr:cNvPr>
        <cdr:cNvSpPr/>
      </cdr:nvSpPr>
      <cdr:spPr>
        <a:xfrm xmlns:a="http://schemas.openxmlformats.org/drawingml/2006/main">
          <a:off x="1617700" y="756154"/>
          <a:ext cx="1526246" cy="447722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alpha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0.70704</cdr:x>
      <cdr:y>0.12446</cdr:y>
    </cdr:from>
    <cdr:to>
      <cdr:x>0.84611</cdr:x>
      <cdr:y>0.87321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43278783-26BD-1AE6-C7A9-BCF37517A980}"/>
            </a:ext>
          </a:extLst>
        </cdr:cNvPr>
        <cdr:cNvSpPr/>
      </cdr:nvSpPr>
      <cdr:spPr>
        <a:xfrm xmlns:a="http://schemas.openxmlformats.org/drawingml/2006/main">
          <a:off x="8178800" y="791633"/>
          <a:ext cx="1608666" cy="47625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alpha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0.28962</cdr:x>
      <cdr:y>0.12612</cdr:y>
    </cdr:from>
    <cdr:to>
      <cdr:x>0.42751</cdr:x>
      <cdr:y>0.87488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43278783-26BD-1AE6-C7A9-BCF37517A980}"/>
            </a:ext>
          </a:extLst>
        </cdr:cNvPr>
        <cdr:cNvSpPr/>
      </cdr:nvSpPr>
      <cdr:spPr>
        <a:xfrm xmlns:a="http://schemas.openxmlformats.org/drawingml/2006/main">
          <a:off x="3174440" y="740797"/>
          <a:ext cx="1511385" cy="43980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alpha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0.84794</cdr:x>
      <cdr:y>0.12446</cdr:y>
    </cdr:from>
    <cdr:to>
      <cdr:x>0.98701</cdr:x>
      <cdr:y>0.87321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57E23398-A2CC-FA7C-BEB8-5705B23D6CAC}"/>
            </a:ext>
          </a:extLst>
        </cdr:cNvPr>
        <cdr:cNvSpPr/>
      </cdr:nvSpPr>
      <cdr:spPr>
        <a:xfrm xmlns:a="http://schemas.openxmlformats.org/drawingml/2006/main">
          <a:off x="9808633" y="791634"/>
          <a:ext cx="1608666" cy="47625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alpha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0.42912</cdr:x>
      <cdr:y>0.12612</cdr:y>
    </cdr:from>
    <cdr:to>
      <cdr:x>0.56615</cdr:x>
      <cdr:y>0.87488</cdr:y>
    </cdr:to>
    <cdr:sp macro="" textlink="">
      <cdr:nvSpPr>
        <cdr:cNvPr id="7" name="Rectangle 6">
          <a:extLst xmlns:a="http://schemas.openxmlformats.org/drawingml/2006/main">
            <a:ext uri="{FF2B5EF4-FFF2-40B4-BE49-F238E27FC236}">
              <a16:creationId xmlns:a16="http://schemas.microsoft.com/office/drawing/2014/main" id="{57E23398-A2CC-FA7C-BEB8-5705B23D6CAC}"/>
            </a:ext>
          </a:extLst>
        </cdr:cNvPr>
        <cdr:cNvSpPr/>
      </cdr:nvSpPr>
      <cdr:spPr>
        <a:xfrm xmlns:a="http://schemas.openxmlformats.org/drawingml/2006/main">
          <a:off x="4709583" y="754163"/>
          <a:ext cx="1503846" cy="447722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alpha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0.56798</cdr:x>
      <cdr:y>0.12446</cdr:y>
    </cdr:from>
    <cdr:to>
      <cdr:x>0.7054</cdr:x>
      <cdr:y>0.87321</cdr:y>
    </cdr:to>
    <cdr:sp macro="" textlink="">
      <cdr:nvSpPr>
        <cdr:cNvPr id="8" name="Rectangle 7">
          <a:extLst xmlns:a="http://schemas.openxmlformats.org/drawingml/2006/main">
            <a:ext uri="{FF2B5EF4-FFF2-40B4-BE49-F238E27FC236}">
              <a16:creationId xmlns:a16="http://schemas.microsoft.com/office/drawing/2014/main" id="{57E23398-A2CC-FA7C-BEB8-5705B23D6CAC}"/>
            </a:ext>
          </a:extLst>
        </cdr:cNvPr>
        <cdr:cNvSpPr/>
      </cdr:nvSpPr>
      <cdr:spPr>
        <a:xfrm xmlns:a="http://schemas.openxmlformats.org/drawingml/2006/main">
          <a:off x="6570134" y="791634"/>
          <a:ext cx="1589617" cy="47625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alpha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0.05225</cdr:x>
      <cdr:y>0.12602</cdr:y>
    </cdr:from>
    <cdr:to>
      <cdr:x>0.1458</cdr:x>
      <cdr:y>0.87477</cdr:y>
    </cdr:to>
    <cdr:sp macro="" textlink="">
      <cdr:nvSpPr>
        <cdr:cNvPr id="9" name="Rectangle 8">
          <a:extLst xmlns:a="http://schemas.openxmlformats.org/drawingml/2006/main">
            <a:ext uri="{FF2B5EF4-FFF2-40B4-BE49-F238E27FC236}">
              <a16:creationId xmlns:a16="http://schemas.microsoft.com/office/drawing/2014/main" id="{63DFD622-2975-23AD-6FD1-6406116646ED}"/>
            </a:ext>
          </a:extLst>
        </cdr:cNvPr>
        <cdr:cNvSpPr/>
      </cdr:nvSpPr>
      <cdr:spPr>
        <a:xfrm xmlns:a="http://schemas.openxmlformats.org/drawingml/2006/main">
          <a:off x="572703" y="740210"/>
          <a:ext cx="1025380" cy="439797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alpha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</xdr:row>
      <xdr:rowOff>105834</xdr:rowOff>
    </xdr:from>
    <xdr:to>
      <xdr:col>12</xdr:col>
      <xdr:colOff>42334</xdr:colOff>
      <xdr:row>22</xdr:row>
      <xdr:rowOff>10584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F3E2AA-4B9A-5F71-0723-83A08D5D4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711201</xdr:colOff>
      <xdr:row>0</xdr:row>
      <xdr:rowOff>139700</xdr:rowOff>
    </xdr:from>
    <xdr:to>
      <xdr:col>10</xdr:col>
      <xdr:colOff>1338385</xdr:colOff>
      <xdr:row>17</xdr:row>
      <xdr:rowOff>195384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5BBA08-90CD-F92B-5C09-6864D596B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732693</xdr:colOff>
      <xdr:row>21</xdr:row>
      <xdr:rowOff>19538</xdr:rowOff>
    </xdr:from>
    <xdr:to>
      <xdr:col>10</xdr:col>
      <xdr:colOff>791308</xdr:colOff>
      <xdr:row>37</xdr:row>
      <xdr:rowOff>68385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EF7C7E-FCE0-3B4D-AB84-4971E0D7A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339481</xdr:colOff>
      <xdr:row>22</xdr:row>
      <xdr:rowOff>66757</xdr:rowOff>
    </xdr:from>
    <xdr:to>
      <xdr:col>4</xdr:col>
      <xdr:colOff>1083896</xdr:colOff>
      <xdr:row>41</xdr:row>
      <xdr:rowOff>122441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CFD823F-A481-5043-9965-7CABCC865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21</xdr:row>
      <xdr:rowOff>162981</xdr:rowOff>
    </xdr:from>
    <xdr:to>
      <xdr:col>9</xdr:col>
      <xdr:colOff>751416</xdr:colOff>
      <xdr:row>42</xdr:row>
      <xdr:rowOff>31748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2A7AED-FE59-449F-8F66-C0C9316D2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850900</xdr:colOff>
      <xdr:row>22</xdr:row>
      <xdr:rowOff>14819</xdr:rowOff>
    </xdr:from>
    <xdr:to>
      <xdr:col>16</xdr:col>
      <xdr:colOff>973666</xdr:colOff>
      <xdr:row>41</xdr:row>
      <xdr:rowOff>25401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E53A4E-C9E7-603B-4248-D21099174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28</xdr:row>
      <xdr:rowOff>12700</xdr:rowOff>
    </xdr:from>
    <xdr:to>
      <xdr:col>4</xdr:col>
      <xdr:colOff>1504950</xdr:colOff>
      <xdr:row>41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7352E7-8A8B-B4CC-9333-852AB5CF2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127000</xdr:colOff>
      <xdr:row>27</xdr:row>
      <xdr:rowOff>177800</xdr:rowOff>
    </xdr:from>
    <xdr:to>
      <xdr:col>9</xdr:col>
      <xdr:colOff>1498600</xdr:colOff>
      <xdr:row>41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51EE7B-092F-FF6C-ADA8-9F5CB5E3A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82550</xdr:colOff>
      <xdr:row>27</xdr:row>
      <xdr:rowOff>165100</xdr:rowOff>
    </xdr:from>
    <xdr:to>
      <xdr:col>14</xdr:col>
      <xdr:colOff>1454150</xdr:colOff>
      <xdr:row>41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F58A38-B605-391D-3BAD-CF4DF4034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910167</xdr:colOff>
      <xdr:row>7</xdr:row>
      <xdr:rowOff>8468</xdr:rowOff>
    </xdr:from>
    <xdr:to>
      <xdr:col>15</xdr:col>
      <xdr:colOff>986367</xdr:colOff>
      <xdr:row>22</xdr:row>
      <xdr:rowOff>192618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5620F9-A79E-6ADB-C682-568C6423C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726016</xdr:colOff>
      <xdr:row>7</xdr:row>
      <xdr:rowOff>10584</xdr:rowOff>
    </xdr:from>
    <xdr:to>
      <xdr:col>12</xdr:col>
      <xdr:colOff>802216</xdr:colOff>
      <xdr:row>22</xdr:row>
      <xdr:rowOff>194734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ADD552-3AB7-A746-A72C-53B1BDD11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48683</xdr:colOff>
      <xdr:row>23</xdr:row>
      <xdr:rowOff>148165</xdr:rowOff>
    </xdr:from>
    <xdr:to>
      <xdr:col>14</xdr:col>
      <xdr:colOff>124883</xdr:colOff>
      <xdr:row>39</xdr:row>
      <xdr:rowOff>131232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147BA0-1BFD-BF48-AF1C-9204E485B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1050222</xdr:colOff>
      <xdr:row>32</xdr:row>
      <xdr:rowOff>63499</xdr:rowOff>
    </xdr:from>
    <xdr:to>
      <xdr:col>6</xdr:col>
      <xdr:colOff>529522</xdr:colOff>
      <xdr:row>45</xdr:row>
      <xdr:rowOff>192616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9D20E0-AA79-EB4B-B720-FE06ED48F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1047751</xdr:colOff>
      <xdr:row>32</xdr:row>
      <xdr:rowOff>63501</xdr:rowOff>
    </xdr:from>
    <xdr:to>
      <xdr:col>3</xdr:col>
      <xdr:colOff>527051</xdr:colOff>
      <xdr:row>45</xdr:row>
      <xdr:rowOff>192618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C6FEFC-7F53-B84F-AA1B-54ABE688A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1114878</xdr:colOff>
      <xdr:row>3</xdr:row>
      <xdr:rowOff>135467</xdr:rowOff>
    </xdr:from>
    <xdr:to>
      <xdr:col>8</xdr:col>
      <xdr:colOff>1038678</xdr:colOff>
      <xdr:row>21</xdr:row>
      <xdr:rowOff>135467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2040AB-7B8A-B987-C371-C2B73A011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80434</xdr:colOff>
      <xdr:row>1</xdr:row>
      <xdr:rowOff>55034</xdr:rowOff>
    </xdr:from>
    <xdr:to>
      <xdr:col>12</xdr:col>
      <xdr:colOff>4234</xdr:colOff>
      <xdr:row>14</xdr:row>
      <xdr:rowOff>156634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79A128-0B5C-EF47-F9A3-AA982B5CD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84667</xdr:colOff>
      <xdr:row>15</xdr:row>
      <xdr:rowOff>194733</xdr:rowOff>
    </xdr:from>
    <xdr:to>
      <xdr:col>12</xdr:col>
      <xdr:colOff>8467</xdr:colOff>
      <xdr:row>29</xdr:row>
      <xdr:rowOff>93133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7AE701-6A83-C540-AC8B-A5C3BF41B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76200</xdr:colOff>
      <xdr:row>30</xdr:row>
      <xdr:rowOff>110067</xdr:rowOff>
    </xdr:from>
    <xdr:to>
      <xdr:col>12</xdr:col>
      <xdr:colOff>0</xdr:colOff>
      <xdr:row>44</xdr:row>
      <xdr:rowOff>8467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639BDA-4F99-3345-BA98-6A22B5168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301625</xdr:colOff>
      <xdr:row>27</xdr:row>
      <xdr:rowOff>132556</xdr:rowOff>
    </xdr:from>
    <xdr:to>
      <xdr:col>7</xdr:col>
      <xdr:colOff>500062</xdr:colOff>
      <xdr:row>40</xdr:row>
      <xdr:rowOff>192881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772B17-60E1-0473-0CDC-FC6E3A33FF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4825" y="5618956"/>
              <a:ext cx="5113337" cy="270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66.669094907411" createdVersion="8" refreshedVersion="8" minRefreshableVersion="3" recordCount="19" xr:uid="{C91FB9AF-DF7E-9B44-8C53-9F8B2B6F5E96}">
  <cacheSource type="worksheet">
    <worksheetSource name="Dataset"/>
  </cacheSource>
  <cacheFields count="13">
    <cacheField name="Statement Date" numFmtId="14">
      <sharedItems containsSemiMixedTypes="0" containsNonDate="0" containsDate="1" containsString="0" minDate="2022-12-14T00:00:00" maxDate="2024-11-14T00:00:00"/>
    </cacheField>
    <cacheField name="Bill Period Start" numFmtId="14">
      <sharedItems containsSemiMixedTypes="0" containsNonDate="0" containsDate="1" containsString="0" minDate="2022-10-14T00:00:00" maxDate="2024-04-15T00:00:00" count="19">
        <d v="2024-04-14T00:00:00"/>
        <d v="2024-03-14T00:00:00"/>
        <d v="2024-02-14T00:00:00"/>
        <d v="2024-01-14T00:00:00"/>
        <d v="2023-12-14T00:00:00"/>
        <d v="2023-11-14T00:00:00"/>
        <d v="2023-10-14T00:00:00"/>
        <d v="2023-09-14T00:00:00"/>
        <d v="2023-08-14T00:00:00"/>
        <d v="2023-07-14T00:00:00"/>
        <d v="2023-06-14T00:00:00"/>
        <d v="2023-05-14T00:00:00"/>
        <d v="2023-04-14T00:00:00"/>
        <d v="2023-03-14T00:00:00"/>
        <d v="2023-02-14T00:00:00"/>
        <d v="2023-01-14T00:00:00"/>
        <d v="2022-12-14T00:00:00"/>
        <d v="2022-11-14T00:00:00"/>
        <d v="2022-10-14T00:00:00"/>
      </sharedItems>
      <fieldGroup par="12"/>
    </cacheField>
    <cacheField name="Bill Period End" numFmtId="14">
      <sharedItems containsSemiMixedTypes="0" containsNonDate="0" containsDate="1" containsString="0" minDate="2022-11-14T00:00:00" maxDate="2024-05-15T00:00:00"/>
    </cacheField>
    <cacheField name="Billing Days" numFmtId="1">
      <sharedItems containsSemiMixedTypes="0" containsString="0" containsNumber="1" containsInteger="1" minValue="28" maxValue="31"/>
    </cacheField>
    <cacheField name="Trash Charges" numFmtId="164">
      <sharedItems containsSemiMixedTypes="0" containsString="0" containsNumber="1" minValue="16.71" maxValue="21.66" count="19">
        <n v="20.27"/>
        <n v="21.66"/>
        <n v="20.12"/>
        <n v="20.45"/>
        <n v="20.190000000000001"/>
        <n v="20.11"/>
        <n v="18.22"/>
        <n v="18.100000000000001"/>
        <n v="17.84"/>
        <n v="17.8"/>
        <n v="17.55"/>
        <n v="17.600000000000001"/>
        <n v="17.39"/>
        <n v="17.62"/>
        <n v="17.87"/>
        <n v="17.760000000000002"/>
        <n v="17.04"/>
        <n v="16.940000000000001"/>
        <n v="16.71"/>
      </sharedItems>
    </cacheField>
    <cacheField name="Water Charges" numFmtId="164">
      <sharedItems containsSemiMixedTypes="0" containsString="0" containsNumber="1" minValue="21.95" maxValue="54.16" count="19">
        <n v="30.28"/>
        <n v="38.75"/>
        <n v="36.729999999999997"/>
        <n v="43.63"/>
        <n v="54.16"/>
        <n v="40.42"/>
        <n v="38.770000000000003"/>
        <n v="33.450000000000003"/>
        <n v="29.19"/>
        <n v="25.92"/>
        <n v="28.68"/>
        <n v="27.28"/>
        <n v="27.32"/>
        <n v="28.9"/>
        <n v="25.17"/>
        <n v="25.94"/>
        <n v="27.76"/>
        <n v="24.34"/>
        <n v="21.95"/>
      </sharedItems>
    </cacheField>
    <cacheField name="Sewer Charges" numFmtId="164">
      <sharedItems containsSemiMixedTypes="0" containsString="0" containsNumber="1" minValue="14.55" maxValue="30.67"/>
    </cacheField>
    <cacheField name="Total Bill" numFmtId="164">
      <sharedItems containsSemiMixedTypes="0" containsString="0" containsNumber="1" minValue="53.209999999999994" maxValue="105.02"/>
    </cacheField>
    <cacheField name="Cost Per Day" numFmtId="164">
      <sharedItems containsSemiMixedTypes="0" containsString="0" containsNumber="1" minValue="1.7164516129032257" maxValue="3.3877419354838709"/>
    </cacheField>
    <cacheField name="Rate" numFmtId="165">
      <sharedItems containsSemiMixedTypes="0" containsString="0" containsNumber="1" minValue="0.53903230000000002" maxValue="0.69870969999999999"/>
    </cacheField>
    <cacheField name="Months (Bill Period Start)" numFmtId="0" databaseField="0">
      <fieldGroup base="1">
        <rangePr groupBy="months" startDate="2022-10-14T00:00:00" endDate="2024-04-15T00:00:00"/>
        <groupItems count="14">
          <s v="&lt;10/14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5/24"/>
        </groupItems>
      </fieldGroup>
    </cacheField>
    <cacheField name="Quarters (Bill Period Start)" numFmtId="0" databaseField="0">
      <fieldGroup base="1">
        <rangePr groupBy="quarters" startDate="2022-10-14T00:00:00" endDate="2024-04-15T00:00:00"/>
        <groupItems count="6">
          <s v="&lt;10/14/22"/>
          <s v="Qtr1"/>
          <s v="Qtr2"/>
          <s v="Qtr3"/>
          <s v="Qtr4"/>
          <s v="&gt;4/15/24"/>
        </groupItems>
      </fieldGroup>
    </cacheField>
    <cacheField name="Years (Bill Period Start)" numFmtId="0" databaseField="0">
      <fieldGroup base="1">
        <rangePr groupBy="years" startDate="2022-10-14T00:00:00" endDate="2024-04-15T00:00:00"/>
        <groupItems count="5">
          <s v="&lt;10/14/22"/>
          <s v="2022"/>
          <s v="2023"/>
          <s v="2024"/>
          <s v="&gt;4/15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89.732584837962" createdVersion="8" refreshedVersion="8" minRefreshableVersion="3" recordCount="20" xr:uid="{8BD86510-9E23-6C42-BAEE-E0D2A953B8A9}">
  <cacheSource type="worksheet">
    <worksheetSource name="Table5[[Bill Period Start]:[Total Bill]]"/>
  </cacheSource>
  <cacheFields count="10">
    <cacheField name="Bill Period Start" numFmtId="14">
      <sharedItems containsSemiMixedTypes="0" containsNonDate="0" containsDate="1" containsString="0" minDate="2022-10-14T00:00:00" maxDate="2024-05-15T00:00:00" count="20">
        <d v="2022-10-14T00:00:00"/>
        <d v="2022-11-14T00:00:00"/>
        <d v="2022-12-14T00:00:00"/>
        <d v="2023-01-14T00:00:00"/>
        <d v="2023-02-14T00:00:00"/>
        <d v="2023-03-14T00:00:00"/>
        <d v="2023-04-14T00:00:00"/>
        <d v="2023-05-14T00:00:00"/>
        <d v="2023-06-14T00:00:00"/>
        <d v="2023-07-14T00:00:00"/>
        <d v="2023-08-14T00:00:00"/>
        <d v="2023-09-14T00:00:00"/>
        <d v="2023-10-14T00:00:00"/>
        <d v="2023-11-14T00:00:00"/>
        <d v="2023-12-14T00:00:00"/>
        <d v="2024-01-14T00:00:00"/>
        <d v="2024-02-14T00:00:00"/>
        <d v="2024-03-14T00:00:00"/>
        <d v="2024-04-14T00:00:00"/>
        <d v="2024-05-14T00:00:00"/>
      </sharedItems>
      <fieldGroup par="9"/>
    </cacheField>
    <cacheField name="Billing Days" numFmtId="1">
      <sharedItems containsSemiMixedTypes="0" containsString="0" containsNumber="1" containsInteger="1" minValue="28" maxValue="31"/>
    </cacheField>
    <cacheField name="Trash Charges" numFmtId="164">
      <sharedItems containsSemiMixedTypes="0" containsString="0" containsNumber="1" minValue="16.71" maxValue="21.93"/>
    </cacheField>
    <cacheField name="Water Charges" numFmtId="164">
      <sharedItems containsSemiMixedTypes="0" containsString="0" containsNumber="1" minValue="21.95" maxValue="54.16"/>
    </cacheField>
    <cacheField name="Sewer Charges" numFmtId="164">
      <sharedItems containsSemiMixedTypes="0" containsString="0" containsNumber="1" minValue="14.55" maxValue="30.67"/>
    </cacheField>
    <cacheField name="Rate" numFmtId="165">
      <sharedItems containsSemiMixedTypes="0" containsString="0" containsNumber="1" minValue="0.53903230000000002" maxValue="0.70741940000000003"/>
    </cacheField>
    <cacheField name="Total Bill" numFmtId="164">
      <sharedItems containsSemiMixedTypes="0" containsString="0" containsNumber="1" minValue="53.209999999999994" maxValue="105.02"/>
    </cacheField>
    <cacheField name="Months (Bill Period Start)" numFmtId="0" databaseField="0">
      <fieldGroup base="0">
        <rangePr groupBy="months" startDate="2022-10-14T00:00:00" endDate="2024-05-15T00:00:00"/>
        <groupItems count="14">
          <s v="&lt;10/14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5/24"/>
        </groupItems>
      </fieldGroup>
    </cacheField>
    <cacheField name="Quarters (Bill Period Start)" numFmtId="0" databaseField="0">
      <fieldGroup base="0">
        <rangePr groupBy="quarters" startDate="2022-10-14T00:00:00" endDate="2024-05-15T00:00:00"/>
        <groupItems count="6">
          <s v="&lt;10/14/22"/>
          <s v="Qtr1"/>
          <s v="Qtr2"/>
          <s v="Qtr3"/>
          <s v="Qtr4"/>
          <s v="&gt;5/15/24"/>
        </groupItems>
      </fieldGroup>
    </cacheField>
    <cacheField name="Years (Bill Period Start)" numFmtId="0" databaseField="0">
      <fieldGroup base="0">
        <rangePr groupBy="years" startDate="2022-10-14T00:00:00" endDate="2024-05-15T00:00:00"/>
        <groupItems count="5">
          <s v="&lt;10/14/22"/>
          <s v="2022"/>
          <s v="2023"/>
          <s v="2024"/>
          <s v="&gt;5/15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89.742475578707" createdVersion="8" refreshedVersion="8" minRefreshableVersion="3" recordCount="20" xr:uid="{C74C8594-E36D-B546-A865-676F8716CF82}">
  <cacheSource type="worksheet">
    <worksheetSource name="Table5"/>
  </cacheSource>
  <cacheFields count="11">
    <cacheField name="Bill Period Start" numFmtId="14">
      <sharedItems containsSemiMixedTypes="0" containsNonDate="0" containsDate="1" containsString="0" minDate="2022-10-14T00:00:00" maxDate="2024-05-15T00:00:00" count="20">
        <d v="2022-10-14T00:00:00"/>
        <d v="2022-11-14T00:00:00"/>
        <d v="2022-12-14T00:00:00"/>
        <d v="2023-01-14T00:00:00"/>
        <d v="2023-02-14T00:00:00"/>
        <d v="2023-03-14T00:00:00"/>
        <d v="2023-04-14T00:00:00"/>
        <d v="2023-05-14T00:00:00"/>
        <d v="2023-06-14T00:00:00"/>
        <d v="2023-07-14T00:00:00"/>
        <d v="2023-08-14T00:00:00"/>
        <d v="2023-09-14T00:00:00"/>
        <d v="2023-10-14T00:00:00"/>
        <d v="2023-11-14T00:00:00"/>
        <d v="2023-12-14T00:00:00"/>
        <d v="2024-01-14T00:00:00"/>
        <d v="2024-02-14T00:00:00"/>
        <d v="2024-03-14T00:00:00"/>
        <d v="2024-04-14T00:00:00"/>
        <d v="2024-05-14T00:00:00"/>
      </sharedItems>
      <fieldGroup par="10"/>
    </cacheField>
    <cacheField name="Billing Days" numFmtId="1">
      <sharedItems containsSemiMixedTypes="0" containsString="0" containsNumber="1" containsInteger="1" minValue="28" maxValue="31"/>
    </cacheField>
    <cacheField name="Trash Charges" numFmtId="164">
      <sharedItems containsSemiMixedTypes="0" containsString="0" containsNumber="1" minValue="16.71" maxValue="21.93"/>
    </cacheField>
    <cacheField name="Water Charges" numFmtId="164">
      <sharedItems containsSemiMixedTypes="0" containsString="0" containsNumber="1" minValue="21.95" maxValue="54.16"/>
    </cacheField>
    <cacheField name="Sewer Charges" numFmtId="164">
      <sharedItems containsSemiMixedTypes="0" containsString="0" containsNumber="1" minValue="14.55" maxValue="30.67"/>
    </cacheField>
    <cacheField name="Rate" numFmtId="165">
      <sharedItems containsSemiMixedTypes="0" containsString="0" containsNumber="1" minValue="0.53903230000000002" maxValue="0.70741940000000003"/>
    </cacheField>
    <cacheField name="Total Bill" numFmtId="164">
      <sharedItems containsSemiMixedTypes="0" containsString="0" containsNumber="1" minValue="53.209999999999994" maxValue="105.02"/>
    </cacheField>
    <cacheField name="Cost Per Day" numFmtId="164">
      <sharedItems containsSemiMixedTypes="0" containsString="0" containsNumber="1" minValue="1.7164516129032257" maxValue="3.3877419354838709"/>
    </cacheField>
    <cacheField name="Months (Bill Period Start)" numFmtId="0" databaseField="0">
      <fieldGroup base="0">
        <rangePr groupBy="months" startDate="2022-10-14T00:00:00" endDate="2024-05-15T00:00:00"/>
        <groupItems count="14">
          <s v="&lt;10/14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5/24"/>
        </groupItems>
      </fieldGroup>
    </cacheField>
    <cacheField name="Quarters (Bill Period Start)" numFmtId="0" databaseField="0">
      <fieldGroup base="0">
        <rangePr groupBy="quarters" startDate="2022-10-14T00:00:00" endDate="2024-05-15T00:00:00"/>
        <groupItems count="6">
          <s v="&lt;10/14/22"/>
          <s v="Qtr1"/>
          <s v="Qtr2"/>
          <s v="Qtr3"/>
          <s v="Qtr4"/>
          <s v="&gt;5/15/24"/>
        </groupItems>
      </fieldGroup>
    </cacheField>
    <cacheField name="Years (Bill Period Start)" numFmtId="0" databaseField="0">
      <fieldGroup base="0">
        <rangePr groupBy="years" startDate="2022-10-14T00:00:00" endDate="2024-05-15T00:00:00"/>
        <groupItems count="5">
          <s v="&lt;10/14/22"/>
          <s v="2022"/>
          <s v="2023"/>
          <s v="2024"/>
          <s v="&gt;5/15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d v="2024-06-14T00:00:00"/>
    <x v="0"/>
    <d v="2024-05-14T00:00:00"/>
    <n v="30"/>
    <x v="0"/>
    <x v="0"/>
    <n v="16.95"/>
    <n v="67.5"/>
    <n v="2.25"/>
    <n v="0.67566669999999995"/>
  </r>
  <r>
    <d v="2024-05-09T00:00:00"/>
    <x v="1"/>
    <d v="2024-04-14T00:00:00"/>
    <n v="31"/>
    <x v="1"/>
    <x v="1"/>
    <n v="20.81"/>
    <n v="81.22"/>
    <n v="2.62"/>
    <n v="0.69870969999999999"/>
  </r>
  <r>
    <d v="2024-04-11T00:00:00"/>
    <x v="2"/>
    <d v="2024-03-14T00:00:00"/>
    <n v="29"/>
    <x v="2"/>
    <x v="2"/>
    <n v="19.670000000000002"/>
    <n v="76.52"/>
    <n v="2.6386206896551725"/>
    <n v="0.69379310000000005"/>
  </r>
  <r>
    <d v="2024-03-13T00:00:00"/>
    <x v="3"/>
    <d v="2024-02-14T00:00:00"/>
    <n v="31"/>
    <x v="3"/>
    <x v="3"/>
    <n v="24.11"/>
    <n v="88.19"/>
    <n v="2.8448387096774193"/>
    <n v="0.65967739999999997"/>
  </r>
  <r>
    <d v="2024-02-13T00:00:00"/>
    <x v="4"/>
    <d v="2024-01-14T00:00:00"/>
    <n v="31"/>
    <x v="4"/>
    <x v="4"/>
    <n v="30.67"/>
    <n v="105.02"/>
    <n v="3.3877419354838709"/>
    <n v="0.65129029999999999"/>
  </r>
  <r>
    <d v="2024-01-12T00:00:00"/>
    <x v="5"/>
    <d v="2023-12-14T00:00:00"/>
    <n v="30"/>
    <x v="5"/>
    <x v="5"/>
    <n v="23.09"/>
    <n v="83.62"/>
    <n v="2.7873333333333337"/>
    <n v="0.67033330000000002"/>
  </r>
  <r>
    <d v="2023-12-13T00:00:00"/>
    <x v="6"/>
    <d v="2023-11-14T00:00:00"/>
    <n v="31"/>
    <x v="6"/>
    <x v="6"/>
    <n v="23.03"/>
    <n v="80.02000000000001"/>
    <n v="2.5812903225806454"/>
    <n v="0.58774190000000004"/>
  </r>
  <r>
    <d v="2024-11-13T00:00:00"/>
    <x v="7"/>
    <d v="2023-10-14T00:00:00"/>
    <n v="30"/>
    <x v="7"/>
    <x v="7"/>
    <n v="20.54"/>
    <n v="72.09"/>
    <n v="2.403"/>
    <n v="0.60333329999999996"/>
  </r>
  <r>
    <d v="2023-10-12T00:00:00"/>
    <x v="8"/>
    <d v="2023-09-14T00:00:00"/>
    <n v="31"/>
    <x v="8"/>
    <x v="8"/>
    <n v="18.02"/>
    <n v="65.05"/>
    <n v="2.0983870967741933"/>
    <n v="0.57548390000000005"/>
  </r>
  <r>
    <d v="2023-09-14T00:00:00"/>
    <x v="9"/>
    <d v="2023-08-14T00:00:00"/>
    <n v="31"/>
    <x v="9"/>
    <x v="9"/>
    <n v="16.38"/>
    <n v="60.099999999999994"/>
    <n v="1.9387096774193546"/>
    <n v="0.57419350000000002"/>
  </r>
  <r>
    <d v="2023-08-07T00:00:00"/>
    <x v="10"/>
    <d v="2023-07-14T00:00:00"/>
    <n v="30"/>
    <x v="10"/>
    <x v="10"/>
    <n v="17.88"/>
    <n v="64.11"/>
    <n v="2.137"/>
    <n v="0.58499999999999996"/>
  </r>
  <r>
    <d v="2023-07-14T00:00:00"/>
    <x v="11"/>
    <d v="2023-06-14T00:00:00"/>
    <n v="31"/>
    <x v="11"/>
    <x v="11"/>
    <n v="16.62"/>
    <n v="61.5"/>
    <n v="1.9838709677419355"/>
    <n v="0.56774190000000002"/>
  </r>
  <r>
    <d v="2023-06-13T00:00:00"/>
    <x v="12"/>
    <d v="2023-05-14T00:00:00"/>
    <n v="30"/>
    <x v="12"/>
    <x v="12"/>
    <n v="16.8"/>
    <n v="61.510000000000005"/>
    <n v="2.0503333333333336"/>
    <n v="0.57966669999999998"/>
  </r>
  <r>
    <d v="2023-05-11T00:00:00"/>
    <x v="13"/>
    <d v="2023-04-14T00:00:00"/>
    <n v="31"/>
    <x v="13"/>
    <x v="13"/>
    <n v="17.88"/>
    <n v="64.399999999999991"/>
    <n v="2.0774193548387094"/>
    <n v="0.56838710000000003"/>
  </r>
  <r>
    <d v="2023-04-13T00:00:00"/>
    <x v="14"/>
    <d v="2023-03-14T00:00:00"/>
    <n v="28"/>
    <x v="14"/>
    <x v="14"/>
    <n v="15.51"/>
    <n v="58.550000000000004"/>
    <n v="2.0910714285714289"/>
    <n v="0.63821430000000001"/>
  </r>
  <r>
    <d v="2023-03-13T00:00:00"/>
    <x v="15"/>
    <d v="2023-02-14T00:00:00"/>
    <n v="31"/>
    <x v="15"/>
    <x v="15"/>
    <n v="16.41"/>
    <n v="60.11"/>
    <n v="1.9390322580645161"/>
    <n v="0.57290319999999995"/>
  </r>
  <r>
    <d v="2023-02-14T00:00:00"/>
    <x v="16"/>
    <d v="2023-01-14T00:00:00"/>
    <n v="31"/>
    <x v="16"/>
    <x v="16"/>
    <n v="18.03"/>
    <n v="62.83"/>
    <n v="2.0267741935483872"/>
    <n v="0.54967739999999998"/>
  </r>
  <r>
    <d v="2023-01-13T00:00:00"/>
    <x v="17"/>
    <d v="2022-12-14T00:00:00"/>
    <n v="30"/>
    <x v="17"/>
    <x v="17"/>
    <n v="15.71"/>
    <n v="56.99"/>
    <n v="1.8996666666666668"/>
    <n v="0.56466669999999997"/>
  </r>
  <r>
    <d v="2022-12-14T00:00:00"/>
    <x v="18"/>
    <d v="2022-11-14T00:00:00"/>
    <n v="31"/>
    <x v="18"/>
    <x v="18"/>
    <n v="14.55"/>
    <n v="53.209999999999994"/>
    <n v="1.7164516129032257"/>
    <n v="0.539032300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31"/>
    <n v="16.71"/>
    <n v="21.95"/>
    <n v="14.55"/>
    <n v="0.53903230000000002"/>
    <n v="53.209999999999994"/>
  </r>
  <r>
    <x v="1"/>
    <n v="30"/>
    <n v="16.940000000000001"/>
    <n v="24.34"/>
    <n v="15.71"/>
    <n v="0.56466669999999997"/>
    <n v="56.99"/>
  </r>
  <r>
    <x v="2"/>
    <n v="31"/>
    <n v="17.04"/>
    <n v="27.76"/>
    <n v="18.03"/>
    <n v="0.54967739999999998"/>
    <n v="62.83"/>
  </r>
  <r>
    <x v="3"/>
    <n v="31"/>
    <n v="17.760000000000002"/>
    <n v="25.94"/>
    <n v="16.41"/>
    <n v="0.57290319999999995"/>
    <n v="60.11"/>
  </r>
  <r>
    <x v="4"/>
    <n v="28"/>
    <n v="17.87"/>
    <n v="25.17"/>
    <n v="15.51"/>
    <n v="0.63821430000000001"/>
    <n v="58.550000000000004"/>
  </r>
  <r>
    <x v="5"/>
    <n v="31"/>
    <n v="17.62"/>
    <n v="28.9"/>
    <n v="17.88"/>
    <n v="0.56838710000000003"/>
    <n v="64.399999999999991"/>
  </r>
  <r>
    <x v="6"/>
    <n v="30"/>
    <n v="17.39"/>
    <n v="27.32"/>
    <n v="16.8"/>
    <n v="0.57966669999999998"/>
    <n v="61.510000000000005"/>
  </r>
  <r>
    <x v="7"/>
    <n v="31"/>
    <n v="17.600000000000001"/>
    <n v="27.28"/>
    <n v="16.62"/>
    <n v="0.56774190000000002"/>
    <n v="61.5"/>
  </r>
  <r>
    <x v="8"/>
    <n v="30"/>
    <n v="17.55"/>
    <n v="28.68"/>
    <n v="17.88"/>
    <n v="0.58499999999999996"/>
    <n v="64.11"/>
  </r>
  <r>
    <x v="9"/>
    <n v="31"/>
    <n v="17.8"/>
    <n v="25.92"/>
    <n v="16.38"/>
    <n v="0.57419350000000002"/>
    <n v="60.099999999999994"/>
  </r>
  <r>
    <x v="10"/>
    <n v="31"/>
    <n v="17.84"/>
    <n v="29.19"/>
    <n v="18.02"/>
    <n v="0.57548390000000005"/>
    <n v="65.05"/>
  </r>
  <r>
    <x v="11"/>
    <n v="30"/>
    <n v="18.100000000000001"/>
    <n v="33.450000000000003"/>
    <n v="20.54"/>
    <n v="0.60333329999999996"/>
    <n v="72.09"/>
  </r>
  <r>
    <x v="12"/>
    <n v="31"/>
    <n v="18.22"/>
    <n v="38.770000000000003"/>
    <n v="23.03"/>
    <n v="0.58774190000000004"/>
    <n v="80.02000000000001"/>
  </r>
  <r>
    <x v="13"/>
    <n v="30"/>
    <n v="20.11"/>
    <n v="40.42"/>
    <n v="23.09"/>
    <n v="0.67033330000000002"/>
    <n v="83.62"/>
  </r>
  <r>
    <x v="14"/>
    <n v="31"/>
    <n v="20.190000000000001"/>
    <n v="54.16"/>
    <n v="30.67"/>
    <n v="0.65129029999999999"/>
    <n v="105.02"/>
  </r>
  <r>
    <x v="15"/>
    <n v="31"/>
    <n v="20.45"/>
    <n v="43.63"/>
    <n v="24.11"/>
    <n v="0.65967739999999997"/>
    <n v="88.19"/>
  </r>
  <r>
    <x v="16"/>
    <n v="29"/>
    <n v="20.12"/>
    <n v="36.729999999999997"/>
    <n v="19.670000000000002"/>
    <n v="0.69379310000000005"/>
    <n v="76.52"/>
  </r>
  <r>
    <x v="17"/>
    <n v="31"/>
    <n v="21.66"/>
    <n v="38.75"/>
    <n v="20.81"/>
    <n v="0.69870969999999999"/>
    <n v="81.22"/>
  </r>
  <r>
    <x v="18"/>
    <n v="30"/>
    <n v="20.27"/>
    <n v="30.28"/>
    <n v="16.95"/>
    <n v="0.67566669999999995"/>
    <n v="67.5"/>
  </r>
  <r>
    <x v="19"/>
    <n v="31"/>
    <n v="21.93"/>
    <n v="29.06"/>
    <n v="16.62"/>
    <n v="0.70741940000000003"/>
    <n v="67.6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31"/>
    <n v="16.71"/>
    <n v="21.95"/>
    <n v="14.55"/>
    <n v="0.53903230000000002"/>
    <n v="53.209999999999994"/>
    <n v="1.7164516129032257"/>
  </r>
  <r>
    <x v="1"/>
    <n v="30"/>
    <n v="16.940000000000001"/>
    <n v="24.34"/>
    <n v="15.71"/>
    <n v="0.56466669999999997"/>
    <n v="56.99"/>
    <n v="1.8996666666666668"/>
  </r>
  <r>
    <x v="2"/>
    <n v="31"/>
    <n v="17.04"/>
    <n v="27.76"/>
    <n v="18.03"/>
    <n v="0.54967739999999998"/>
    <n v="62.83"/>
    <n v="2.0267741935483872"/>
  </r>
  <r>
    <x v="3"/>
    <n v="31"/>
    <n v="17.760000000000002"/>
    <n v="25.94"/>
    <n v="16.41"/>
    <n v="0.57290319999999995"/>
    <n v="60.11"/>
    <n v="1.9390322580645161"/>
  </r>
  <r>
    <x v="4"/>
    <n v="28"/>
    <n v="17.87"/>
    <n v="25.17"/>
    <n v="15.51"/>
    <n v="0.63821430000000001"/>
    <n v="58.550000000000004"/>
    <n v="2.0910714285714289"/>
  </r>
  <r>
    <x v="5"/>
    <n v="31"/>
    <n v="17.62"/>
    <n v="28.9"/>
    <n v="17.88"/>
    <n v="0.56838710000000003"/>
    <n v="64.399999999999991"/>
    <n v="2.0774193548387094"/>
  </r>
  <r>
    <x v="6"/>
    <n v="30"/>
    <n v="17.39"/>
    <n v="27.32"/>
    <n v="16.8"/>
    <n v="0.57966669999999998"/>
    <n v="61.510000000000005"/>
    <n v="2.0503333333333336"/>
  </r>
  <r>
    <x v="7"/>
    <n v="31"/>
    <n v="17.600000000000001"/>
    <n v="27.28"/>
    <n v="16.62"/>
    <n v="0.56774190000000002"/>
    <n v="61.5"/>
    <n v="1.9838709677419355"/>
  </r>
  <r>
    <x v="8"/>
    <n v="30"/>
    <n v="17.55"/>
    <n v="28.68"/>
    <n v="17.88"/>
    <n v="0.58499999999999996"/>
    <n v="64.11"/>
    <n v="2.137"/>
  </r>
  <r>
    <x v="9"/>
    <n v="31"/>
    <n v="17.8"/>
    <n v="25.92"/>
    <n v="16.38"/>
    <n v="0.57419350000000002"/>
    <n v="60.099999999999994"/>
    <n v="1.9387096774193546"/>
  </r>
  <r>
    <x v="10"/>
    <n v="31"/>
    <n v="17.84"/>
    <n v="29.19"/>
    <n v="18.02"/>
    <n v="0.57548390000000005"/>
    <n v="65.05"/>
    <n v="2.0983870967741933"/>
  </r>
  <r>
    <x v="11"/>
    <n v="30"/>
    <n v="18.100000000000001"/>
    <n v="33.450000000000003"/>
    <n v="20.54"/>
    <n v="0.60333329999999996"/>
    <n v="72.09"/>
    <n v="2.403"/>
  </r>
  <r>
    <x v="12"/>
    <n v="31"/>
    <n v="18.22"/>
    <n v="38.770000000000003"/>
    <n v="23.03"/>
    <n v="0.58774190000000004"/>
    <n v="80.02000000000001"/>
    <n v="2.5812903225806454"/>
  </r>
  <r>
    <x v="13"/>
    <n v="30"/>
    <n v="20.11"/>
    <n v="40.42"/>
    <n v="23.09"/>
    <n v="0.67033330000000002"/>
    <n v="83.62"/>
    <n v="2.7873333333333337"/>
  </r>
  <r>
    <x v="14"/>
    <n v="31"/>
    <n v="20.190000000000001"/>
    <n v="54.16"/>
    <n v="30.67"/>
    <n v="0.65129029999999999"/>
    <n v="105.02"/>
    <n v="3.3877419354838709"/>
  </r>
  <r>
    <x v="15"/>
    <n v="31"/>
    <n v="20.45"/>
    <n v="43.63"/>
    <n v="24.11"/>
    <n v="0.65967739999999997"/>
    <n v="88.19"/>
    <n v="2.8448387096774193"/>
  </r>
  <r>
    <x v="16"/>
    <n v="29"/>
    <n v="20.12"/>
    <n v="36.729999999999997"/>
    <n v="19.670000000000002"/>
    <n v="0.69379310000000005"/>
    <n v="76.52"/>
    <n v="2.6386206896551725"/>
  </r>
  <r>
    <x v="17"/>
    <n v="31"/>
    <n v="21.66"/>
    <n v="38.75"/>
    <n v="20.81"/>
    <n v="0.69870969999999999"/>
    <n v="81.22"/>
    <n v="2.62"/>
  </r>
  <r>
    <x v="18"/>
    <n v="30"/>
    <n v="20.27"/>
    <n v="30.28"/>
    <n v="16.95"/>
    <n v="0.67566669999999995"/>
    <n v="67.5"/>
    <n v="2.25"/>
  </r>
  <r>
    <x v="19"/>
    <n v="31"/>
    <n v="21.93"/>
    <n v="29.06"/>
    <n v="16.62"/>
    <n v="0.70741940000000003"/>
    <n v="67.61"/>
    <n v="2.1809677419354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3765F7-E44B-654C-BD90-3731AE8CAC61}" name="PivotTable1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F41" firstHeaderRow="0" firstDataRow="1" firstDataCol="1"/>
  <pivotFields count="13">
    <pivotField numFmtId="14" showAll="0"/>
    <pivotField numFmtId="14" showAll="0">
      <items count="20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14" showAll="0"/>
    <pivotField numFmtId="1" showAll="0"/>
    <pivotField dataField="1" numFmtId="164" showAll="0">
      <items count="20">
        <item x="18"/>
        <item x="17"/>
        <item x="16"/>
        <item x="12"/>
        <item x="10"/>
        <item x="11"/>
        <item x="13"/>
        <item x="15"/>
        <item x="9"/>
        <item x="8"/>
        <item x="14"/>
        <item x="7"/>
        <item x="6"/>
        <item x="5"/>
        <item x="2"/>
        <item x="4"/>
        <item x="0"/>
        <item x="3"/>
        <item x="1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numFmtId="165" showAll="0"/>
    <pivotField axis="axisRow" showAll="0">
      <items count="15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  <item t="default"/>
      </items>
    </pivotField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2">
    <field x="10"/>
    <field x="12"/>
  </rowFields>
  <rowItems count="32">
    <i>
      <x v="1"/>
    </i>
    <i r="1">
      <x v="2"/>
    </i>
    <i r="1">
      <x v="3"/>
    </i>
    <i>
      <x v="2"/>
    </i>
    <i r="1">
      <x v="2"/>
    </i>
    <i r="1">
      <x v="3"/>
    </i>
    <i>
      <x v="3"/>
    </i>
    <i r="1">
      <x v="2"/>
    </i>
    <i r="1">
      <x v="3"/>
    </i>
    <i>
      <x v="4"/>
    </i>
    <i r="1">
      <x v="2"/>
    </i>
    <i r="1">
      <x v="3"/>
    </i>
    <i>
      <x v="5"/>
    </i>
    <i r="1">
      <x v="2"/>
    </i>
    <i>
      <x v="6"/>
    </i>
    <i r="1">
      <x v="2"/>
    </i>
    <i>
      <x v="7"/>
    </i>
    <i r="1">
      <x v="2"/>
    </i>
    <i>
      <x v="8"/>
    </i>
    <i r="1">
      <x v="2"/>
    </i>
    <i>
      <x v="9"/>
    </i>
    <i r="1">
      <x v="2"/>
    </i>
    <i>
      <x v="10"/>
    </i>
    <i r="1">
      <x v="1"/>
    </i>
    <i r="1">
      <x v="2"/>
    </i>
    <i>
      <x v="11"/>
    </i>
    <i r="1">
      <x v="1"/>
    </i>
    <i r="1">
      <x v="2"/>
    </i>
    <i>
      <x v="12"/>
    </i>
    <i r="1">
      <x v="1"/>
    </i>
    <i r="1"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Trash Charges" fld="4" subtotal="average" baseField="0" baseItem="0"/>
    <dataField name="Average of Water Charges" fld="5" subtotal="average" baseField="0" baseItem="0"/>
    <dataField name="Average of Sewer Charges" fld="6" subtotal="average" baseField="0" baseItem="0"/>
    <dataField name="Average of Total Bill" fld="7" subtotal="average" baseField="0" baseItem="0"/>
    <dataField name="Average of Cost Per Day" fld="8" subtotal="average" baseField="0" baseItem="0"/>
  </dataFields>
  <formats count="4">
    <format dxfId="170">
      <pivotArea outline="0" collapsedLevelsAreSubtotals="1" fieldPosition="0"/>
    </format>
    <format dxfId="16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68">
      <pivotArea field="12" type="button" dataOnly="0" labelOnly="1" outline="0" axis="axisRow" fieldPosition="1"/>
    </format>
    <format dxfId="16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5D9E46-EC47-4E4C-8069-D245A136E3D8}" name="PivotTable1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7" firstHeaderRow="0" firstDataRow="1" firstDataCol="1"/>
  <pivotFields count="13">
    <pivotField numFmtId="14" showAll="0"/>
    <pivotField axis="axisRow" numFmtId="14" showAll="0">
      <items count="20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14" showAll="0"/>
    <pivotField numFmtId="1" showAll="0"/>
    <pivotField dataField="1" numFmtId="164" showAll="0">
      <items count="20">
        <item x="18"/>
        <item x="17"/>
        <item x="16"/>
        <item x="12"/>
        <item x="10"/>
        <item x="11"/>
        <item x="13"/>
        <item x="15"/>
        <item x="9"/>
        <item x="8"/>
        <item x="14"/>
        <item x="7"/>
        <item x="6"/>
        <item x="5"/>
        <item x="2"/>
        <item x="4"/>
        <item x="0"/>
        <item x="3"/>
        <item x="1"/>
        <item t="default"/>
      </items>
    </pivotField>
    <pivotField dataField="1" numFmtId="164" showAll="0"/>
    <pivotField dataField="1" numFmtId="164" showAll="0"/>
    <pivotField dataField="1" numFmtId="164" showAll="0"/>
    <pivotField numFmtId="164" showAll="0"/>
    <pivotField numFmtId="165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12"/>
    <field x="1"/>
  </rowFields>
  <rowItems count="4"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rash Charges" fld="4" subtotal="average" baseField="0" baseItem="0"/>
    <dataField name="Average of Water Charges" fld="5" subtotal="average" baseField="0" baseItem="0"/>
    <dataField name="Average of Sewer Charges" fld="6" subtotal="average" baseField="0" baseItem="0"/>
    <dataField name="Average of Total Bill" fld="7" subtotal="average" baseField="0" baseItem="0"/>
  </dataFields>
  <formats count="4">
    <format dxfId="174">
      <pivotArea outline="0" collapsedLevelsAreSubtotals="1" fieldPosition="0"/>
    </format>
    <format dxfId="17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72">
      <pivotArea field="12" type="button" dataOnly="0" labelOnly="1" outline="0" axis="axisRow" fieldPosition="0"/>
    </format>
    <format dxfId="17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C0C61-D84B-2F4F-9DB3-9ED3217F9C2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2" firstHeaderRow="0" firstDataRow="1" firstDataCol="1"/>
  <pivotFields count="11"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umFmtId="1" showAll="0"/>
    <pivotField numFmtId="164" showAll="0"/>
    <pivotField numFmtId="164" showAll="0"/>
    <pivotField numFmtId="164" showAll="0"/>
    <pivotField numFmtId="165" showAll="0"/>
    <pivotField dataField="1" numFmtId="164" showAll="0"/>
    <pivotField numFmtId="164" showAll="0"/>
    <pivotField axis="axisRow" showAll="0">
      <items count="15">
        <item sd="0" x="0"/>
        <item x="1"/>
        <item x="2"/>
        <item x="3"/>
        <item x="4"/>
        <item x="5"/>
        <item sd="0" x="6"/>
        <item sd="0" x="7"/>
        <item sd="0" x="8"/>
        <item sd="0" x="9"/>
        <item x="10"/>
        <item x="11"/>
        <item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2">
    <field x="8"/>
    <field x="10"/>
  </rowFields>
  <rowItems count="29">
    <i>
      <x v="1"/>
    </i>
    <i r="1">
      <x v="2"/>
    </i>
    <i r="1">
      <x v="3"/>
    </i>
    <i>
      <x v="2"/>
    </i>
    <i r="1">
      <x v="2"/>
    </i>
    <i r="1">
      <x v="3"/>
    </i>
    <i>
      <x v="3"/>
    </i>
    <i r="1">
      <x v="2"/>
    </i>
    <i r="1">
      <x v="3"/>
    </i>
    <i>
      <x v="4"/>
    </i>
    <i r="1">
      <x v="2"/>
    </i>
    <i r="1">
      <x v="3"/>
    </i>
    <i>
      <x v="5"/>
    </i>
    <i r="1">
      <x v="2"/>
    </i>
    <i r="1">
      <x v="3"/>
    </i>
    <i>
      <x v="6"/>
    </i>
    <i>
      <x v="7"/>
    </i>
    <i>
      <x v="8"/>
    </i>
    <i>
      <x v="9"/>
    </i>
    <i>
      <x v="10"/>
    </i>
    <i r="1">
      <x v="1"/>
    </i>
    <i r="1">
      <x v="2"/>
    </i>
    <i>
      <x v="11"/>
    </i>
    <i r="1">
      <x v="1"/>
    </i>
    <i r="1">
      <x v="2"/>
    </i>
    <i>
      <x v="12"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 Bill" fld="6" subtotal="average" baseField="0" baseItem="0" numFmtId="164"/>
    <dataField name="Percent Change" fld="6" showDataAs="percentDiff" baseField="10" baseItem="1048828" numFmtId="10"/>
  </dataFields>
  <formats count="3">
    <format dxfId="158">
      <pivotArea outline="0" collapsedLevelsAreSubtotals="1" fieldPosition="0"/>
    </format>
    <format dxfId="157">
      <pivotArea dataOnly="0" labelOnly="1" outline="0" axis="axisValues" fieldPosition="0"/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A18C3-587F-454F-B5AF-4254D6ACB0DB}" name="PivotTable8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Bill Period">
  <location ref="E25:F45" firstHeaderRow="1" firstDataRow="1" firstDataCol="1"/>
  <pivotFields count="10">
    <pivotField axis="axisRow"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umFmtId="1" showAll="0"/>
    <pivotField numFmtId="164" showAll="0"/>
    <pivotField dataField="1" numFmtId="164" showAll="0"/>
    <pivotField numFmtId="164" showAll="0"/>
    <pivotField numFmtId="165" showAll="0"/>
    <pivotField numFmtId="16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Items count="1">
    <i/>
  </colItems>
  <dataFields count="1">
    <dataField name="% Change" fld="3" showDataAs="percentDiff" baseField="0" baseItem="1048828" numFmtId="10"/>
  </dataFields>
  <formats count="22">
    <format dxfId="196">
      <pivotArea type="all" dataOnly="0" outline="0" fieldPosition="0"/>
    </format>
    <format dxfId="195">
      <pivotArea outline="0" collapsedLevelsAreSubtotals="1" fieldPosition="0"/>
    </format>
    <format dxfId="194">
      <pivotArea field="0" type="button" dataOnly="0" labelOnly="1" outline="0" axis="axisRow" fieldPosition="0"/>
    </format>
    <format dxfId="193">
      <pivotArea dataOnly="0" labelOnly="1" fieldPosition="0">
        <references count="1">
          <reference field="0" count="0"/>
        </references>
      </pivotArea>
    </format>
    <format dxfId="192">
      <pivotArea dataOnly="0" labelOnly="1" grandRow="1" outline="0" fieldPosition="0"/>
    </format>
    <format dxfId="191">
      <pivotArea dataOnly="0" labelOnly="1" outline="0" axis="axisValues" fieldPosition="0"/>
    </format>
    <format dxfId="190">
      <pivotArea outline="0" collapsedLevelsAreSubtotals="1" fieldPosition="0"/>
    </format>
    <format dxfId="189">
      <pivotArea dataOnly="0" labelOnly="1" outline="0" axis="axisValues" fieldPosition="0"/>
    </format>
    <format dxfId="188">
      <pivotArea type="all" dataOnly="0" outline="0" fieldPosition="0"/>
    </format>
    <format dxfId="187">
      <pivotArea outline="0" collapsedLevelsAreSubtotals="1" fieldPosition="0"/>
    </format>
    <format dxfId="186">
      <pivotArea field="0" type="button" dataOnly="0" labelOnly="1" outline="0" axis="axisRow" fieldPosition="0"/>
    </format>
    <format dxfId="185">
      <pivotArea dataOnly="0" labelOnly="1" fieldPosition="0">
        <references count="1">
          <reference field="0" count="0"/>
        </references>
      </pivotArea>
    </format>
    <format dxfId="184">
      <pivotArea outline="0" fieldPosition="0">
        <references count="1">
          <reference field="4294967294" count="1">
            <x v="0"/>
          </reference>
        </references>
      </pivotArea>
    </format>
    <format dxfId="183">
      <pivotArea field="0" type="button" dataOnly="0" labelOnly="1" outline="0" axis="axisRow" fieldPosition="0"/>
    </format>
    <format dxfId="1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1">
      <pivotArea type="all" dataOnly="0" outline="0" fieldPosition="0"/>
    </format>
    <format dxfId="180">
      <pivotArea outline="0" collapsedLevelsAreSubtotals="1" fieldPosition="0"/>
    </format>
    <format dxfId="179">
      <pivotArea field="0" type="button" dataOnly="0" labelOnly="1" outline="0" axis="axisRow" fieldPosition="0"/>
    </format>
    <format dxfId="178">
      <pivotArea dataOnly="0" labelOnly="1" fieldPosition="0">
        <references count="1">
          <reference field="0" count="0"/>
        </references>
      </pivotArea>
    </format>
    <format dxfId="1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6">
      <pivotArea field="0" type="button" dataOnly="0" labelOnly="1" outline="0" axis="axisRow" fieldPosition="0"/>
    </format>
    <format dxfId="175">
      <pivotArea dataOnly="0" labelOnly="1" outline="0" fieldPosition="0">
        <references count="1">
          <reference field="4294967294" count="1">
            <x v="0"/>
          </reference>
        </references>
      </pivotArea>
    </format>
  </formats>
  <conditionalFormats count="3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2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730661-45BA-A141-84D4-849A30413380}" name="PivotTable7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 rowHeaderCaption="Bill Period">
  <location ref="I25:J45" firstHeaderRow="1" firstDataRow="1" firstDataCol="1"/>
  <pivotFields count="10">
    <pivotField axis="axisRow"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umFmtId="1" showAll="0"/>
    <pivotField numFmtId="164" showAll="0"/>
    <pivotField numFmtId="164" showAll="0"/>
    <pivotField dataField="1" numFmtId="164" showAll="0"/>
    <pivotField numFmtId="165" showAll="0"/>
    <pivotField numFmtId="16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Items count="1">
    <i/>
  </colItems>
  <dataFields count="1">
    <dataField name="% Change" fld="4" showDataAs="percentDiff" baseField="0" baseItem="1048828" numFmtId="10"/>
  </dataFields>
  <formats count="22">
    <format dxfId="218">
      <pivotArea type="all" dataOnly="0" outline="0" fieldPosition="0"/>
    </format>
    <format dxfId="217">
      <pivotArea outline="0" collapsedLevelsAreSubtotals="1" fieldPosition="0"/>
    </format>
    <format dxfId="216">
      <pivotArea field="0" type="button" dataOnly="0" labelOnly="1" outline="0" axis="axisRow" fieldPosition="0"/>
    </format>
    <format dxfId="215">
      <pivotArea dataOnly="0" labelOnly="1" fieldPosition="0">
        <references count="1">
          <reference field="0" count="0"/>
        </references>
      </pivotArea>
    </format>
    <format dxfId="214">
      <pivotArea dataOnly="0" labelOnly="1" grandRow="1" outline="0" fieldPosition="0"/>
    </format>
    <format dxfId="213">
      <pivotArea dataOnly="0" labelOnly="1" outline="0" axis="axisValues" fieldPosition="0"/>
    </format>
    <format dxfId="212">
      <pivotArea outline="0" collapsedLevelsAreSubtotals="1" fieldPosition="0"/>
    </format>
    <format dxfId="211">
      <pivotArea dataOnly="0" labelOnly="1" outline="0" axis="axisValues" fieldPosition="0"/>
    </format>
    <format dxfId="210">
      <pivotArea type="all" dataOnly="0" outline="0" fieldPosition="0"/>
    </format>
    <format dxfId="209">
      <pivotArea outline="0" collapsedLevelsAreSubtotals="1" fieldPosition="0"/>
    </format>
    <format dxfId="208">
      <pivotArea field="0" type="button" dataOnly="0" labelOnly="1" outline="0" axis="axisRow" fieldPosition="0"/>
    </format>
    <format dxfId="207">
      <pivotArea dataOnly="0" labelOnly="1" fieldPosition="0">
        <references count="1">
          <reference field="0" count="0"/>
        </references>
      </pivotArea>
    </format>
    <format dxfId="206">
      <pivotArea outline="0" fieldPosition="0">
        <references count="1">
          <reference field="4294967294" count="1">
            <x v="0"/>
          </reference>
        </references>
      </pivotArea>
    </format>
    <format dxfId="205">
      <pivotArea field="0" type="button" dataOnly="0" labelOnly="1" outline="0" axis="axisRow" fieldPosition="0"/>
    </format>
    <format dxfId="20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3">
      <pivotArea type="all" dataOnly="0" outline="0" fieldPosition="0"/>
    </format>
    <format dxfId="202">
      <pivotArea outline="0" collapsedLevelsAreSubtotals="1" fieldPosition="0"/>
    </format>
    <format dxfId="201">
      <pivotArea field="0" type="button" dataOnly="0" labelOnly="1" outline="0" axis="axisRow" fieldPosition="0"/>
    </format>
    <format dxfId="200">
      <pivotArea dataOnly="0" labelOnly="1" fieldPosition="0">
        <references count="1">
          <reference field="0" count="0"/>
        </references>
      </pivotArea>
    </format>
    <format dxfId="19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8">
      <pivotArea field="0" type="button" dataOnly="0" labelOnly="1" outline="0" axis="axisRow" fieldPosition="0"/>
    </format>
    <format dxfId="197">
      <pivotArea dataOnly="0" labelOnly="1"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9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</conditionalFormats>
  <pivotTableStyleInfo name="PivotStyleMedium2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3881DE-9BE9-A441-9E7B-5D00B5A48E46}" name="PivotTable6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1" rowHeaderCaption="Bill Period">
  <location ref="N3:O23" firstHeaderRow="1" firstDataRow="1" firstDataCol="1"/>
  <pivotFields count="10">
    <pivotField axis="axisRow"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umFmtId="1" showAll="0"/>
    <pivotField numFmtId="164" showAll="0"/>
    <pivotField numFmtId="164" showAll="0"/>
    <pivotField numFmtId="164" showAll="0"/>
    <pivotField numFmtId="165" showAll="0"/>
    <pivotField dataField="1" numFmtId="16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Items count="1">
    <i/>
  </colItems>
  <dataFields count="1">
    <dataField name="% Change" fld="6" showDataAs="percentDiff" baseField="0" baseItem="1048828" numFmtId="10"/>
  </dataFields>
  <formats count="23">
    <format dxfId="241">
      <pivotArea type="all" dataOnly="0" outline="0" fieldPosition="0"/>
    </format>
    <format dxfId="240">
      <pivotArea outline="0" collapsedLevelsAreSubtotals="1" fieldPosition="0"/>
    </format>
    <format dxfId="239">
      <pivotArea field="0" type="button" dataOnly="0" labelOnly="1" outline="0" axis="axisRow" fieldPosition="0"/>
    </format>
    <format dxfId="238">
      <pivotArea dataOnly="0" labelOnly="1" fieldPosition="0">
        <references count="1">
          <reference field="0" count="0"/>
        </references>
      </pivotArea>
    </format>
    <format dxfId="237">
      <pivotArea dataOnly="0" labelOnly="1" grandRow="1" outline="0" fieldPosition="0"/>
    </format>
    <format dxfId="236">
      <pivotArea dataOnly="0" labelOnly="1" outline="0" axis="axisValues" fieldPosition="0"/>
    </format>
    <format dxfId="235">
      <pivotArea outline="0" collapsedLevelsAreSubtotals="1" fieldPosition="0"/>
    </format>
    <format dxfId="234">
      <pivotArea dataOnly="0" labelOnly="1" outline="0" axis="axisValues" fieldPosition="0"/>
    </format>
    <format dxfId="233">
      <pivotArea outline="0" fieldPosition="0">
        <references count="1">
          <reference field="4294967294" count="1">
            <x v="0"/>
          </reference>
        </references>
      </pivotArea>
    </format>
    <format dxfId="232">
      <pivotArea type="all" dataOnly="0" outline="0" fieldPosition="0"/>
    </format>
    <format dxfId="231">
      <pivotArea outline="0" collapsedLevelsAreSubtotals="1" fieldPosition="0"/>
    </format>
    <format dxfId="230">
      <pivotArea field="0" type="button" dataOnly="0" labelOnly="1" outline="0" axis="axisRow" fieldPosition="0"/>
    </format>
    <format dxfId="229">
      <pivotArea dataOnly="0" labelOnly="1" fieldPosition="0">
        <references count="1">
          <reference field="0" count="0"/>
        </references>
      </pivotArea>
    </format>
    <format dxfId="2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7">
      <pivotArea field="0" type="button" dataOnly="0" labelOnly="1" outline="0" axis="axisRow" fieldPosition="0"/>
    </format>
    <format dxfId="2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5">
      <pivotArea type="all" dataOnly="0" outline="0" fieldPosition="0"/>
    </format>
    <format dxfId="224">
      <pivotArea outline="0" collapsedLevelsAreSubtotals="1" fieldPosition="0"/>
    </format>
    <format dxfId="223">
      <pivotArea field="0" type="button" dataOnly="0" labelOnly="1" outline="0" axis="axisRow" fieldPosition="0"/>
    </format>
    <format dxfId="222">
      <pivotArea dataOnly="0" labelOnly="1" fieldPosition="0">
        <references count="1">
          <reference field="0" count="0"/>
        </references>
      </pivotArea>
    </format>
    <format dxfId="2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0">
      <pivotArea field="0" type="button" dataOnly="0" labelOnly="1" outline="0" axis="axisRow" fieldPosition="0"/>
    </format>
    <format dxfId="219">
      <pivotArea dataOnly="0" labelOnly="1"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8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0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Medium2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E3EB4-3C00-5D40-AAC7-88E8955EBB8A}" name="PivotTable5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 rowHeaderCaption="Bill Period">
  <location ref="A25:B45" firstHeaderRow="1" firstDataRow="1" firstDataCol="1"/>
  <pivotFields count="10">
    <pivotField axis="axisRow"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umFmtId="1" showAll="0"/>
    <pivotField dataField="1" numFmtId="164" showAll="0"/>
    <pivotField numFmtId="164" showAll="0"/>
    <pivotField numFmtId="164" showAll="0"/>
    <pivotField numFmtId="165" showAll="0"/>
    <pivotField numFmtId="16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Items count="1">
    <i/>
  </colItems>
  <dataFields count="1">
    <dataField name="% Change" fld="2" showDataAs="percentDiff" baseField="0" baseItem="1048828" numFmtId="10"/>
  </dataFields>
  <formats count="22">
    <format dxfId="263">
      <pivotArea type="all" dataOnly="0" outline="0" fieldPosition="0"/>
    </format>
    <format dxfId="262">
      <pivotArea outline="0" collapsedLevelsAreSubtotals="1" fieldPosition="0"/>
    </format>
    <format dxfId="261">
      <pivotArea field="0" type="button" dataOnly="0" labelOnly="1" outline="0" axis="axisRow" fieldPosition="0"/>
    </format>
    <format dxfId="260">
      <pivotArea dataOnly="0" labelOnly="1" fieldPosition="0">
        <references count="1">
          <reference field="0" count="0"/>
        </references>
      </pivotArea>
    </format>
    <format dxfId="259">
      <pivotArea dataOnly="0" labelOnly="1" grandRow="1" outline="0" fieldPosition="0"/>
    </format>
    <format dxfId="258">
      <pivotArea dataOnly="0" labelOnly="1" outline="0" axis="axisValues" fieldPosition="0"/>
    </format>
    <format dxfId="257">
      <pivotArea outline="0" collapsedLevelsAreSubtotals="1" fieldPosition="0"/>
    </format>
    <format dxfId="256">
      <pivotArea dataOnly="0" labelOnly="1" outline="0" axis="axisValues" fieldPosition="0"/>
    </format>
    <format dxfId="255">
      <pivotArea type="all" dataOnly="0" outline="0" fieldPosition="0"/>
    </format>
    <format dxfId="254">
      <pivotArea outline="0" collapsedLevelsAreSubtotals="1" fieldPosition="0"/>
    </format>
    <format dxfId="253">
      <pivotArea field="0" type="button" dataOnly="0" labelOnly="1" outline="0" axis="axisRow" fieldPosition="0"/>
    </format>
    <format dxfId="252">
      <pivotArea dataOnly="0" labelOnly="1" fieldPosition="0">
        <references count="1">
          <reference field="0" count="0"/>
        </references>
      </pivotArea>
    </format>
    <format dxfId="251">
      <pivotArea outline="0" fieldPosition="0">
        <references count="1">
          <reference field="4294967294" count="1">
            <x v="0"/>
          </reference>
        </references>
      </pivotArea>
    </format>
    <format dxfId="250">
      <pivotArea field="0" type="button" dataOnly="0" labelOnly="1" outline="0" axis="axisRow" fieldPosition="0"/>
    </format>
    <format dxfId="2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8">
      <pivotArea type="all" dataOnly="0" outline="0" fieldPosition="0"/>
    </format>
    <format dxfId="247">
      <pivotArea outline="0" collapsedLevelsAreSubtotals="1" fieldPosition="0"/>
    </format>
    <format dxfId="246">
      <pivotArea field="0" type="button" dataOnly="0" labelOnly="1" outline="0" axis="axisRow" fieldPosition="0"/>
    </format>
    <format dxfId="245">
      <pivotArea dataOnly="0" labelOnly="1" fieldPosition="0">
        <references count="1">
          <reference field="0" count="0"/>
        </references>
      </pivotArea>
    </format>
    <format dxfId="2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3">
      <pivotArea field="0" type="button" dataOnly="0" labelOnly="1" outline="0" axis="axisRow" fieldPosition="0"/>
    </format>
    <format dxfId="24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5149A08-8EAC-3843-8612-F3CC85C030A2}" name="Dataset519" displayName="Dataset519" ref="A1:I21" totalsRowShown="0" headerRowDxfId="274" dataDxfId="273">
  <autoFilter ref="A1:I21" xr:uid="{EE635F4C-3940-1744-93FB-94C4E2AB538B}"/>
  <sortState xmlns:xlrd2="http://schemas.microsoft.com/office/spreadsheetml/2017/richdata2" ref="A2:H20">
    <sortCondition ref="A1:A20"/>
  </sortState>
  <tableColumns count="9">
    <tableColumn id="2" xr3:uid="{E85BB227-CF1A-A245-883C-06D45B75DB89}" name="Bill Period Start" dataDxfId="272"/>
    <tableColumn id="4" xr3:uid="{673D5DB9-3B55-9749-A254-4D35BCF0492F}" name="Billing Days" dataDxfId="271"/>
    <tableColumn id="5" xr3:uid="{54646524-118F-9B43-B61A-23B76147776C}" name="Trash Charges" dataDxfId="270"/>
    <tableColumn id="6" xr3:uid="{BC519A9E-7A78-6741-B5B9-669D174E7555}" name="Water Charges" dataDxfId="269"/>
    <tableColumn id="7" xr3:uid="{80D038B9-D303-C14C-9C3B-A7DA8E088F00}" name="Sewer Charges" dataDxfId="268"/>
    <tableColumn id="9" xr3:uid="{CC09F55D-C9F9-C344-9884-D1F1EB9A1E3C}" name="Total Bill" dataDxfId="267">
      <calculatedColumnFormula>SUM(C2:E2)</calculatedColumnFormula>
    </tableColumn>
    <tableColumn id="11" xr3:uid="{DCF69038-8DD7-2749-AAFC-4E865A4F1B2E}" name="Cost Per Day" dataDxfId="266">
      <calculatedColumnFormula>F2/B2</calculatedColumnFormula>
    </tableColumn>
    <tableColumn id="13" xr3:uid="{C8881823-2872-DA49-AC61-A7729704E255}" name="Rate" dataDxfId="265"/>
    <tableColumn id="3" xr3:uid="{29F46267-0477-764A-B218-6157F368F3CF}" name="Season" dataDxfId="264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30684-663C-B045-BC1C-02524E599F2C}" name="Table1" displayName="Table1" ref="A1:F21" totalsRowShown="0" headerRowDxfId="166" dataDxfId="165">
  <autoFilter ref="A1:F21" xr:uid="{03E30684-663C-B045-BC1C-02524E599F2C}"/>
  <tableColumns count="6">
    <tableColumn id="1" xr3:uid="{55CD6D82-9960-C24D-AB9D-932360668B1A}" name="Bill Period Start" dataDxfId="164"/>
    <tableColumn id="2" xr3:uid="{FA670118-42D6-C242-8348-9ED18E6E89CB}" name="Season" dataDxfId="163"/>
    <tableColumn id="3" xr3:uid="{3815FE3F-E534-0747-AF99-55C09DAB059E}" name="Total Bill" dataDxfId="162">
      <calculatedColumnFormula>SUM(D2:F2)</calculatedColumnFormula>
    </tableColumn>
    <tableColumn id="4" xr3:uid="{79D75C46-55D7-C74E-807A-8F71A6AFC8C3}" name="Trash Charges" dataDxfId="161"/>
    <tableColumn id="5" xr3:uid="{3DB32A29-6381-4449-AB9E-8AFA9CDFF283}" name="Water Charges" dataDxfId="160"/>
    <tableColumn id="6" xr3:uid="{7E8FAB63-9025-734D-9C54-9E7ED30AA3A7}" name="Sewer Charges" dataDxfId="15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8E4E2BE-443E-F84E-8508-F31DCC46066D}" name="Dataset514" displayName="Dataset514" ref="A1:E21" totalsRowShown="0" headerRowDxfId="156" dataDxfId="155">
  <autoFilter ref="A1:E21" xr:uid="{EE635F4C-3940-1744-93FB-94C4E2AB538B}"/>
  <sortState xmlns:xlrd2="http://schemas.microsoft.com/office/spreadsheetml/2017/richdata2" ref="A2:E20">
    <sortCondition ref="A1:A20"/>
  </sortState>
  <tableColumns count="5">
    <tableColumn id="2" xr3:uid="{6FB3BB2F-9423-6243-B0C8-087E78889519}" name="Bill Period Start" dataDxfId="154"/>
    <tableColumn id="5" xr3:uid="{EDD6BFAB-0357-D746-855C-67C923B884A0}" name="Trash Charges" dataDxfId="153"/>
    <tableColumn id="6" xr3:uid="{DDDD43B6-E288-6C46-A393-51DD76810351}" name="Water Charges" dataDxfId="152"/>
    <tableColumn id="7" xr3:uid="{AF8C2251-2FF5-CE49-A2CD-F8CB32DB9182}" name="Sewer Charges" dataDxfId="151"/>
    <tableColumn id="9" xr3:uid="{E1E36986-7A5A-9C48-9EA0-D24A365DD68A}" name="Total Bill" dataDxfId="150">
      <calculatedColumnFormula>SUM(B2:D2)</calculatedColumnFormula>
    </tableColumn>
  </tableColumns>
  <tableStyleInfo name="TableStyleLight9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8DC431-D73C-D242-A9DB-883658778A81}" name="Dataset5141713" displayName="Dataset5141713" ref="A1:H21" totalsRowShown="0" headerRowDxfId="149" dataDxfId="148">
  <autoFilter ref="A1:H21" xr:uid="{EE635F4C-3940-1744-93FB-94C4E2AB538B}"/>
  <sortState xmlns:xlrd2="http://schemas.microsoft.com/office/spreadsheetml/2017/richdata2" ref="A2:H20">
    <sortCondition ref="A1:A20"/>
  </sortState>
  <tableColumns count="8">
    <tableColumn id="2" xr3:uid="{06CEC49D-5070-0646-8CD3-84F239EA78B5}" name="Bill Period Start" dataDxfId="147"/>
    <tableColumn id="4" xr3:uid="{DC7EB1E7-D422-6348-99E6-EDB6BEBE096A}" name="Billing Days" dataDxfId="146"/>
    <tableColumn id="5" xr3:uid="{84A676FC-4EEA-C640-BAB3-A87973B21D67}" name="Trash Charges" dataDxfId="145"/>
    <tableColumn id="6" xr3:uid="{D4250DC1-B799-D24B-BF02-1711F2768FB7}" name="Water Charges" dataDxfId="144"/>
    <tableColumn id="7" xr3:uid="{80FCAA47-569C-4044-8BBC-772B963CB159}" name="Sewer Charges" dataDxfId="143"/>
    <tableColumn id="9" xr3:uid="{91A4F591-07C8-B44C-8338-B8CD029793B9}" name="Total Bill" dataDxfId="142">
      <calculatedColumnFormula>SUM(C2:E2)</calculatedColumnFormula>
    </tableColumn>
    <tableColumn id="11" xr3:uid="{28A195B7-2879-6D41-9B4A-66191A1C718A}" name="Cost Per Day" dataDxfId="141">
      <calculatedColumnFormula>F2/B2</calculatedColumnFormula>
    </tableColumn>
    <tableColumn id="13" xr3:uid="{B667E73A-4FE2-DB47-9441-C62D25B022AE}" name="Rate" dataDxfId="140"/>
  </tableColumns>
  <tableStyleInfo name="TableStyleLight9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2B12AFA-F770-634F-B910-E6D2B106A56C}" name="Statistics2115" displayName="Statistics2115" ref="J3:P5" totalsRowShown="0" headerRowDxfId="139" dataDxfId="138" headerRowCellStyle="Currency" dataCellStyle="Currency">
  <autoFilter ref="J3:P5" xr:uid="{CD65B872-94EE-364A-A288-AC1CA265538F}"/>
  <tableColumns count="7">
    <tableColumn id="1" xr3:uid="{3E75B320-68C6-C346-A3CF-4061BBB5B476}" name="Calculation" dataDxfId="137"/>
    <tableColumn id="2" xr3:uid="{CB44D874-8AE5-2744-8AFF-13C896CFA1D5}" name="Average" dataDxfId="136" dataCellStyle="Currency"/>
    <tableColumn id="3" xr3:uid="{4F63CAA0-ECA3-0E47-B71B-98ACB22AE07C}" name="Min" dataDxfId="135" dataCellStyle="Currency"/>
    <tableColumn id="4" xr3:uid="{22D466C4-482C-6C4C-A8DB-2C7A525EF825}" name="Max" dataDxfId="134" dataCellStyle="Currency"/>
    <tableColumn id="5" xr3:uid="{7394BE4C-A76E-314D-8824-91B2C73BD5BE}" name="Median" dataDxfId="133" dataCellStyle="Currency"/>
    <tableColumn id="6" xr3:uid="{042123AE-58FC-0E41-AC0B-3A601B9DEC40}" name="Range" dataDxfId="132">
      <calculatedColumnFormula>Statistics2115[[#This Row],[Max]]-Statistics2115[[#This Row],[Min]]</calculatedColumnFormula>
    </tableColumn>
    <tableColumn id="7" xr3:uid="{B3381255-97D8-A24D-A580-5159C42C7C89}" name="Standard Deviation" dataDxfId="131"/>
  </tableColumns>
  <tableStyleInfo name="TableStyleLight9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0F67C7E-AE80-B34C-9DB9-4DD6CECA47AB}" name="Table15" displayName="Table15" ref="B23:F43" totalsRowShown="0" headerRowDxfId="130" dataDxfId="129" headerRowCellStyle="Currency">
  <autoFilter ref="B23:F43" xr:uid="{90F67C7E-AE80-B34C-9DB9-4DD6CECA47AB}">
    <filterColumn colId="0">
      <filters>
        <filter val="30"/>
        <filter val="31"/>
      </filters>
    </filterColumn>
  </autoFilter>
  <tableColumns count="5">
    <tableColumn id="1" xr3:uid="{E5092CE7-638F-E44C-B5A2-32ADF56F8024}" name="Billing Days" dataDxfId="128"/>
    <tableColumn id="2" xr3:uid="{58B02767-C251-534C-BCE1-DA7C9BA9EC6A}" name="Column1" dataDxfId="127"/>
    <tableColumn id="3" xr3:uid="{72C2880B-D851-1D44-951C-D66D5963908E}" name="Column2" dataDxfId="126"/>
    <tableColumn id="4" xr3:uid="{C6CD5DCB-07E6-EA41-A1ED-157DEF030981}" name="Column3" dataDxfId="125"/>
    <tableColumn id="5" xr3:uid="{482D445B-15A9-DD4D-B8C1-5E1D67A45A45}" name="Total Bill" dataDxfId="12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5D758C0-506F-4E45-8B50-FF8776572C0C}" name="Table17" displayName="Table17" ref="K22:L42" totalsRowShown="0" tableBorderDxfId="123">
  <autoFilter ref="K22:L42" xr:uid="{25D758C0-506F-4E45-8B50-FF8776572C0C}"/>
  <tableColumns count="2">
    <tableColumn id="1" xr3:uid="{00EAF2E5-CFFA-7D4F-BF4E-A527AF4A50F2}" name="Rate" dataDxfId="122"/>
    <tableColumn id="2" xr3:uid="{65DBA44B-4A73-D347-BE76-91A8987A25D3}" name="Total Bill" dataDxfId="12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D1BFCA3-9AC5-3344-B9C8-4833375E4F74}" name="Table512" displayName="Table512" ref="A1:E21" totalsRowShown="0" headerRowDxfId="120" dataDxfId="119">
  <autoFilter ref="A1:E21" xr:uid="{EE635F4C-3940-1744-93FB-94C4E2AB538B}"/>
  <sortState xmlns:xlrd2="http://schemas.microsoft.com/office/spreadsheetml/2017/richdata2" ref="A2:E20">
    <sortCondition ref="A1:A20"/>
  </sortState>
  <tableColumns count="5">
    <tableColumn id="2" xr3:uid="{60F5A590-0DB3-634B-951F-E21C036B242A}" name="Bill Period Start" dataDxfId="118"/>
    <tableColumn id="5" xr3:uid="{49988A33-B77D-A147-9269-85B637FA3381}" name="Trash Charges" dataDxfId="117"/>
    <tableColumn id="6" xr3:uid="{6872B041-B299-4941-A41C-37E1B54C1723}" name="Water Charges" dataDxfId="116"/>
    <tableColumn id="7" xr3:uid="{270890B2-51B3-5741-84EC-47DD7CA7C35E}" name="Sewer Charges" dataDxfId="115"/>
    <tableColumn id="9" xr3:uid="{1FF7BDA9-8328-5A44-A85D-5F7625D32ACF}" name="Total Bill" dataDxfId="114">
      <calculatedColumnFormula>SUM(B2:D2)</calculatedColumnFormula>
    </tableColumn>
  </tableColumns>
  <tableStyleInfo name="TableStyleLight15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F9CC684-58FA-FE42-AC16-00BD4B09121E}" name="Table19" displayName="Table19" ref="K25:L45" totalsRowShown="0" tableBorderDxfId="113">
  <autoFilter ref="K25:L45" xr:uid="{6F9CC684-58FA-FE42-AC16-00BD4B09121E}"/>
  <tableColumns count="2">
    <tableColumn id="1" xr3:uid="{2A104478-4BF0-7440-9BB2-D9A5800FD2F4}" name="Total Bill" dataDxfId="112"/>
    <tableColumn id="2" xr3:uid="{1BC48CD5-151E-EE4C-8220-1B0C1F9EC173}" name="Sewer Charges" dataDxfId="11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732EE79-342B-F74A-ABD9-A682DCDCB530}" name="Table21" displayName="Table21" ref="F25:G45" totalsRowShown="0" tableBorderDxfId="110">
  <autoFilter ref="F25:G45" xr:uid="{A732EE79-342B-F74A-ABD9-A682DCDCB530}"/>
  <tableColumns count="2">
    <tableColumn id="1" xr3:uid="{CF5202C4-F33A-9440-90EF-7FBD3B33C331}" name="Total Bill" dataDxfId="109"/>
    <tableColumn id="2" xr3:uid="{0805A976-CBDB-C24D-A442-57FF935C610A}" name="Water Charges" dataDxfId="108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66453ED-EEAC-3546-80A8-907BE49D31D3}" name="Table22" displayName="Table22" ref="A25:B45" totalsRowShown="0" tableBorderDxfId="107">
  <autoFilter ref="A25:B45" xr:uid="{E66453ED-EEAC-3546-80A8-907BE49D31D3}"/>
  <tableColumns count="2">
    <tableColumn id="1" xr3:uid="{EA45EF1C-D955-D04E-A73F-8E7CA6C224B3}" name="Total Bill" dataDxfId="106"/>
    <tableColumn id="2" xr3:uid="{207C40B9-4DBC-5D44-A90C-9C01AFF2168A}" name="Trash Charges" dataDxfId="105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3AC1909-59AA-C447-9EBB-3746BD3E2DCC}" name="Dataset51417" displayName="Dataset51417" ref="A1:H21" totalsRowShown="0" headerRowDxfId="104" dataDxfId="103">
  <autoFilter ref="A1:H21" xr:uid="{EE635F4C-3940-1744-93FB-94C4E2AB538B}"/>
  <sortState xmlns:xlrd2="http://schemas.microsoft.com/office/spreadsheetml/2017/richdata2" ref="A2:H20">
    <sortCondition ref="A1:A20"/>
  </sortState>
  <tableColumns count="8">
    <tableColumn id="2" xr3:uid="{CE6D26C5-CC06-C844-BECE-44C1B2D183F7}" name="Bill Period Start" dataDxfId="102"/>
    <tableColumn id="4" xr3:uid="{0310FB6E-772D-6F4A-9FCE-B3D82FF181B0}" name="Billing Days" dataDxfId="101"/>
    <tableColumn id="5" xr3:uid="{46EA112F-7432-E447-BCA7-B4874C6DF867}" name="Trash Charges" dataDxfId="100"/>
    <tableColumn id="6" xr3:uid="{AFEA6085-9508-9148-93F8-63E6010EA921}" name="Water Charges" dataDxfId="99"/>
    <tableColumn id="7" xr3:uid="{1572BC4E-36FB-4247-ABC3-A802CA0EECA9}" name="Sewer Charges" dataDxfId="98"/>
    <tableColumn id="9" xr3:uid="{490CD251-9CF7-B44D-8A95-10AE8CFDFE12}" name="Total Bill" dataDxfId="97">
      <calculatedColumnFormula>SUM(C2:E2)</calculatedColumnFormula>
    </tableColumn>
    <tableColumn id="11" xr3:uid="{BED4D8B7-14BF-EA4B-8A9F-0D8BEAF3B2AC}" name="Cost Per Day" dataDxfId="96">
      <calculatedColumnFormula>F2/B2</calculatedColumnFormula>
    </tableColumn>
    <tableColumn id="13" xr3:uid="{9B96F88C-A1C0-A644-9F1D-E4B6967054CC}" name="Rate" dataDxfId="95"/>
  </tableColumns>
  <tableStyleInfo name="TableStyleLight9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D65B872-94EE-364A-A288-AC1CA265538F}" name="Statistics21" displayName="Statistics21" ref="J3:P5" totalsRowShown="0" headerRowDxfId="94" dataDxfId="93" headerRowCellStyle="Currency" dataCellStyle="Currency">
  <autoFilter ref="J3:P5" xr:uid="{CD65B872-94EE-364A-A288-AC1CA265538F}"/>
  <tableColumns count="7">
    <tableColumn id="1" xr3:uid="{A5AE84C8-4434-2D4A-B2BC-B6F4F966375F}" name="Calculation" dataDxfId="92"/>
    <tableColumn id="2" xr3:uid="{33BF48CC-2447-F74B-8EFB-155569DE966C}" name="Average" dataDxfId="91" dataCellStyle="Currency"/>
    <tableColumn id="3" xr3:uid="{7ECCC7A8-C327-784C-AF75-47DAE1BD068A}" name="Min" dataDxfId="90" dataCellStyle="Currency"/>
    <tableColumn id="4" xr3:uid="{B603CBE3-43FF-B349-969C-9F8AB5C544BF}" name="Max" dataDxfId="89" dataCellStyle="Currency"/>
    <tableColumn id="5" xr3:uid="{35AA6073-7B7F-A54A-BCB8-DBD3B38E31C5}" name="Median" dataDxfId="88" dataCellStyle="Currency"/>
    <tableColumn id="6" xr3:uid="{6D000760-49D4-8942-B639-BDDC5B763AAA}" name="Range" dataDxfId="87">
      <calculatedColumnFormula>Statistics21[[#This Row],[Max]]-Statistics21[[#This Row],[Min]]</calculatedColumnFormula>
    </tableColumn>
    <tableColumn id="7" xr3:uid="{10905D1A-E756-6E4C-921D-1EED778ED8CF}" name="Standard Deviation" dataDxfId="86"/>
  </tableColumns>
  <tableStyleInfo name="TableStyleLight9" showFirstColumn="1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ECE8CC-0B27-1944-A9C9-E76EBE881238}" name="Dataset5" displayName="Dataset5" ref="A1:E21" totalsRowShown="0" headerRowDxfId="85" dataDxfId="84">
  <autoFilter ref="A1:E21" xr:uid="{EE635F4C-3940-1744-93FB-94C4E2AB538B}"/>
  <sortState xmlns:xlrd2="http://schemas.microsoft.com/office/spreadsheetml/2017/richdata2" ref="A2:E20">
    <sortCondition ref="A1:A20"/>
  </sortState>
  <tableColumns count="5">
    <tableColumn id="2" xr3:uid="{3414F5F0-A349-4D4E-B3E7-510FBA1BD51B}" name="Bill Period Start" dataDxfId="83"/>
    <tableColumn id="4" xr3:uid="{689BCB56-5539-FB4C-AB7C-AB85C2E88D50}" name="Total Bill" dataDxfId="82">
      <calculatedColumnFormula>SUM(Dataset5[[#This Row],[Trash Charges]:[Sewer Charges]])</calculatedColumnFormula>
    </tableColumn>
    <tableColumn id="5" xr3:uid="{F854DF28-6DE4-2946-90A2-1133AEEBE165}" name="Trash Charges" dataDxfId="81"/>
    <tableColumn id="6" xr3:uid="{96ECDF3F-5792-3D47-AC20-0EEFD95A9DF8}" name="Water Charges" dataDxfId="80"/>
    <tableColumn id="7" xr3:uid="{2D1EF01D-A67C-0747-8369-49247F5DC739}" name="Sewer Charges" dataDxfId="79"/>
  </tableColumns>
  <tableStyleInfo name="TableStyleLight9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E191AA-93B4-9643-8DA4-16D89F6A59F8}" name="TotalBreakdown10" displayName="TotalBreakdown10" ref="B28:C32" totalsRowCount="1" headerRowDxfId="78" dataDxfId="77" totalsRowDxfId="76" headerRowCellStyle="Currency" dataCellStyle="Currency">
  <autoFilter ref="B28:C31" xr:uid="{0C73BBD7-7269-4642-830C-4DA761BF87BD}"/>
  <tableColumns count="2">
    <tableColumn id="1" xr3:uid="{6E3A931B-E5F8-8C47-9428-1530B54DDEDA}" name="Charge" totalsRowLabel="Total" dataDxfId="75" totalsRowDxfId="74"/>
    <tableColumn id="4" xr3:uid="{BDA2063A-E4B8-D844-BD9C-63C9A8CA5C04}" name="Sum" totalsRowFunction="sum" dataDxfId="73" totalsRowDxfId="72" dataCellStyle="Currency"/>
  </tableColumns>
  <tableStyleInfo name="TableStyleMedium2" showFirstColumn="1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33F5AF-AAEA-E246-A912-DFFA162B3426}" name="AprilBreakdown11" displayName="AprilBreakdown11" ref="E28:F32" totalsRowCount="1" headerRowDxfId="71" dataDxfId="70" totalsRowDxfId="69" headerRowCellStyle="Currency" dataCellStyle="Currency">
  <autoFilter ref="E28:F31" xr:uid="{4D35F8EA-206F-1642-B493-A63A1E7DD980}"/>
  <tableColumns count="2">
    <tableColumn id="1" xr3:uid="{03DAB95E-F9A9-7140-9B0F-50B82748D822}" name="Charge" totalsRowLabel="Total" dataDxfId="68" totalsRowDxfId="67"/>
    <tableColumn id="4" xr3:uid="{D5D4A9BD-83F0-FC4F-BB31-5E786C519FEC}" name="5/14/24" totalsRowFunction="custom" dataDxfId="66" totalsRowDxfId="65" dataCellStyle="Currency">
      <totalsRowFormula>SUM(AprilBreakdown11[5/14/24])</totalsRowFormula>
    </tableColumn>
  </tableColumns>
  <tableStyleInfo name="TableStyleMedium2" showFirstColumn="1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819AD7-F9CF-D042-A998-D1070CC2DDF5}" name="Dataset" displayName="Dataset" ref="A1:H21" totalsRowShown="0" headerRowDxfId="64" dataDxfId="63">
  <autoFilter ref="A1:H21" xr:uid="{EE635F4C-3940-1744-93FB-94C4E2AB538B}"/>
  <sortState xmlns:xlrd2="http://schemas.microsoft.com/office/spreadsheetml/2017/richdata2" ref="A2:H20">
    <sortCondition ref="A1:A20"/>
  </sortState>
  <tableColumns count="8">
    <tableColumn id="2" xr3:uid="{EB37354F-FB42-7B40-9D33-2CD53FDE42F5}" name="Bill Period Start" dataDxfId="62"/>
    <tableColumn id="4" xr3:uid="{FF56062B-9534-7143-9B63-5F18C753102F}" name="Billing Days" dataDxfId="61"/>
    <tableColumn id="5" xr3:uid="{484E1551-C521-A447-9719-B4D0ACEDF4CF}" name="Trash Charges" dataDxfId="60"/>
    <tableColumn id="6" xr3:uid="{5B668744-84F3-7046-BB21-61A3DAAC5694}" name="Water Charges" dataDxfId="59"/>
    <tableColumn id="7" xr3:uid="{FA3E530C-6AD2-5F4F-98A8-BE5206027BD5}" name="Sewer Charges" dataDxfId="58"/>
    <tableColumn id="9" xr3:uid="{E6E92DF2-0EB5-0B4A-89A0-BD9CCD298292}" name="Total Bill" dataDxfId="57">
      <calculatedColumnFormula>SUM(C2:E2)</calculatedColumnFormula>
    </tableColumn>
    <tableColumn id="11" xr3:uid="{097B097C-8F76-4943-BEBA-30E427892BB8}" name="Cost Per Day" dataDxfId="56">
      <calculatedColumnFormula>F2/B2</calculatedColumnFormula>
    </tableColumn>
    <tableColumn id="13" xr3:uid="{CDAA3EED-6F68-1843-97F8-26007780A52E}" name="Rate" dataDxfId="55"/>
  </tableColumns>
  <tableStyleInfo name="TableStyleLight9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DBE892-AE18-1245-845E-912AB7E0E1A6}" name="Statistics" displayName="Statistics" ref="B23:H27" totalsRowShown="0" headerRowDxfId="54" dataDxfId="53" headerRowCellStyle="Currency" dataCellStyle="Currency">
  <autoFilter ref="B23:H27" xr:uid="{DFDBE892-AE18-1245-845E-912AB7E0E1A6}"/>
  <tableColumns count="7">
    <tableColumn id="1" xr3:uid="{43527D71-BDBE-724B-AC30-5F890F7C14EC}" name="Charge" dataDxfId="52"/>
    <tableColumn id="2" xr3:uid="{E16170A6-B19A-A74C-A28A-218F992A1D09}" name="Average" dataDxfId="51" dataCellStyle="Currency"/>
    <tableColumn id="3" xr3:uid="{24F7E1F2-9F37-0F44-8D3C-050830696C11}" name="Min" dataDxfId="50" dataCellStyle="Currency"/>
    <tableColumn id="4" xr3:uid="{941C4A76-1866-D447-8198-DD0BCCDF0874}" name="Max" dataDxfId="49" dataCellStyle="Currency"/>
    <tableColumn id="5" xr3:uid="{69A148FD-4A55-0C48-B911-4977ED1235FB}" name="Median" dataDxfId="48" dataCellStyle="Currency"/>
    <tableColumn id="6" xr3:uid="{C49AEC98-C601-E044-BA11-4FE219C17C98}" name="Range" dataDxfId="47">
      <calculatedColumnFormula>E24-D24</calculatedColumnFormula>
    </tableColumn>
    <tableColumn id="7" xr3:uid="{EBA1B49C-4A40-D045-B336-59F0AEA96C4E}" name="Standard Deviation" dataDxfId="46"/>
  </tableColumns>
  <tableStyleInfo name="TableStyleLight9" showFirstColumn="1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156DAF-2B91-E843-AF5D-0FAA9354CEAB}" name="Table3" displayName="Table3" ref="B29:D33" totalsRowShown="0">
  <autoFilter ref="B29:D33" xr:uid="{E2156DAF-2B91-E843-AF5D-0FAA9354CEAB}"/>
  <tableColumns count="3">
    <tableColumn id="1" xr3:uid="{8C9503AB-29DE-104C-833C-9A285B6FAA34}" name="Question" dataDxfId="45"/>
    <tableColumn id="2" xr3:uid="{65726579-995E-B746-BA3E-B1492C17E1E0}" name="Amount" dataDxfId="44"/>
    <tableColumn id="3" xr3:uid="{19C185C6-08BC-5D4B-BDEC-877542A80D42}" name="What period?" dataDxfId="43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22E99C-8062-2544-86A2-2DC0101BD246}" name="Table57" displayName="Table57" ref="A1:J21" totalsRowShown="0" headerRowDxfId="42" dataDxfId="41">
  <autoFilter ref="A1:J21" xr:uid="{EE635F4C-3940-1744-93FB-94C4E2AB538B}"/>
  <tableColumns count="10">
    <tableColumn id="1" xr3:uid="{01CC980F-2B94-E140-B412-7572712513E0}" name="Statement Date" dataDxfId="40"/>
    <tableColumn id="2" xr3:uid="{3D7599A6-84A3-154A-AFED-8C1DD6632AE5}" name="Bill Period Start" dataDxfId="39"/>
    <tableColumn id="3" xr3:uid="{9ED951A1-214F-6047-9D27-45F3262E2275}" name="Bill Period End" dataDxfId="38"/>
    <tableColumn id="4" xr3:uid="{A017B839-2EDC-3A44-8D9C-9CD0DFCC62DE}" name="Billing Days" dataDxfId="37"/>
    <tableColumn id="5" xr3:uid="{584423D2-2EFE-094D-ADA7-CC7D6B4E44E3}" name="Trash Charges" dataDxfId="36"/>
    <tableColumn id="6" xr3:uid="{FC7965FD-DB22-3F42-B93B-07A27D9C0270}" name="Water Charges" dataDxfId="35"/>
    <tableColumn id="7" xr3:uid="{D718DBD8-233E-D242-B7AA-B7A53807A462}" name="Sewer Charges" dataDxfId="34"/>
    <tableColumn id="9" xr3:uid="{4F1DDFB0-9ABB-D64D-A045-304595F76842}" name="Total Bill" dataDxfId="33">
      <calculatedColumnFormula>SUM(E2:G2)</calculatedColumnFormula>
    </tableColumn>
    <tableColumn id="11" xr3:uid="{D96392B8-A5E9-DC4B-A001-28A82BC383A0}" name="Cost Per Day" dataDxfId="32">
      <calculatedColumnFormula>H2/D2</calculatedColumnFormula>
    </tableColumn>
    <tableColumn id="13" xr3:uid="{7D12ABD1-FCCB-4742-A9A8-FD08CB684538}" name="Rate" dataDxfId="31"/>
  </tableColumns>
  <tableStyleInfo name="TableStyleLight15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90B067-0768-3147-97FA-9DFDE67AC783}" name="Table7" displayName="Table7" ref="B24:J28" headerRowCount="0" totalsRowShown="0" headerRowDxfId="30" dataDxfId="29" headerRowCellStyle="Currency" dataCellStyle="Currency">
  <tableColumns count="9">
    <tableColumn id="1" xr3:uid="{11A41159-286C-4149-BB32-6EE3BA4043A0}" name="Column1" headerRowDxfId="28" dataDxfId="27"/>
    <tableColumn id="2" xr3:uid="{B2AD839D-2654-9145-A4FF-373867261251}" name="Column2" headerRowDxfId="26" dataDxfId="25"/>
    <tableColumn id="3" xr3:uid="{0830C182-FC5B-B846-8963-14074F88C98F}" name="Column3" headerRowDxfId="24" dataDxfId="23"/>
    <tableColumn id="4" xr3:uid="{BF40C3B0-E569-774E-8756-143C1D52627E}" name="Column4" headerRowDxfId="22" dataDxfId="21" headerRowCellStyle="Currency" dataCellStyle="Currency"/>
    <tableColumn id="5" xr3:uid="{B0D01E7F-477A-B64D-B063-2812AA94A72F}" name="Column5" headerRowDxfId="20" dataDxfId="19" headerRowCellStyle="Currency" dataCellStyle="Currency"/>
    <tableColumn id="6" xr3:uid="{1EEF5359-669B-354D-876B-888AA45F4FE4}" name="Column6" headerRowDxfId="18" dataDxfId="17" headerRowCellStyle="Currency" dataCellStyle="Currency"/>
    <tableColumn id="7" xr3:uid="{EA14F9E8-5268-CC4E-8037-02DB847885F6}" name="Column7" headerRowDxfId="16" dataDxfId="15" headerRowCellStyle="Currency" dataCellStyle="Currency"/>
    <tableColumn id="8" xr3:uid="{A3BA1A13-0894-4A45-9DEC-C7B25906A926}" name="Column8" headerRowDxfId="14" dataDxfId="13" headerRowCellStyle="Currency" dataCellStyle="Currency"/>
    <tableColumn id="9" xr3:uid="{5B020E90-85EC-B04C-B31D-93937FBD8933}" name="Column9" headerRowDxfId="12" dataDxfId="11" headerRowCellStyle="Currency" dataCellStyle="Currency"/>
  </tableColumns>
  <tableStyleInfo name="TableStyleMedium1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635F4C-3940-1744-93FB-94C4E2AB538B}" name="Table5" displayName="Table5" ref="A1:H21" totalsRowShown="0" headerRowDxfId="10" dataDxfId="9">
  <autoFilter ref="A1:H21" xr:uid="{EE635F4C-3940-1744-93FB-94C4E2AB538B}"/>
  <sortState xmlns:xlrd2="http://schemas.microsoft.com/office/spreadsheetml/2017/richdata2" ref="A2:H20">
    <sortCondition ref="A1:A20"/>
  </sortState>
  <tableColumns count="8">
    <tableColumn id="2" xr3:uid="{CED84E09-A4B6-AF48-AA74-4A1124EA522F}" name="Bill Period Start" dataDxfId="8"/>
    <tableColumn id="4" xr3:uid="{5FA16F3B-977C-5C46-BB78-CE2635ADB55A}" name="Billing Days" dataDxfId="7"/>
    <tableColumn id="5" xr3:uid="{A6503D68-D961-9941-B17C-123F566B153F}" name="Trash Charges" dataDxfId="6"/>
    <tableColumn id="6" xr3:uid="{7E13780C-151D-0349-89A0-CDBC23EB61F5}" name="Water Charges" dataDxfId="5"/>
    <tableColumn id="7" xr3:uid="{8AA16EC8-4790-C24D-AB7C-D927D1773DFF}" name="Sewer Charges" dataDxfId="4"/>
    <tableColumn id="8" xr3:uid="{A3000C3D-09E3-E443-BFDF-068BF22A039D}" name="Rate" dataDxfId="3"/>
    <tableColumn id="9" xr3:uid="{54881850-C539-BF47-A22D-E7DA64D404DA}" name="Total Bill" dataDxfId="2">
      <calculatedColumnFormula>SUM(C2:E2)</calculatedColumnFormula>
    </tableColumn>
    <tableColumn id="11" xr3:uid="{5899BE35-A9BC-9543-AD40-BE9D036CDC61}" name="Cost Per Day" dataDxfId="1">
      <calculatedColumnFormula>G2/B2</calculatedColumnFormula>
    </tableColumn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8.xml"/><Relationship Id="rId4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9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29E5-F545-7A43-873C-D0DD9D2A5EF0}">
  <dimension ref="A1:BP66"/>
  <sheetViews>
    <sheetView tabSelected="1" zoomScaleNormal="100" workbookViewId="0">
      <selection activeCell="O54" sqref="O54"/>
    </sheetView>
  </sheetViews>
  <sheetFormatPr baseColWidth="10" defaultColWidth="21.6640625" defaultRowHeight="16" x14ac:dyDescent="0.2"/>
  <cols>
    <col min="1" max="1" width="21.6640625" style="34"/>
    <col min="2" max="2" width="21.6640625" style="36"/>
    <col min="3" max="6" width="21.6640625" style="37"/>
    <col min="7" max="7" width="21.6640625" style="34"/>
    <col min="8" max="8" width="21.6640625" style="38"/>
    <col min="9" max="16384" width="21.6640625" style="34"/>
  </cols>
  <sheetData>
    <row r="1" spans="1:68" s="22" customFormat="1" x14ac:dyDescent="0.2">
      <c r="A1" s="48" t="s">
        <v>1</v>
      </c>
      <c r="B1" s="49" t="s">
        <v>38</v>
      </c>
      <c r="C1" s="50" t="s">
        <v>3</v>
      </c>
      <c r="D1" s="50" t="s">
        <v>4</v>
      </c>
      <c r="E1" s="50" t="s">
        <v>5</v>
      </c>
      <c r="F1" s="50" t="s">
        <v>7</v>
      </c>
      <c r="G1" s="50" t="s">
        <v>8</v>
      </c>
      <c r="H1" s="51" t="s">
        <v>6</v>
      </c>
      <c r="I1" s="32" t="s">
        <v>58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x14ac:dyDescent="0.2">
      <c r="A2" s="23">
        <v>44848</v>
      </c>
      <c r="B2" s="24">
        <v>31</v>
      </c>
      <c r="C2" s="25">
        <v>16.71</v>
      </c>
      <c r="D2" s="25">
        <v>21.95</v>
      </c>
      <c r="E2" s="25">
        <v>14.55</v>
      </c>
      <c r="F2" s="25">
        <f t="shared" ref="F2:F21" si="0">SUM(C2:E2)</f>
        <v>53.209999999999994</v>
      </c>
      <c r="G2" s="25">
        <f t="shared" ref="G2:G21" si="1">F2/B2</f>
        <v>1.7164516129032257</v>
      </c>
      <c r="H2" s="33">
        <v>0.53903230000000002</v>
      </c>
      <c r="I2" s="25" t="s">
        <v>59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</row>
    <row r="3" spans="1:68" x14ac:dyDescent="0.2">
      <c r="A3" s="23">
        <v>44879</v>
      </c>
      <c r="B3" s="24">
        <v>30</v>
      </c>
      <c r="C3" s="25">
        <v>16.940000000000001</v>
      </c>
      <c r="D3" s="25">
        <v>24.34</v>
      </c>
      <c r="E3" s="25">
        <v>15.71</v>
      </c>
      <c r="F3" s="25">
        <f t="shared" si="0"/>
        <v>56.99</v>
      </c>
      <c r="G3" s="25">
        <f t="shared" si="1"/>
        <v>1.8996666666666668</v>
      </c>
      <c r="H3" s="33">
        <v>0.56466669999999997</v>
      </c>
      <c r="I3" s="25" t="s">
        <v>59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8" x14ac:dyDescent="0.2">
      <c r="A4" s="23">
        <v>44909</v>
      </c>
      <c r="B4" s="24">
        <v>31</v>
      </c>
      <c r="C4" s="25">
        <v>17.04</v>
      </c>
      <c r="D4" s="25">
        <v>27.76</v>
      </c>
      <c r="E4" s="25">
        <v>18.03</v>
      </c>
      <c r="F4" s="25">
        <f t="shared" si="0"/>
        <v>62.83</v>
      </c>
      <c r="G4" s="25">
        <f t="shared" si="1"/>
        <v>2.0267741935483872</v>
      </c>
      <c r="H4" s="33">
        <v>0.54967739999999998</v>
      </c>
      <c r="I4" s="25" t="s">
        <v>60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8" x14ac:dyDescent="0.2">
      <c r="A5" s="23">
        <v>44940</v>
      </c>
      <c r="B5" s="24">
        <v>31</v>
      </c>
      <c r="C5" s="25">
        <v>17.760000000000002</v>
      </c>
      <c r="D5" s="25">
        <v>25.94</v>
      </c>
      <c r="E5" s="25">
        <v>16.41</v>
      </c>
      <c r="F5" s="25">
        <f t="shared" si="0"/>
        <v>60.11</v>
      </c>
      <c r="G5" s="25">
        <f t="shared" si="1"/>
        <v>1.9390322580645161</v>
      </c>
      <c r="H5" s="33">
        <v>0.57290319999999995</v>
      </c>
      <c r="I5" s="25" t="s">
        <v>60</v>
      </c>
    </row>
    <row r="6" spans="1:68" x14ac:dyDescent="0.2">
      <c r="A6" s="23">
        <v>44971</v>
      </c>
      <c r="B6" s="24">
        <v>28</v>
      </c>
      <c r="C6" s="25">
        <v>17.87</v>
      </c>
      <c r="D6" s="25">
        <v>25.17</v>
      </c>
      <c r="E6" s="25">
        <v>15.51</v>
      </c>
      <c r="F6" s="25">
        <f t="shared" si="0"/>
        <v>58.550000000000004</v>
      </c>
      <c r="G6" s="25">
        <f t="shared" si="1"/>
        <v>2.0910714285714289</v>
      </c>
      <c r="H6" s="33">
        <v>0.63821430000000001</v>
      </c>
      <c r="I6" s="25" t="s">
        <v>60</v>
      </c>
    </row>
    <row r="7" spans="1:68" x14ac:dyDescent="0.2">
      <c r="A7" s="23">
        <v>44999</v>
      </c>
      <c r="B7" s="24">
        <v>31</v>
      </c>
      <c r="C7" s="25">
        <v>17.62</v>
      </c>
      <c r="D7" s="25">
        <v>28.9</v>
      </c>
      <c r="E7" s="25">
        <v>17.88</v>
      </c>
      <c r="F7" s="25">
        <f t="shared" si="0"/>
        <v>64.399999999999991</v>
      </c>
      <c r="G7" s="25">
        <f t="shared" si="1"/>
        <v>2.0774193548387094</v>
      </c>
      <c r="H7" s="33">
        <v>0.56838710000000003</v>
      </c>
      <c r="I7" s="25" t="s">
        <v>61</v>
      </c>
    </row>
    <row r="8" spans="1:68" x14ac:dyDescent="0.2">
      <c r="A8" s="23">
        <v>45030</v>
      </c>
      <c r="B8" s="24">
        <v>30</v>
      </c>
      <c r="C8" s="25">
        <v>17.39</v>
      </c>
      <c r="D8" s="25">
        <v>27.32</v>
      </c>
      <c r="E8" s="25">
        <v>16.8</v>
      </c>
      <c r="F8" s="25">
        <f t="shared" si="0"/>
        <v>61.510000000000005</v>
      </c>
      <c r="G8" s="25">
        <f t="shared" si="1"/>
        <v>2.0503333333333336</v>
      </c>
      <c r="H8" s="33">
        <v>0.57966669999999998</v>
      </c>
      <c r="I8" s="25" t="s">
        <v>61</v>
      </c>
    </row>
    <row r="9" spans="1:68" x14ac:dyDescent="0.2">
      <c r="A9" s="23">
        <v>45060</v>
      </c>
      <c r="B9" s="24">
        <v>31</v>
      </c>
      <c r="C9" s="25">
        <v>17.600000000000001</v>
      </c>
      <c r="D9" s="25">
        <v>27.28</v>
      </c>
      <c r="E9" s="25">
        <v>16.62</v>
      </c>
      <c r="F9" s="25">
        <f t="shared" si="0"/>
        <v>61.5</v>
      </c>
      <c r="G9" s="25">
        <f t="shared" si="1"/>
        <v>1.9838709677419355</v>
      </c>
      <c r="H9" s="33">
        <v>0.56774190000000002</v>
      </c>
      <c r="I9" s="25" t="s">
        <v>61</v>
      </c>
    </row>
    <row r="10" spans="1:68" x14ac:dyDescent="0.2">
      <c r="A10" s="23">
        <v>45091</v>
      </c>
      <c r="B10" s="24">
        <v>30</v>
      </c>
      <c r="C10" s="25">
        <v>17.55</v>
      </c>
      <c r="D10" s="25">
        <v>28.68</v>
      </c>
      <c r="E10" s="25">
        <v>17.88</v>
      </c>
      <c r="F10" s="25">
        <f t="shared" si="0"/>
        <v>64.11</v>
      </c>
      <c r="G10" s="25">
        <f t="shared" si="1"/>
        <v>2.137</v>
      </c>
      <c r="H10" s="33">
        <v>0.58499999999999996</v>
      </c>
      <c r="I10" s="25" t="s">
        <v>62</v>
      </c>
    </row>
    <row r="11" spans="1:68" x14ac:dyDescent="0.2">
      <c r="A11" s="23">
        <v>45121</v>
      </c>
      <c r="B11" s="24">
        <v>31</v>
      </c>
      <c r="C11" s="25">
        <v>17.8</v>
      </c>
      <c r="D11" s="25">
        <v>25.92</v>
      </c>
      <c r="E11" s="25">
        <v>16.38</v>
      </c>
      <c r="F11" s="25">
        <f t="shared" si="0"/>
        <v>60.099999999999994</v>
      </c>
      <c r="G11" s="25">
        <f t="shared" si="1"/>
        <v>1.9387096774193546</v>
      </c>
      <c r="H11" s="33">
        <v>0.57419350000000002</v>
      </c>
      <c r="I11" s="25" t="s">
        <v>62</v>
      </c>
    </row>
    <row r="12" spans="1:68" x14ac:dyDescent="0.2">
      <c r="A12" s="23">
        <v>45152</v>
      </c>
      <c r="B12" s="24">
        <v>31</v>
      </c>
      <c r="C12" s="25">
        <v>17.84</v>
      </c>
      <c r="D12" s="25">
        <v>29.19</v>
      </c>
      <c r="E12" s="25">
        <v>18.02</v>
      </c>
      <c r="F12" s="25">
        <f t="shared" si="0"/>
        <v>65.05</v>
      </c>
      <c r="G12" s="25">
        <f t="shared" si="1"/>
        <v>2.0983870967741933</v>
      </c>
      <c r="H12" s="33">
        <v>0.57548390000000005</v>
      </c>
      <c r="I12" s="25" t="s">
        <v>62</v>
      </c>
    </row>
    <row r="13" spans="1:68" x14ac:dyDescent="0.2">
      <c r="A13" s="23">
        <v>45183</v>
      </c>
      <c r="B13" s="24">
        <v>30</v>
      </c>
      <c r="C13" s="25">
        <v>18.100000000000001</v>
      </c>
      <c r="D13" s="25">
        <v>33.450000000000003</v>
      </c>
      <c r="E13" s="25">
        <v>20.54</v>
      </c>
      <c r="F13" s="25">
        <f t="shared" si="0"/>
        <v>72.09</v>
      </c>
      <c r="G13" s="25">
        <f t="shared" si="1"/>
        <v>2.403</v>
      </c>
      <c r="H13" s="33">
        <v>0.60333329999999996</v>
      </c>
      <c r="I13" s="25" t="s">
        <v>59</v>
      </c>
    </row>
    <row r="14" spans="1:68" x14ac:dyDescent="0.2">
      <c r="A14" s="23">
        <v>45213</v>
      </c>
      <c r="B14" s="24">
        <v>31</v>
      </c>
      <c r="C14" s="25">
        <v>18.22</v>
      </c>
      <c r="D14" s="25">
        <v>38.770000000000003</v>
      </c>
      <c r="E14" s="25">
        <v>23.03</v>
      </c>
      <c r="F14" s="25">
        <f t="shared" si="0"/>
        <v>80.02000000000001</v>
      </c>
      <c r="G14" s="25">
        <f t="shared" si="1"/>
        <v>2.5812903225806454</v>
      </c>
      <c r="H14" s="33">
        <v>0.58774190000000004</v>
      </c>
      <c r="I14" s="25" t="s">
        <v>59</v>
      </c>
    </row>
    <row r="15" spans="1:68" x14ac:dyDescent="0.2">
      <c r="A15" s="23">
        <v>45244</v>
      </c>
      <c r="B15" s="24">
        <v>30</v>
      </c>
      <c r="C15" s="25">
        <v>20.11</v>
      </c>
      <c r="D15" s="25">
        <v>40.42</v>
      </c>
      <c r="E15" s="25">
        <v>23.09</v>
      </c>
      <c r="F15" s="25">
        <f t="shared" si="0"/>
        <v>83.62</v>
      </c>
      <c r="G15" s="25">
        <f t="shared" si="1"/>
        <v>2.7873333333333337</v>
      </c>
      <c r="H15" s="33">
        <v>0.67033330000000002</v>
      </c>
      <c r="I15" s="25" t="s">
        <v>59</v>
      </c>
    </row>
    <row r="16" spans="1:68" x14ac:dyDescent="0.2">
      <c r="A16" s="23">
        <v>45274</v>
      </c>
      <c r="B16" s="24">
        <v>31</v>
      </c>
      <c r="C16" s="25">
        <v>20.190000000000001</v>
      </c>
      <c r="D16" s="25">
        <v>54.16</v>
      </c>
      <c r="E16" s="25">
        <v>30.67</v>
      </c>
      <c r="F16" s="25">
        <f t="shared" si="0"/>
        <v>105.02</v>
      </c>
      <c r="G16" s="25">
        <f t="shared" si="1"/>
        <v>3.3877419354838709</v>
      </c>
      <c r="H16" s="33">
        <v>0.65129029999999999</v>
      </c>
      <c r="I16" s="25" t="s">
        <v>60</v>
      </c>
    </row>
    <row r="17" spans="1:9" x14ac:dyDescent="0.2">
      <c r="A17" s="23">
        <v>45305</v>
      </c>
      <c r="B17" s="24">
        <v>31</v>
      </c>
      <c r="C17" s="25">
        <v>20.45</v>
      </c>
      <c r="D17" s="25">
        <v>43.63</v>
      </c>
      <c r="E17" s="25">
        <v>24.11</v>
      </c>
      <c r="F17" s="25">
        <f t="shared" si="0"/>
        <v>88.19</v>
      </c>
      <c r="G17" s="25">
        <f t="shared" si="1"/>
        <v>2.8448387096774193</v>
      </c>
      <c r="H17" s="33">
        <v>0.65967739999999997</v>
      </c>
      <c r="I17" s="25" t="s">
        <v>60</v>
      </c>
    </row>
    <row r="18" spans="1:9" x14ac:dyDescent="0.2">
      <c r="A18" s="23">
        <v>45336</v>
      </c>
      <c r="B18" s="24">
        <v>29</v>
      </c>
      <c r="C18" s="25">
        <v>20.12</v>
      </c>
      <c r="D18" s="25">
        <v>36.729999999999997</v>
      </c>
      <c r="E18" s="25">
        <v>19.670000000000002</v>
      </c>
      <c r="F18" s="25">
        <f t="shared" si="0"/>
        <v>76.52</v>
      </c>
      <c r="G18" s="25">
        <f t="shared" si="1"/>
        <v>2.6386206896551725</v>
      </c>
      <c r="H18" s="33">
        <v>0.69379310000000005</v>
      </c>
      <c r="I18" s="25" t="s">
        <v>60</v>
      </c>
    </row>
    <row r="19" spans="1:9" x14ac:dyDescent="0.2">
      <c r="A19" s="23">
        <v>45365</v>
      </c>
      <c r="B19" s="24">
        <v>31</v>
      </c>
      <c r="C19" s="25">
        <v>21.66</v>
      </c>
      <c r="D19" s="25">
        <v>38.75</v>
      </c>
      <c r="E19" s="25">
        <v>20.81</v>
      </c>
      <c r="F19" s="25">
        <f t="shared" si="0"/>
        <v>81.22</v>
      </c>
      <c r="G19" s="25">
        <f t="shared" si="1"/>
        <v>2.62</v>
      </c>
      <c r="H19" s="33">
        <v>0.69870969999999999</v>
      </c>
      <c r="I19" s="25" t="s">
        <v>61</v>
      </c>
    </row>
    <row r="20" spans="1:9" x14ac:dyDescent="0.2">
      <c r="A20" s="23">
        <v>45396</v>
      </c>
      <c r="B20" s="24">
        <v>30</v>
      </c>
      <c r="C20" s="25">
        <v>20.27</v>
      </c>
      <c r="D20" s="25">
        <v>30.28</v>
      </c>
      <c r="E20" s="25">
        <v>16.95</v>
      </c>
      <c r="F20" s="25">
        <f t="shared" si="0"/>
        <v>67.5</v>
      </c>
      <c r="G20" s="25">
        <f t="shared" si="1"/>
        <v>2.25</v>
      </c>
      <c r="H20" s="33">
        <v>0.67566669999999995</v>
      </c>
      <c r="I20" s="63" t="s">
        <v>61</v>
      </c>
    </row>
    <row r="21" spans="1:9" x14ac:dyDescent="0.2">
      <c r="A21" s="23">
        <v>45426</v>
      </c>
      <c r="B21" s="24">
        <v>31</v>
      </c>
      <c r="C21" s="25">
        <v>21.93</v>
      </c>
      <c r="D21" s="25">
        <v>29.06</v>
      </c>
      <c r="E21" s="25">
        <v>16.62</v>
      </c>
      <c r="F21" s="25">
        <f t="shared" si="0"/>
        <v>67.61</v>
      </c>
      <c r="G21" s="25">
        <f t="shared" si="1"/>
        <v>2.180967741935484</v>
      </c>
      <c r="H21" s="33">
        <v>0.70741940000000003</v>
      </c>
      <c r="I21" s="25" t="s">
        <v>61</v>
      </c>
    </row>
    <row r="22" spans="1:9" x14ac:dyDescent="0.2">
      <c r="B22" s="34"/>
      <c r="C22" s="39"/>
      <c r="E22"/>
      <c r="F22" s="34"/>
      <c r="G22" s="35"/>
    </row>
    <row r="23" spans="1:9" x14ac:dyDescent="0.2">
      <c r="A23" s="61" t="s">
        <v>1</v>
      </c>
      <c r="B23" s="56" t="s">
        <v>67</v>
      </c>
      <c r="E23" s="38"/>
      <c r="F23" s="34"/>
      <c r="H23" s="34"/>
    </row>
    <row r="24" spans="1:9" x14ac:dyDescent="0.2">
      <c r="A24" s="23">
        <v>44848</v>
      </c>
      <c r="B24" s="25">
        <v>53.21</v>
      </c>
      <c r="C24"/>
      <c r="F24" s="38"/>
      <c r="H24" s="34"/>
    </row>
    <row r="25" spans="1:9" x14ac:dyDescent="0.2">
      <c r="A25" s="23">
        <v>44879</v>
      </c>
      <c r="B25" s="25">
        <v>56.99</v>
      </c>
      <c r="C25"/>
      <c r="F25" s="38"/>
      <c r="H25" s="34"/>
    </row>
    <row r="26" spans="1:9" x14ac:dyDescent="0.2">
      <c r="A26" s="23">
        <v>44909</v>
      </c>
      <c r="B26" s="25">
        <v>62.83</v>
      </c>
      <c r="C26"/>
      <c r="E26" s="39"/>
      <c r="F26" s="38"/>
      <c r="H26" s="34"/>
    </row>
    <row r="27" spans="1:9" x14ac:dyDescent="0.2">
      <c r="A27" s="23">
        <v>44940</v>
      </c>
      <c r="B27" s="25">
        <v>60.11</v>
      </c>
      <c r="C27"/>
      <c r="E27" s="34"/>
      <c r="F27" s="34"/>
      <c r="H27" s="34"/>
    </row>
    <row r="28" spans="1:9" x14ac:dyDescent="0.2">
      <c r="A28" s="23">
        <v>44971</v>
      </c>
      <c r="B28" s="25">
        <v>58.550000000000004</v>
      </c>
      <c r="C28"/>
      <c r="E28" s="34"/>
      <c r="F28" s="34"/>
      <c r="H28" s="34"/>
    </row>
    <row r="29" spans="1:9" x14ac:dyDescent="0.2">
      <c r="A29" s="23">
        <v>44999</v>
      </c>
      <c r="B29" s="25">
        <v>64.399999999999991</v>
      </c>
      <c r="C29"/>
      <c r="E29" s="34"/>
      <c r="F29" s="34"/>
      <c r="H29" s="34"/>
    </row>
    <row r="30" spans="1:9" x14ac:dyDescent="0.2">
      <c r="A30" s="23">
        <v>45030</v>
      </c>
      <c r="B30" s="25">
        <v>61.510000000000005</v>
      </c>
      <c r="C30"/>
      <c r="E30" s="34"/>
      <c r="F30" s="34"/>
      <c r="H30" s="34"/>
    </row>
    <row r="31" spans="1:9" x14ac:dyDescent="0.2">
      <c r="A31" s="23">
        <v>45060</v>
      </c>
      <c r="B31" s="25">
        <v>61.5</v>
      </c>
      <c r="C31"/>
      <c r="E31" s="34"/>
      <c r="F31" s="34"/>
      <c r="H31" s="34"/>
    </row>
    <row r="32" spans="1:9" x14ac:dyDescent="0.2">
      <c r="A32" s="23">
        <v>45091</v>
      </c>
      <c r="B32" s="25">
        <v>64.11</v>
      </c>
      <c r="C32"/>
      <c r="E32" s="34"/>
      <c r="F32" s="34"/>
      <c r="H32" s="34"/>
    </row>
    <row r="33" spans="1:8" x14ac:dyDescent="0.2">
      <c r="A33" s="23">
        <v>45121</v>
      </c>
      <c r="B33" s="25">
        <v>60.099999999999994</v>
      </c>
      <c r="C33"/>
      <c r="E33" s="34"/>
      <c r="F33" s="34"/>
      <c r="H33" s="34"/>
    </row>
    <row r="34" spans="1:8" x14ac:dyDescent="0.2">
      <c r="A34" s="23">
        <v>45152</v>
      </c>
      <c r="B34" s="25">
        <v>65.05</v>
      </c>
      <c r="C34"/>
      <c r="E34" s="34"/>
      <c r="F34" s="34"/>
      <c r="H34" s="34"/>
    </row>
    <row r="35" spans="1:8" x14ac:dyDescent="0.2">
      <c r="A35" s="23">
        <v>45183</v>
      </c>
      <c r="B35" s="25">
        <v>72.09</v>
      </c>
      <c r="C35"/>
      <c r="E35" s="34"/>
      <c r="F35" s="34"/>
      <c r="H35" s="34"/>
    </row>
    <row r="36" spans="1:8" x14ac:dyDescent="0.2">
      <c r="A36" s="23">
        <v>45213</v>
      </c>
      <c r="B36" s="25">
        <v>80.02000000000001</v>
      </c>
      <c r="C36"/>
      <c r="E36" s="34"/>
      <c r="F36" s="34"/>
      <c r="H36" s="34"/>
    </row>
    <row r="37" spans="1:8" x14ac:dyDescent="0.2">
      <c r="A37" s="23">
        <v>45244</v>
      </c>
      <c r="B37" s="25">
        <v>83.62</v>
      </c>
      <c r="C37"/>
      <c r="E37" s="34"/>
      <c r="F37" s="34"/>
      <c r="H37" s="34"/>
    </row>
    <row r="38" spans="1:8" x14ac:dyDescent="0.2">
      <c r="A38" s="23">
        <v>45274</v>
      </c>
      <c r="B38" s="25">
        <v>105.02</v>
      </c>
      <c r="C38" s="42"/>
      <c r="E38" s="34"/>
      <c r="F38" s="34"/>
      <c r="H38" s="34"/>
    </row>
    <row r="39" spans="1:8" x14ac:dyDescent="0.2">
      <c r="A39" s="23">
        <v>45305</v>
      </c>
      <c r="B39" s="25">
        <v>88.19</v>
      </c>
      <c r="C39" s="42"/>
      <c r="E39" s="34"/>
      <c r="F39" s="34"/>
      <c r="H39" s="34"/>
    </row>
    <row r="40" spans="1:8" x14ac:dyDescent="0.2">
      <c r="A40" s="23">
        <v>45336</v>
      </c>
      <c r="B40" s="25">
        <v>76.52</v>
      </c>
      <c r="C40" s="42"/>
      <c r="E40" s="43"/>
      <c r="F40" s="34"/>
      <c r="H40" s="34"/>
    </row>
    <row r="41" spans="1:8" x14ac:dyDescent="0.2">
      <c r="A41" s="23">
        <v>45365</v>
      </c>
      <c r="B41" s="25">
        <v>81.22</v>
      </c>
      <c r="C41" s="42"/>
      <c r="E41" s="34"/>
      <c r="F41" s="34"/>
      <c r="H41" s="34"/>
    </row>
    <row r="42" spans="1:8" x14ac:dyDescent="0.2">
      <c r="A42" s="23">
        <v>45396</v>
      </c>
      <c r="B42" s="25">
        <v>67.5</v>
      </c>
      <c r="C42" s="42"/>
      <c r="E42" s="34"/>
      <c r="F42" s="34"/>
      <c r="H42" s="34"/>
    </row>
    <row r="43" spans="1:8" x14ac:dyDescent="0.2">
      <c r="A43" s="23">
        <v>45426</v>
      </c>
      <c r="B43" s="25">
        <v>67.61</v>
      </c>
      <c r="C43" s="42"/>
      <c r="E43" s="34"/>
      <c r="F43" s="34"/>
      <c r="H43" s="34"/>
    </row>
    <row r="44" spans="1:8" x14ac:dyDescent="0.2">
      <c r="A44" s="89" t="s">
        <v>68</v>
      </c>
      <c r="B44" s="90" t="s">
        <v>69</v>
      </c>
      <c r="E44" s="34"/>
      <c r="F44" s="34"/>
      <c r="H44" s="34"/>
    </row>
    <row r="45" spans="1:8" x14ac:dyDescent="0.2">
      <c r="A45" s="87">
        <v>45457</v>
      </c>
      <c r="B45" s="88">
        <f t="array" ref="B45:B56">TREND(B24:B43,A24:A43,A45:A56)</f>
        <v>84.605020288201104</v>
      </c>
      <c r="E45" s="34"/>
      <c r="F45" s="34"/>
      <c r="H45" s="34"/>
    </row>
    <row r="46" spans="1:8" x14ac:dyDescent="0.2">
      <c r="A46" s="87">
        <v>45487</v>
      </c>
      <c r="B46" s="88">
        <v>86.020855263649537</v>
      </c>
      <c r="E46" s="34"/>
      <c r="F46" s="34"/>
      <c r="H46" s="34"/>
    </row>
    <row r="47" spans="1:8" x14ac:dyDescent="0.2">
      <c r="A47" s="87">
        <v>45518</v>
      </c>
      <c r="B47" s="88">
        <v>87.483884738279812</v>
      </c>
      <c r="E47" s="34"/>
      <c r="F47" s="34"/>
      <c r="H47" s="34"/>
    </row>
    <row r="48" spans="1:8" x14ac:dyDescent="0.2">
      <c r="A48" s="87">
        <v>45549</v>
      </c>
      <c r="B48" s="88">
        <v>88.946914212910087</v>
      </c>
      <c r="E48" s="34"/>
      <c r="F48" s="34"/>
      <c r="H48" s="34"/>
    </row>
    <row r="49" spans="1:8" x14ac:dyDescent="0.2">
      <c r="A49" s="87">
        <v>45579</v>
      </c>
      <c r="B49" s="88">
        <v>90.362749188358976</v>
      </c>
      <c r="E49" s="34"/>
      <c r="F49" s="34"/>
      <c r="H49" s="34"/>
    </row>
    <row r="50" spans="1:8" x14ac:dyDescent="0.2">
      <c r="A50" s="87">
        <v>45610</v>
      </c>
      <c r="B50" s="88">
        <v>91.825778662989251</v>
      </c>
      <c r="E50" s="34"/>
      <c r="F50" s="34"/>
      <c r="H50" s="34"/>
    </row>
    <row r="51" spans="1:8" x14ac:dyDescent="0.2">
      <c r="A51" s="87">
        <v>45640</v>
      </c>
      <c r="B51" s="88">
        <v>93.241613638437684</v>
      </c>
      <c r="E51" s="34"/>
      <c r="F51" s="34"/>
      <c r="H51" s="34"/>
    </row>
    <row r="52" spans="1:8" x14ac:dyDescent="0.2">
      <c r="A52" s="87">
        <v>45671</v>
      </c>
      <c r="B52" s="88">
        <v>94.704643113067959</v>
      </c>
      <c r="E52" s="34"/>
      <c r="F52" s="34"/>
      <c r="H52" s="34"/>
    </row>
    <row r="53" spans="1:8" x14ac:dyDescent="0.2">
      <c r="A53" s="87">
        <v>45702</v>
      </c>
      <c r="B53" s="88">
        <v>96.167672587698235</v>
      </c>
      <c r="E53" s="34"/>
      <c r="F53" s="34"/>
      <c r="H53" s="34"/>
    </row>
    <row r="54" spans="1:8" x14ac:dyDescent="0.2">
      <c r="A54" s="87">
        <v>45730</v>
      </c>
      <c r="B54" s="88">
        <v>97.489118564783439</v>
      </c>
      <c r="E54" s="34"/>
      <c r="F54" s="34"/>
      <c r="H54" s="34"/>
    </row>
    <row r="55" spans="1:8" x14ac:dyDescent="0.2">
      <c r="A55" s="87">
        <v>45761</v>
      </c>
      <c r="B55" s="88">
        <v>98.952148039413714</v>
      </c>
      <c r="E55" s="34"/>
      <c r="F55" s="34"/>
      <c r="H55" s="34"/>
    </row>
    <row r="56" spans="1:8" x14ac:dyDescent="0.2">
      <c r="A56" s="87">
        <v>45791</v>
      </c>
      <c r="B56" s="88">
        <v>100.3679830148626</v>
      </c>
      <c r="C56"/>
      <c r="D56" s="82"/>
      <c r="F56" s="34"/>
      <c r="H56" s="34"/>
    </row>
    <row r="57" spans="1:8" x14ac:dyDescent="0.2">
      <c r="A57" s="23"/>
      <c r="C57"/>
      <c r="D57" s="82"/>
      <c r="F57" s="34"/>
      <c r="H57" s="34"/>
    </row>
    <row r="58" spans="1:8" x14ac:dyDescent="0.2">
      <c r="A58" s="23"/>
      <c r="C58"/>
      <c r="D58" s="82"/>
      <c r="F58" s="34"/>
      <c r="H58" s="34"/>
    </row>
    <row r="59" spans="1:8" x14ac:dyDescent="0.2">
      <c r="A59" s="23"/>
      <c r="C59"/>
      <c r="D59" s="82"/>
      <c r="F59" s="34"/>
      <c r="H59" s="34"/>
    </row>
    <row r="60" spans="1:8" x14ac:dyDescent="0.2">
      <c r="A60" s="23"/>
      <c r="C60"/>
      <c r="D60" s="82"/>
      <c r="F60" s="34"/>
      <c r="H60" s="34"/>
    </row>
    <row r="61" spans="1:8" x14ac:dyDescent="0.2">
      <c r="A61" s="23"/>
      <c r="C61"/>
      <c r="D61" s="82"/>
      <c r="F61" s="34"/>
      <c r="H61" s="34"/>
    </row>
    <row r="62" spans="1:8" x14ac:dyDescent="0.2">
      <c r="A62" s="23"/>
      <c r="C62"/>
      <c r="D62" s="82"/>
      <c r="F62" s="34"/>
      <c r="H62" s="34"/>
    </row>
    <row r="63" spans="1:8" x14ac:dyDescent="0.2">
      <c r="A63" s="23"/>
      <c r="C63"/>
      <c r="D63" s="82"/>
      <c r="F63" s="34"/>
      <c r="H63" s="34"/>
    </row>
    <row r="64" spans="1:8" x14ac:dyDescent="0.2">
      <c r="A64" s="23"/>
      <c r="C64" s="34"/>
      <c r="D64" s="34"/>
      <c r="E64" s="34"/>
      <c r="F64" s="34"/>
      <c r="H64" s="34"/>
    </row>
    <row r="65" spans="3:8" x14ac:dyDescent="0.2">
      <c r="C65" s="34"/>
      <c r="D65" s="34"/>
      <c r="E65" s="34"/>
      <c r="F65" s="34"/>
      <c r="H65" s="34"/>
    </row>
    <row r="66" spans="3:8" x14ac:dyDescent="0.2">
      <c r="C66" s="34"/>
      <c r="D66" s="34"/>
      <c r="E66" s="34"/>
      <c r="F66" s="34"/>
      <c r="H66" s="34"/>
    </row>
  </sheetData>
  <pageMargins left="0.7" right="0.7" top="0.75" bottom="0.75" header="0.3" footer="0.3"/>
  <ignoredErrors>
    <ignoredError sqref="F2:F20" formulaRange="1"/>
  </ignoredErrors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EE38-2C30-7C41-B0AD-0AAE0C9281C2}">
  <dimension ref="A3:F41"/>
  <sheetViews>
    <sheetView zoomScale="110" zoomScaleNormal="110" workbookViewId="0">
      <selection activeCell="G13" sqref="G13"/>
    </sheetView>
  </sheetViews>
  <sheetFormatPr baseColWidth="10" defaultColWidth="22" defaultRowHeight="16" x14ac:dyDescent="0.2"/>
  <cols>
    <col min="1" max="1" width="22" customWidth="1"/>
    <col min="2" max="6" width="22" style="45" customWidth="1"/>
    <col min="9" max="14" width="22" customWidth="1"/>
  </cols>
  <sheetData>
    <row r="3" spans="1:6" s="43" customFormat="1" x14ac:dyDescent="0.2">
      <c r="A3" s="41" t="s">
        <v>10</v>
      </c>
      <c r="B3" s="42" t="s">
        <v>30</v>
      </c>
      <c r="C3" s="42" t="s">
        <v>29</v>
      </c>
      <c r="D3" s="42" t="s">
        <v>28</v>
      </c>
      <c r="E3" s="42" t="s">
        <v>27</v>
      </c>
      <c r="F3"/>
    </row>
    <row r="4" spans="1:6" x14ac:dyDescent="0.2">
      <c r="A4" s="44" t="s">
        <v>12</v>
      </c>
      <c r="B4" s="45">
        <v>16.896666666666668</v>
      </c>
      <c r="C4" s="45">
        <v>24.683333333333334</v>
      </c>
      <c r="D4" s="45">
        <v>16.096666666666668</v>
      </c>
      <c r="E4" s="45">
        <v>57.676666666666655</v>
      </c>
      <c r="F4"/>
    </row>
    <row r="5" spans="1:6" x14ac:dyDescent="0.2">
      <c r="A5" s="44" t="s">
        <v>13</v>
      </c>
      <c r="B5" s="45">
        <v>18.170833333333334</v>
      </c>
      <c r="C5" s="45">
        <v>32.1</v>
      </c>
      <c r="D5" s="45">
        <v>19.4025</v>
      </c>
      <c r="E5" s="45">
        <v>69.673333333333332</v>
      </c>
      <c r="F5"/>
    </row>
    <row r="6" spans="1:6" x14ac:dyDescent="0.2">
      <c r="A6" s="44" t="s">
        <v>14</v>
      </c>
      <c r="B6" s="45">
        <v>20.625</v>
      </c>
      <c r="C6" s="45">
        <v>37.347499999999997</v>
      </c>
      <c r="D6" s="45">
        <v>20.384999999999998</v>
      </c>
      <c r="E6" s="45">
        <v>78.357500000000002</v>
      </c>
      <c r="F6"/>
    </row>
    <row r="7" spans="1:6" x14ac:dyDescent="0.2">
      <c r="A7" s="44" t="s">
        <v>11</v>
      </c>
      <c r="B7" s="45">
        <v>18.486315789473686</v>
      </c>
      <c r="C7" s="45">
        <v>32.033684210526324</v>
      </c>
      <c r="D7" s="45">
        <v>19.087368421052634</v>
      </c>
      <c r="E7" s="45">
        <v>69.607368421052627</v>
      </c>
      <c r="F7"/>
    </row>
    <row r="8" spans="1:6" x14ac:dyDescent="0.2">
      <c r="B8"/>
      <c r="C8"/>
      <c r="D8"/>
      <c r="E8"/>
      <c r="F8"/>
    </row>
    <row r="9" spans="1:6" x14ac:dyDescent="0.2">
      <c r="A9" s="41" t="s">
        <v>10</v>
      </c>
      <c r="B9" s="42" t="s">
        <v>30</v>
      </c>
      <c r="C9" s="42" t="s">
        <v>29</v>
      </c>
      <c r="D9" s="42" t="s">
        <v>28</v>
      </c>
      <c r="E9" s="42" t="s">
        <v>27</v>
      </c>
      <c r="F9" s="42" t="s">
        <v>37</v>
      </c>
    </row>
    <row r="10" spans="1:6" x14ac:dyDescent="0.2">
      <c r="A10" s="44" t="s">
        <v>19</v>
      </c>
      <c r="B10" s="45">
        <v>19.105</v>
      </c>
      <c r="C10" s="45">
        <v>34.785000000000004</v>
      </c>
      <c r="D10" s="45">
        <v>20.259999999999998</v>
      </c>
      <c r="E10" s="45">
        <v>74.150000000000006</v>
      </c>
      <c r="F10" s="45">
        <v>2.3919354838709674</v>
      </c>
    </row>
    <row r="11" spans="1:6" x14ac:dyDescent="0.2">
      <c r="A11" s="46" t="s">
        <v>13</v>
      </c>
      <c r="B11" s="45">
        <v>17.760000000000002</v>
      </c>
      <c r="C11" s="45">
        <v>25.94</v>
      </c>
      <c r="D11" s="45">
        <v>16.41</v>
      </c>
      <c r="E11" s="45">
        <v>60.11</v>
      </c>
      <c r="F11" s="45">
        <v>1.9390322580645161</v>
      </c>
    </row>
    <row r="12" spans="1:6" x14ac:dyDescent="0.2">
      <c r="A12" s="46" t="s">
        <v>14</v>
      </c>
      <c r="B12" s="45">
        <v>20.45</v>
      </c>
      <c r="C12" s="45">
        <v>43.63</v>
      </c>
      <c r="D12" s="45">
        <v>24.11</v>
      </c>
      <c r="E12" s="45">
        <v>88.19</v>
      </c>
      <c r="F12" s="45">
        <v>2.8448387096774193</v>
      </c>
    </row>
    <row r="13" spans="1:6" x14ac:dyDescent="0.2">
      <c r="A13" s="44" t="s">
        <v>20</v>
      </c>
      <c r="B13" s="45">
        <v>18.995000000000001</v>
      </c>
      <c r="C13" s="45">
        <v>30.95</v>
      </c>
      <c r="D13" s="45">
        <v>17.59</v>
      </c>
      <c r="E13" s="45">
        <v>67.534999999999997</v>
      </c>
      <c r="F13" s="45">
        <v>2.3648460591133009</v>
      </c>
    </row>
    <row r="14" spans="1:6" x14ac:dyDescent="0.2">
      <c r="A14" s="46" t="s">
        <v>13</v>
      </c>
      <c r="B14" s="45">
        <v>17.87</v>
      </c>
      <c r="C14" s="45">
        <v>25.17</v>
      </c>
      <c r="D14" s="45">
        <v>15.51</v>
      </c>
      <c r="E14" s="45">
        <v>58.550000000000004</v>
      </c>
      <c r="F14" s="45">
        <v>2.0910714285714289</v>
      </c>
    </row>
    <row r="15" spans="1:6" x14ac:dyDescent="0.2">
      <c r="A15" s="46" t="s">
        <v>14</v>
      </c>
      <c r="B15" s="45">
        <v>20.12</v>
      </c>
      <c r="C15" s="45">
        <v>36.729999999999997</v>
      </c>
      <c r="D15" s="45">
        <v>19.670000000000002</v>
      </c>
      <c r="E15" s="45">
        <v>76.52</v>
      </c>
      <c r="F15" s="45">
        <v>2.6386206896551725</v>
      </c>
    </row>
    <row r="16" spans="1:6" x14ac:dyDescent="0.2">
      <c r="A16" s="44" t="s">
        <v>21</v>
      </c>
      <c r="B16" s="45">
        <v>19.64</v>
      </c>
      <c r="C16" s="45">
        <v>33.825000000000003</v>
      </c>
      <c r="D16" s="45">
        <v>19.344999999999999</v>
      </c>
      <c r="E16" s="45">
        <v>72.81</v>
      </c>
      <c r="F16" s="45">
        <v>2.3487096774193548</v>
      </c>
    </row>
    <row r="17" spans="1:6" x14ac:dyDescent="0.2">
      <c r="A17" s="46" t="s">
        <v>13</v>
      </c>
      <c r="B17" s="45">
        <v>17.62</v>
      </c>
      <c r="C17" s="45">
        <v>28.9</v>
      </c>
      <c r="D17" s="45">
        <v>17.88</v>
      </c>
      <c r="E17" s="45">
        <v>64.399999999999991</v>
      </c>
      <c r="F17" s="45">
        <v>2.0774193548387094</v>
      </c>
    </row>
    <row r="18" spans="1:6" x14ac:dyDescent="0.2">
      <c r="A18" s="46" t="s">
        <v>14</v>
      </c>
      <c r="B18" s="45">
        <v>21.66</v>
      </c>
      <c r="C18" s="45">
        <v>38.75</v>
      </c>
      <c r="D18" s="45">
        <v>20.81</v>
      </c>
      <c r="E18" s="45">
        <v>81.22</v>
      </c>
      <c r="F18" s="45">
        <v>2.62</v>
      </c>
    </row>
    <row r="19" spans="1:6" x14ac:dyDescent="0.2">
      <c r="A19" s="44" t="s">
        <v>22</v>
      </c>
      <c r="B19" s="45">
        <v>18.829999999999998</v>
      </c>
      <c r="C19" s="45">
        <v>28.8</v>
      </c>
      <c r="D19" s="45">
        <v>16.875</v>
      </c>
      <c r="E19" s="45">
        <v>64.504999999999995</v>
      </c>
      <c r="F19" s="45">
        <v>2.1501666666666668</v>
      </c>
    </row>
    <row r="20" spans="1:6" x14ac:dyDescent="0.2">
      <c r="A20" s="46" t="s">
        <v>13</v>
      </c>
      <c r="B20" s="45">
        <v>17.39</v>
      </c>
      <c r="C20" s="45">
        <v>27.32</v>
      </c>
      <c r="D20" s="45">
        <v>16.8</v>
      </c>
      <c r="E20" s="45">
        <v>61.510000000000005</v>
      </c>
      <c r="F20" s="45">
        <v>2.0503333333333336</v>
      </c>
    </row>
    <row r="21" spans="1:6" x14ac:dyDescent="0.2">
      <c r="A21" s="46" t="s">
        <v>14</v>
      </c>
      <c r="B21" s="45">
        <v>20.27</v>
      </c>
      <c r="C21" s="45">
        <v>30.28</v>
      </c>
      <c r="D21" s="45">
        <v>16.95</v>
      </c>
      <c r="E21" s="45">
        <v>67.5</v>
      </c>
      <c r="F21" s="45">
        <v>2.25</v>
      </c>
    </row>
    <row r="22" spans="1:6" x14ac:dyDescent="0.2">
      <c r="A22" s="44" t="s">
        <v>23</v>
      </c>
      <c r="B22" s="45">
        <v>17.600000000000001</v>
      </c>
      <c r="C22" s="45">
        <v>27.28</v>
      </c>
      <c r="D22" s="45">
        <v>16.62</v>
      </c>
      <c r="E22" s="45">
        <v>61.5</v>
      </c>
      <c r="F22" s="45">
        <v>1.9838709677419355</v>
      </c>
    </row>
    <row r="23" spans="1:6" x14ac:dyDescent="0.2">
      <c r="A23" s="46" t="s">
        <v>13</v>
      </c>
      <c r="B23" s="45">
        <v>17.600000000000001</v>
      </c>
      <c r="C23" s="45">
        <v>27.28</v>
      </c>
      <c r="D23" s="45">
        <v>16.62</v>
      </c>
      <c r="E23" s="45">
        <v>61.5</v>
      </c>
      <c r="F23" s="45">
        <v>1.9838709677419355</v>
      </c>
    </row>
    <row r="24" spans="1:6" x14ac:dyDescent="0.2">
      <c r="A24" s="44" t="s">
        <v>24</v>
      </c>
      <c r="B24" s="45">
        <v>17.55</v>
      </c>
      <c r="C24" s="45">
        <v>28.68</v>
      </c>
      <c r="D24" s="45">
        <v>17.88</v>
      </c>
      <c r="E24" s="45">
        <v>64.11</v>
      </c>
      <c r="F24" s="45">
        <v>2.137</v>
      </c>
    </row>
    <row r="25" spans="1:6" x14ac:dyDescent="0.2">
      <c r="A25" s="46" t="s">
        <v>13</v>
      </c>
      <c r="B25" s="45">
        <v>17.55</v>
      </c>
      <c r="C25" s="45">
        <v>28.68</v>
      </c>
      <c r="D25" s="45">
        <v>17.88</v>
      </c>
      <c r="E25" s="45">
        <v>64.11</v>
      </c>
      <c r="F25" s="45">
        <v>2.137</v>
      </c>
    </row>
    <row r="26" spans="1:6" x14ac:dyDescent="0.2">
      <c r="A26" s="44" t="s">
        <v>25</v>
      </c>
      <c r="B26" s="45">
        <v>17.8</v>
      </c>
      <c r="C26" s="45">
        <v>25.92</v>
      </c>
      <c r="D26" s="45">
        <v>16.38</v>
      </c>
      <c r="E26" s="45">
        <v>60.099999999999994</v>
      </c>
      <c r="F26" s="45">
        <v>1.9387096774193546</v>
      </c>
    </row>
    <row r="27" spans="1:6" x14ac:dyDescent="0.2">
      <c r="A27" s="46" t="s">
        <v>13</v>
      </c>
      <c r="B27" s="45">
        <v>17.8</v>
      </c>
      <c r="C27" s="45">
        <v>25.92</v>
      </c>
      <c r="D27" s="45">
        <v>16.38</v>
      </c>
      <c r="E27" s="45">
        <v>60.099999999999994</v>
      </c>
      <c r="F27" s="45">
        <v>1.9387096774193546</v>
      </c>
    </row>
    <row r="28" spans="1:6" x14ac:dyDescent="0.2">
      <c r="A28" s="44" t="s">
        <v>26</v>
      </c>
      <c r="B28" s="45">
        <v>17.84</v>
      </c>
      <c r="C28" s="45">
        <v>29.19</v>
      </c>
      <c r="D28" s="45">
        <v>18.02</v>
      </c>
      <c r="E28" s="45">
        <v>65.05</v>
      </c>
      <c r="F28" s="45">
        <v>2.0983870967741933</v>
      </c>
    </row>
    <row r="29" spans="1:6" x14ac:dyDescent="0.2">
      <c r="A29" s="46" t="s">
        <v>13</v>
      </c>
      <c r="B29" s="45">
        <v>17.84</v>
      </c>
      <c r="C29" s="45">
        <v>29.19</v>
      </c>
      <c r="D29" s="45">
        <v>18.02</v>
      </c>
      <c r="E29" s="45">
        <v>65.05</v>
      </c>
      <c r="F29" s="45">
        <v>2.0983870967741933</v>
      </c>
    </row>
    <row r="30" spans="1:6" x14ac:dyDescent="0.2">
      <c r="A30" s="44" t="s">
        <v>15</v>
      </c>
      <c r="B30" s="45">
        <v>18.100000000000001</v>
      </c>
      <c r="C30" s="45">
        <v>33.450000000000003</v>
      </c>
      <c r="D30" s="45">
        <v>20.54</v>
      </c>
      <c r="E30" s="45">
        <v>72.09</v>
      </c>
      <c r="F30" s="45">
        <v>2.403</v>
      </c>
    </row>
    <row r="31" spans="1:6" x14ac:dyDescent="0.2">
      <c r="A31" s="46" t="s">
        <v>13</v>
      </c>
      <c r="B31" s="45">
        <v>18.100000000000001</v>
      </c>
      <c r="C31" s="45">
        <v>33.450000000000003</v>
      </c>
      <c r="D31" s="45">
        <v>20.54</v>
      </c>
      <c r="E31" s="45">
        <v>72.09</v>
      </c>
      <c r="F31" s="45">
        <v>2.403</v>
      </c>
    </row>
    <row r="32" spans="1:6" x14ac:dyDescent="0.2">
      <c r="A32" s="44" t="s">
        <v>16</v>
      </c>
      <c r="B32" s="45">
        <v>17.465</v>
      </c>
      <c r="C32" s="45">
        <v>30.36</v>
      </c>
      <c r="D32" s="45">
        <v>18.79</v>
      </c>
      <c r="E32" s="45">
        <v>66.615000000000009</v>
      </c>
      <c r="F32" s="45">
        <v>2.1488709677419355</v>
      </c>
    </row>
    <row r="33" spans="1:6" x14ac:dyDescent="0.2">
      <c r="A33" s="46" t="s">
        <v>12</v>
      </c>
      <c r="B33" s="45">
        <v>16.71</v>
      </c>
      <c r="C33" s="45">
        <v>21.95</v>
      </c>
      <c r="D33" s="45">
        <v>14.55</v>
      </c>
      <c r="E33" s="45">
        <v>53.209999999999994</v>
      </c>
      <c r="F33" s="45">
        <v>1.7164516129032257</v>
      </c>
    </row>
    <row r="34" spans="1:6" x14ac:dyDescent="0.2">
      <c r="A34" s="46" t="s">
        <v>13</v>
      </c>
      <c r="B34" s="45">
        <v>18.22</v>
      </c>
      <c r="C34" s="45">
        <v>38.770000000000003</v>
      </c>
      <c r="D34" s="45">
        <v>23.03</v>
      </c>
      <c r="E34" s="45">
        <v>80.02000000000001</v>
      </c>
      <c r="F34" s="45">
        <v>2.5812903225806454</v>
      </c>
    </row>
    <row r="35" spans="1:6" x14ac:dyDescent="0.2">
      <c r="A35" s="44" t="s">
        <v>17</v>
      </c>
      <c r="B35" s="45">
        <v>18.524999999999999</v>
      </c>
      <c r="C35" s="45">
        <v>32.380000000000003</v>
      </c>
      <c r="D35" s="45">
        <v>19.399999999999999</v>
      </c>
      <c r="E35" s="45">
        <v>70.305000000000007</v>
      </c>
      <c r="F35" s="45">
        <v>2.3435000000000001</v>
      </c>
    </row>
    <row r="36" spans="1:6" x14ac:dyDescent="0.2">
      <c r="A36" s="46" t="s">
        <v>12</v>
      </c>
      <c r="B36" s="45">
        <v>16.940000000000001</v>
      </c>
      <c r="C36" s="45">
        <v>24.34</v>
      </c>
      <c r="D36" s="45">
        <v>15.71</v>
      </c>
      <c r="E36" s="45">
        <v>56.99</v>
      </c>
      <c r="F36" s="45">
        <v>1.8996666666666668</v>
      </c>
    </row>
    <row r="37" spans="1:6" x14ac:dyDescent="0.2">
      <c r="A37" s="46" t="s">
        <v>13</v>
      </c>
      <c r="B37" s="45">
        <v>20.11</v>
      </c>
      <c r="C37" s="45">
        <v>40.42</v>
      </c>
      <c r="D37" s="45">
        <v>23.09</v>
      </c>
      <c r="E37" s="45">
        <v>83.62</v>
      </c>
      <c r="F37" s="45">
        <v>2.7873333333333337</v>
      </c>
    </row>
    <row r="38" spans="1:6" x14ac:dyDescent="0.2">
      <c r="A38" s="44" t="s">
        <v>18</v>
      </c>
      <c r="B38" s="45">
        <v>18.615000000000002</v>
      </c>
      <c r="C38" s="45">
        <v>40.96</v>
      </c>
      <c r="D38" s="45">
        <v>24.35</v>
      </c>
      <c r="E38" s="45">
        <v>83.924999999999997</v>
      </c>
      <c r="F38" s="45">
        <v>2.7072580645161288</v>
      </c>
    </row>
    <row r="39" spans="1:6" x14ac:dyDescent="0.2">
      <c r="A39" s="46" t="s">
        <v>12</v>
      </c>
      <c r="B39" s="45">
        <v>17.04</v>
      </c>
      <c r="C39" s="45">
        <v>27.76</v>
      </c>
      <c r="D39" s="45">
        <v>18.03</v>
      </c>
      <c r="E39" s="45">
        <v>62.83</v>
      </c>
      <c r="F39" s="45">
        <v>2.0267741935483872</v>
      </c>
    </row>
    <row r="40" spans="1:6" x14ac:dyDescent="0.2">
      <c r="A40" s="46" t="s">
        <v>13</v>
      </c>
      <c r="B40" s="45">
        <v>20.190000000000001</v>
      </c>
      <c r="C40" s="45">
        <v>54.16</v>
      </c>
      <c r="D40" s="45">
        <v>30.67</v>
      </c>
      <c r="E40" s="45">
        <v>105.02</v>
      </c>
      <c r="F40" s="45">
        <v>3.3877419354838709</v>
      </c>
    </row>
    <row r="41" spans="1:6" x14ac:dyDescent="0.2">
      <c r="A41" s="44" t="s">
        <v>11</v>
      </c>
      <c r="B41" s="45">
        <v>18.486315789473689</v>
      </c>
      <c r="C41" s="45">
        <v>32.03368421052631</v>
      </c>
      <c r="D41" s="45">
        <v>19.087368421052627</v>
      </c>
      <c r="E41" s="45">
        <v>69.607368421052627</v>
      </c>
      <c r="F41" s="45">
        <v>2.2879758726627473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EB0A-FC5C-8D49-A600-C01829B96E30}">
  <dimension ref="A3:C46"/>
  <sheetViews>
    <sheetView zoomScale="140" zoomScaleNormal="140" workbookViewId="0">
      <selection activeCell="D6" sqref="D6"/>
    </sheetView>
  </sheetViews>
  <sheetFormatPr baseColWidth="10" defaultRowHeight="16" x14ac:dyDescent="0.2"/>
  <cols>
    <col min="1" max="1" width="13" bestFit="1" customWidth="1"/>
    <col min="2" max="2" width="18.83203125" style="45" bestFit="1" customWidth="1"/>
    <col min="3" max="3" width="14.6640625" bestFit="1" customWidth="1"/>
  </cols>
  <sheetData>
    <row r="3" spans="1:3" x14ac:dyDescent="0.2">
      <c r="A3" s="76" t="s">
        <v>10</v>
      </c>
      <c r="B3" t="s">
        <v>27</v>
      </c>
      <c r="C3" t="s">
        <v>66</v>
      </c>
    </row>
    <row r="4" spans="1:3" x14ac:dyDescent="0.2">
      <c r="A4" s="44" t="s">
        <v>19</v>
      </c>
      <c r="B4" s="45">
        <v>74.150000000000006</v>
      </c>
      <c r="C4" s="86"/>
    </row>
    <row r="5" spans="1:3" x14ac:dyDescent="0.2">
      <c r="A5" s="46" t="s">
        <v>13</v>
      </c>
      <c r="B5" s="45">
        <v>60.11</v>
      </c>
      <c r="C5" s="86"/>
    </row>
    <row r="6" spans="1:3" x14ac:dyDescent="0.2">
      <c r="A6" s="46" t="s">
        <v>14</v>
      </c>
      <c r="B6" s="45">
        <v>88.19</v>
      </c>
      <c r="C6" s="86">
        <v>0.46714357012144397</v>
      </c>
    </row>
    <row r="7" spans="1:3" x14ac:dyDescent="0.2">
      <c r="A7" s="44" t="s">
        <v>20</v>
      </c>
      <c r="B7" s="45">
        <v>67.534999999999997</v>
      </c>
      <c r="C7" s="86"/>
    </row>
    <row r="8" spans="1:3" x14ac:dyDescent="0.2">
      <c r="A8" s="46" t="s">
        <v>13</v>
      </c>
      <c r="B8" s="45">
        <v>58.550000000000004</v>
      </c>
      <c r="C8" s="86"/>
    </row>
    <row r="9" spans="1:3" x14ac:dyDescent="0.2">
      <c r="A9" s="46" t="s">
        <v>14</v>
      </c>
      <c r="B9" s="45">
        <v>76.52</v>
      </c>
      <c r="C9" s="86">
        <v>0.30691716481639608</v>
      </c>
    </row>
    <row r="10" spans="1:3" x14ac:dyDescent="0.2">
      <c r="A10" s="44" t="s">
        <v>21</v>
      </c>
      <c r="B10" s="45">
        <v>72.81</v>
      </c>
      <c r="C10" s="86"/>
    </row>
    <row r="11" spans="1:3" x14ac:dyDescent="0.2">
      <c r="A11" s="46" t="s">
        <v>13</v>
      </c>
      <c r="B11" s="45">
        <v>64.399999999999991</v>
      </c>
      <c r="C11" s="86"/>
    </row>
    <row r="12" spans="1:3" x14ac:dyDescent="0.2">
      <c r="A12" s="46" t="s">
        <v>14</v>
      </c>
      <c r="B12" s="45">
        <v>81.22</v>
      </c>
      <c r="C12" s="86">
        <v>0.26118012422360265</v>
      </c>
    </row>
    <row r="13" spans="1:3" x14ac:dyDescent="0.2">
      <c r="A13" s="44" t="s">
        <v>22</v>
      </c>
      <c r="B13" s="45">
        <v>64.504999999999995</v>
      </c>
      <c r="C13" s="86"/>
    </row>
    <row r="14" spans="1:3" x14ac:dyDescent="0.2">
      <c r="A14" s="46" t="s">
        <v>13</v>
      </c>
      <c r="B14" s="45">
        <v>61.510000000000005</v>
      </c>
      <c r="C14" s="86"/>
    </row>
    <row r="15" spans="1:3" x14ac:dyDescent="0.2">
      <c r="A15" s="46" t="s">
        <v>14</v>
      </c>
      <c r="B15" s="45">
        <v>67.5</v>
      </c>
      <c r="C15" s="86">
        <v>9.738253942448373E-2</v>
      </c>
    </row>
    <row r="16" spans="1:3" x14ac:dyDescent="0.2">
      <c r="A16" s="44" t="s">
        <v>23</v>
      </c>
      <c r="B16" s="45">
        <v>64.555000000000007</v>
      </c>
      <c r="C16" s="86"/>
    </row>
    <row r="17" spans="1:3" x14ac:dyDescent="0.2">
      <c r="A17" s="46" t="s">
        <v>13</v>
      </c>
      <c r="B17" s="45">
        <v>61.5</v>
      </c>
      <c r="C17" s="86"/>
    </row>
    <row r="18" spans="1:3" x14ac:dyDescent="0.2">
      <c r="A18" s="46" t="s">
        <v>14</v>
      </c>
      <c r="B18" s="45">
        <v>67.61</v>
      </c>
      <c r="C18" s="86">
        <v>9.9349593495934946E-2</v>
      </c>
    </row>
    <row r="19" spans="1:3" x14ac:dyDescent="0.2">
      <c r="A19" s="44" t="s">
        <v>24</v>
      </c>
      <c r="B19" s="45">
        <v>64.11</v>
      </c>
      <c r="C19" s="86" t="e">
        <v>#N/A</v>
      </c>
    </row>
    <row r="20" spans="1:3" x14ac:dyDescent="0.2">
      <c r="A20" s="44" t="s">
        <v>25</v>
      </c>
      <c r="B20" s="45">
        <v>60.099999999999994</v>
      </c>
      <c r="C20" s="86" t="e">
        <v>#N/A</v>
      </c>
    </row>
    <row r="21" spans="1:3" x14ac:dyDescent="0.2">
      <c r="A21" s="44" t="s">
        <v>26</v>
      </c>
      <c r="B21" s="45">
        <v>65.05</v>
      </c>
      <c r="C21" s="86" t="e">
        <v>#N/A</v>
      </c>
    </row>
    <row r="22" spans="1:3" x14ac:dyDescent="0.2">
      <c r="A22" s="44" t="s">
        <v>15</v>
      </c>
      <c r="B22" s="45">
        <v>72.09</v>
      </c>
      <c r="C22" s="86" t="e">
        <v>#N/A</v>
      </c>
    </row>
    <row r="23" spans="1:3" x14ac:dyDescent="0.2">
      <c r="A23" s="44" t="s">
        <v>16</v>
      </c>
      <c r="B23" s="45">
        <v>66.615000000000009</v>
      </c>
      <c r="C23" s="86"/>
    </row>
    <row r="24" spans="1:3" x14ac:dyDescent="0.2">
      <c r="A24" s="46" t="s">
        <v>12</v>
      </c>
      <c r="B24" s="45">
        <v>53.209999999999994</v>
      </c>
      <c r="C24" s="86"/>
    </row>
    <row r="25" spans="1:3" x14ac:dyDescent="0.2">
      <c r="A25" s="46" t="s">
        <v>13</v>
      </c>
      <c r="B25" s="45">
        <v>80.02000000000001</v>
      </c>
      <c r="C25" s="86">
        <v>0.50385265927457279</v>
      </c>
    </row>
    <row r="26" spans="1:3" x14ac:dyDescent="0.2">
      <c r="A26" s="44" t="s">
        <v>17</v>
      </c>
      <c r="B26" s="45">
        <v>70.305000000000007</v>
      </c>
      <c r="C26" s="86"/>
    </row>
    <row r="27" spans="1:3" x14ac:dyDescent="0.2">
      <c r="A27" s="46" t="s">
        <v>12</v>
      </c>
      <c r="B27" s="45">
        <v>56.99</v>
      </c>
      <c r="C27" s="86"/>
    </row>
    <row r="28" spans="1:3" x14ac:dyDescent="0.2">
      <c r="A28" s="46" t="s">
        <v>13</v>
      </c>
      <c r="B28" s="45">
        <v>83.62</v>
      </c>
      <c r="C28" s="86">
        <v>0.46727496051938938</v>
      </c>
    </row>
    <row r="29" spans="1:3" x14ac:dyDescent="0.2">
      <c r="A29" s="44" t="s">
        <v>18</v>
      </c>
      <c r="B29" s="45">
        <v>83.924999999999997</v>
      </c>
      <c r="C29" s="86"/>
    </row>
    <row r="30" spans="1:3" x14ac:dyDescent="0.2">
      <c r="A30" s="46" t="s">
        <v>12</v>
      </c>
      <c r="B30" s="45">
        <v>62.83</v>
      </c>
      <c r="C30" s="86"/>
    </row>
    <row r="31" spans="1:3" x14ac:dyDescent="0.2">
      <c r="A31" s="46" t="s">
        <v>13</v>
      </c>
      <c r="B31" s="45">
        <v>105.02</v>
      </c>
      <c r="C31" s="86">
        <v>0.6714945089925195</v>
      </c>
    </row>
    <row r="32" spans="1:3" x14ac:dyDescent="0.2">
      <c r="A32" s="44" t="s">
        <v>11</v>
      </c>
      <c r="B32" s="45">
        <v>69.507500000000007</v>
      </c>
      <c r="C32" s="86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BF66-F819-9A4B-AAB9-4F60B1E14BBB}">
  <dimension ref="A1:BO43"/>
  <sheetViews>
    <sheetView zoomScale="90" zoomScaleNormal="90" workbookViewId="0">
      <selection activeCell="F39" sqref="F39"/>
    </sheetView>
  </sheetViews>
  <sheetFormatPr baseColWidth="10" defaultColWidth="21" defaultRowHeight="16" x14ac:dyDescent="0.2"/>
  <cols>
    <col min="1" max="1" width="23.5" style="34" customWidth="1"/>
    <col min="2" max="2" width="15.33203125" style="34" customWidth="1"/>
    <col min="3" max="3" width="21.1640625" style="37" customWidth="1"/>
    <col min="4" max="6" width="21" style="37"/>
    <col min="9" max="9" width="15.33203125" style="34" customWidth="1"/>
    <col min="10" max="10" width="19.1640625" style="34" customWidth="1"/>
    <col min="11" max="63" width="19.6640625" style="34" customWidth="1"/>
    <col min="64" max="64" width="18.6640625" style="34" customWidth="1"/>
    <col min="65" max="66" width="24.1640625" style="34" customWidth="1"/>
    <col min="67" max="16384" width="21" style="34"/>
  </cols>
  <sheetData>
    <row r="1" spans="1:67" s="22" customFormat="1" x14ac:dyDescent="0.2">
      <c r="A1" s="48" t="s">
        <v>1</v>
      </c>
      <c r="B1" s="50" t="s">
        <v>58</v>
      </c>
      <c r="C1" s="50" t="s">
        <v>7</v>
      </c>
      <c r="D1" s="50" t="s">
        <v>3</v>
      </c>
      <c r="E1" s="50" t="s">
        <v>4</v>
      </c>
      <c r="F1" s="50" t="s">
        <v>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</row>
    <row r="2" spans="1:67" x14ac:dyDescent="0.2">
      <c r="A2" s="23">
        <v>44848</v>
      </c>
      <c r="B2" s="25" t="s">
        <v>59</v>
      </c>
      <c r="C2" s="25">
        <f>SUM(D2:F2)</f>
        <v>53.209999999999994</v>
      </c>
      <c r="D2" s="25">
        <v>16.71</v>
      </c>
      <c r="E2" s="25">
        <v>21.95</v>
      </c>
      <c r="F2" s="25">
        <v>14.55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</row>
    <row r="3" spans="1:67" x14ac:dyDescent="0.2">
      <c r="A3" s="23">
        <v>44879</v>
      </c>
      <c r="B3" s="25" t="s">
        <v>59</v>
      </c>
      <c r="C3" s="25">
        <f t="shared" ref="C3:C21" si="0">SUM(D3:F3)</f>
        <v>56.99</v>
      </c>
      <c r="D3" s="25">
        <v>16.940000000000001</v>
      </c>
      <c r="E3" s="25">
        <v>24.34</v>
      </c>
      <c r="F3" s="25">
        <v>15.71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7" x14ac:dyDescent="0.2">
      <c r="A4" s="23">
        <v>44909</v>
      </c>
      <c r="B4" s="25" t="s">
        <v>60</v>
      </c>
      <c r="C4" s="25">
        <f t="shared" si="0"/>
        <v>62.83</v>
      </c>
      <c r="D4" s="25">
        <v>17.04</v>
      </c>
      <c r="E4" s="25">
        <v>27.76</v>
      </c>
      <c r="F4" s="25">
        <v>18.03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7" x14ac:dyDescent="0.2">
      <c r="A5" s="23">
        <v>44940</v>
      </c>
      <c r="B5" s="25" t="s">
        <v>60</v>
      </c>
      <c r="C5" s="25">
        <f t="shared" si="0"/>
        <v>60.11</v>
      </c>
      <c r="D5" s="25">
        <v>17.760000000000002</v>
      </c>
      <c r="E5" s="25">
        <v>25.94</v>
      </c>
      <c r="F5" s="25">
        <v>16.41</v>
      </c>
    </row>
    <row r="6" spans="1:67" x14ac:dyDescent="0.2">
      <c r="A6" s="23">
        <v>44971</v>
      </c>
      <c r="B6" s="25" t="s">
        <v>60</v>
      </c>
      <c r="C6" s="25">
        <f t="shared" si="0"/>
        <v>58.550000000000004</v>
      </c>
      <c r="D6" s="25">
        <v>17.87</v>
      </c>
      <c r="E6" s="25">
        <v>25.17</v>
      </c>
      <c r="F6" s="25">
        <v>15.51</v>
      </c>
    </row>
    <row r="7" spans="1:67" x14ac:dyDescent="0.2">
      <c r="A7" s="23">
        <v>44999</v>
      </c>
      <c r="B7" s="25" t="s">
        <v>61</v>
      </c>
      <c r="C7" s="25">
        <f t="shared" si="0"/>
        <v>64.399999999999991</v>
      </c>
      <c r="D7" s="25">
        <v>17.62</v>
      </c>
      <c r="E7" s="25">
        <v>28.9</v>
      </c>
      <c r="F7" s="25">
        <v>17.88</v>
      </c>
    </row>
    <row r="8" spans="1:67" x14ac:dyDescent="0.2">
      <c r="A8" s="23">
        <v>45030</v>
      </c>
      <c r="B8" s="25" t="s">
        <v>61</v>
      </c>
      <c r="C8" s="25">
        <f t="shared" si="0"/>
        <v>61.510000000000005</v>
      </c>
      <c r="D8" s="25">
        <v>17.39</v>
      </c>
      <c r="E8" s="25">
        <v>27.32</v>
      </c>
      <c r="F8" s="25">
        <v>16.8</v>
      </c>
    </row>
    <row r="9" spans="1:67" x14ac:dyDescent="0.2">
      <c r="A9" s="23">
        <v>45060</v>
      </c>
      <c r="B9" s="25" t="s">
        <v>61</v>
      </c>
      <c r="C9" s="25">
        <f t="shared" si="0"/>
        <v>61.5</v>
      </c>
      <c r="D9" s="25">
        <v>17.600000000000001</v>
      </c>
      <c r="E9" s="25">
        <v>27.28</v>
      </c>
      <c r="F9" s="25">
        <v>16.62</v>
      </c>
    </row>
    <row r="10" spans="1:67" x14ac:dyDescent="0.2">
      <c r="A10" s="23">
        <v>45091</v>
      </c>
      <c r="B10" s="25" t="s">
        <v>62</v>
      </c>
      <c r="C10" s="25">
        <f t="shared" si="0"/>
        <v>64.11</v>
      </c>
      <c r="D10" s="25">
        <v>17.55</v>
      </c>
      <c r="E10" s="25">
        <v>28.68</v>
      </c>
      <c r="F10" s="25">
        <v>17.88</v>
      </c>
    </row>
    <row r="11" spans="1:67" x14ac:dyDescent="0.2">
      <c r="A11" s="23">
        <v>45121</v>
      </c>
      <c r="B11" s="25" t="s">
        <v>62</v>
      </c>
      <c r="C11" s="25">
        <f t="shared" si="0"/>
        <v>60.099999999999994</v>
      </c>
      <c r="D11" s="25">
        <v>17.8</v>
      </c>
      <c r="E11" s="25">
        <v>25.92</v>
      </c>
      <c r="F11" s="25">
        <v>16.38</v>
      </c>
    </row>
    <row r="12" spans="1:67" x14ac:dyDescent="0.2">
      <c r="A12" s="23">
        <v>45152</v>
      </c>
      <c r="B12" s="25" t="s">
        <v>62</v>
      </c>
      <c r="C12" s="25">
        <f t="shared" si="0"/>
        <v>65.05</v>
      </c>
      <c r="D12" s="25">
        <v>17.84</v>
      </c>
      <c r="E12" s="25">
        <v>29.19</v>
      </c>
      <c r="F12" s="25">
        <v>18.02</v>
      </c>
    </row>
    <row r="13" spans="1:67" x14ac:dyDescent="0.2">
      <c r="A13" s="23">
        <v>45183</v>
      </c>
      <c r="B13" s="25" t="s">
        <v>59</v>
      </c>
      <c r="C13" s="25">
        <f t="shared" si="0"/>
        <v>72.09</v>
      </c>
      <c r="D13" s="25">
        <v>18.100000000000001</v>
      </c>
      <c r="E13" s="25">
        <v>33.450000000000003</v>
      </c>
      <c r="F13" s="25">
        <v>20.54</v>
      </c>
    </row>
    <row r="14" spans="1:67" x14ac:dyDescent="0.2">
      <c r="A14" s="23">
        <v>45213</v>
      </c>
      <c r="B14" s="25" t="s">
        <v>59</v>
      </c>
      <c r="C14" s="25">
        <f t="shared" si="0"/>
        <v>80.02000000000001</v>
      </c>
      <c r="D14" s="25">
        <v>18.22</v>
      </c>
      <c r="E14" s="25">
        <v>38.770000000000003</v>
      </c>
      <c r="F14" s="25">
        <v>23.03</v>
      </c>
    </row>
    <row r="15" spans="1:67" x14ac:dyDescent="0.2">
      <c r="A15" s="23">
        <v>45244</v>
      </c>
      <c r="B15" s="25" t="s">
        <v>59</v>
      </c>
      <c r="C15" s="25">
        <f t="shared" si="0"/>
        <v>83.62</v>
      </c>
      <c r="D15" s="25">
        <v>20.11</v>
      </c>
      <c r="E15" s="25">
        <v>40.42</v>
      </c>
      <c r="F15" s="25">
        <v>23.09</v>
      </c>
    </row>
    <row r="16" spans="1:67" x14ac:dyDescent="0.2">
      <c r="A16" s="23">
        <v>45274</v>
      </c>
      <c r="B16" s="25" t="s">
        <v>60</v>
      </c>
      <c r="C16" s="25">
        <f t="shared" si="0"/>
        <v>105.02</v>
      </c>
      <c r="D16" s="25">
        <v>20.190000000000001</v>
      </c>
      <c r="E16" s="25">
        <v>54.16</v>
      </c>
      <c r="F16" s="25">
        <v>30.67</v>
      </c>
    </row>
    <row r="17" spans="1:6" x14ac:dyDescent="0.2">
      <c r="A17" s="23">
        <v>45305</v>
      </c>
      <c r="B17" s="25" t="s">
        <v>60</v>
      </c>
      <c r="C17" s="25">
        <f t="shared" si="0"/>
        <v>88.19</v>
      </c>
      <c r="D17" s="25">
        <v>20.45</v>
      </c>
      <c r="E17" s="25">
        <v>43.63</v>
      </c>
      <c r="F17" s="25">
        <v>24.11</v>
      </c>
    </row>
    <row r="18" spans="1:6" x14ac:dyDescent="0.2">
      <c r="A18" s="23">
        <v>45336</v>
      </c>
      <c r="B18" s="25" t="s">
        <v>60</v>
      </c>
      <c r="C18" s="25">
        <f t="shared" si="0"/>
        <v>76.52</v>
      </c>
      <c r="D18" s="25">
        <v>20.12</v>
      </c>
      <c r="E18" s="25">
        <v>36.729999999999997</v>
      </c>
      <c r="F18" s="25">
        <v>19.670000000000002</v>
      </c>
    </row>
    <row r="19" spans="1:6" x14ac:dyDescent="0.2">
      <c r="A19" s="23">
        <v>45365</v>
      </c>
      <c r="B19" s="25" t="s">
        <v>61</v>
      </c>
      <c r="C19" s="25">
        <f t="shared" si="0"/>
        <v>81.22</v>
      </c>
      <c r="D19" s="25">
        <v>21.66</v>
      </c>
      <c r="E19" s="25">
        <v>38.75</v>
      </c>
      <c r="F19" s="25">
        <v>20.81</v>
      </c>
    </row>
    <row r="20" spans="1:6" x14ac:dyDescent="0.2">
      <c r="A20" s="23">
        <v>45396</v>
      </c>
      <c r="B20" s="25" t="s">
        <v>61</v>
      </c>
      <c r="C20" s="25">
        <f t="shared" si="0"/>
        <v>67.5</v>
      </c>
      <c r="D20" s="25">
        <v>20.27</v>
      </c>
      <c r="E20" s="25">
        <v>30.28</v>
      </c>
      <c r="F20" s="25">
        <v>16.95</v>
      </c>
    </row>
    <row r="21" spans="1:6" x14ac:dyDescent="0.2">
      <c r="A21" s="23">
        <v>45426</v>
      </c>
      <c r="B21" s="25" t="s">
        <v>61</v>
      </c>
      <c r="C21" s="25">
        <f t="shared" si="0"/>
        <v>67.61</v>
      </c>
      <c r="D21" s="25">
        <v>21.93</v>
      </c>
      <c r="E21" s="25">
        <v>29.06</v>
      </c>
      <c r="F21" s="25">
        <v>16.62</v>
      </c>
    </row>
    <row r="22" spans="1:6" x14ac:dyDescent="0.2">
      <c r="C22" s="34"/>
      <c r="F22" s="34"/>
    </row>
    <row r="23" spans="1:6" x14ac:dyDescent="0.2">
      <c r="C23" s="34"/>
      <c r="F23" s="34"/>
    </row>
    <row r="24" spans="1:6" x14ac:dyDescent="0.2">
      <c r="C24" s="34"/>
      <c r="F24" s="34"/>
    </row>
    <row r="25" spans="1:6" x14ac:dyDescent="0.2">
      <c r="C25" s="34"/>
      <c r="F25" s="34"/>
    </row>
    <row r="26" spans="1:6" x14ac:dyDescent="0.2">
      <c r="C26" s="34"/>
      <c r="F26" s="34"/>
    </row>
    <row r="27" spans="1:6" x14ac:dyDescent="0.2">
      <c r="C27" s="34"/>
      <c r="F27" s="34"/>
    </row>
    <row r="28" spans="1:6" x14ac:dyDescent="0.2">
      <c r="C28" s="34"/>
      <c r="F28" s="34"/>
    </row>
    <row r="29" spans="1:6" x14ac:dyDescent="0.2">
      <c r="C29" s="34"/>
      <c r="D29" s="34"/>
      <c r="E29" s="34"/>
      <c r="F29" s="34"/>
    </row>
    <row r="30" spans="1:6" x14ac:dyDescent="0.2">
      <c r="C30" s="34"/>
      <c r="D30" s="34"/>
      <c r="E30" s="34"/>
      <c r="F30" s="34"/>
    </row>
    <row r="31" spans="1:6" x14ac:dyDescent="0.2">
      <c r="C31" s="34"/>
      <c r="D31" s="34"/>
      <c r="E31" s="34"/>
      <c r="F31" s="34"/>
    </row>
    <row r="32" spans="1:6" x14ac:dyDescent="0.2">
      <c r="C32" s="34"/>
      <c r="D32" s="34"/>
      <c r="E32" s="34"/>
      <c r="F32" s="34"/>
    </row>
    <row r="33" s="34" customFormat="1" x14ac:dyDescent="0.2"/>
    <row r="34" s="34" customFormat="1" x14ac:dyDescent="0.2"/>
    <row r="35" s="34" customFormat="1" x14ac:dyDescent="0.2"/>
    <row r="36" s="34" customFormat="1" x14ac:dyDescent="0.2"/>
    <row r="37" s="34" customFormat="1" x14ac:dyDescent="0.2"/>
    <row r="38" s="34" customFormat="1" x14ac:dyDescent="0.2"/>
    <row r="39" s="34" customFormat="1" x14ac:dyDescent="0.2"/>
    <row r="40" s="34" customFormat="1" x14ac:dyDescent="0.2"/>
    <row r="41" s="34" customFormat="1" x14ac:dyDescent="0.2"/>
    <row r="42" s="34" customFormat="1" x14ac:dyDescent="0.2"/>
    <row r="43" s="34" customFormat="1" x14ac:dyDescent="0.2"/>
  </sheetData>
  <conditionalFormatting sqref="C2:C21">
    <cfRule type="colorScale" priority="1">
      <colorScale>
        <cfvo type="min"/>
        <cfvo type="max"/>
        <color theme="9" tint="0.79998168889431442"/>
        <color rgb="FFFB9E96"/>
      </colorScale>
    </cfRule>
  </conditionalFormatting>
  <conditionalFormatting sqref="D2:D21">
    <cfRule type="colorScale" priority="2">
      <colorScale>
        <cfvo type="min"/>
        <cfvo type="max"/>
        <color theme="9" tint="0.79998168889431442"/>
        <color rgb="FFFB9E96"/>
      </colorScale>
    </cfRule>
  </conditionalFormatting>
  <conditionalFormatting sqref="E2:E21">
    <cfRule type="colorScale" priority="3">
      <colorScale>
        <cfvo type="min"/>
        <cfvo type="max"/>
        <color theme="9" tint="0.79998168889431442"/>
        <color rgb="FFFB9E96"/>
      </colorScale>
    </cfRule>
  </conditionalFormatting>
  <conditionalFormatting sqref="F2:F21">
    <cfRule type="colorScale" priority="4">
      <colorScale>
        <cfvo type="min"/>
        <cfvo type="max"/>
        <color theme="9" tint="0.79998168889431442"/>
        <color rgb="FFFB9E96"/>
      </colorScale>
    </cfRule>
  </conditionalFormatting>
  <pageMargins left="0.7" right="0.7" top="0.75" bottom="0.75" header="0.3" footer="0.3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D2A2-CAD7-654D-ACA2-7F06612AABA3}">
  <dimension ref="A3:O49"/>
  <sheetViews>
    <sheetView zoomScale="120" zoomScaleNormal="120" workbookViewId="0">
      <selection activeCell="B30" sqref="B30"/>
    </sheetView>
  </sheetViews>
  <sheetFormatPr baseColWidth="10" defaultColWidth="13.6640625" defaultRowHeight="16" x14ac:dyDescent="0.2"/>
  <cols>
    <col min="1" max="1" width="14.5" style="43" bestFit="1" customWidth="1"/>
    <col min="2" max="2" width="9.1640625" style="17" bestFit="1" customWidth="1"/>
    <col min="3" max="4" width="13.6640625" style="43"/>
    <col min="5" max="5" width="14.5" style="43" bestFit="1" customWidth="1"/>
    <col min="6" max="6" width="9.1640625" style="43" bestFit="1" customWidth="1"/>
    <col min="7" max="8" width="13.6640625" style="43"/>
    <col min="9" max="9" width="14.5" style="43" bestFit="1" customWidth="1"/>
    <col min="10" max="10" width="9.1640625" style="43" bestFit="1" customWidth="1"/>
    <col min="11" max="11" width="14.5" style="43" bestFit="1" customWidth="1"/>
    <col min="12" max="12" width="9.1640625" style="43" bestFit="1" customWidth="1"/>
    <col min="13" max="16384" width="13.6640625" style="43"/>
  </cols>
  <sheetData>
    <row r="3" spans="1:15" x14ac:dyDescent="0.2">
      <c r="A3"/>
      <c r="B3"/>
      <c r="C3"/>
      <c r="E3"/>
      <c r="F3"/>
      <c r="G3"/>
      <c r="I3"/>
      <c r="J3"/>
      <c r="N3" s="79" t="s">
        <v>45</v>
      </c>
      <c r="O3" s="42" t="s">
        <v>46</v>
      </c>
    </row>
    <row r="4" spans="1:15" x14ac:dyDescent="0.2">
      <c r="A4"/>
      <c r="B4"/>
      <c r="C4"/>
      <c r="E4"/>
      <c r="F4"/>
      <c r="G4"/>
      <c r="I4"/>
      <c r="J4"/>
      <c r="N4" s="77">
        <v>44848</v>
      </c>
      <c r="O4" s="78"/>
    </row>
    <row r="5" spans="1:15" x14ac:dyDescent="0.2">
      <c r="A5"/>
      <c r="B5"/>
      <c r="C5"/>
      <c r="E5"/>
      <c r="F5"/>
      <c r="G5"/>
      <c r="I5"/>
      <c r="J5"/>
      <c r="N5" s="77">
        <v>44879</v>
      </c>
      <c r="O5" s="78">
        <v>7.1039278331140931E-2</v>
      </c>
    </row>
    <row r="6" spans="1:15" x14ac:dyDescent="0.2">
      <c r="A6"/>
      <c r="B6"/>
      <c r="C6"/>
      <c r="E6"/>
      <c r="F6"/>
      <c r="G6"/>
      <c r="I6"/>
      <c r="J6"/>
      <c r="N6" s="77">
        <v>44909</v>
      </c>
      <c r="O6" s="78">
        <v>0.10247411826636245</v>
      </c>
    </row>
    <row r="7" spans="1:15" x14ac:dyDescent="0.2">
      <c r="A7"/>
      <c r="B7"/>
      <c r="C7"/>
      <c r="E7"/>
      <c r="F7"/>
      <c r="G7"/>
      <c r="I7"/>
      <c r="J7"/>
      <c r="N7" s="77">
        <v>44940</v>
      </c>
      <c r="O7" s="78">
        <v>-4.3291421295559428E-2</v>
      </c>
    </row>
    <row r="8" spans="1:15" x14ac:dyDescent="0.2">
      <c r="A8"/>
      <c r="B8"/>
      <c r="C8"/>
      <c r="E8"/>
      <c r="F8"/>
      <c r="G8"/>
      <c r="I8"/>
      <c r="J8"/>
      <c r="N8" s="77">
        <v>44971</v>
      </c>
      <c r="O8" s="78">
        <v>-2.5952420562302365E-2</v>
      </c>
    </row>
    <row r="9" spans="1:15" x14ac:dyDescent="0.2">
      <c r="A9"/>
      <c r="B9"/>
      <c r="C9"/>
      <c r="E9"/>
      <c r="F9"/>
      <c r="G9"/>
      <c r="I9"/>
      <c r="J9"/>
      <c r="N9" s="77">
        <v>44999</v>
      </c>
      <c r="O9" s="78">
        <v>9.9914602903501057E-2</v>
      </c>
    </row>
    <row r="10" spans="1:15" x14ac:dyDescent="0.2">
      <c r="A10"/>
      <c r="B10"/>
      <c r="C10"/>
      <c r="E10"/>
      <c r="F10"/>
      <c r="G10"/>
      <c r="I10"/>
      <c r="J10"/>
      <c r="N10" s="77">
        <v>45030</v>
      </c>
      <c r="O10" s="78">
        <v>-4.4875776397515325E-2</v>
      </c>
    </row>
    <row r="11" spans="1:15" x14ac:dyDescent="0.2">
      <c r="A11"/>
      <c r="B11"/>
      <c r="C11"/>
      <c r="E11"/>
      <c r="F11"/>
      <c r="G11"/>
      <c r="I11"/>
      <c r="J11"/>
      <c r="N11" s="77">
        <v>45060</v>
      </c>
      <c r="O11" s="78">
        <v>-1.625751910259326E-4</v>
      </c>
    </row>
    <row r="12" spans="1:15" x14ac:dyDescent="0.2">
      <c r="A12"/>
      <c r="B12"/>
      <c r="C12"/>
      <c r="E12"/>
      <c r="F12"/>
      <c r="G12"/>
      <c r="I12"/>
      <c r="J12"/>
      <c r="N12" s="77">
        <v>45091</v>
      </c>
      <c r="O12" s="78">
        <v>4.2439024390243892E-2</v>
      </c>
    </row>
    <row r="13" spans="1:15" x14ac:dyDescent="0.2">
      <c r="A13"/>
      <c r="B13"/>
      <c r="C13"/>
      <c r="E13"/>
      <c r="F13"/>
      <c r="G13"/>
      <c r="I13"/>
      <c r="J13"/>
      <c r="N13" s="77">
        <v>45121</v>
      </c>
      <c r="O13" s="78">
        <v>-6.2548744345655979E-2</v>
      </c>
    </row>
    <row r="14" spans="1:15" x14ac:dyDescent="0.2">
      <c r="A14"/>
      <c r="B14"/>
      <c r="C14"/>
      <c r="E14"/>
      <c r="F14"/>
      <c r="G14"/>
      <c r="I14"/>
      <c r="J14"/>
      <c r="N14" s="77">
        <v>45152</v>
      </c>
      <c r="O14" s="78">
        <v>8.2362728785357789E-2</v>
      </c>
    </row>
    <row r="15" spans="1:15" x14ac:dyDescent="0.2">
      <c r="A15"/>
      <c r="B15"/>
      <c r="C15"/>
      <c r="E15"/>
      <c r="F15"/>
      <c r="G15"/>
      <c r="I15"/>
      <c r="J15"/>
      <c r="N15" s="77">
        <v>45183</v>
      </c>
      <c r="O15" s="78">
        <v>0.10822444273635674</v>
      </c>
    </row>
    <row r="16" spans="1:15" x14ac:dyDescent="0.2">
      <c r="A16"/>
      <c r="B16"/>
      <c r="C16"/>
      <c r="E16"/>
      <c r="F16"/>
      <c r="G16"/>
      <c r="I16"/>
      <c r="J16"/>
      <c r="N16" s="77">
        <v>45213</v>
      </c>
      <c r="O16" s="78">
        <v>0.1100013871549453</v>
      </c>
    </row>
    <row r="17" spans="1:15" x14ac:dyDescent="0.2">
      <c r="A17"/>
      <c r="B17"/>
      <c r="C17"/>
      <c r="E17"/>
      <c r="F17"/>
      <c r="G17"/>
      <c r="I17"/>
      <c r="J17"/>
      <c r="N17" s="77">
        <v>45244</v>
      </c>
      <c r="O17" s="78">
        <v>4.4988752811796977E-2</v>
      </c>
    </row>
    <row r="18" spans="1:15" x14ac:dyDescent="0.2">
      <c r="A18"/>
      <c r="B18"/>
      <c r="C18"/>
      <c r="E18"/>
      <c r="F18"/>
      <c r="G18"/>
      <c r="I18"/>
      <c r="J18"/>
      <c r="N18" s="77">
        <v>45274</v>
      </c>
      <c r="O18" s="78">
        <v>0.25591963645060978</v>
      </c>
    </row>
    <row r="19" spans="1:15" x14ac:dyDescent="0.2">
      <c r="A19"/>
      <c r="B19"/>
      <c r="C19"/>
      <c r="E19"/>
      <c r="F19"/>
      <c r="G19"/>
      <c r="I19"/>
      <c r="J19"/>
      <c r="N19" s="77">
        <v>45305</v>
      </c>
      <c r="O19" s="78">
        <v>-0.16025518948771661</v>
      </c>
    </row>
    <row r="20" spans="1:15" x14ac:dyDescent="0.2">
      <c r="A20"/>
      <c r="B20"/>
      <c r="C20"/>
      <c r="E20"/>
      <c r="F20"/>
      <c r="G20"/>
      <c r="I20"/>
      <c r="J20"/>
      <c r="N20" s="77">
        <v>45336</v>
      </c>
      <c r="O20" s="78">
        <v>-0.13232792833654611</v>
      </c>
    </row>
    <row r="21" spans="1:15" x14ac:dyDescent="0.2">
      <c r="A21"/>
      <c r="B21"/>
      <c r="C21"/>
      <c r="E21"/>
      <c r="F21"/>
      <c r="G21"/>
      <c r="I21"/>
      <c r="J21"/>
      <c r="N21" s="77">
        <v>45365</v>
      </c>
      <c r="O21" s="78">
        <v>6.1421850496602239E-2</v>
      </c>
    </row>
    <row r="22" spans="1:15" x14ac:dyDescent="0.2">
      <c r="A22"/>
      <c r="B22"/>
      <c r="C22"/>
      <c r="E22"/>
      <c r="N22" s="77">
        <v>45396</v>
      </c>
      <c r="O22" s="78">
        <v>-0.16892391036690468</v>
      </c>
    </row>
    <row r="23" spans="1:15" x14ac:dyDescent="0.2">
      <c r="A23"/>
      <c r="B23"/>
      <c r="D23"/>
      <c r="E23"/>
      <c r="F23"/>
      <c r="H23"/>
      <c r="I23"/>
      <c r="J23"/>
      <c r="N23" s="77">
        <v>45426</v>
      </c>
      <c r="O23" s="78">
        <v>1.6296296296296213E-3</v>
      </c>
    </row>
    <row r="24" spans="1:15" x14ac:dyDescent="0.2">
      <c r="B24" s="43" t="s">
        <v>43</v>
      </c>
      <c r="F24" s="43" t="s">
        <v>42</v>
      </c>
      <c r="J24" s="43" t="s">
        <v>44</v>
      </c>
    </row>
    <row r="25" spans="1:15" x14ac:dyDescent="0.2">
      <c r="A25" s="79" t="s">
        <v>45</v>
      </c>
      <c r="B25" s="42" t="s">
        <v>46</v>
      </c>
      <c r="E25" s="79" t="s">
        <v>45</v>
      </c>
      <c r="F25" s="42" t="s">
        <v>46</v>
      </c>
      <c r="I25" s="79" t="s">
        <v>45</v>
      </c>
      <c r="J25" s="42" t="s">
        <v>46</v>
      </c>
    </row>
    <row r="26" spans="1:15" x14ac:dyDescent="0.2">
      <c r="A26" s="77">
        <v>44848</v>
      </c>
      <c r="B26" s="78"/>
      <c r="E26" s="77">
        <v>44848</v>
      </c>
      <c r="F26" s="78"/>
      <c r="I26" s="77">
        <v>44848</v>
      </c>
      <c r="J26" s="78"/>
    </row>
    <row r="27" spans="1:15" x14ac:dyDescent="0.2">
      <c r="A27" s="77">
        <v>44879</v>
      </c>
      <c r="B27" s="78">
        <v>1.3764213046080217E-2</v>
      </c>
      <c r="E27" s="77">
        <v>44879</v>
      </c>
      <c r="F27" s="78">
        <v>0.1088838268792711</v>
      </c>
      <c r="I27" s="77">
        <v>44879</v>
      </c>
      <c r="J27" s="78">
        <v>7.9725085910652929E-2</v>
      </c>
    </row>
    <row r="28" spans="1:15" x14ac:dyDescent="0.2">
      <c r="A28" s="77">
        <v>44909</v>
      </c>
      <c r="B28" s="78">
        <v>5.9031877213694137E-3</v>
      </c>
      <c r="E28" s="77">
        <v>44909</v>
      </c>
      <c r="F28" s="78">
        <v>0.14050944946589983</v>
      </c>
      <c r="I28" s="77">
        <v>44909</v>
      </c>
      <c r="J28" s="78">
        <v>0.14767663908338638</v>
      </c>
    </row>
    <row r="29" spans="1:15" x14ac:dyDescent="0.2">
      <c r="A29" s="77">
        <v>44940</v>
      </c>
      <c r="B29" s="78">
        <v>4.2253521126760708E-2</v>
      </c>
      <c r="E29" s="77">
        <v>44940</v>
      </c>
      <c r="F29" s="78">
        <v>-6.5561959654178686E-2</v>
      </c>
      <c r="I29" s="77">
        <v>44940</v>
      </c>
      <c r="J29" s="78">
        <v>-8.9850249584026667E-2</v>
      </c>
    </row>
    <row r="30" spans="1:15" x14ac:dyDescent="0.2">
      <c r="A30" s="77">
        <v>44971</v>
      </c>
      <c r="B30" s="78">
        <v>6.1936936936936608E-3</v>
      </c>
      <c r="E30" s="77">
        <v>44971</v>
      </c>
      <c r="F30" s="78">
        <v>-2.968388589051656E-2</v>
      </c>
      <c r="I30" s="77">
        <v>44971</v>
      </c>
      <c r="J30" s="78">
        <v>-5.4844606946983565E-2</v>
      </c>
    </row>
    <row r="31" spans="1:15" x14ac:dyDescent="0.2">
      <c r="A31" s="77">
        <v>44999</v>
      </c>
      <c r="B31" s="78">
        <v>-1.3989927252378288E-2</v>
      </c>
      <c r="E31" s="77">
        <v>44999</v>
      </c>
      <c r="F31" s="78">
        <v>0.14819229241160098</v>
      </c>
      <c r="I31" s="77">
        <v>44999</v>
      </c>
      <c r="J31" s="78">
        <v>0.15280464216634423</v>
      </c>
    </row>
    <row r="32" spans="1:15" x14ac:dyDescent="0.2">
      <c r="A32" s="77">
        <v>45030</v>
      </c>
      <c r="B32" s="78">
        <v>-1.3053348467650421E-2</v>
      </c>
      <c r="E32" s="77">
        <v>45030</v>
      </c>
      <c r="F32" s="78">
        <v>-5.4671280276816552E-2</v>
      </c>
      <c r="I32" s="77">
        <v>45030</v>
      </c>
      <c r="J32" s="78">
        <v>-6.0402684563758295E-2</v>
      </c>
    </row>
    <row r="33" spans="1:10" x14ac:dyDescent="0.2">
      <c r="A33" s="77">
        <v>45060</v>
      </c>
      <c r="B33" s="78">
        <v>1.2075905692927017E-2</v>
      </c>
      <c r="E33" s="77">
        <v>45060</v>
      </c>
      <c r="F33" s="78">
        <v>-1.4641288433381826E-3</v>
      </c>
      <c r="I33" s="77">
        <v>45060</v>
      </c>
      <c r="J33" s="78">
        <v>-1.0714285714285697E-2</v>
      </c>
    </row>
    <row r="34" spans="1:10" x14ac:dyDescent="0.2">
      <c r="A34" s="77">
        <v>45091</v>
      </c>
      <c r="B34" s="78">
        <v>-2.8409090909091309E-3</v>
      </c>
      <c r="E34" s="77">
        <v>45091</v>
      </c>
      <c r="F34" s="78">
        <v>5.131964809384159E-2</v>
      </c>
      <c r="I34" s="77">
        <v>45091</v>
      </c>
      <c r="J34" s="78">
        <v>7.5812274368230917E-2</v>
      </c>
    </row>
    <row r="35" spans="1:10" x14ac:dyDescent="0.2">
      <c r="A35" s="77">
        <v>45121</v>
      </c>
      <c r="B35" s="78">
        <v>1.4245014245014245E-2</v>
      </c>
      <c r="E35" s="77">
        <v>45121</v>
      </c>
      <c r="F35" s="78">
        <v>-9.6234309623430894E-2</v>
      </c>
      <c r="I35" s="77">
        <v>45121</v>
      </c>
      <c r="J35" s="78">
        <v>-8.3892617449664433E-2</v>
      </c>
    </row>
    <row r="36" spans="1:10" x14ac:dyDescent="0.2">
      <c r="A36" s="77">
        <v>45152</v>
      </c>
      <c r="B36" s="78">
        <v>2.2471910112359071E-3</v>
      </c>
      <c r="E36" s="77">
        <v>45152</v>
      </c>
      <c r="F36" s="78">
        <v>0.12615740740740738</v>
      </c>
      <c r="I36" s="77">
        <v>45152</v>
      </c>
      <c r="J36" s="78">
        <v>0.10012210012210017</v>
      </c>
    </row>
    <row r="37" spans="1:10" x14ac:dyDescent="0.2">
      <c r="A37" s="77">
        <v>45183</v>
      </c>
      <c r="B37" s="78">
        <v>1.4573991031390222E-2</v>
      </c>
      <c r="E37" s="77">
        <v>45183</v>
      </c>
      <c r="F37" s="78">
        <v>0.14594039054470714</v>
      </c>
      <c r="I37" s="77">
        <v>45183</v>
      </c>
      <c r="J37" s="78">
        <v>0.13984461709211984</v>
      </c>
    </row>
    <row r="38" spans="1:10" x14ac:dyDescent="0.2">
      <c r="A38" s="77">
        <v>45213</v>
      </c>
      <c r="B38" s="78">
        <v>6.6298342541435042E-3</v>
      </c>
      <c r="E38" s="77">
        <v>45213</v>
      </c>
      <c r="F38" s="78">
        <v>0.15904334828101643</v>
      </c>
      <c r="I38" s="77">
        <v>45213</v>
      </c>
      <c r="J38" s="78">
        <v>0.12122687439143146</v>
      </c>
    </row>
    <row r="39" spans="1:10" x14ac:dyDescent="0.2">
      <c r="A39" s="77">
        <v>45244</v>
      </c>
      <c r="B39" s="78">
        <v>0.10373216245883649</v>
      </c>
      <c r="E39" s="77">
        <v>45244</v>
      </c>
      <c r="F39" s="78">
        <v>4.2558679391281877E-2</v>
      </c>
      <c r="I39" s="77">
        <v>45244</v>
      </c>
      <c r="J39" s="78">
        <v>2.6052974381241302E-3</v>
      </c>
    </row>
    <row r="40" spans="1:10" x14ac:dyDescent="0.2">
      <c r="A40" s="77">
        <v>45274</v>
      </c>
      <c r="B40" s="78">
        <v>3.9781203381403204E-3</v>
      </c>
      <c r="E40" s="77">
        <v>45274</v>
      </c>
      <c r="F40" s="78">
        <v>0.33993072736269159</v>
      </c>
      <c r="I40" s="77">
        <v>45274</v>
      </c>
      <c r="J40" s="78">
        <v>0.328280640970117</v>
      </c>
    </row>
    <row r="41" spans="1:10" x14ac:dyDescent="0.2">
      <c r="A41" s="77">
        <v>45305</v>
      </c>
      <c r="B41" s="78">
        <v>1.2877662209014264E-2</v>
      </c>
      <c r="E41" s="77">
        <v>45305</v>
      </c>
      <c r="F41" s="78">
        <v>-0.19442392909896594</v>
      </c>
      <c r="I41" s="77">
        <v>45305</v>
      </c>
      <c r="J41" s="78">
        <v>-0.2138897945875449</v>
      </c>
    </row>
    <row r="42" spans="1:10" x14ac:dyDescent="0.2">
      <c r="A42" s="77">
        <v>45336</v>
      </c>
      <c r="B42" s="78">
        <v>-1.6136919315403338E-2</v>
      </c>
      <c r="E42" s="77">
        <v>45336</v>
      </c>
      <c r="F42" s="78">
        <v>-0.15814806325922542</v>
      </c>
      <c r="I42" s="77">
        <v>45336</v>
      </c>
      <c r="J42" s="78">
        <v>-0.18415595188718364</v>
      </c>
    </row>
    <row r="43" spans="1:10" x14ac:dyDescent="0.2">
      <c r="A43" s="77">
        <v>45365</v>
      </c>
      <c r="B43" s="78">
        <v>7.6540755467196769E-2</v>
      </c>
      <c r="E43" s="77">
        <v>45365</v>
      </c>
      <c r="F43" s="78">
        <v>5.4995916144840819E-2</v>
      </c>
      <c r="I43" s="77">
        <v>45365</v>
      </c>
      <c r="J43" s="78">
        <v>5.7956278596847835E-2</v>
      </c>
    </row>
    <row r="44" spans="1:10" x14ac:dyDescent="0.2">
      <c r="A44" s="77">
        <v>45396</v>
      </c>
      <c r="B44" s="78">
        <v>-6.4173591874422925E-2</v>
      </c>
      <c r="E44" s="77">
        <v>45396</v>
      </c>
      <c r="F44" s="78">
        <v>-0.2185806451612903</v>
      </c>
      <c r="I44" s="77">
        <v>45396</v>
      </c>
      <c r="J44" s="78">
        <v>-0.18548774627582892</v>
      </c>
    </row>
    <row r="45" spans="1:10" x14ac:dyDescent="0.2">
      <c r="A45" s="77">
        <v>45426</v>
      </c>
      <c r="B45" s="78">
        <v>8.1894425259003464E-2</v>
      </c>
      <c r="E45" s="77">
        <v>45426</v>
      </c>
      <c r="F45" s="78">
        <v>-4.0290620871862692E-2</v>
      </c>
      <c r="I45" s="77">
        <v>45426</v>
      </c>
      <c r="J45" s="78">
        <v>-1.9469026548672465E-2</v>
      </c>
    </row>
    <row r="46" spans="1:10" x14ac:dyDescent="0.2">
      <c r="B46" s="43"/>
    </row>
    <row r="47" spans="1:10" x14ac:dyDescent="0.2">
      <c r="B47" s="43"/>
    </row>
    <row r="48" spans="1:10" x14ac:dyDescent="0.2">
      <c r="B48" s="43"/>
    </row>
    <row r="49" spans="2:2" x14ac:dyDescent="0.2">
      <c r="B49" s="43"/>
    </row>
  </sheetData>
  <conditionalFormatting sqref="C1:C22 C50:C1048576 G1:G21 B23 G50:G1048576 B25 K1 F23 K51:K1048576 F25 O1:O3 J23 O49:O1048576 J25 J46:J49 F46:F49 B46:B49">
    <cfRule type="colorScale" priority="14">
      <colorScale>
        <cfvo type="num" val="0"/>
        <cfvo type="num" val="0"/>
        <color theme="9" tint="0.59999389629810485"/>
        <color rgb="FFFB9E96"/>
      </colorScale>
    </cfRule>
  </conditionalFormatting>
  <conditionalFormatting sqref="B25:B45">
    <cfRule type="colorScale" priority="6">
      <colorScale>
        <cfvo type="min"/>
        <cfvo type="max"/>
        <color theme="9" tint="0.79998168889431442"/>
        <color rgb="FFFB9E96"/>
      </colorScale>
    </cfRule>
  </conditionalFormatting>
  <conditionalFormatting pivot="1" sqref="F26:F4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26:F45">
    <cfRule type="colorScale" priority="4">
      <colorScale>
        <cfvo type="min"/>
        <cfvo type="max"/>
        <color rgb="FFFFEF9C"/>
        <color rgb="FF63BE7B"/>
      </colorScale>
    </cfRule>
  </conditionalFormatting>
  <conditionalFormatting pivot="1" sqref="F26:F45">
    <cfRule type="colorScale" priority="3">
      <colorScale>
        <cfvo type="min"/>
        <cfvo type="max"/>
        <color theme="9" tint="0.79998168889431442"/>
        <color rgb="FFFB9E96"/>
      </colorScale>
    </cfRule>
  </conditionalFormatting>
  <conditionalFormatting pivot="1" sqref="J27:J45">
    <cfRule type="colorScale" priority="2">
      <colorScale>
        <cfvo type="min"/>
        <cfvo type="max"/>
        <color theme="9" tint="0.79998168889431442"/>
        <color rgb="FFFB9E96"/>
      </colorScale>
    </cfRule>
  </conditionalFormatting>
  <conditionalFormatting pivot="1" sqref="O4:O23">
    <cfRule type="colorScale" priority="1">
      <colorScale>
        <cfvo type="min"/>
        <cfvo type="max"/>
        <color theme="9" tint="0.79998168889431442"/>
        <color rgb="FFFB9E96"/>
      </colorScale>
    </cfRule>
  </conditionalFormatting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1A10-A6EA-9942-8564-7A2FEB0B5084}">
  <dimension ref="A1:BN43"/>
  <sheetViews>
    <sheetView zoomScale="120" zoomScaleNormal="120" workbookViewId="0">
      <selection activeCell="F45" sqref="F45"/>
    </sheetView>
  </sheetViews>
  <sheetFormatPr baseColWidth="10" defaultColWidth="21" defaultRowHeight="16" x14ac:dyDescent="0.2"/>
  <cols>
    <col min="1" max="1" width="23.5" style="34" customWidth="1"/>
    <col min="2" max="5" width="21" style="37"/>
    <col min="6" max="9" width="15.33203125" style="34" customWidth="1"/>
    <col min="10" max="10" width="19.1640625" style="34" customWidth="1"/>
    <col min="11" max="63" width="19.6640625" style="34" customWidth="1"/>
    <col min="64" max="64" width="18.6640625" style="34" customWidth="1"/>
    <col min="65" max="66" width="24.1640625" style="34" customWidth="1"/>
    <col min="67" max="16384" width="21" style="34"/>
  </cols>
  <sheetData>
    <row r="1" spans="1:66" s="22" customFormat="1" x14ac:dyDescent="0.2">
      <c r="A1" s="48" t="s">
        <v>1</v>
      </c>
      <c r="B1" s="50" t="s">
        <v>3</v>
      </c>
      <c r="C1" s="50" t="s">
        <v>4</v>
      </c>
      <c r="D1" s="50" t="s">
        <v>5</v>
      </c>
      <c r="E1" s="50" t="s">
        <v>7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 spans="1:66" x14ac:dyDescent="0.2">
      <c r="A2" s="23">
        <v>44848</v>
      </c>
      <c r="B2" s="25">
        <v>16.71</v>
      </c>
      <c r="C2" s="25">
        <v>21.95</v>
      </c>
      <c r="D2" s="25">
        <v>14.55</v>
      </c>
      <c r="E2" s="25">
        <f t="shared" ref="E2:E21" si="0">SUM(B2:D2)</f>
        <v>53.209999999999994</v>
      </c>
      <c r="G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 spans="1:66" x14ac:dyDescent="0.2">
      <c r="A3" s="23">
        <v>44879</v>
      </c>
      <c r="B3" s="25">
        <v>16.940000000000001</v>
      </c>
      <c r="C3" s="25">
        <v>24.34</v>
      </c>
      <c r="D3" s="25">
        <v>15.71</v>
      </c>
      <c r="E3" s="25">
        <f t="shared" si="0"/>
        <v>56.99</v>
      </c>
      <c r="G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6" x14ac:dyDescent="0.2">
      <c r="A4" s="23">
        <v>44909</v>
      </c>
      <c r="B4" s="25">
        <v>17.04</v>
      </c>
      <c r="C4" s="25">
        <v>27.76</v>
      </c>
      <c r="D4" s="25">
        <v>18.03</v>
      </c>
      <c r="E4" s="25">
        <f t="shared" si="0"/>
        <v>62.83</v>
      </c>
      <c r="G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6" x14ac:dyDescent="0.2">
      <c r="A5" s="23">
        <v>44940</v>
      </c>
      <c r="B5" s="25">
        <v>17.760000000000002</v>
      </c>
      <c r="C5" s="25">
        <v>25.94</v>
      </c>
      <c r="D5" s="25">
        <v>16.41</v>
      </c>
      <c r="E5" s="25">
        <f t="shared" si="0"/>
        <v>60.11</v>
      </c>
      <c r="G5"/>
    </row>
    <row r="6" spans="1:66" x14ac:dyDescent="0.2">
      <c r="A6" s="23">
        <v>44971</v>
      </c>
      <c r="B6" s="25">
        <v>17.87</v>
      </c>
      <c r="C6" s="25">
        <v>25.17</v>
      </c>
      <c r="D6" s="25">
        <v>15.51</v>
      </c>
      <c r="E6" s="25">
        <f t="shared" si="0"/>
        <v>58.550000000000004</v>
      </c>
      <c r="G6"/>
    </row>
    <row r="7" spans="1:66" x14ac:dyDescent="0.2">
      <c r="A7" s="23">
        <v>44999</v>
      </c>
      <c r="B7" s="25">
        <v>17.62</v>
      </c>
      <c r="C7" s="25">
        <v>28.9</v>
      </c>
      <c r="D7" s="25">
        <v>17.88</v>
      </c>
      <c r="E7" s="25">
        <f t="shared" si="0"/>
        <v>64.399999999999991</v>
      </c>
      <c r="G7"/>
    </row>
    <row r="8" spans="1:66" x14ac:dyDescent="0.2">
      <c r="A8" s="23">
        <v>45030</v>
      </c>
      <c r="B8" s="25">
        <v>17.39</v>
      </c>
      <c r="C8" s="25">
        <v>27.32</v>
      </c>
      <c r="D8" s="25">
        <v>16.8</v>
      </c>
      <c r="E8" s="25">
        <f t="shared" si="0"/>
        <v>61.510000000000005</v>
      </c>
      <c r="G8"/>
    </row>
    <row r="9" spans="1:66" x14ac:dyDescent="0.2">
      <c r="A9" s="23">
        <v>45060</v>
      </c>
      <c r="B9" s="25">
        <v>17.600000000000001</v>
      </c>
      <c r="C9" s="25">
        <v>27.28</v>
      </c>
      <c r="D9" s="25">
        <v>16.62</v>
      </c>
      <c r="E9" s="25">
        <f t="shared" si="0"/>
        <v>61.5</v>
      </c>
      <c r="G9"/>
    </row>
    <row r="10" spans="1:66" x14ac:dyDescent="0.2">
      <c r="A10" s="23">
        <v>45091</v>
      </c>
      <c r="B10" s="25">
        <v>17.55</v>
      </c>
      <c r="C10" s="25">
        <v>28.68</v>
      </c>
      <c r="D10" s="25">
        <v>17.88</v>
      </c>
      <c r="E10" s="25">
        <f t="shared" si="0"/>
        <v>64.11</v>
      </c>
      <c r="G10"/>
    </row>
    <row r="11" spans="1:66" x14ac:dyDescent="0.2">
      <c r="A11" s="23">
        <v>45121</v>
      </c>
      <c r="B11" s="25">
        <v>17.8</v>
      </c>
      <c r="C11" s="25">
        <v>25.92</v>
      </c>
      <c r="D11" s="25">
        <v>16.38</v>
      </c>
      <c r="E11" s="25">
        <f t="shared" si="0"/>
        <v>60.099999999999994</v>
      </c>
      <c r="G11"/>
    </row>
    <row r="12" spans="1:66" x14ac:dyDescent="0.2">
      <c r="A12" s="23">
        <v>45152</v>
      </c>
      <c r="B12" s="25">
        <v>17.84</v>
      </c>
      <c r="C12" s="25">
        <v>29.19</v>
      </c>
      <c r="D12" s="25">
        <v>18.02</v>
      </c>
      <c r="E12" s="25">
        <f t="shared" si="0"/>
        <v>65.05</v>
      </c>
      <c r="G12"/>
    </row>
    <row r="13" spans="1:66" x14ac:dyDescent="0.2">
      <c r="A13" s="23">
        <v>45183</v>
      </c>
      <c r="B13" s="25">
        <v>18.100000000000001</v>
      </c>
      <c r="C13" s="25">
        <v>33.450000000000003</v>
      </c>
      <c r="D13" s="25">
        <v>20.54</v>
      </c>
      <c r="E13" s="25">
        <f t="shared" si="0"/>
        <v>72.09</v>
      </c>
      <c r="G13"/>
    </row>
    <row r="14" spans="1:66" x14ac:dyDescent="0.2">
      <c r="A14" s="23">
        <v>45213</v>
      </c>
      <c r="B14" s="25">
        <v>18.22</v>
      </c>
      <c r="C14" s="25">
        <v>38.770000000000003</v>
      </c>
      <c r="D14" s="25">
        <v>23.03</v>
      </c>
      <c r="E14" s="25">
        <f t="shared" si="0"/>
        <v>80.02000000000001</v>
      </c>
      <c r="G14"/>
    </row>
    <row r="15" spans="1:66" x14ac:dyDescent="0.2">
      <c r="A15" s="23">
        <v>45244</v>
      </c>
      <c r="B15" s="25">
        <v>20.11</v>
      </c>
      <c r="C15" s="25">
        <v>40.42</v>
      </c>
      <c r="D15" s="25">
        <v>23.09</v>
      </c>
      <c r="E15" s="25">
        <f t="shared" si="0"/>
        <v>83.62</v>
      </c>
      <c r="G15"/>
    </row>
    <row r="16" spans="1:66" x14ac:dyDescent="0.2">
      <c r="A16" s="23">
        <v>45274</v>
      </c>
      <c r="B16" s="25">
        <v>20.190000000000001</v>
      </c>
      <c r="C16" s="25">
        <v>54.16</v>
      </c>
      <c r="D16" s="25">
        <v>30.67</v>
      </c>
      <c r="E16" s="25">
        <f t="shared" si="0"/>
        <v>105.02</v>
      </c>
      <c r="G16"/>
    </row>
    <row r="17" spans="1:7" x14ac:dyDescent="0.2">
      <c r="A17" s="23">
        <v>45305</v>
      </c>
      <c r="B17" s="25">
        <v>20.45</v>
      </c>
      <c r="C17" s="25">
        <v>43.63</v>
      </c>
      <c r="D17" s="25">
        <v>24.11</v>
      </c>
      <c r="E17" s="25">
        <f t="shared" si="0"/>
        <v>88.19</v>
      </c>
      <c r="G17"/>
    </row>
    <row r="18" spans="1:7" x14ac:dyDescent="0.2">
      <c r="A18" s="23">
        <v>45336</v>
      </c>
      <c r="B18" s="25">
        <v>20.12</v>
      </c>
      <c r="C18" s="25">
        <v>36.729999999999997</v>
      </c>
      <c r="D18" s="25">
        <v>19.670000000000002</v>
      </c>
      <c r="E18" s="25">
        <f t="shared" si="0"/>
        <v>76.52</v>
      </c>
      <c r="G18"/>
    </row>
    <row r="19" spans="1:7" x14ac:dyDescent="0.2">
      <c r="A19" s="23">
        <v>45365</v>
      </c>
      <c r="B19" s="25">
        <v>21.66</v>
      </c>
      <c r="C19" s="25">
        <v>38.75</v>
      </c>
      <c r="D19" s="25">
        <v>20.81</v>
      </c>
      <c r="E19" s="25">
        <f t="shared" si="0"/>
        <v>81.22</v>
      </c>
      <c r="G19"/>
    </row>
    <row r="20" spans="1:7" x14ac:dyDescent="0.2">
      <c r="A20" s="23">
        <v>45396</v>
      </c>
      <c r="B20" s="25">
        <v>20.27</v>
      </c>
      <c r="C20" s="25">
        <v>30.28</v>
      </c>
      <c r="D20" s="25">
        <v>16.95</v>
      </c>
      <c r="E20" s="25">
        <f t="shared" si="0"/>
        <v>67.5</v>
      </c>
      <c r="G20"/>
    </row>
    <row r="21" spans="1:7" x14ac:dyDescent="0.2">
      <c r="A21" s="62">
        <v>45426</v>
      </c>
      <c r="B21" s="25">
        <v>21.93</v>
      </c>
      <c r="C21" s="25">
        <v>29.06</v>
      </c>
      <c r="D21" s="25">
        <v>16.62</v>
      </c>
      <c r="E21" s="25">
        <f t="shared" si="0"/>
        <v>67.61</v>
      </c>
      <c r="G21"/>
    </row>
    <row r="22" spans="1:7" x14ac:dyDescent="0.2">
      <c r="D22" s="34"/>
      <c r="E22" s="34"/>
    </row>
    <row r="23" spans="1:7" x14ac:dyDescent="0.2">
      <c r="D23" s="34"/>
      <c r="E23" s="34"/>
    </row>
    <row r="24" spans="1:7" x14ac:dyDescent="0.2">
      <c r="D24" s="34"/>
      <c r="E24" s="34"/>
    </row>
    <row r="25" spans="1:7" x14ac:dyDescent="0.2">
      <c r="D25" s="34"/>
      <c r="E25" s="34"/>
    </row>
    <row r="26" spans="1:7" x14ac:dyDescent="0.2">
      <c r="D26" s="34"/>
      <c r="E26" s="34"/>
    </row>
    <row r="27" spans="1:7" x14ac:dyDescent="0.2">
      <c r="D27" s="34"/>
      <c r="E27" s="34"/>
    </row>
    <row r="28" spans="1:7" x14ac:dyDescent="0.2">
      <c r="D28" s="34"/>
      <c r="E28" s="34"/>
    </row>
    <row r="29" spans="1:7" x14ac:dyDescent="0.2">
      <c r="B29" s="34"/>
      <c r="C29" s="34"/>
      <c r="D29" s="34"/>
      <c r="E29" s="34"/>
    </row>
    <row r="30" spans="1:7" x14ac:dyDescent="0.2">
      <c r="B30" s="34"/>
      <c r="C30" s="34"/>
      <c r="D30" s="34"/>
      <c r="E30" s="34"/>
    </row>
    <row r="31" spans="1:7" x14ac:dyDescent="0.2">
      <c r="B31" s="34"/>
      <c r="C31" s="34"/>
      <c r="D31" s="34"/>
      <c r="E31" s="34"/>
    </row>
    <row r="32" spans="1:7" x14ac:dyDescent="0.2">
      <c r="B32" s="34"/>
      <c r="C32" s="34"/>
      <c r="D32" s="34"/>
      <c r="E32" s="34"/>
    </row>
    <row r="33" s="34" customFormat="1" x14ac:dyDescent="0.2"/>
    <row r="34" s="34" customFormat="1" x14ac:dyDescent="0.2"/>
    <row r="35" s="34" customFormat="1" x14ac:dyDescent="0.2"/>
    <row r="36" s="34" customFormat="1" x14ac:dyDescent="0.2"/>
    <row r="37" s="34" customFormat="1" x14ac:dyDescent="0.2"/>
    <row r="38" s="34" customFormat="1" x14ac:dyDescent="0.2"/>
    <row r="39" s="34" customFormat="1" x14ac:dyDescent="0.2"/>
    <row r="40" s="34" customFormat="1" x14ac:dyDescent="0.2"/>
    <row r="41" s="34" customFormat="1" x14ac:dyDescent="0.2"/>
    <row r="42" s="34" customFormat="1" x14ac:dyDescent="0.2"/>
    <row r="43" s="34" customFormat="1" x14ac:dyDescent="0.2"/>
  </sheetData>
  <conditionalFormatting sqref="B2:B21">
    <cfRule type="colorScale" priority="1">
      <colorScale>
        <cfvo type="min"/>
        <cfvo type="max"/>
        <color theme="9" tint="0.79998168889431442"/>
        <color rgb="FFFB9E96"/>
      </colorScale>
    </cfRule>
  </conditionalFormatting>
  <conditionalFormatting sqref="C2:C21">
    <cfRule type="colorScale" priority="2">
      <colorScale>
        <cfvo type="min"/>
        <cfvo type="max"/>
        <color theme="9" tint="0.79998168889431442"/>
        <color rgb="FFFB9E96"/>
      </colorScale>
    </cfRule>
  </conditionalFormatting>
  <conditionalFormatting sqref="D2:D21">
    <cfRule type="colorScale" priority="3">
      <colorScale>
        <cfvo type="min"/>
        <cfvo type="max"/>
        <color theme="9" tint="0.79998168889431442"/>
        <color rgb="FFFB9E96"/>
      </colorScale>
    </cfRule>
  </conditionalFormatting>
  <conditionalFormatting sqref="E2:E21">
    <cfRule type="colorScale" priority="4">
      <colorScale>
        <cfvo type="min"/>
        <cfvo type="max"/>
        <color theme="9" tint="0.79998168889431442"/>
        <color rgb="FFFB9E96"/>
      </colorScale>
    </cfRule>
  </conditionalFormatting>
  <pageMargins left="0.7" right="0.7" top="0.75" bottom="0.75" header="0.3" footer="0.3"/>
  <ignoredErrors>
    <ignoredError sqref="E2:E21" formulaRange="1"/>
  </ignoredErrors>
  <drawing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E48C-8885-6248-B08B-AEAFB82E5B15}">
  <dimension ref="A1:BQ43"/>
  <sheetViews>
    <sheetView zoomScaleNormal="100" workbookViewId="0">
      <selection activeCell="R23" sqref="R23"/>
    </sheetView>
  </sheetViews>
  <sheetFormatPr baseColWidth="10" defaultColWidth="21.6640625" defaultRowHeight="16" x14ac:dyDescent="0.2"/>
  <cols>
    <col min="1" max="1" width="21.6640625" style="34"/>
    <col min="2" max="2" width="21.6640625" style="36"/>
    <col min="3" max="5" width="0" style="37" hidden="1" customWidth="1"/>
    <col min="6" max="6" width="21.6640625" style="37"/>
    <col min="7" max="7" width="21.6640625" style="34"/>
    <col min="8" max="8" width="21.6640625" style="38"/>
    <col min="9" max="16384" width="21.6640625" style="34"/>
  </cols>
  <sheetData>
    <row r="1" spans="1:69" s="22" customFormat="1" x14ac:dyDescent="0.2">
      <c r="A1" s="48" t="s">
        <v>1</v>
      </c>
      <c r="B1" s="49" t="s">
        <v>38</v>
      </c>
      <c r="C1" s="50" t="s">
        <v>3</v>
      </c>
      <c r="D1" s="50" t="s">
        <v>4</v>
      </c>
      <c r="E1" s="50" t="s">
        <v>5</v>
      </c>
      <c r="F1" s="50" t="s">
        <v>7</v>
      </c>
      <c r="G1" s="50" t="s">
        <v>8</v>
      </c>
      <c r="H1" s="51" t="s">
        <v>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 x14ac:dyDescent="0.2">
      <c r="A2" s="23">
        <v>44848</v>
      </c>
      <c r="B2" s="24">
        <v>31</v>
      </c>
      <c r="C2" s="25">
        <v>16.71</v>
      </c>
      <c r="D2" s="25">
        <v>21.95</v>
      </c>
      <c r="E2" s="25">
        <v>14.55</v>
      </c>
      <c r="F2" s="25">
        <f t="shared" ref="F2:F20" si="0">SUM(C2:E2)</f>
        <v>53.209999999999994</v>
      </c>
      <c r="G2" s="25">
        <f t="shared" ref="G2:G20" si="1">F2/B2</f>
        <v>1.7164516129032257</v>
      </c>
      <c r="H2" s="33">
        <v>0.53903230000000002</v>
      </c>
      <c r="J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 x14ac:dyDescent="0.2">
      <c r="A3" s="23">
        <v>44879</v>
      </c>
      <c r="B3" s="24">
        <v>30</v>
      </c>
      <c r="C3" s="25">
        <v>16.940000000000001</v>
      </c>
      <c r="D3" s="25">
        <v>24.34</v>
      </c>
      <c r="E3" s="25">
        <v>15.71</v>
      </c>
      <c r="F3" s="25">
        <f t="shared" si="0"/>
        <v>56.99</v>
      </c>
      <c r="G3" s="25">
        <f t="shared" si="1"/>
        <v>1.8996666666666668</v>
      </c>
      <c r="H3" s="33">
        <v>0.56466669999999997</v>
      </c>
      <c r="J3" s="36" t="s">
        <v>54</v>
      </c>
      <c r="K3" s="37" t="s">
        <v>32</v>
      </c>
      <c r="L3" s="37" t="s">
        <v>36</v>
      </c>
      <c r="M3" s="37" t="s">
        <v>35</v>
      </c>
      <c r="N3" s="37" t="s">
        <v>33</v>
      </c>
      <c r="O3" s="34" t="s">
        <v>39</v>
      </c>
      <c r="P3" s="38" t="s">
        <v>34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</row>
    <row r="4" spans="1:69" x14ac:dyDescent="0.2">
      <c r="A4" s="23">
        <v>44909</v>
      </c>
      <c r="B4" s="24">
        <v>31</v>
      </c>
      <c r="C4" s="25">
        <v>17.04</v>
      </c>
      <c r="D4" s="25">
        <v>27.76</v>
      </c>
      <c r="E4" s="25">
        <v>18.03</v>
      </c>
      <c r="F4" s="25">
        <f t="shared" si="0"/>
        <v>62.83</v>
      </c>
      <c r="G4" s="25">
        <f t="shared" si="1"/>
        <v>2.0267741935483872</v>
      </c>
      <c r="H4" s="33">
        <v>0.54967739999999998</v>
      </c>
      <c r="J4" s="36" t="s">
        <v>8</v>
      </c>
      <c r="K4" s="37">
        <f>AVERAGE(Dataset5141713[Cost Per Day])</f>
        <v>2.2825770790296094</v>
      </c>
      <c r="L4" s="37">
        <f>MIN(Dataset5141713[Cost Per Day])</f>
        <v>1.7164516129032257</v>
      </c>
      <c r="M4" s="37">
        <f>MAX(Dataset5141713[Cost Per Day])</f>
        <v>3.3877419354838709</v>
      </c>
      <c r="N4" s="37">
        <f>MEDIAN(Dataset5141713[Cost Per Day])</f>
        <v>2.1176935483870967</v>
      </c>
      <c r="O4" s="39">
        <f>Statistics2115[[#This Row],[Max]]-Statistics2115[[#This Row],[Min]]</f>
        <v>1.6712903225806452</v>
      </c>
      <c r="P4" s="39">
        <f>-_xlfn.STDEV.S(Dataset5141713[Cost Per Day])</f>
        <v>-0.41001340670997172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</row>
    <row r="5" spans="1:69" x14ac:dyDescent="0.2">
      <c r="A5" s="23">
        <v>44940</v>
      </c>
      <c r="B5" s="24">
        <v>31</v>
      </c>
      <c r="C5" s="25">
        <v>17.760000000000002</v>
      </c>
      <c r="D5" s="25">
        <v>25.94</v>
      </c>
      <c r="E5" s="25">
        <v>16.41</v>
      </c>
      <c r="F5" s="25">
        <f t="shared" si="0"/>
        <v>60.11</v>
      </c>
      <c r="G5" s="25">
        <f t="shared" si="1"/>
        <v>1.9390322580645161</v>
      </c>
      <c r="H5" s="33">
        <v>0.57290319999999995</v>
      </c>
      <c r="J5" s="38" t="s">
        <v>6</v>
      </c>
      <c r="K5" s="40">
        <f>AVERAGE(Dataset5141713[Rate])</f>
        <v>0.61314660500000007</v>
      </c>
      <c r="L5" s="38">
        <f>MIN(Dataset5141713[Rate])</f>
        <v>0.53903230000000002</v>
      </c>
      <c r="M5" s="38">
        <f>MAX(Dataset5141713[Rate])</f>
        <v>0.70741940000000003</v>
      </c>
      <c r="N5" s="40">
        <f>MEDIAN(Dataset5141713[Rate])</f>
        <v>0.58637095000000006</v>
      </c>
      <c r="O5" s="38">
        <f>Statistics2115[[#This Row],[Max]]-Statistics2115[[#This Row],[Min]]</f>
        <v>0.16838710000000001</v>
      </c>
      <c r="P5" s="38">
        <f>_xlfn.STDEV.S(Dataset5141713[Rate])</f>
        <v>5.4909758022025038E-2</v>
      </c>
    </row>
    <row r="6" spans="1:69" x14ac:dyDescent="0.2">
      <c r="A6" s="23">
        <v>44971</v>
      </c>
      <c r="B6" s="24">
        <v>28</v>
      </c>
      <c r="C6" s="25">
        <v>17.87</v>
      </c>
      <c r="D6" s="25">
        <v>25.17</v>
      </c>
      <c r="E6" s="25">
        <v>15.51</v>
      </c>
      <c r="F6" s="25">
        <f t="shared" si="0"/>
        <v>58.550000000000004</v>
      </c>
      <c r="G6" s="25">
        <f t="shared" si="1"/>
        <v>2.0910714285714289</v>
      </c>
      <c r="H6" s="33">
        <v>0.63821430000000001</v>
      </c>
      <c r="J6"/>
    </row>
    <row r="7" spans="1:69" x14ac:dyDescent="0.2">
      <c r="A7" s="23">
        <v>44999</v>
      </c>
      <c r="B7" s="24">
        <v>31</v>
      </c>
      <c r="C7" s="25">
        <v>17.62</v>
      </c>
      <c r="D7" s="25">
        <v>28.9</v>
      </c>
      <c r="E7" s="25">
        <v>17.88</v>
      </c>
      <c r="F7" s="25">
        <f t="shared" si="0"/>
        <v>64.399999999999991</v>
      </c>
      <c r="G7" s="25">
        <f t="shared" si="1"/>
        <v>2.0774193548387094</v>
      </c>
      <c r="H7" s="33">
        <v>0.56838710000000003</v>
      </c>
      <c r="J7"/>
    </row>
    <row r="8" spans="1:69" x14ac:dyDescent="0.2">
      <c r="A8" s="23">
        <v>45030</v>
      </c>
      <c r="B8" s="24">
        <v>30</v>
      </c>
      <c r="C8" s="25">
        <v>17.39</v>
      </c>
      <c r="D8" s="25">
        <v>27.32</v>
      </c>
      <c r="E8" s="25">
        <v>16.8</v>
      </c>
      <c r="F8" s="25">
        <f t="shared" si="0"/>
        <v>61.510000000000005</v>
      </c>
      <c r="G8" s="25">
        <f t="shared" si="1"/>
        <v>2.0503333333333336</v>
      </c>
      <c r="H8" s="33">
        <v>0.57966669999999998</v>
      </c>
      <c r="J8"/>
    </row>
    <row r="9" spans="1:69" x14ac:dyDescent="0.2">
      <c r="A9" s="23">
        <v>45060</v>
      </c>
      <c r="B9" s="24">
        <v>31</v>
      </c>
      <c r="C9" s="25">
        <v>17.600000000000001</v>
      </c>
      <c r="D9" s="25">
        <v>27.28</v>
      </c>
      <c r="E9" s="25">
        <v>16.62</v>
      </c>
      <c r="F9" s="25">
        <f t="shared" si="0"/>
        <v>61.5</v>
      </c>
      <c r="G9" s="25">
        <f t="shared" si="1"/>
        <v>1.9838709677419355</v>
      </c>
      <c r="H9" s="33">
        <v>0.56774190000000002</v>
      </c>
      <c r="J9"/>
    </row>
    <row r="10" spans="1:69" x14ac:dyDescent="0.2">
      <c r="A10" s="23">
        <v>45091</v>
      </c>
      <c r="B10" s="24">
        <v>30</v>
      </c>
      <c r="C10" s="25">
        <v>17.55</v>
      </c>
      <c r="D10" s="25">
        <v>28.68</v>
      </c>
      <c r="E10" s="25">
        <v>17.88</v>
      </c>
      <c r="F10" s="25">
        <f t="shared" si="0"/>
        <v>64.11</v>
      </c>
      <c r="G10" s="25">
        <f t="shared" si="1"/>
        <v>2.137</v>
      </c>
      <c r="H10" s="33">
        <v>0.58499999999999996</v>
      </c>
      <c r="J10"/>
      <c r="K10"/>
      <c r="L10"/>
    </row>
    <row r="11" spans="1:69" x14ac:dyDescent="0.2">
      <c r="A11" s="23">
        <v>45121</v>
      </c>
      <c r="B11" s="24">
        <v>31</v>
      </c>
      <c r="C11" s="25">
        <v>17.8</v>
      </c>
      <c r="D11" s="25">
        <v>25.92</v>
      </c>
      <c r="E11" s="25">
        <v>16.38</v>
      </c>
      <c r="F11" s="25">
        <f t="shared" si="0"/>
        <v>60.099999999999994</v>
      </c>
      <c r="G11" s="25">
        <f t="shared" si="1"/>
        <v>1.9387096774193546</v>
      </c>
      <c r="H11" s="33">
        <v>0.57419350000000002</v>
      </c>
      <c r="J11"/>
      <c r="K11"/>
      <c r="L11"/>
    </row>
    <row r="12" spans="1:69" x14ac:dyDescent="0.2">
      <c r="A12" s="23">
        <v>45152</v>
      </c>
      <c r="B12" s="24">
        <v>31</v>
      </c>
      <c r="C12" s="25">
        <v>17.84</v>
      </c>
      <c r="D12" s="25">
        <v>29.19</v>
      </c>
      <c r="E12" s="25">
        <v>18.02</v>
      </c>
      <c r="F12" s="25">
        <f t="shared" si="0"/>
        <v>65.05</v>
      </c>
      <c r="G12" s="25">
        <f t="shared" si="1"/>
        <v>2.0983870967741933</v>
      </c>
      <c r="H12" s="33">
        <v>0.57548390000000005</v>
      </c>
      <c r="J12"/>
      <c r="K12"/>
      <c r="L12"/>
    </row>
    <row r="13" spans="1:69" x14ac:dyDescent="0.2">
      <c r="A13" s="23">
        <v>45183</v>
      </c>
      <c r="B13" s="24">
        <v>30</v>
      </c>
      <c r="C13" s="25">
        <v>18.100000000000001</v>
      </c>
      <c r="D13" s="25">
        <v>33.450000000000003</v>
      </c>
      <c r="E13" s="25">
        <v>20.54</v>
      </c>
      <c r="F13" s="25">
        <f t="shared" si="0"/>
        <v>72.09</v>
      </c>
      <c r="G13" s="25">
        <f t="shared" si="1"/>
        <v>2.403</v>
      </c>
      <c r="H13" s="33">
        <v>0.60333329999999996</v>
      </c>
      <c r="J13"/>
      <c r="K13"/>
      <c r="L13"/>
    </row>
    <row r="14" spans="1:69" x14ac:dyDescent="0.2">
      <c r="A14" s="23">
        <v>45213</v>
      </c>
      <c r="B14" s="24">
        <v>31</v>
      </c>
      <c r="C14" s="25">
        <v>18.22</v>
      </c>
      <c r="D14" s="25">
        <v>38.770000000000003</v>
      </c>
      <c r="E14" s="25">
        <v>23.03</v>
      </c>
      <c r="F14" s="25">
        <f t="shared" si="0"/>
        <v>80.02000000000001</v>
      </c>
      <c r="G14" s="25">
        <f t="shared" si="1"/>
        <v>2.5812903225806454</v>
      </c>
      <c r="H14" s="33">
        <v>0.58774190000000004</v>
      </c>
      <c r="J14"/>
    </row>
    <row r="15" spans="1:69" x14ac:dyDescent="0.2">
      <c r="A15" s="23">
        <v>45244</v>
      </c>
      <c r="B15" s="24">
        <v>30</v>
      </c>
      <c r="C15" s="25">
        <v>20.11</v>
      </c>
      <c r="D15" s="25">
        <v>40.42</v>
      </c>
      <c r="E15" s="25">
        <v>23.09</v>
      </c>
      <c r="F15" s="25">
        <f t="shared" si="0"/>
        <v>83.62</v>
      </c>
      <c r="G15" s="25">
        <f t="shared" si="1"/>
        <v>2.7873333333333337</v>
      </c>
      <c r="H15" s="33">
        <v>0.67033330000000002</v>
      </c>
      <c r="J15"/>
    </row>
    <row r="16" spans="1:69" x14ac:dyDescent="0.2">
      <c r="A16" s="23">
        <v>45274</v>
      </c>
      <c r="B16" s="24">
        <v>31</v>
      </c>
      <c r="C16" s="25">
        <v>20.190000000000001</v>
      </c>
      <c r="D16" s="25">
        <v>54.16</v>
      </c>
      <c r="E16" s="25">
        <v>30.67</v>
      </c>
      <c r="F16" s="25">
        <f t="shared" si="0"/>
        <v>105.02</v>
      </c>
      <c r="G16" s="25">
        <f t="shared" si="1"/>
        <v>3.3877419354838709</v>
      </c>
      <c r="H16" s="33">
        <v>0.65129029999999999</v>
      </c>
      <c r="J16"/>
    </row>
    <row r="17" spans="1:12" x14ac:dyDescent="0.2">
      <c r="A17" s="23">
        <v>45305</v>
      </c>
      <c r="B17" s="24">
        <v>31</v>
      </c>
      <c r="C17" s="25">
        <v>20.45</v>
      </c>
      <c r="D17" s="25">
        <v>43.63</v>
      </c>
      <c r="E17" s="25">
        <v>24.11</v>
      </c>
      <c r="F17" s="25">
        <f t="shared" si="0"/>
        <v>88.19</v>
      </c>
      <c r="G17" s="25">
        <f t="shared" si="1"/>
        <v>2.8448387096774193</v>
      </c>
      <c r="H17" s="33">
        <v>0.65967739999999997</v>
      </c>
      <c r="J17"/>
    </row>
    <row r="18" spans="1:12" x14ac:dyDescent="0.2">
      <c r="A18" s="23">
        <v>45336</v>
      </c>
      <c r="B18" s="24">
        <v>29</v>
      </c>
      <c r="C18" s="25">
        <v>20.12</v>
      </c>
      <c r="D18" s="25">
        <v>36.729999999999997</v>
      </c>
      <c r="E18" s="25">
        <v>19.670000000000002</v>
      </c>
      <c r="F18" s="25">
        <f t="shared" si="0"/>
        <v>76.52</v>
      </c>
      <c r="G18" s="25">
        <f t="shared" si="1"/>
        <v>2.6386206896551725</v>
      </c>
      <c r="H18" s="33">
        <v>0.69379310000000005</v>
      </c>
      <c r="J18"/>
    </row>
    <row r="19" spans="1:12" x14ac:dyDescent="0.2">
      <c r="A19" s="23">
        <v>45365</v>
      </c>
      <c r="B19" s="24">
        <v>31</v>
      </c>
      <c r="C19" s="25">
        <v>21.66</v>
      </c>
      <c r="D19" s="25">
        <v>38.75</v>
      </c>
      <c r="E19" s="25">
        <v>20.81</v>
      </c>
      <c r="F19" s="25">
        <f t="shared" si="0"/>
        <v>81.22</v>
      </c>
      <c r="G19" s="25">
        <f t="shared" si="1"/>
        <v>2.62</v>
      </c>
      <c r="H19" s="33">
        <v>0.69870969999999999</v>
      </c>
      <c r="J19"/>
    </row>
    <row r="20" spans="1:12" x14ac:dyDescent="0.2">
      <c r="A20" s="23">
        <v>45396</v>
      </c>
      <c r="B20" s="24">
        <v>30</v>
      </c>
      <c r="C20" s="25">
        <v>20.27</v>
      </c>
      <c r="D20" s="25">
        <v>30.28</v>
      </c>
      <c r="E20" s="25">
        <v>16.95</v>
      </c>
      <c r="F20" s="25">
        <f t="shared" si="0"/>
        <v>67.5</v>
      </c>
      <c r="G20" s="25">
        <f t="shared" si="1"/>
        <v>2.25</v>
      </c>
      <c r="H20" s="33">
        <v>0.67566669999999995</v>
      </c>
      <c r="J20"/>
    </row>
    <row r="21" spans="1:12" x14ac:dyDescent="0.2">
      <c r="A21" s="74">
        <v>45426</v>
      </c>
      <c r="B21" s="24">
        <v>31</v>
      </c>
      <c r="C21" s="25">
        <v>21.93</v>
      </c>
      <c r="D21" s="25">
        <v>29.06</v>
      </c>
      <c r="E21" s="25">
        <v>16.62</v>
      </c>
      <c r="F21" s="25">
        <v>67.61</v>
      </c>
      <c r="G21" s="25">
        <v>2.1800000000000002</v>
      </c>
      <c r="H21" s="75">
        <v>0.70741940000000003</v>
      </c>
    </row>
    <row r="22" spans="1:12" x14ac:dyDescent="0.2">
      <c r="H22" s="34"/>
      <c r="K22" s="59" t="s">
        <v>6</v>
      </c>
      <c r="L22" s="60" t="s">
        <v>7</v>
      </c>
    </row>
    <row r="23" spans="1:12" x14ac:dyDescent="0.2">
      <c r="B23" s="54" t="s">
        <v>38</v>
      </c>
      <c r="C23" s="37" t="s">
        <v>55</v>
      </c>
      <c r="D23" s="37" t="s">
        <v>56</v>
      </c>
      <c r="E23" s="37" t="s">
        <v>57</v>
      </c>
      <c r="F23" s="43" t="s">
        <v>7</v>
      </c>
      <c r="H23" s="34"/>
      <c r="K23" s="57">
        <v>0.53903230000000002</v>
      </c>
      <c r="L23" s="58">
        <v>53.209999999999994</v>
      </c>
    </row>
    <row r="24" spans="1:12" x14ac:dyDescent="0.2">
      <c r="B24" s="24">
        <v>31</v>
      </c>
      <c r="F24" s="42">
        <v>53.209999999999994</v>
      </c>
      <c r="H24" s="34"/>
      <c r="K24" s="57">
        <v>0.56466669999999997</v>
      </c>
      <c r="L24" s="58">
        <v>56.99</v>
      </c>
    </row>
    <row r="25" spans="1:12" x14ac:dyDescent="0.2">
      <c r="B25" s="24">
        <v>30</v>
      </c>
      <c r="E25" s="34"/>
      <c r="F25" s="42">
        <v>56.99</v>
      </c>
      <c r="H25" s="34"/>
      <c r="K25" s="57">
        <v>0.54967739999999998</v>
      </c>
      <c r="L25" s="58">
        <v>62.83</v>
      </c>
    </row>
    <row r="26" spans="1:12" x14ac:dyDescent="0.2">
      <c r="B26" s="24">
        <v>31</v>
      </c>
      <c r="E26" s="34"/>
      <c r="F26" s="42">
        <v>62.83</v>
      </c>
      <c r="H26" s="34"/>
      <c r="K26" s="57">
        <v>0.57290319999999995</v>
      </c>
      <c r="L26" s="58">
        <v>60.11</v>
      </c>
    </row>
    <row r="27" spans="1:12" x14ac:dyDescent="0.2">
      <c r="B27" s="24">
        <v>31</v>
      </c>
      <c r="C27" s="34"/>
      <c r="D27" s="34"/>
      <c r="E27" s="34"/>
      <c r="F27" s="42">
        <v>60.11</v>
      </c>
      <c r="H27" s="34"/>
      <c r="K27" s="57">
        <v>0.63821430000000001</v>
      </c>
      <c r="L27" s="58">
        <v>58.550000000000004</v>
      </c>
    </row>
    <row r="28" spans="1:12" hidden="1" x14ac:dyDescent="0.2">
      <c r="B28" s="24">
        <v>28</v>
      </c>
      <c r="C28" s="34"/>
      <c r="D28" s="34"/>
      <c r="E28" s="34"/>
      <c r="F28" s="42">
        <v>58.550000000000004</v>
      </c>
      <c r="H28" s="34"/>
      <c r="K28" s="57">
        <v>0.56838710000000003</v>
      </c>
      <c r="L28" s="58">
        <v>64.399999999999991</v>
      </c>
    </row>
    <row r="29" spans="1:12" x14ac:dyDescent="0.2">
      <c r="B29" s="24">
        <v>31</v>
      </c>
      <c r="C29" s="34"/>
      <c r="D29" s="34"/>
      <c r="E29" s="34"/>
      <c r="F29" s="42">
        <v>64.399999999999991</v>
      </c>
      <c r="H29" s="34"/>
      <c r="K29" s="57">
        <v>0.57966669999999998</v>
      </c>
      <c r="L29" s="58">
        <v>61.510000000000005</v>
      </c>
    </row>
    <row r="30" spans="1:12" x14ac:dyDescent="0.2">
      <c r="B30" s="24">
        <v>30</v>
      </c>
      <c r="C30" s="34"/>
      <c r="D30" s="34"/>
      <c r="E30" s="34"/>
      <c r="F30" s="42">
        <v>61.510000000000005</v>
      </c>
      <c r="H30" s="34"/>
      <c r="K30" s="57">
        <v>0.56774190000000002</v>
      </c>
      <c r="L30" s="58">
        <v>61.5</v>
      </c>
    </row>
    <row r="31" spans="1:12" x14ac:dyDescent="0.2">
      <c r="B31" s="24">
        <v>31</v>
      </c>
      <c r="C31" s="34"/>
      <c r="D31" s="34"/>
      <c r="E31" s="34"/>
      <c r="F31" s="42">
        <v>61.5</v>
      </c>
      <c r="H31" s="34"/>
      <c r="K31" s="57">
        <v>0.58499999999999996</v>
      </c>
      <c r="L31" s="58">
        <v>64.11</v>
      </c>
    </row>
    <row r="32" spans="1:12" x14ac:dyDescent="0.2">
      <c r="B32" s="24">
        <v>30</v>
      </c>
      <c r="C32" s="34"/>
      <c r="D32" s="34"/>
      <c r="E32" s="34"/>
      <c r="F32" s="42">
        <v>64.11</v>
      </c>
      <c r="H32" s="34"/>
      <c r="K32" s="57">
        <v>0.57419350000000002</v>
      </c>
      <c r="L32" s="58">
        <v>60.099999999999994</v>
      </c>
    </row>
    <row r="33" spans="2:12" x14ac:dyDescent="0.2">
      <c r="B33" s="24">
        <v>31</v>
      </c>
      <c r="C33" s="34"/>
      <c r="D33" s="34"/>
      <c r="E33" s="34"/>
      <c r="F33" s="42">
        <v>60.099999999999994</v>
      </c>
      <c r="H33" s="34"/>
      <c r="K33" s="57">
        <v>0.57548390000000005</v>
      </c>
      <c r="L33" s="58">
        <v>65.05</v>
      </c>
    </row>
    <row r="34" spans="2:12" x14ac:dyDescent="0.2">
      <c r="B34" s="24">
        <v>31</v>
      </c>
      <c r="C34" s="34"/>
      <c r="D34" s="34"/>
      <c r="E34" s="34"/>
      <c r="F34" s="42">
        <v>65.05</v>
      </c>
      <c r="H34" s="34"/>
      <c r="K34" s="57">
        <v>0.60333329999999996</v>
      </c>
      <c r="L34" s="58">
        <v>72.09</v>
      </c>
    </row>
    <row r="35" spans="2:12" x14ac:dyDescent="0.2">
      <c r="B35" s="24">
        <v>30</v>
      </c>
      <c r="C35" s="34"/>
      <c r="D35" s="34"/>
      <c r="E35" s="34"/>
      <c r="F35" s="42">
        <v>72.09</v>
      </c>
      <c r="H35" s="34"/>
      <c r="K35" s="57">
        <v>0.58774190000000004</v>
      </c>
      <c r="L35" s="58">
        <v>80.02000000000001</v>
      </c>
    </row>
    <row r="36" spans="2:12" x14ac:dyDescent="0.2">
      <c r="B36" s="24">
        <v>31</v>
      </c>
      <c r="C36" s="34"/>
      <c r="D36" s="34"/>
      <c r="E36" s="34"/>
      <c r="F36" s="42">
        <v>80.02000000000001</v>
      </c>
      <c r="H36" s="34"/>
      <c r="K36" s="57">
        <v>0.67033330000000002</v>
      </c>
      <c r="L36" s="58">
        <v>83.62</v>
      </c>
    </row>
    <row r="37" spans="2:12" x14ac:dyDescent="0.2">
      <c r="B37" s="24">
        <v>30</v>
      </c>
      <c r="C37" s="34"/>
      <c r="D37" s="34"/>
      <c r="E37" s="34"/>
      <c r="F37" s="42">
        <v>83.62</v>
      </c>
      <c r="H37" s="34"/>
      <c r="K37" s="57">
        <v>0.65129029999999999</v>
      </c>
      <c r="L37" s="58">
        <v>105.02</v>
      </c>
    </row>
    <row r="38" spans="2:12" x14ac:dyDescent="0.2">
      <c r="B38" s="24">
        <v>31</v>
      </c>
      <c r="C38" s="34"/>
      <c r="D38" s="34"/>
      <c r="E38" s="34"/>
      <c r="F38" s="42">
        <v>105.02</v>
      </c>
      <c r="H38" s="34"/>
      <c r="K38" s="57">
        <v>0.65967739999999997</v>
      </c>
      <c r="L38" s="58">
        <v>88.19</v>
      </c>
    </row>
    <row r="39" spans="2:12" x14ac:dyDescent="0.2">
      <c r="B39" s="24">
        <v>31</v>
      </c>
      <c r="C39" s="34"/>
      <c r="D39" s="34"/>
      <c r="E39" s="34"/>
      <c r="F39" s="42">
        <v>88.19</v>
      </c>
      <c r="H39" s="34"/>
      <c r="K39" s="57">
        <v>0.69379310000000005</v>
      </c>
      <c r="L39" s="58">
        <v>76.52</v>
      </c>
    </row>
    <row r="40" spans="2:12" hidden="1" x14ac:dyDescent="0.2">
      <c r="B40" s="24">
        <v>29</v>
      </c>
      <c r="C40" s="34"/>
      <c r="D40" s="34"/>
      <c r="E40" s="34"/>
      <c r="F40" s="42">
        <v>76.52</v>
      </c>
      <c r="H40" s="34"/>
      <c r="K40" s="57">
        <v>0.69870969999999999</v>
      </c>
      <c r="L40" s="58">
        <v>81.22</v>
      </c>
    </row>
    <row r="41" spans="2:12" x14ac:dyDescent="0.2">
      <c r="B41" s="24">
        <v>31</v>
      </c>
      <c r="C41" s="34"/>
      <c r="D41" s="34"/>
      <c r="E41" s="34"/>
      <c r="F41" s="42">
        <v>81.22</v>
      </c>
      <c r="H41" s="34"/>
      <c r="K41" s="57">
        <v>0.67566669999999995</v>
      </c>
      <c r="L41" s="58">
        <v>67.5</v>
      </c>
    </row>
    <row r="42" spans="2:12" x14ac:dyDescent="0.2">
      <c r="B42" s="55">
        <v>30</v>
      </c>
      <c r="F42" s="42">
        <v>67.5</v>
      </c>
      <c r="K42" s="57">
        <v>0.70741940000000003</v>
      </c>
      <c r="L42" s="58">
        <v>67.61</v>
      </c>
    </row>
    <row r="43" spans="2:12" x14ac:dyDescent="0.2">
      <c r="B43" s="24">
        <v>31</v>
      </c>
      <c r="F43" s="17">
        <v>67.61</v>
      </c>
    </row>
  </sheetData>
  <pageMargins left="0.7" right="0.7" top="0.75" bottom="0.75" header="0.3" footer="0.3"/>
  <ignoredErrors>
    <ignoredError sqref="F2:F20" formulaRange="1"/>
  </ignoredErrors>
  <drawing r:id="rId1"/>
  <legacyDrawing r:id="rId2"/>
  <tableParts count="4"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3163-5E82-1548-B69B-3FCC095BFF0E}">
  <dimension ref="A1:L45"/>
  <sheetViews>
    <sheetView zoomScaleNormal="100" workbookViewId="0">
      <selection activeCell="N23" sqref="N23"/>
    </sheetView>
  </sheetViews>
  <sheetFormatPr baseColWidth="10" defaultColWidth="21" defaultRowHeight="16" x14ac:dyDescent="0.2"/>
  <cols>
    <col min="1" max="1" width="21" style="34" customWidth="1"/>
    <col min="2" max="2" width="21" style="37" customWidth="1"/>
    <col min="3" max="5" width="21" style="37"/>
    <col min="6" max="16384" width="21" style="34"/>
  </cols>
  <sheetData>
    <row r="1" spans="1:5" s="22" customFormat="1" x14ac:dyDescent="0.2">
      <c r="A1" s="48" t="s">
        <v>1</v>
      </c>
      <c r="B1" s="50" t="s">
        <v>3</v>
      </c>
      <c r="C1" s="50" t="s">
        <v>4</v>
      </c>
      <c r="D1" s="50" t="s">
        <v>5</v>
      </c>
      <c r="E1" s="50" t="s">
        <v>7</v>
      </c>
    </row>
    <row r="2" spans="1:5" x14ac:dyDescent="0.2">
      <c r="A2" s="23">
        <v>44848</v>
      </c>
      <c r="B2" s="25">
        <v>16.71</v>
      </c>
      <c r="C2" s="25">
        <v>21.95</v>
      </c>
      <c r="D2" s="25">
        <v>14.55</v>
      </c>
      <c r="E2" s="25">
        <f t="shared" ref="E2:E21" si="0">SUM(B2:D2)</f>
        <v>53.209999999999994</v>
      </c>
    </row>
    <row r="3" spans="1:5" x14ac:dyDescent="0.2">
      <c r="A3" s="23">
        <v>44879</v>
      </c>
      <c r="B3" s="25">
        <v>16.940000000000001</v>
      </c>
      <c r="C3" s="25">
        <v>24.34</v>
      </c>
      <c r="D3" s="25">
        <v>15.71</v>
      </c>
      <c r="E3" s="25">
        <f t="shared" si="0"/>
        <v>56.99</v>
      </c>
    </row>
    <row r="4" spans="1:5" x14ac:dyDescent="0.2">
      <c r="A4" s="23">
        <v>44909</v>
      </c>
      <c r="B4" s="25">
        <v>17.04</v>
      </c>
      <c r="C4" s="25">
        <v>27.76</v>
      </c>
      <c r="D4" s="25">
        <v>18.03</v>
      </c>
      <c r="E4" s="25">
        <f t="shared" si="0"/>
        <v>62.83</v>
      </c>
    </row>
    <row r="5" spans="1:5" x14ac:dyDescent="0.2">
      <c r="A5" s="23">
        <v>44940</v>
      </c>
      <c r="B5" s="25">
        <v>17.760000000000002</v>
      </c>
      <c r="C5" s="25">
        <v>25.94</v>
      </c>
      <c r="D5" s="25">
        <v>16.41</v>
      </c>
      <c r="E5" s="25">
        <f t="shared" si="0"/>
        <v>60.11</v>
      </c>
    </row>
    <row r="6" spans="1:5" x14ac:dyDescent="0.2">
      <c r="A6" s="23">
        <v>44971</v>
      </c>
      <c r="B6" s="25">
        <v>17.87</v>
      </c>
      <c r="C6" s="25">
        <v>25.17</v>
      </c>
      <c r="D6" s="25">
        <v>15.51</v>
      </c>
      <c r="E6" s="25">
        <f t="shared" si="0"/>
        <v>58.550000000000004</v>
      </c>
    </row>
    <row r="7" spans="1:5" x14ac:dyDescent="0.2">
      <c r="A7" s="23">
        <v>44999</v>
      </c>
      <c r="B7" s="25">
        <v>17.62</v>
      </c>
      <c r="C7" s="25">
        <v>28.9</v>
      </c>
      <c r="D7" s="25">
        <v>17.88</v>
      </c>
      <c r="E7" s="25">
        <f t="shared" si="0"/>
        <v>64.399999999999991</v>
      </c>
    </row>
    <row r="8" spans="1:5" x14ac:dyDescent="0.2">
      <c r="A8" s="23">
        <v>45030</v>
      </c>
      <c r="B8" s="25">
        <v>17.39</v>
      </c>
      <c r="C8" s="25">
        <v>27.32</v>
      </c>
      <c r="D8" s="25">
        <v>16.8</v>
      </c>
      <c r="E8" s="25">
        <f t="shared" si="0"/>
        <v>61.510000000000005</v>
      </c>
    </row>
    <row r="9" spans="1:5" x14ac:dyDescent="0.2">
      <c r="A9" s="23">
        <v>45060</v>
      </c>
      <c r="B9" s="25">
        <v>17.600000000000001</v>
      </c>
      <c r="C9" s="25">
        <v>27.28</v>
      </c>
      <c r="D9" s="25">
        <v>16.62</v>
      </c>
      <c r="E9" s="25">
        <f t="shared" si="0"/>
        <v>61.5</v>
      </c>
    </row>
    <row r="10" spans="1:5" x14ac:dyDescent="0.2">
      <c r="A10" s="23">
        <v>45091</v>
      </c>
      <c r="B10" s="25">
        <v>17.55</v>
      </c>
      <c r="C10" s="25">
        <v>28.68</v>
      </c>
      <c r="D10" s="25">
        <v>17.88</v>
      </c>
      <c r="E10" s="25">
        <f t="shared" si="0"/>
        <v>64.11</v>
      </c>
    </row>
    <row r="11" spans="1:5" x14ac:dyDescent="0.2">
      <c r="A11" s="23">
        <v>45121</v>
      </c>
      <c r="B11" s="25">
        <v>17.8</v>
      </c>
      <c r="C11" s="25">
        <v>25.92</v>
      </c>
      <c r="D11" s="25">
        <v>16.38</v>
      </c>
      <c r="E11" s="25">
        <f t="shared" si="0"/>
        <v>60.099999999999994</v>
      </c>
    </row>
    <row r="12" spans="1:5" x14ac:dyDescent="0.2">
      <c r="A12" s="23">
        <v>45152</v>
      </c>
      <c r="B12" s="25">
        <v>17.84</v>
      </c>
      <c r="C12" s="25">
        <v>29.19</v>
      </c>
      <c r="D12" s="25">
        <v>18.02</v>
      </c>
      <c r="E12" s="25">
        <f t="shared" si="0"/>
        <v>65.05</v>
      </c>
    </row>
    <row r="13" spans="1:5" x14ac:dyDescent="0.2">
      <c r="A13" s="23">
        <v>45183</v>
      </c>
      <c r="B13" s="25">
        <v>18.100000000000001</v>
      </c>
      <c r="C13" s="25">
        <v>33.450000000000003</v>
      </c>
      <c r="D13" s="25">
        <v>20.54</v>
      </c>
      <c r="E13" s="25">
        <f t="shared" si="0"/>
        <v>72.09</v>
      </c>
    </row>
    <row r="14" spans="1:5" x14ac:dyDescent="0.2">
      <c r="A14" s="23">
        <v>45213</v>
      </c>
      <c r="B14" s="25">
        <v>18.22</v>
      </c>
      <c r="C14" s="25">
        <v>38.770000000000003</v>
      </c>
      <c r="D14" s="25">
        <v>23.03</v>
      </c>
      <c r="E14" s="25">
        <f t="shared" si="0"/>
        <v>80.02000000000001</v>
      </c>
    </row>
    <row r="15" spans="1:5" x14ac:dyDescent="0.2">
      <c r="A15" s="23">
        <v>45244</v>
      </c>
      <c r="B15" s="25">
        <v>20.11</v>
      </c>
      <c r="C15" s="25">
        <v>40.42</v>
      </c>
      <c r="D15" s="25">
        <v>23.09</v>
      </c>
      <c r="E15" s="25">
        <f t="shared" si="0"/>
        <v>83.62</v>
      </c>
    </row>
    <row r="16" spans="1:5" x14ac:dyDescent="0.2">
      <c r="A16" s="23">
        <v>45274</v>
      </c>
      <c r="B16" s="25">
        <v>20.190000000000001</v>
      </c>
      <c r="C16" s="25">
        <v>54.16</v>
      </c>
      <c r="D16" s="25">
        <v>30.67</v>
      </c>
      <c r="E16" s="25">
        <f t="shared" si="0"/>
        <v>105.02</v>
      </c>
    </row>
    <row r="17" spans="1:12" x14ac:dyDescent="0.2">
      <c r="A17" s="23">
        <v>45305</v>
      </c>
      <c r="B17" s="25">
        <v>20.45</v>
      </c>
      <c r="C17" s="25">
        <v>43.63</v>
      </c>
      <c r="D17" s="25">
        <v>24.11</v>
      </c>
      <c r="E17" s="25">
        <f t="shared" si="0"/>
        <v>88.19</v>
      </c>
    </row>
    <row r="18" spans="1:12" x14ac:dyDescent="0.2">
      <c r="A18" s="23">
        <v>45336</v>
      </c>
      <c r="B18" s="25">
        <v>20.12</v>
      </c>
      <c r="C18" s="25">
        <v>36.729999999999997</v>
      </c>
      <c r="D18" s="25">
        <v>19.670000000000002</v>
      </c>
      <c r="E18" s="25">
        <f t="shared" si="0"/>
        <v>76.52</v>
      </c>
    </row>
    <row r="19" spans="1:12" x14ac:dyDescent="0.2">
      <c r="A19" s="23">
        <v>45365</v>
      </c>
      <c r="B19" s="25">
        <v>21.66</v>
      </c>
      <c r="C19" s="25">
        <v>38.75</v>
      </c>
      <c r="D19" s="25">
        <v>20.81</v>
      </c>
      <c r="E19" s="25">
        <f t="shared" si="0"/>
        <v>81.22</v>
      </c>
    </row>
    <row r="20" spans="1:12" x14ac:dyDescent="0.2">
      <c r="A20" s="23">
        <v>45396</v>
      </c>
      <c r="B20" s="25">
        <v>20.27</v>
      </c>
      <c r="C20" s="25">
        <v>30.28</v>
      </c>
      <c r="D20" s="25">
        <v>16.95</v>
      </c>
      <c r="E20" s="25">
        <f t="shared" si="0"/>
        <v>67.5</v>
      </c>
    </row>
    <row r="21" spans="1:12" x14ac:dyDescent="0.2">
      <c r="A21" s="23">
        <v>45426</v>
      </c>
      <c r="B21" s="25">
        <v>21.93</v>
      </c>
      <c r="C21" s="25">
        <v>29.06</v>
      </c>
      <c r="D21" s="25">
        <v>16.62</v>
      </c>
      <c r="E21" s="25">
        <f t="shared" si="0"/>
        <v>67.61</v>
      </c>
    </row>
    <row r="25" spans="1:12" ht="17" thickBot="1" x14ac:dyDescent="0.25">
      <c r="A25" s="39" t="s">
        <v>7</v>
      </c>
      <c r="B25" s="80" t="s">
        <v>3</v>
      </c>
      <c r="F25" s="39" t="s">
        <v>7</v>
      </c>
      <c r="G25" s="80" t="s">
        <v>4</v>
      </c>
      <c r="K25" s="39" t="s">
        <v>7</v>
      </c>
      <c r="L25" s="80" t="s">
        <v>5</v>
      </c>
    </row>
    <row r="26" spans="1:12" x14ac:dyDescent="0.2">
      <c r="A26" s="39">
        <v>53.209999999999994</v>
      </c>
      <c r="B26" s="81">
        <v>16.71</v>
      </c>
      <c r="F26" s="39">
        <v>53.209999999999994</v>
      </c>
      <c r="G26" s="81">
        <v>21.95</v>
      </c>
      <c r="K26" s="39">
        <v>53.209999999999994</v>
      </c>
      <c r="L26" s="81">
        <v>14.55</v>
      </c>
    </row>
    <row r="27" spans="1:12" x14ac:dyDescent="0.2">
      <c r="A27" s="39">
        <v>56.99</v>
      </c>
      <c r="B27" s="81">
        <v>16.940000000000001</v>
      </c>
      <c r="F27" s="39">
        <v>56.99</v>
      </c>
      <c r="G27" s="81">
        <v>24.34</v>
      </c>
      <c r="K27" s="39">
        <v>56.99</v>
      </c>
      <c r="L27" s="81">
        <v>15.71</v>
      </c>
    </row>
    <row r="28" spans="1:12" x14ac:dyDescent="0.2">
      <c r="A28" s="39">
        <v>62.83</v>
      </c>
      <c r="B28" s="81">
        <v>17.04</v>
      </c>
      <c r="F28" s="39">
        <v>62.83</v>
      </c>
      <c r="G28" s="81">
        <v>27.76</v>
      </c>
      <c r="K28" s="39">
        <v>62.83</v>
      </c>
      <c r="L28" s="81">
        <v>18.03</v>
      </c>
    </row>
    <row r="29" spans="1:12" x14ac:dyDescent="0.2">
      <c r="A29" s="39">
        <v>60.11</v>
      </c>
      <c r="B29" s="81">
        <v>17.760000000000002</v>
      </c>
      <c r="F29" s="39">
        <v>60.11</v>
      </c>
      <c r="G29" s="81">
        <v>25.94</v>
      </c>
      <c r="K29" s="39">
        <v>60.11</v>
      </c>
      <c r="L29" s="81">
        <v>16.41</v>
      </c>
    </row>
    <row r="30" spans="1:12" x14ac:dyDescent="0.2">
      <c r="A30" s="39">
        <v>58.550000000000004</v>
      </c>
      <c r="B30" s="81">
        <v>17.87</v>
      </c>
      <c r="F30" s="39">
        <v>58.550000000000004</v>
      </c>
      <c r="G30" s="81">
        <v>25.17</v>
      </c>
      <c r="K30" s="39">
        <v>58.550000000000004</v>
      </c>
      <c r="L30" s="81">
        <v>15.51</v>
      </c>
    </row>
    <row r="31" spans="1:12" x14ac:dyDescent="0.2">
      <c r="A31" s="39">
        <v>64.399999999999991</v>
      </c>
      <c r="B31" s="81">
        <v>17.62</v>
      </c>
      <c r="F31" s="39">
        <v>64.399999999999991</v>
      </c>
      <c r="G31" s="81">
        <v>28.9</v>
      </c>
      <c r="K31" s="39">
        <v>64.399999999999991</v>
      </c>
      <c r="L31" s="81">
        <v>17.88</v>
      </c>
    </row>
    <row r="32" spans="1:12" x14ac:dyDescent="0.2">
      <c r="A32" s="39">
        <v>61.510000000000005</v>
      </c>
      <c r="B32" s="81">
        <v>17.39</v>
      </c>
      <c r="F32" s="39">
        <v>61.510000000000005</v>
      </c>
      <c r="G32" s="81">
        <v>27.32</v>
      </c>
      <c r="K32" s="39">
        <v>61.510000000000005</v>
      </c>
      <c r="L32" s="81">
        <v>16.8</v>
      </c>
    </row>
    <row r="33" spans="1:12" x14ac:dyDescent="0.2">
      <c r="A33" s="39">
        <v>61.5</v>
      </c>
      <c r="B33" s="81">
        <v>17.600000000000001</v>
      </c>
      <c r="F33" s="39">
        <v>61.5</v>
      </c>
      <c r="G33" s="81">
        <v>27.28</v>
      </c>
      <c r="K33" s="39">
        <v>61.5</v>
      </c>
      <c r="L33" s="81">
        <v>16.62</v>
      </c>
    </row>
    <row r="34" spans="1:12" x14ac:dyDescent="0.2">
      <c r="A34" s="39">
        <v>64.11</v>
      </c>
      <c r="B34" s="81">
        <v>17.55</v>
      </c>
      <c r="F34" s="39">
        <v>64.11</v>
      </c>
      <c r="G34" s="81">
        <v>28.68</v>
      </c>
      <c r="K34" s="39">
        <v>64.11</v>
      </c>
      <c r="L34" s="81">
        <v>17.88</v>
      </c>
    </row>
    <row r="35" spans="1:12" x14ac:dyDescent="0.2">
      <c r="A35" s="39">
        <v>60.099999999999994</v>
      </c>
      <c r="B35" s="81">
        <v>17.8</v>
      </c>
      <c r="F35" s="39">
        <v>60.099999999999994</v>
      </c>
      <c r="G35" s="81">
        <v>25.92</v>
      </c>
      <c r="K35" s="39">
        <v>60.099999999999994</v>
      </c>
      <c r="L35" s="81">
        <v>16.38</v>
      </c>
    </row>
    <row r="36" spans="1:12" x14ac:dyDescent="0.2">
      <c r="A36" s="39">
        <v>65.05</v>
      </c>
      <c r="B36" s="81">
        <v>17.84</v>
      </c>
      <c r="F36" s="39">
        <v>65.05</v>
      </c>
      <c r="G36" s="81">
        <v>29.19</v>
      </c>
      <c r="K36" s="39">
        <v>65.05</v>
      </c>
      <c r="L36" s="81">
        <v>18.02</v>
      </c>
    </row>
    <row r="37" spans="1:12" x14ac:dyDescent="0.2">
      <c r="A37" s="39">
        <v>72.09</v>
      </c>
      <c r="B37" s="81">
        <v>18.100000000000001</v>
      </c>
      <c r="F37" s="39">
        <v>72.09</v>
      </c>
      <c r="G37" s="81">
        <v>33.450000000000003</v>
      </c>
      <c r="K37" s="39">
        <v>72.09</v>
      </c>
      <c r="L37" s="81">
        <v>20.54</v>
      </c>
    </row>
    <row r="38" spans="1:12" x14ac:dyDescent="0.2">
      <c r="A38" s="39">
        <v>80.02000000000001</v>
      </c>
      <c r="B38" s="81">
        <v>18.22</v>
      </c>
      <c r="F38" s="39">
        <v>80.02000000000001</v>
      </c>
      <c r="G38" s="81">
        <v>38.770000000000003</v>
      </c>
      <c r="K38" s="39">
        <v>80.02000000000001</v>
      </c>
      <c r="L38" s="81">
        <v>23.03</v>
      </c>
    </row>
    <row r="39" spans="1:12" x14ac:dyDescent="0.2">
      <c r="A39" s="39">
        <v>83.62</v>
      </c>
      <c r="B39" s="81">
        <v>20.11</v>
      </c>
      <c r="F39" s="39">
        <v>83.62</v>
      </c>
      <c r="G39" s="81">
        <v>40.42</v>
      </c>
      <c r="K39" s="39">
        <v>83.62</v>
      </c>
      <c r="L39" s="81">
        <v>23.09</v>
      </c>
    </row>
    <row r="40" spans="1:12" x14ac:dyDescent="0.2">
      <c r="A40" s="39">
        <v>105.02</v>
      </c>
      <c r="B40" s="81">
        <v>20.190000000000001</v>
      </c>
      <c r="F40" s="39">
        <v>105.02</v>
      </c>
      <c r="G40" s="81">
        <v>54.16</v>
      </c>
      <c r="K40" s="39">
        <v>105.02</v>
      </c>
      <c r="L40" s="81">
        <v>30.67</v>
      </c>
    </row>
    <row r="41" spans="1:12" x14ac:dyDescent="0.2">
      <c r="A41" s="39">
        <v>88.19</v>
      </c>
      <c r="B41" s="81">
        <v>20.45</v>
      </c>
      <c r="F41" s="39">
        <v>88.19</v>
      </c>
      <c r="G41" s="81">
        <v>43.63</v>
      </c>
      <c r="K41" s="39">
        <v>88.19</v>
      </c>
      <c r="L41" s="81">
        <v>24.11</v>
      </c>
    </row>
    <row r="42" spans="1:12" x14ac:dyDescent="0.2">
      <c r="A42" s="39">
        <v>76.52</v>
      </c>
      <c r="B42" s="81">
        <v>20.12</v>
      </c>
      <c r="F42" s="39">
        <v>76.52</v>
      </c>
      <c r="G42" s="81">
        <v>36.729999999999997</v>
      </c>
      <c r="K42" s="39">
        <v>76.52</v>
      </c>
      <c r="L42" s="81">
        <v>19.670000000000002</v>
      </c>
    </row>
    <row r="43" spans="1:12" x14ac:dyDescent="0.2">
      <c r="A43" s="39">
        <v>81.22</v>
      </c>
      <c r="B43" s="81">
        <v>21.66</v>
      </c>
      <c r="F43" s="39">
        <v>81.22</v>
      </c>
      <c r="G43" s="81">
        <v>38.75</v>
      </c>
      <c r="K43" s="39">
        <v>81.22</v>
      </c>
      <c r="L43" s="81">
        <v>20.81</v>
      </c>
    </row>
    <row r="44" spans="1:12" x14ac:dyDescent="0.2">
      <c r="A44" s="39">
        <v>67.5</v>
      </c>
      <c r="B44" s="81">
        <v>20.27</v>
      </c>
      <c r="F44" s="39">
        <v>67.5</v>
      </c>
      <c r="G44" s="81">
        <v>30.28</v>
      </c>
      <c r="K44" s="39">
        <v>67.5</v>
      </c>
      <c r="L44" s="81">
        <v>16.95</v>
      </c>
    </row>
    <row r="45" spans="1:12" x14ac:dyDescent="0.2">
      <c r="A45" s="39">
        <v>67.61</v>
      </c>
      <c r="B45" s="81">
        <v>21.93</v>
      </c>
      <c r="F45" s="39">
        <v>67.61</v>
      </c>
      <c r="G45" s="81">
        <v>29.06</v>
      </c>
      <c r="K45" s="39">
        <v>67.61</v>
      </c>
      <c r="L45" s="81">
        <v>16.62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FABD-6216-AA4B-92DD-1199B4AFCC30}">
  <dimension ref="A1:BQ41"/>
  <sheetViews>
    <sheetView zoomScale="120" zoomScaleNormal="120" workbookViewId="0">
      <selection activeCell="G39" sqref="G39"/>
    </sheetView>
  </sheetViews>
  <sheetFormatPr baseColWidth="10" defaultColWidth="21.6640625" defaultRowHeight="16" x14ac:dyDescent="0.2"/>
  <cols>
    <col min="1" max="1" width="21.6640625" style="34"/>
    <col min="2" max="2" width="21.6640625" style="36"/>
    <col min="3" max="5" width="0" style="37" hidden="1" customWidth="1"/>
    <col min="6" max="6" width="21.6640625" style="37"/>
    <col min="7" max="7" width="21.6640625" style="34"/>
    <col min="8" max="8" width="21.6640625" style="38"/>
    <col min="9" max="16384" width="21.6640625" style="34"/>
  </cols>
  <sheetData>
    <row r="1" spans="1:69" s="22" customFormat="1" x14ac:dyDescent="0.2">
      <c r="A1" s="48" t="s">
        <v>1</v>
      </c>
      <c r="B1" s="49" t="s">
        <v>38</v>
      </c>
      <c r="C1" s="50" t="s">
        <v>3</v>
      </c>
      <c r="D1" s="50" t="s">
        <v>4</v>
      </c>
      <c r="E1" s="50" t="s">
        <v>5</v>
      </c>
      <c r="F1" s="50" t="s">
        <v>7</v>
      </c>
      <c r="G1" s="50" t="s">
        <v>8</v>
      </c>
      <c r="H1" s="51" t="s">
        <v>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 x14ac:dyDescent="0.2">
      <c r="A2" s="23">
        <v>44848</v>
      </c>
      <c r="B2" s="24">
        <v>31</v>
      </c>
      <c r="C2" s="25">
        <v>16.71</v>
      </c>
      <c r="D2" s="25">
        <v>21.95</v>
      </c>
      <c r="E2" s="25">
        <v>14.55</v>
      </c>
      <c r="F2" s="25">
        <f t="shared" ref="F2:F21" si="0">SUM(C2:E2)</f>
        <v>53.209999999999994</v>
      </c>
      <c r="G2" s="25">
        <f t="shared" ref="G2:G20" si="1">F2/B2</f>
        <v>1.7164516129032257</v>
      </c>
      <c r="H2" s="33">
        <v>0.53903230000000002</v>
      </c>
      <c r="J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 x14ac:dyDescent="0.2">
      <c r="A3" s="23">
        <v>44879</v>
      </c>
      <c r="B3" s="24">
        <v>30</v>
      </c>
      <c r="C3" s="25">
        <v>16.940000000000001</v>
      </c>
      <c r="D3" s="25">
        <v>24.34</v>
      </c>
      <c r="E3" s="25">
        <v>15.71</v>
      </c>
      <c r="F3" s="25">
        <f t="shared" si="0"/>
        <v>56.99</v>
      </c>
      <c r="G3" s="25">
        <f t="shared" si="1"/>
        <v>1.8996666666666668</v>
      </c>
      <c r="H3" s="33">
        <v>0.56466669999999997</v>
      </c>
      <c r="J3" s="36" t="s">
        <v>54</v>
      </c>
      <c r="K3" s="37" t="s">
        <v>32</v>
      </c>
      <c r="L3" s="37" t="s">
        <v>36</v>
      </c>
      <c r="M3" s="37" t="s">
        <v>35</v>
      </c>
      <c r="N3" s="37" t="s">
        <v>33</v>
      </c>
      <c r="O3" s="34" t="s">
        <v>39</v>
      </c>
      <c r="P3" s="38" t="s">
        <v>34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</row>
    <row r="4" spans="1:69" x14ac:dyDescent="0.2">
      <c r="A4" s="23">
        <v>44909</v>
      </c>
      <c r="B4" s="24">
        <v>31</v>
      </c>
      <c r="C4" s="25">
        <v>17.04</v>
      </c>
      <c r="D4" s="25">
        <v>27.76</v>
      </c>
      <c r="E4" s="25">
        <v>18.03</v>
      </c>
      <c r="F4" s="25">
        <f t="shared" si="0"/>
        <v>62.83</v>
      </c>
      <c r="G4" s="25">
        <f t="shared" si="1"/>
        <v>2.0267741935483872</v>
      </c>
      <c r="H4" s="33">
        <v>0.54967739999999998</v>
      </c>
      <c r="J4" s="36" t="s">
        <v>8</v>
      </c>
      <c r="K4" s="37">
        <f>AVERAGE(Dataset51417[Cost Per Day])</f>
        <v>2.2826254661263836</v>
      </c>
      <c r="L4" s="37">
        <f>MIN(Dataset51417[Cost Per Day])</f>
        <v>1.7164516129032257</v>
      </c>
      <c r="M4" s="37">
        <f>MAX(Dataset51417[Cost Per Day])</f>
        <v>3.3877419354838709</v>
      </c>
      <c r="N4" s="37">
        <f>MEDIAN(Dataset51417[Cost Per Day])</f>
        <v>2.1176935483870967</v>
      </c>
      <c r="O4" s="39">
        <f>Statistics21[[#This Row],[Max]]-Statistics21[[#This Row],[Min]]</f>
        <v>1.6712903225806452</v>
      </c>
      <c r="P4" s="39">
        <f>-_xlfn.STDEV.S(Dataset51417[Cost Per Day])</f>
        <v>-0.41000072101173185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</row>
    <row r="5" spans="1:69" x14ac:dyDescent="0.2">
      <c r="A5" s="23">
        <v>44940</v>
      </c>
      <c r="B5" s="24">
        <v>31</v>
      </c>
      <c r="C5" s="25">
        <v>17.760000000000002</v>
      </c>
      <c r="D5" s="25">
        <v>25.94</v>
      </c>
      <c r="E5" s="25">
        <v>16.41</v>
      </c>
      <c r="F5" s="25">
        <f t="shared" si="0"/>
        <v>60.11</v>
      </c>
      <c r="G5" s="25">
        <f t="shared" si="1"/>
        <v>1.9390322580645161</v>
      </c>
      <c r="H5" s="33">
        <v>0.57290319999999995</v>
      </c>
      <c r="J5" s="38" t="s">
        <v>6</v>
      </c>
      <c r="K5" s="40">
        <f>AVERAGE(Dataset51417[Rate])</f>
        <v>0.61314660500000007</v>
      </c>
      <c r="L5" s="38">
        <f>MIN(Dataset51417[Rate])</f>
        <v>0.53903230000000002</v>
      </c>
      <c r="M5" s="38">
        <f>MAX(Dataset51417[Rate])</f>
        <v>0.70741940000000003</v>
      </c>
      <c r="N5" s="40">
        <f>MEDIAN(Dataset51417[Rate])</f>
        <v>0.58637095000000006</v>
      </c>
      <c r="O5" s="38">
        <f>Statistics21[[#This Row],[Max]]-Statistics21[[#This Row],[Min]]</f>
        <v>0.16838710000000001</v>
      </c>
      <c r="P5" s="38">
        <f>_xlfn.STDEV.S(Dataset51417[Rate])</f>
        <v>5.4909758022025038E-2</v>
      </c>
    </row>
    <row r="6" spans="1:69" x14ac:dyDescent="0.2">
      <c r="A6" s="23">
        <v>44971</v>
      </c>
      <c r="B6" s="24">
        <v>28</v>
      </c>
      <c r="C6" s="25">
        <v>17.87</v>
      </c>
      <c r="D6" s="25">
        <v>25.17</v>
      </c>
      <c r="E6" s="25">
        <v>15.51</v>
      </c>
      <c r="F6" s="25">
        <f t="shared" si="0"/>
        <v>58.550000000000004</v>
      </c>
      <c r="G6" s="25">
        <f t="shared" si="1"/>
        <v>2.0910714285714289</v>
      </c>
      <c r="H6" s="33">
        <v>0.63821430000000001</v>
      </c>
      <c r="J6"/>
    </row>
    <row r="7" spans="1:69" x14ac:dyDescent="0.2">
      <c r="A7" s="23">
        <v>44999</v>
      </c>
      <c r="B7" s="24">
        <v>31</v>
      </c>
      <c r="C7" s="25">
        <v>17.62</v>
      </c>
      <c r="D7" s="25">
        <v>28.9</v>
      </c>
      <c r="E7" s="25">
        <v>17.88</v>
      </c>
      <c r="F7" s="25">
        <f t="shared" si="0"/>
        <v>64.399999999999991</v>
      </c>
      <c r="G7" s="25">
        <f t="shared" si="1"/>
        <v>2.0774193548387094</v>
      </c>
      <c r="H7" s="33">
        <v>0.56838710000000003</v>
      </c>
      <c r="J7"/>
    </row>
    <row r="8" spans="1:69" x14ac:dyDescent="0.2">
      <c r="A8" s="23">
        <v>45030</v>
      </c>
      <c r="B8" s="24">
        <v>30</v>
      </c>
      <c r="C8" s="25">
        <v>17.39</v>
      </c>
      <c r="D8" s="25">
        <v>27.32</v>
      </c>
      <c r="E8" s="25">
        <v>16.8</v>
      </c>
      <c r="F8" s="25">
        <f t="shared" si="0"/>
        <v>61.510000000000005</v>
      </c>
      <c r="G8" s="25">
        <f t="shared" si="1"/>
        <v>2.0503333333333336</v>
      </c>
      <c r="H8" s="33">
        <v>0.57966669999999998</v>
      </c>
      <c r="J8"/>
    </row>
    <row r="9" spans="1:69" x14ac:dyDescent="0.2">
      <c r="A9" s="23">
        <v>45060</v>
      </c>
      <c r="B9" s="24">
        <v>31</v>
      </c>
      <c r="C9" s="25">
        <v>17.600000000000001</v>
      </c>
      <c r="D9" s="25">
        <v>27.28</v>
      </c>
      <c r="E9" s="25">
        <v>16.62</v>
      </c>
      <c r="F9" s="25">
        <f t="shared" si="0"/>
        <v>61.5</v>
      </c>
      <c r="G9" s="25">
        <f t="shared" si="1"/>
        <v>1.9838709677419355</v>
      </c>
      <c r="H9" s="33">
        <v>0.56774190000000002</v>
      </c>
      <c r="J9"/>
    </row>
    <row r="10" spans="1:69" x14ac:dyDescent="0.2">
      <c r="A10" s="23">
        <v>45091</v>
      </c>
      <c r="B10" s="24">
        <v>30</v>
      </c>
      <c r="C10" s="25">
        <v>17.55</v>
      </c>
      <c r="D10" s="25">
        <v>28.68</v>
      </c>
      <c r="E10" s="25">
        <v>17.88</v>
      </c>
      <c r="F10" s="25">
        <f t="shared" si="0"/>
        <v>64.11</v>
      </c>
      <c r="G10" s="25">
        <f t="shared" si="1"/>
        <v>2.137</v>
      </c>
      <c r="H10" s="33">
        <v>0.58499999999999996</v>
      </c>
      <c r="J10"/>
    </row>
    <row r="11" spans="1:69" x14ac:dyDescent="0.2">
      <c r="A11" s="23">
        <v>45121</v>
      </c>
      <c r="B11" s="24">
        <v>31</v>
      </c>
      <c r="C11" s="25">
        <v>17.8</v>
      </c>
      <c r="D11" s="25">
        <v>25.92</v>
      </c>
      <c r="E11" s="25">
        <v>16.38</v>
      </c>
      <c r="F11" s="25">
        <f t="shared" si="0"/>
        <v>60.099999999999994</v>
      </c>
      <c r="G11" s="25">
        <f t="shared" si="1"/>
        <v>1.9387096774193546</v>
      </c>
      <c r="H11" s="33">
        <v>0.57419350000000002</v>
      </c>
      <c r="J11"/>
    </row>
    <row r="12" spans="1:69" x14ac:dyDescent="0.2">
      <c r="A12" s="23">
        <v>45152</v>
      </c>
      <c r="B12" s="24">
        <v>31</v>
      </c>
      <c r="C12" s="25">
        <v>17.84</v>
      </c>
      <c r="D12" s="25">
        <v>29.19</v>
      </c>
      <c r="E12" s="25">
        <v>18.02</v>
      </c>
      <c r="F12" s="25">
        <f t="shared" si="0"/>
        <v>65.05</v>
      </c>
      <c r="G12" s="25">
        <f t="shared" si="1"/>
        <v>2.0983870967741933</v>
      </c>
      <c r="H12" s="33">
        <v>0.57548390000000005</v>
      </c>
      <c r="J12"/>
    </row>
    <row r="13" spans="1:69" x14ac:dyDescent="0.2">
      <c r="A13" s="23">
        <v>45183</v>
      </c>
      <c r="B13" s="24">
        <v>30</v>
      </c>
      <c r="C13" s="25">
        <v>18.100000000000001</v>
      </c>
      <c r="D13" s="25">
        <v>33.450000000000003</v>
      </c>
      <c r="E13" s="25">
        <v>20.54</v>
      </c>
      <c r="F13" s="25">
        <f t="shared" si="0"/>
        <v>72.09</v>
      </c>
      <c r="G13" s="25">
        <f t="shared" si="1"/>
        <v>2.403</v>
      </c>
      <c r="H13" s="33">
        <v>0.60333329999999996</v>
      </c>
      <c r="J13"/>
    </row>
    <row r="14" spans="1:69" x14ac:dyDescent="0.2">
      <c r="A14" s="23">
        <v>45213</v>
      </c>
      <c r="B14" s="24">
        <v>31</v>
      </c>
      <c r="C14" s="25">
        <v>18.22</v>
      </c>
      <c r="D14" s="25">
        <v>38.770000000000003</v>
      </c>
      <c r="E14" s="25">
        <v>23.03</v>
      </c>
      <c r="F14" s="25">
        <f t="shared" si="0"/>
        <v>80.02000000000001</v>
      </c>
      <c r="G14" s="25">
        <f t="shared" si="1"/>
        <v>2.5812903225806454</v>
      </c>
      <c r="H14" s="33">
        <v>0.58774190000000004</v>
      </c>
      <c r="J14"/>
    </row>
    <row r="15" spans="1:69" x14ac:dyDescent="0.2">
      <c r="A15" s="23">
        <v>45244</v>
      </c>
      <c r="B15" s="24">
        <v>30</v>
      </c>
      <c r="C15" s="25">
        <v>20.11</v>
      </c>
      <c r="D15" s="25">
        <v>40.42</v>
      </c>
      <c r="E15" s="25">
        <v>23.09</v>
      </c>
      <c r="F15" s="25">
        <f t="shared" si="0"/>
        <v>83.62</v>
      </c>
      <c r="G15" s="25">
        <f t="shared" si="1"/>
        <v>2.7873333333333337</v>
      </c>
      <c r="H15" s="33">
        <v>0.67033330000000002</v>
      </c>
      <c r="J15"/>
    </row>
    <row r="16" spans="1:69" x14ac:dyDescent="0.2">
      <c r="A16" s="23">
        <v>45274</v>
      </c>
      <c r="B16" s="24">
        <v>31</v>
      </c>
      <c r="C16" s="25">
        <v>20.190000000000001</v>
      </c>
      <c r="D16" s="25">
        <v>54.16</v>
      </c>
      <c r="E16" s="25">
        <v>30.67</v>
      </c>
      <c r="F16" s="25">
        <f t="shared" si="0"/>
        <v>105.02</v>
      </c>
      <c r="G16" s="25">
        <f t="shared" si="1"/>
        <v>3.3877419354838709</v>
      </c>
      <c r="H16" s="33">
        <v>0.65129029999999999</v>
      </c>
      <c r="J16"/>
    </row>
    <row r="17" spans="1:10" x14ac:dyDescent="0.2">
      <c r="A17" s="23">
        <v>45305</v>
      </c>
      <c r="B17" s="24">
        <v>31</v>
      </c>
      <c r="C17" s="25">
        <v>20.45</v>
      </c>
      <c r="D17" s="25">
        <v>43.63</v>
      </c>
      <c r="E17" s="25">
        <v>24.11</v>
      </c>
      <c r="F17" s="25">
        <f t="shared" si="0"/>
        <v>88.19</v>
      </c>
      <c r="G17" s="25">
        <f t="shared" si="1"/>
        <v>2.8448387096774193</v>
      </c>
      <c r="H17" s="33">
        <v>0.65967739999999997</v>
      </c>
      <c r="J17"/>
    </row>
    <row r="18" spans="1:10" x14ac:dyDescent="0.2">
      <c r="A18" s="23">
        <v>45336</v>
      </c>
      <c r="B18" s="24">
        <v>29</v>
      </c>
      <c r="C18" s="25">
        <v>20.12</v>
      </c>
      <c r="D18" s="25">
        <v>36.729999999999997</v>
      </c>
      <c r="E18" s="25">
        <v>19.670000000000002</v>
      </c>
      <c r="F18" s="25">
        <f t="shared" si="0"/>
        <v>76.52</v>
      </c>
      <c r="G18" s="25">
        <f t="shared" si="1"/>
        <v>2.6386206896551725</v>
      </c>
      <c r="H18" s="33">
        <v>0.69379310000000005</v>
      </c>
      <c r="J18"/>
    </row>
    <row r="19" spans="1:10" x14ac:dyDescent="0.2">
      <c r="A19" s="23">
        <v>45365</v>
      </c>
      <c r="B19" s="24">
        <v>31</v>
      </c>
      <c r="C19" s="25">
        <v>21.66</v>
      </c>
      <c r="D19" s="25">
        <v>38.75</v>
      </c>
      <c r="E19" s="25">
        <v>20.81</v>
      </c>
      <c r="F19" s="25">
        <f t="shared" si="0"/>
        <v>81.22</v>
      </c>
      <c r="G19" s="25">
        <f t="shared" si="1"/>
        <v>2.62</v>
      </c>
      <c r="H19" s="33">
        <v>0.69870969999999999</v>
      </c>
      <c r="J19"/>
    </row>
    <row r="20" spans="1:10" x14ac:dyDescent="0.2">
      <c r="A20" s="23">
        <v>45396</v>
      </c>
      <c r="B20" s="24">
        <v>30</v>
      </c>
      <c r="C20" s="25">
        <v>20.27</v>
      </c>
      <c r="D20" s="25">
        <v>30.28</v>
      </c>
      <c r="E20" s="25">
        <v>16.95</v>
      </c>
      <c r="F20" s="25">
        <f t="shared" si="0"/>
        <v>67.5</v>
      </c>
      <c r="G20" s="25">
        <f t="shared" si="1"/>
        <v>2.25</v>
      </c>
      <c r="H20" s="33">
        <v>0.67566669999999995</v>
      </c>
      <c r="J20"/>
    </row>
    <row r="21" spans="1:10" x14ac:dyDescent="0.2">
      <c r="A21" s="23">
        <v>45426</v>
      </c>
      <c r="B21" s="24">
        <v>31</v>
      </c>
      <c r="C21" s="25">
        <v>21.93</v>
      </c>
      <c r="D21" s="25">
        <v>29.06</v>
      </c>
      <c r="E21" s="25">
        <v>16.62</v>
      </c>
      <c r="F21" s="25">
        <f t="shared" si="0"/>
        <v>67.61</v>
      </c>
      <c r="G21" s="25">
        <f>F21/B21</f>
        <v>2.180967741935484</v>
      </c>
      <c r="H21" s="33">
        <v>0.70741940000000003</v>
      </c>
      <c r="J21"/>
    </row>
    <row r="22" spans="1:10" x14ac:dyDescent="0.2">
      <c r="H22" s="34"/>
    </row>
    <row r="23" spans="1:10" x14ac:dyDescent="0.2">
      <c r="H23" s="34"/>
    </row>
    <row r="24" spans="1:10" x14ac:dyDescent="0.2">
      <c r="H24" s="34"/>
    </row>
    <row r="25" spans="1:10" x14ac:dyDescent="0.2">
      <c r="E25" s="34"/>
      <c r="F25" s="34"/>
      <c r="H25" s="34"/>
    </row>
    <row r="26" spans="1:10" x14ac:dyDescent="0.2">
      <c r="E26" s="34"/>
      <c r="F26" s="34"/>
      <c r="H26" s="34"/>
    </row>
    <row r="27" spans="1:10" x14ac:dyDescent="0.2">
      <c r="C27" s="34"/>
      <c r="D27" s="34"/>
      <c r="E27" s="34"/>
      <c r="F27" s="34"/>
      <c r="H27" s="34"/>
    </row>
    <row r="28" spans="1:10" x14ac:dyDescent="0.2">
      <c r="C28" s="34"/>
      <c r="D28" s="34"/>
      <c r="E28" s="34"/>
      <c r="F28" s="34"/>
      <c r="H28" s="34"/>
    </row>
    <row r="29" spans="1:10" x14ac:dyDescent="0.2">
      <c r="C29" s="34"/>
      <c r="D29" s="34"/>
      <c r="E29" s="34"/>
      <c r="F29" s="34"/>
      <c r="H29" s="34"/>
    </row>
    <row r="30" spans="1:10" x14ac:dyDescent="0.2">
      <c r="C30" s="34"/>
      <c r="D30" s="34"/>
      <c r="E30" s="34"/>
      <c r="F30" s="34"/>
      <c r="H30" s="34"/>
    </row>
    <row r="31" spans="1:10" x14ac:dyDescent="0.2">
      <c r="C31" s="34"/>
      <c r="D31" s="34"/>
      <c r="E31" s="34"/>
      <c r="F31" s="34"/>
      <c r="H31" s="34"/>
    </row>
    <row r="32" spans="1:10" x14ac:dyDescent="0.2">
      <c r="C32" s="34"/>
      <c r="D32" s="34"/>
      <c r="E32" s="34"/>
      <c r="F32" s="34"/>
      <c r="H32" s="34"/>
    </row>
    <row r="33" spans="3:16" x14ac:dyDescent="0.2">
      <c r="C33" s="34"/>
      <c r="D33" s="34"/>
      <c r="E33" s="34"/>
      <c r="F33" s="34"/>
      <c r="G33" s="34" t="s">
        <v>9</v>
      </c>
      <c r="H33" s="34"/>
    </row>
    <row r="34" spans="3:16" x14ac:dyDescent="0.2">
      <c r="C34" s="34"/>
      <c r="D34" s="34"/>
      <c r="E34" s="34"/>
      <c r="F34" s="34"/>
      <c r="H34" s="34"/>
    </row>
    <row r="35" spans="3:16" x14ac:dyDescent="0.2">
      <c r="C35" s="34"/>
      <c r="D35" s="34"/>
      <c r="E35" s="34"/>
      <c r="F35" s="34"/>
      <c r="H35" s="34"/>
    </row>
    <row r="36" spans="3:16" x14ac:dyDescent="0.2">
      <c r="C36" s="34"/>
      <c r="D36" s="34"/>
      <c r="E36" s="34"/>
      <c r="F36" s="34"/>
      <c r="H36" s="34"/>
      <c r="P36" s="34" t="s">
        <v>9</v>
      </c>
    </row>
    <row r="37" spans="3:16" x14ac:dyDescent="0.2">
      <c r="C37" s="34"/>
      <c r="D37" s="34"/>
      <c r="E37" s="34"/>
      <c r="F37" s="34"/>
      <c r="H37" s="34"/>
    </row>
    <row r="38" spans="3:16" x14ac:dyDescent="0.2">
      <c r="C38" s="34"/>
      <c r="D38" s="34"/>
      <c r="E38" s="34"/>
      <c r="F38" s="34"/>
      <c r="H38" s="34"/>
    </row>
    <row r="39" spans="3:16" x14ac:dyDescent="0.2">
      <c r="C39" s="34"/>
      <c r="D39" s="34"/>
      <c r="E39" s="34"/>
      <c r="F39" s="34"/>
      <c r="G39" s="34" t="s">
        <v>9</v>
      </c>
      <c r="H39" s="34"/>
    </row>
    <row r="40" spans="3:16" x14ac:dyDescent="0.2">
      <c r="C40" s="34"/>
      <c r="D40" s="34"/>
      <c r="E40" s="34"/>
      <c r="F40" s="34"/>
      <c r="H40" s="34"/>
    </row>
    <row r="41" spans="3:16" x14ac:dyDescent="0.2">
      <c r="C41" s="34"/>
      <c r="D41" s="34"/>
      <c r="E41" s="34"/>
      <c r="F41" s="34"/>
      <c r="H41" s="34"/>
    </row>
  </sheetData>
  <conditionalFormatting sqref="F2:F21">
    <cfRule type="colorScale" priority="1">
      <colorScale>
        <cfvo type="min"/>
        <cfvo type="max"/>
        <color theme="9" tint="0.79998168889431442"/>
        <color rgb="FFFB9E96"/>
      </colorScale>
    </cfRule>
  </conditionalFormatting>
  <conditionalFormatting sqref="G2:G21">
    <cfRule type="colorScale" priority="2">
      <colorScale>
        <cfvo type="min"/>
        <cfvo type="max"/>
        <color theme="9" tint="0.79998168889431442"/>
        <color rgb="FFFB9E96"/>
      </colorScale>
    </cfRule>
  </conditionalFormatting>
  <conditionalFormatting sqref="H1:H21">
    <cfRule type="colorScale" priority="3">
      <colorScale>
        <cfvo type="min"/>
        <cfvo type="max"/>
        <color theme="9" tint="0.79998168889431442"/>
        <color rgb="FFFB9E96"/>
      </colorScale>
    </cfRule>
  </conditionalFormatting>
  <pageMargins left="0.7" right="0.7" top="0.75" bottom="0.75" header="0.3" footer="0.3"/>
  <ignoredErrors>
    <ignoredError sqref="F2:F21" formulaRange="1"/>
  </ignoredErrors>
  <drawing r:id="rId1"/>
  <legacy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72-7705-0344-989B-9A2ACE54AC7A}">
  <dimension ref="A1:BN66"/>
  <sheetViews>
    <sheetView zoomScale="150" zoomScaleNormal="150" workbookViewId="0">
      <selection activeCell="I27" sqref="I27"/>
    </sheetView>
  </sheetViews>
  <sheetFormatPr baseColWidth="10" defaultColWidth="20.33203125" defaultRowHeight="16" x14ac:dyDescent="0.2"/>
  <cols>
    <col min="1" max="1" width="20.33203125" style="34"/>
    <col min="2" max="2" width="20.33203125" style="36"/>
    <col min="3" max="6" width="20.33203125" style="37"/>
    <col min="7" max="7" width="20.33203125" style="34"/>
    <col min="8" max="8" width="20.33203125" style="38"/>
    <col min="9" max="16384" width="20.33203125" style="34"/>
  </cols>
  <sheetData>
    <row r="1" spans="1:66" s="22" customFormat="1" x14ac:dyDescent="0.2">
      <c r="A1" s="48" t="s">
        <v>1</v>
      </c>
      <c r="B1" s="50" t="s">
        <v>7</v>
      </c>
      <c r="C1" s="50" t="s">
        <v>3</v>
      </c>
      <c r="D1" s="50" t="s">
        <v>4</v>
      </c>
      <c r="E1" s="50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 spans="1:66" x14ac:dyDescent="0.2">
      <c r="A2" s="23">
        <v>44848</v>
      </c>
      <c r="B2" s="25">
        <f>SUM(Dataset5[[#This Row],[Trash Charges]:[Sewer Charges]])</f>
        <v>53.209999999999994</v>
      </c>
      <c r="C2" s="25">
        <v>16.71</v>
      </c>
      <c r="D2" s="25">
        <v>21.95</v>
      </c>
      <c r="E2" s="25">
        <v>14.55</v>
      </c>
      <c r="F2" s="34"/>
      <c r="G2"/>
      <c r="H2" s="34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 spans="1:66" x14ac:dyDescent="0.2">
      <c r="A3" s="23">
        <v>44879</v>
      </c>
      <c r="B3" s="25">
        <f>SUM(Dataset5[[#This Row],[Trash Charges]:[Sewer Charges]])</f>
        <v>56.99</v>
      </c>
      <c r="C3" s="25">
        <v>16.940000000000001</v>
      </c>
      <c r="D3" s="25">
        <v>24.34</v>
      </c>
      <c r="E3" s="25">
        <v>15.71</v>
      </c>
      <c r="F3" s="34"/>
      <c r="G3"/>
      <c r="H3" s="3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6" x14ac:dyDescent="0.2">
      <c r="A4" s="23">
        <v>44909</v>
      </c>
      <c r="B4" s="25">
        <f>SUM(Dataset5[[#This Row],[Trash Charges]:[Sewer Charges]])</f>
        <v>62.83</v>
      </c>
      <c r="C4" s="25">
        <v>17.04</v>
      </c>
      <c r="D4" s="25">
        <v>27.76</v>
      </c>
      <c r="E4" s="25">
        <v>18.03</v>
      </c>
      <c r="F4" s="34"/>
      <c r="G4"/>
      <c r="H4" s="3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6" x14ac:dyDescent="0.2">
      <c r="A5" s="23">
        <v>44940</v>
      </c>
      <c r="B5" s="25">
        <f>SUM(Dataset5[[#This Row],[Trash Charges]:[Sewer Charges]])</f>
        <v>60.11</v>
      </c>
      <c r="C5" s="25">
        <v>17.760000000000002</v>
      </c>
      <c r="D5" s="25">
        <v>25.94</v>
      </c>
      <c r="E5" s="25">
        <v>16.41</v>
      </c>
      <c r="F5" s="34"/>
      <c r="G5"/>
      <c r="H5" s="34"/>
    </row>
    <row r="6" spans="1:66" x14ac:dyDescent="0.2">
      <c r="A6" s="23">
        <v>44971</v>
      </c>
      <c r="B6" s="25">
        <f>SUM(Dataset5[[#This Row],[Trash Charges]:[Sewer Charges]])</f>
        <v>58.550000000000004</v>
      </c>
      <c r="C6" s="25">
        <v>17.87</v>
      </c>
      <c r="D6" s="25">
        <v>25.17</v>
      </c>
      <c r="E6" s="25">
        <v>15.51</v>
      </c>
      <c r="F6" s="34"/>
      <c r="G6"/>
      <c r="H6" s="34"/>
    </row>
    <row r="7" spans="1:66" x14ac:dyDescent="0.2">
      <c r="A7" s="23">
        <v>44999</v>
      </c>
      <c r="B7" s="25">
        <f>SUM(Dataset5[[#This Row],[Trash Charges]:[Sewer Charges]])</f>
        <v>64.399999999999991</v>
      </c>
      <c r="C7" s="25">
        <v>17.62</v>
      </c>
      <c r="D7" s="25">
        <v>28.9</v>
      </c>
      <c r="E7" s="25">
        <v>17.88</v>
      </c>
      <c r="F7" s="34"/>
      <c r="G7"/>
      <c r="H7" s="34"/>
    </row>
    <row r="8" spans="1:66" x14ac:dyDescent="0.2">
      <c r="A8" s="23">
        <v>45030</v>
      </c>
      <c r="B8" s="25">
        <f>SUM(Dataset5[[#This Row],[Trash Charges]:[Sewer Charges]])</f>
        <v>61.510000000000005</v>
      </c>
      <c r="C8" s="25">
        <v>17.39</v>
      </c>
      <c r="D8" s="25">
        <v>27.32</v>
      </c>
      <c r="E8" s="25">
        <v>16.8</v>
      </c>
      <c r="F8" s="34"/>
      <c r="G8"/>
      <c r="H8" s="34"/>
    </row>
    <row r="9" spans="1:66" x14ac:dyDescent="0.2">
      <c r="A9" s="23">
        <v>45060</v>
      </c>
      <c r="B9" s="25">
        <f>SUM(Dataset5[[#This Row],[Trash Charges]:[Sewer Charges]])</f>
        <v>61.5</v>
      </c>
      <c r="C9" s="25">
        <v>17.600000000000001</v>
      </c>
      <c r="D9" s="25">
        <v>27.28</v>
      </c>
      <c r="E9" s="25">
        <v>16.62</v>
      </c>
      <c r="F9" s="34"/>
      <c r="G9"/>
      <c r="H9" s="34"/>
    </row>
    <row r="10" spans="1:66" x14ac:dyDescent="0.2">
      <c r="A10" s="23">
        <v>45091</v>
      </c>
      <c r="B10" s="25">
        <f>SUM(Dataset5[[#This Row],[Trash Charges]:[Sewer Charges]])</f>
        <v>64.11</v>
      </c>
      <c r="C10" s="25">
        <v>17.55</v>
      </c>
      <c r="D10" s="25">
        <v>28.68</v>
      </c>
      <c r="E10" s="25">
        <v>17.88</v>
      </c>
      <c r="F10" s="34"/>
      <c r="G10"/>
      <c r="H10" s="34"/>
    </row>
    <row r="11" spans="1:66" x14ac:dyDescent="0.2">
      <c r="A11" s="23">
        <v>45121</v>
      </c>
      <c r="B11" s="25">
        <f>SUM(Dataset5[[#This Row],[Trash Charges]:[Sewer Charges]])</f>
        <v>60.099999999999994</v>
      </c>
      <c r="C11" s="25">
        <v>17.8</v>
      </c>
      <c r="D11" s="25">
        <v>25.92</v>
      </c>
      <c r="E11" s="25">
        <v>16.38</v>
      </c>
      <c r="F11" s="34"/>
      <c r="G11"/>
      <c r="H11" s="34"/>
    </row>
    <row r="12" spans="1:66" x14ac:dyDescent="0.2">
      <c r="A12" s="23">
        <v>45152</v>
      </c>
      <c r="B12" s="25">
        <f>SUM(Dataset5[[#This Row],[Trash Charges]:[Sewer Charges]])</f>
        <v>65.05</v>
      </c>
      <c r="C12" s="25">
        <v>17.84</v>
      </c>
      <c r="D12" s="25">
        <v>29.19</v>
      </c>
      <c r="E12" s="25">
        <v>18.02</v>
      </c>
      <c r="F12" s="34"/>
      <c r="G12"/>
      <c r="H12" s="34"/>
    </row>
    <row r="13" spans="1:66" x14ac:dyDescent="0.2">
      <c r="A13" s="23">
        <v>45183</v>
      </c>
      <c r="B13" s="25">
        <f>SUM(Dataset5[[#This Row],[Trash Charges]:[Sewer Charges]])</f>
        <v>72.09</v>
      </c>
      <c r="C13" s="25">
        <v>18.100000000000001</v>
      </c>
      <c r="D13" s="25">
        <v>33.450000000000003</v>
      </c>
      <c r="E13" s="25">
        <v>20.54</v>
      </c>
      <c r="F13" s="34"/>
      <c r="G13"/>
      <c r="H13" s="34"/>
    </row>
    <row r="14" spans="1:66" x14ac:dyDescent="0.2">
      <c r="A14" s="23">
        <v>45213</v>
      </c>
      <c r="B14" s="25">
        <f>SUM(Dataset5[[#This Row],[Trash Charges]:[Sewer Charges]])</f>
        <v>80.02000000000001</v>
      </c>
      <c r="C14" s="25">
        <v>18.22</v>
      </c>
      <c r="D14" s="25">
        <v>38.770000000000003</v>
      </c>
      <c r="E14" s="25">
        <v>23.03</v>
      </c>
      <c r="F14" s="34"/>
      <c r="G14"/>
      <c r="H14" s="34"/>
    </row>
    <row r="15" spans="1:66" x14ac:dyDescent="0.2">
      <c r="A15" s="23">
        <v>45244</v>
      </c>
      <c r="B15" s="25">
        <f>SUM(Dataset5[[#This Row],[Trash Charges]:[Sewer Charges]])</f>
        <v>83.62</v>
      </c>
      <c r="C15" s="25">
        <v>20.11</v>
      </c>
      <c r="D15" s="25">
        <v>40.42</v>
      </c>
      <c r="E15" s="25">
        <v>23.09</v>
      </c>
      <c r="F15" s="34"/>
      <c r="G15"/>
      <c r="H15" s="34"/>
    </row>
    <row r="16" spans="1:66" x14ac:dyDescent="0.2">
      <c r="A16" s="23">
        <v>45274</v>
      </c>
      <c r="B16" s="25">
        <f>SUM(Dataset5[[#This Row],[Trash Charges]:[Sewer Charges]])</f>
        <v>105.02</v>
      </c>
      <c r="C16" s="25">
        <v>20.190000000000001</v>
      </c>
      <c r="D16" s="25">
        <v>54.16</v>
      </c>
      <c r="E16" s="25">
        <v>30.67</v>
      </c>
      <c r="F16" s="34"/>
      <c r="G16"/>
      <c r="H16" s="34"/>
    </row>
    <row r="17" spans="1:9" x14ac:dyDescent="0.2">
      <c r="A17" s="23">
        <v>45305</v>
      </c>
      <c r="B17" s="25">
        <f>SUM(Dataset5[[#This Row],[Trash Charges]:[Sewer Charges]])</f>
        <v>88.19</v>
      </c>
      <c r="C17" s="25">
        <v>20.45</v>
      </c>
      <c r="D17" s="25">
        <v>43.63</v>
      </c>
      <c r="E17" s="25">
        <v>24.11</v>
      </c>
      <c r="F17" s="34"/>
      <c r="G17"/>
      <c r="H17" s="34"/>
    </row>
    <row r="18" spans="1:9" x14ac:dyDescent="0.2">
      <c r="A18" s="23">
        <v>45336</v>
      </c>
      <c r="B18" s="25">
        <f>SUM(Dataset5[[#This Row],[Trash Charges]:[Sewer Charges]])</f>
        <v>76.52</v>
      </c>
      <c r="C18" s="25">
        <v>20.12</v>
      </c>
      <c r="D18" s="25">
        <v>36.729999999999997</v>
      </c>
      <c r="E18" s="25">
        <v>19.670000000000002</v>
      </c>
      <c r="F18" s="34"/>
      <c r="G18"/>
      <c r="H18" s="34"/>
    </row>
    <row r="19" spans="1:9" x14ac:dyDescent="0.2">
      <c r="A19" s="23">
        <v>45365</v>
      </c>
      <c r="B19" s="25">
        <f>SUM(Dataset5[[#This Row],[Trash Charges]:[Sewer Charges]])</f>
        <v>81.22</v>
      </c>
      <c r="C19" s="25">
        <v>21.66</v>
      </c>
      <c r="D19" s="25">
        <v>38.75</v>
      </c>
      <c r="E19" s="25">
        <v>20.81</v>
      </c>
      <c r="F19" s="34"/>
      <c r="G19"/>
      <c r="H19" s="34"/>
    </row>
    <row r="20" spans="1:9" x14ac:dyDescent="0.2">
      <c r="A20" s="23">
        <v>45396</v>
      </c>
      <c r="B20" s="25">
        <f>SUM(Dataset5[[#This Row],[Trash Charges]:[Sewer Charges]])</f>
        <v>67.5</v>
      </c>
      <c r="C20" s="25">
        <v>20.27</v>
      </c>
      <c r="D20" s="25">
        <v>30.28</v>
      </c>
      <c r="E20" s="25">
        <v>16.95</v>
      </c>
      <c r="F20" s="34"/>
      <c r="G20"/>
      <c r="H20" s="34"/>
    </row>
    <row r="21" spans="1:9" x14ac:dyDescent="0.2">
      <c r="A21" s="62">
        <v>45426</v>
      </c>
      <c r="B21" s="25">
        <f>SUM(Dataset5[[#This Row],[Trash Charges]:[Sewer Charges]])</f>
        <v>67.61</v>
      </c>
      <c r="C21" s="25">
        <v>21.93</v>
      </c>
      <c r="D21" s="25">
        <v>29.06</v>
      </c>
      <c r="E21" s="25">
        <v>16.62</v>
      </c>
      <c r="F21"/>
      <c r="G21"/>
      <c r="H21" s="34"/>
      <c r="I21"/>
    </row>
    <row r="27" spans="1:9" x14ac:dyDescent="0.2">
      <c r="H27" s="34"/>
    </row>
    <row r="28" spans="1:9" x14ac:dyDescent="0.2">
      <c r="B28" s="34" t="s">
        <v>41</v>
      </c>
      <c r="C28" s="39" t="s">
        <v>40</v>
      </c>
      <c r="E28" s="34" t="s">
        <v>41</v>
      </c>
      <c r="F28" s="35" t="s">
        <v>65</v>
      </c>
      <c r="G28" s="37"/>
      <c r="H28" s="34"/>
    </row>
    <row r="29" spans="1:9" x14ac:dyDescent="0.2">
      <c r="B29" s="34" t="s">
        <v>43</v>
      </c>
      <c r="C29" s="37">
        <f>SUM(Dataset5[Trash Charges])</f>
        <v>373.17</v>
      </c>
      <c r="E29" s="34" t="s">
        <v>43</v>
      </c>
      <c r="F29" s="37">
        <f>C21</f>
        <v>21.93</v>
      </c>
      <c r="G29" s="37"/>
      <c r="H29" s="34"/>
    </row>
    <row r="30" spans="1:9" x14ac:dyDescent="0.2">
      <c r="B30" s="34" t="s">
        <v>42</v>
      </c>
      <c r="C30" s="37">
        <f>SUM(Dataset5[Water Charges])</f>
        <v>637.69999999999993</v>
      </c>
      <c r="E30" s="34" t="s">
        <v>42</v>
      </c>
      <c r="F30" s="37">
        <f>D21</f>
        <v>29.06</v>
      </c>
      <c r="G30" s="37"/>
      <c r="H30" s="34"/>
    </row>
    <row r="31" spans="1:9" x14ac:dyDescent="0.2">
      <c r="B31" s="34" t="s">
        <v>44</v>
      </c>
      <c r="C31" s="37">
        <f>SUM(Dataset5[Sewer Charges])</f>
        <v>379.28000000000003</v>
      </c>
      <c r="E31" s="34" t="s">
        <v>44</v>
      </c>
      <c r="F31" s="37">
        <f>E21</f>
        <v>16.62</v>
      </c>
      <c r="G31" s="37"/>
      <c r="H31" s="34"/>
    </row>
    <row r="32" spans="1:9" x14ac:dyDescent="0.2">
      <c r="B32" s="34" t="s">
        <v>31</v>
      </c>
      <c r="C32" s="39">
        <f>SUBTOTAL(109,TotalBreakdown10[Sum])</f>
        <v>1390.1499999999999</v>
      </c>
      <c r="E32" s="34" t="s">
        <v>31</v>
      </c>
      <c r="F32" s="39">
        <f>SUM(AprilBreakdown11[5/14/24])</f>
        <v>67.61</v>
      </c>
      <c r="G32" s="37"/>
      <c r="H32" s="34"/>
    </row>
    <row r="33" spans="2:9" x14ac:dyDescent="0.2">
      <c r="B33" s="34"/>
      <c r="C33" s="36"/>
      <c r="D33"/>
      <c r="E33"/>
      <c r="F33"/>
      <c r="H33" s="34"/>
    </row>
    <row r="34" spans="2:9" x14ac:dyDescent="0.2">
      <c r="B34" s="34"/>
      <c r="C34" s="36"/>
      <c r="D34"/>
      <c r="E34"/>
      <c r="F34"/>
      <c r="H34" s="34"/>
    </row>
    <row r="35" spans="2:9" x14ac:dyDescent="0.2">
      <c r="B35" s="34"/>
      <c r="C35" s="36"/>
      <c r="D35"/>
      <c r="E35"/>
      <c r="F35"/>
      <c r="H35" s="34"/>
    </row>
    <row r="36" spans="2:9" x14ac:dyDescent="0.2">
      <c r="B36" s="34"/>
      <c r="C36" s="36"/>
      <c r="D36"/>
      <c r="E36"/>
      <c r="F36"/>
      <c r="H36" s="34"/>
    </row>
    <row r="37" spans="2:9" x14ac:dyDescent="0.2">
      <c r="B37" s="34"/>
      <c r="C37" s="36"/>
      <c r="D37"/>
      <c r="E37"/>
      <c r="F37"/>
      <c r="H37" s="34"/>
      <c r="I37" s="34" t="s">
        <v>9</v>
      </c>
    </row>
    <row r="38" spans="2:9" x14ac:dyDescent="0.2">
      <c r="B38" s="34"/>
      <c r="C38" s="36"/>
      <c r="D38"/>
      <c r="E38"/>
      <c r="F38"/>
      <c r="H38" s="34"/>
    </row>
    <row r="39" spans="2:9" x14ac:dyDescent="0.2">
      <c r="B39" s="34"/>
      <c r="C39" s="36"/>
      <c r="D39"/>
      <c r="E39"/>
      <c r="F39"/>
      <c r="H39" s="34"/>
    </row>
    <row r="40" spans="2:9" x14ac:dyDescent="0.2">
      <c r="B40" s="34"/>
      <c r="C40" s="36"/>
      <c r="D40"/>
      <c r="E40"/>
      <c r="F40"/>
      <c r="H40" s="34"/>
    </row>
    <row r="41" spans="2:9" x14ac:dyDescent="0.2">
      <c r="B41" s="34"/>
      <c r="C41" s="36"/>
      <c r="D41"/>
      <c r="E41"/>
      <c r="F41"/>
      <c r="H41" s="34"/>
    </row>
    <row r="42" spans="2:9" x14ac:dyDescent="0.2">
      <c r="B42" s="34"/>
      <c r="C42" s="36"/>
      <c r="D42"/>
      <c r="E42"/>
      <c r="F42"/>
      <c r="H42" s="34"/>
    </row>
    <row r="43" spans="2:9" x14ac:dyDescent="0.2">
      <c r="B43" s="34"/>
      <c r="C43" s="36"/>
      <c r="D43"/>
      <c r="E43"/>
      <c r="F43"/>
      <c r="H43" s="34" t="s">
        <v>9</v>
      </c>
    </row>
    <row r="44" spans="2:9" x14ac:dyDescent="0.2">
      <c r="B44" s="34"/>
      <c r="C44" s="36"/>
      <c r="D44"/>
      <c r="E44"/>
      <c r="F44"/>
      <c r="H44" s="34"/>
    </row>
    <row r="45" spans="2:9" x14ac:dyDescent="0.2">
      <c r="B45" s="34"/>
      <c r="C45" s="36"/>
      <c r="D45"/>
      <c r="E45"/>
      <c r="F45"/>
      <c r="H45" s="34"/>
    </row>
    <row r="46" spans="2:9" x14ac:dyDescent="0.2">
      <c r="B46" s="34"/>
      <c r="C46" s="36"/>
      <c r="D46"/>
      <c r="E46"/>
      <c r="F46"/>
      <c r="H46" s="34"/>
    </row>
    <row r="47" spans="2:9" x14ac:dyDescent="0.2">
      <c r="B47" s="34"/>
      <c r="C47" s="36"/>
      <c r="D47" s="34"/>
      <c r="E47" s="34"/>
      <c r="F47" s="34"/>
      <c r="H47" s="34"/>
    </row>
    <row r="48" spans="2:9" x14ac:dyDescent="0.2">
      <c r="B48" s="34"/>
      <c r="C48" s="36"/>
      <c r="G48" s="37"/>
      <c r="H48" s="34"/>
    </row>
    <row r="49" spans="2:8" x14ac:dyDescent="0.2">
      <c r="B49" s="34"/>
      <c r="C49" s="36"/>
      <c r="F49" s="34"/>
      <c r="H49" s="34"/>
    </row>
    <row r="50" spans="2:8" x14ac:dyDescent="0.2">
      <c r="B50" s="34"/>
      <c r="C50" s="36"/>
      <c r="F50" s="34"/>
      <c r="H50" s="34"/>
    </row>
    <row r="51" spans="2:8" x14ac:dyDescent="0.2">
      <c r="B51" s="34"/>
      <c r="C51" s="34"/>
      <c r="F51" s="34"/>
      <c r="H51" s="34"/>
    </row>
    <row r="52" spans="2:8" x14ac:dyDescent="0.2">
      <c r="B52" s="34"/>
      <c r="C52" s="34"/>
      <c r="F52" s="34"/>
      <c r="H52" s="34"/>
    </row>
    <row r="53" spans="2:8" x14ac:dyDescent="0.2">
      <c r="B53" s="34"/>
      <c r="C53" s="36"/>
      <c r="F53" s="34"/>
      <c r="H53" s="34"/>
    </row>
    <row r="54" spans="2:8" x14ac:dyDescent="0.2">
      <c r="C54" s="34"/>
      <c r="D54" s="34"/>
      <c r="E54" s="34"/>
      <c r="F54" s="34"/>
      <c r="H54" s="34"/>
    </row>
    <row r="55" spans="2:8" x14ac:dyDescent="0.2">
      <c r="C55" s="34"/>
      <c r="D55" s="34"/>
      <c r="E55" s="34"/>
      <c r="F55" s="34"/>
      <c r="H55" s="34"/>
    </row>
    <row r="56" spans="2:8" x14ac:dyDescent="0.2">
      <c r="C56" s="34"/>
      <c r="D56" s="34"/>
      <c r="E56" s="34"/>
      <c r="F56" s="34"/>
      <c r="H56" s="34"/>
    </row>
    <row r="57" spans="2:8" x14ac:dyDescent="0.2">
      <c r="C57" s="34"/>
      <c r="D57" s="34"/>
      <c r="E57" s="34"/>
      <c r="F57" s="34"/>
      <c r="H57" s="34"/>
    </row>
    <row r="58" spans="2:8" x14ac:dyDescent="0.2">
      <c r="C58" s="34"/>
      <c r="D58" s="34"/>
      <c r="E58" s="34"/>
      <c r="F58" s="34"/>
      <c r="H58" s="34"/>
    </row>
    <row r="59" spans="2:8" x14ac:dyDescent="0.2">
      <c r="C59" s="34"/>
      <c r="D59" s="34"/>
      <c r="E59" s="34"/>
      <c r="F59" s="34"/>
      <c r="H59" s="34"/>
    </row>
    <row r="60" spans="2:8" x14ac:dyDescent="0.2">
      <c r="C60" s="34"/>
      <c r="D60" s="34"/>
      <c r="E60" s="34"/>
      <c r="F60" s="34"/>
      <c r="H60" s="34"/>
    </row>
    <row r="61" spans="2:8" x14ac:dyDescent="0.2">
      <c r="C61" s="34"/>
      <c r="D61" s="34"/>
      <c r="E61" s="34"/>
      <c r="F61" s="34"/>
      <c r="H61" s="34"/>
    </row>
    <row r="62" spans="2:8" x14ac:dyDescent="0.2">
      <c r="C62" s="34"/>
      <c r="D62" s="34"/>
      <c r="E62" s="34"/>
      <c r="F62" s="34"/>
      <c r="H62" s="34"/>
    </row>
    <row r="63" spans="2:8" x14ac:dyDescent="0.2">
      <c r="C63" s="34"/>
      <c r="D63" s="34"/>
      <c r="E63" s="34"/>
      <c r="F63" s="34"/>
      <c r="H63" s="34"/>
    </row>
    <row r="64" spans="2:8" x14ac:dyDescent="0.2">
      <c r="C64" s="34"/>
      <c r="D64" s="34"/>
      <c r="E64" s="34"/>
      <c r="F64" s="34"/>
      <c r="H64" s="34"/>
    </row>
    <row r="65" spans="3:8" x14ac:dyDescent="0.2">
      <c r="C65" s="34"/>
      <c r="D65" s="34"/>
      <c r="E65" s="34"/>
      <c r="F65" s="34"/>
      <c r="H65" s="34"/>
    </row>
    <row r="66" spans="3:8" x14ac:dyDescent="0.2">
      <c r="C66" s="34"/>
      <c r="D66" s="34"/>
      <c r="E66" s="34"/>
      <c r="F66" s="34"/>
      <c r="H66" s="34"/>
    </row>
  </sheetData>
  <phoneticPr fontId="12" type="noConversion"/>
  <dataValidations count="1">
    <dataValidation type="list" allowBlank="1" showInputMessage="1" showErrorMessage="1" sqref="F28" xr:uid="{1B487B0D-AB5F-494D-9390-45A303AA1145}">
      <formula1>$A$2:$A$21</formula1>
    </dataValidation>
  </dataValidations>
  <pageMargins left="0.7" right="0.7" top="0.75" bottom="0.75" header="0.3" footer="0.3"/>
  <ignoredErrors>
    <ignoredError sqref="F28" twoDigitTextYear="1"/>
  </ignoredErrors>
  <drawing r:id="rId1"/>
  <legacyDrawing r:id="rId2"/>
  <tableParts count="3"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2D2E-2143-0D42-A54B-33F8C6831CC3}">
  <dimension ref="A1:BI37"/>
  <sheetViews>
    <sheetView zoomScale="120" zoomScaleNormal="120" workbookViewId="0">
      <selection activeCell="J51" sqref="J51"/>
    </sheetView>
  </sheetViews>
  <sheetFormatPr baseColWidth="10" defaultColWidth="21.5" defaultRowHeight="16" x14ac:dyDescent="0.2"/>
  <cols>
    <col min="1" max="1" width="21.5" style="34"/>
    <col min="2" max="2" width="21.5" style="36"/>
    <col min="3" max="6" width="21.5" style="37"/>
    <col min="7" max="7" width="21.5" style="34"/>
    <col min="8" max="8" width="21.5" style="38"/>
    <col min="9" max="16384" width="21.5" style="34"/>
  </cols>
  <sheetData>
    <row r="1" spans="1:61" s="22" customFormat="1" x14ac:dyDescent="0.2">
      <c r="A1" s="48" t="s">
        <v>1</v>
      </c>
      <c r="B1" s="49" t="s">
        <v>38</v>
      </c>
      <c r="C1" s="50" t="s">
        <v>3</v>
      </c>
      <c r="D1" s="50" t="s">
        <v>4</v>
      </c>
      <c r="E1" s="50" t="s">
        <v>5</v>
      </c>
      <c r="F1" s="50" t="s">
        <v>7</v>
      </c>
      <c r="G1" s="50" t="s">
        <v>8</v>
      </c>
      <c r="H1" s="51" t="s">
        <v>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x14ac:dyDescent="0.2">
      <c r="A2" s="68">
        <v>44848</v>
      </c>
      <c r="B2" s="70">
        <v>31</v>
      </c>
      <c r="C2" s="67">
        <v>16.71</v>
      </c>
      <c r="D2" s="67">
        <v>21.95</v>
      </c>
      <c r="E2" s="67">
        <v>14.55</v>
      </c>
      <c r="F2" s="67">
        <f t="shared" ref="F2:F21" si="0">SUM(C2:E2)</f>
        <v>53.209999999999994</v>
      </c>
      <c r="G2" s="67">
        <f t="shared" ref="G2:G20" si="1">F2/B2</f>
        <v>1.7164516129032257</v>
      </c>
      <c r="H2" s="71">
        <v>0.53903230000000002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x14ac:dyDescent="0.2">
      <c r="A3" s="23">
        <v>44879</v>
      </c>
      <c r="B3" s="24">
        <v>30</v>
      </c>
      <c r="C3" s="25">
        <v>16.940000000000001</v>
      </c>
      <c r="D3" s="25">
        <v>24.34</v>
      </c>
      <c r="E3" s="25">
        <v>15.71</v>
      </c>
      <c r="F3" s="25">
        <f t="shared" si="0"/>
        <v>56.99</v>
      </c>
      <c r="G3" s="25">
        <f t="shared" si="1"/>
        <v>1.8996666666666668</v>
      </c>
      <c r="H3" s="33">
        <v>0.56466669999999997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61" x14ac:dyDescent="0.2">
      <c r="A4" s="23">
        <v>44909</v>
      </c>
      <c r="B4" s="24">
        <v>31</v>
      </c>
      <c r="C4" s="25">
        <v>17.04</v>
      </c>
      <c r="D4" s="25">
        <v>27.76</v>
      </c>
      <c r="E4" s="25">
        <v>18.03</v>
      </c>
      <c r="F4" s="25">
        <f t="shared" si="0"/>
        <v>62.83</v>
      </c>
      <c r="G4" s="25">
        <f t="shared" si="1"/>
        <v>2.0267741935483872</v>
      </c>
      <c r="H4" s="33">
        <v>0.54967739999999998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61" x14ac:dyDescent="0.2">
      <c r="A5" s="23">
        <v>44940</v>
      </c>
      <c r="B5" s="24">
        <v>31</v>
      </c>
      <c r="C5" s="25">
        <v>17.760000000000002</v>
      </c>
      <c r="D5" s="25">
        <v>25.94</v>
      </c>
      <c r="E5" s="25">
        <v>16.41</v>
      </c>
      <c r="F5" s="25">
        <f t="shared" si="0"/>
        <v>60.11</v>
      </c>
      <c r="G5" s="25">
        <f t="shared" si="1"/>
        <v>1.9390322580645161</v>
      </c>
      <c r="H5" s="33">
        <v>0.57290319999999995</v>
      </c>
    </row>
    <row r="6" spans="1:61" x14ac:dyDescent="0.2">
      <c r="A6" s="23">
        <v>44971</v>
      </c>
      <c r="B6" s="24">
        <v>28</v>
      </c>
      <c r="C6" s="25">
        <v>17.87</v>
      </c>
      <c r="D6" s="25">
        <v>25.17</v>
      </c>
      <c r="E6" s="25">
        <v>15.51</v>
      </c>
      <c r="F6" s="25">
        <f t="shared" si="0"/>
        <v>58.550000000000004</v>
      </c>
      <c r="G6" s="25">
        <f t="shared" si="1"/>
        <v>2.0910714285714289</v>
      </c>
      <c r="H6" s="33">
        <v>0.63821430000000001</v>
      </c>
    </row>
    <row r="7" spans="1:61" x14ac:dyDescent="0.2">
      <c r="A7" s="23">
        <v>44999</v>
      </c>
      <c r="B7" s="24">
        <v>31</v>
      </c>
      <c r="C7" s="25">
        <v>17.62</v>
      </c>
      <c r="D7" s="25">
        <v>28.9</v>
      </c>
      <c r="E7" s="25">
        <v>17.88</v>
      </c>
      <c r="F7" s="25">
        <f t="shared" si="0"/>
        <v>64.399999999999991</v>
      </c>
      <c r="G7" s="25">
        <f t="shared" si="1"/>
        <v>2.0774193548387094</v>
      </c>
      <c r="H7" s="33">
        <v>0.56838710000000003</v>
      </c>
    </row>
    <row r="8" spans="1:61" x14ac:dyDescent="0.2">
      <c r="A8" s="23">
        <v>45030</v>
      </c>
      <c r="B8" s="24">
        <v>30</v>
      </c>
      <c r="C8" s="25">
        <v>17.39</v>
      </c>
      <c r="D8" s="25">
        <v>27.32</v>
      </c>
      <c r="E8" s="25">
        <v>16.8</v>
      </c>
      <c r="F8" s="25">
        <f t="shared" si="0"/>
        <v>61.510000000000005</v>
      </c>
      <c r="G8" s="25">
        <f t="shared" si="1"/>
        <v>2.0503333333333336</v>
      </c>
      <c r="H8" s="33">
        <v>0.57966669999999998</v>
      </c>
    </row>
    <row r="9" spans="1:61" x14ac:dyDescent="0.2">
      <c r="A9" s="23">
        <v>45060</v>
      </c>
      <c r="B9" s="24">
        <v>31</v>
      </c>
      <c r="C9" s="25">
        <v>17.600000000000001</v>
      </c>
      <c r="D9" s="25">
        <v>27.28</v>
      </c>
      <c r="E9" s="25">
        <v>16.62</v>
      </c>
      <c r="F9" s="25">
        <f t="shared" si="0"/>
        <v>61.5</v>
      </c>
      <c r="G9" s="25">
        <f t="shared" si="1"/>
        <v>1.9838709677419355</v>
      </c>
      <c r="H9" s="33">
        <v>0.56774190000000002</v>
      </c>
    </row>
    <row r="10" spans="1:61" x14ac:dyDescent="0.2">
      <c r="A10" s="23">
        <v>45091</v>
      </c>
      <c r="B10" s="24">
        <v>30</v>
      </c>
      <c r="C10" s="25">
        <v>17.55</v>
      </c>
      <c r="D10" s="25">
        <v>28.68</v>
      </c>
      <c r="E10" s="25">
        <v>17.88</v>
      </c>
      <c r="F10" s="25">
        <f t="shared" si="0"/>
        <v>64.11</v>
      </c>
      <c r="G10" s="25">
        <f t="shared" si="1"/>
        <v>2.137</v>
      </c>
      <c r="H10" s="33">
        <v>0.58499999999999996</v>
      </c>
    </row>
    <row r="11" spans="1:61" x14ac:dyDescent="0.2">
      <c r="A11" s="23">
        <v>45121</v>
      </c>
      <c r="B11" s="24">
        <v>31</v>
      </c>
      <c r="C11" s="25">
        <v>17.8</v>
      </c>
      <c r="D11" s="25">
        <v>25.92</v>
      </c>
      <c r="E11" s="25">
        <v>16.38</v>
      </c>
      <c r="F11" s="25">
        <f t="shared" si="0"/>
        <v>60.099999999999994</v>
      </c>
      <c r="G11" s="25">
        <f t="shared" si="1"/>
        <v>1.9387096774193546</v>
      </c>
      <c r="H11" s="33">
        <v>0.57419350000000002</v>
      </c>
    </row>
    <row r="12" spans="1:61" x14ac:dyDescent="0.2">
      <c r="A12" s="23">
        <v>45152</v>
      </c>
      <c r="B12" s="24">
        <v>31</v>
      </c>
      <c r="C12" s="25">
        <v>17.84</v>
      </c>
      <c r="D12" s="25">
        <v>29.19</v>
      </c>
      <c r="E12" s="25">
        <v>18.02</v>
      </c>
      <c r="F12" s="25">
        <f t="shared" si="0"/>
        <v>65.05</v>
      </c>
      <c r="G12" s="25">
        <f t="shared" si="1"/>
        <v>2.0983870967741933</v>
      </c>
      <c r="H12" s="33">
        <v>0.57548390000000005</v>
      </c>
    </row>
    <row r="13" spans="1:61" x14ac:dyDescent="0.2">
      <c r="A13" s="23">
        <v>45183</v>
      </c>
      <c r="B13" s="24">
        <v>30</v>
      </c>
      <c r="C13" s="25">
        <v>18.100000000000001</v>
      </c>
      <c r="D13" s="25">
        <v>33.450000000000003</v>
      </c>
      <c r="E13" s="25">
        <v>20.54</v>
      </c>
      <c r="F13" s="25">
        <f t="shared" si="0"/>
        <v>72.09</v>
      </c>
      <c r="G13" s="25">
        <f t="shared" si="1"/>
        <v>2.403</v>
      </c>
      <c r="H13" s="33">
        <v>0.60333329999999996</v>
      </c>
    </row>
    <row r="14" spans="1:61" x14ac:dyDescent="0.2">
      <c r="A14" s="23">
        <v>45213</v>
      </c>
      <c r="B14" s="24">
        <v>31</v>
      </c>
      <c r="C14" s="25">
        <v>18.22</v>
      </c>
      <c r="D14" s="25">
        <v>38.770000000000003</v>
      </c>
      <c r="E14" s="25">
        <v>23.03</v>
      </c>
      <c r="F14" s="25">
        <f t="shared" si="0"/>
        <v>80.02000000000001</v>
      </c>
      <c r="G14" s="25">
        <f t="shared" si="1"/>
        <v>2.5812903225806454</v>
      </c>
      <c r="H14" s="33">
        <v>0.58774190000000004</v>
      </c>
    </row>
    <row r="15" spans="1:61" x14ac:dyDescent="0.2">
      <c r="A15" s="23">
        <v>45244</v>
      </c>
      <c r="B15" s="24">
        <v>30</v>
      </c>
      <c r="C15" s="25">
        <v>20.11</v>
      </c>
      <c r="D15" s="25">
        <v>40.42</v>
      </c>
      <c r="E15" s="25">
        <v>23.09</v>
      </c>
      <c r="F15" s="25">
        <f t="shared" si="0"/>
        <v>83.62</v>
      </c>
      <c r="G15" s="25">
        <f t="shared" si="1"/>
        <v>2.7873333333333337</v>
      </c>
      <c r="H15" s="33">
        <v>0.67033330000000002</v>
      </c>
    </row>
    <row r="16" spans="1:61" x14ac:dyDescent="0.2">
      <c r="A16" s="52">
        <v>45274</v>
      </c>
      <c r="B16" s="72">
        <v>31</v>
      </c>
      <c r="C16" s="53">
        <v>20.190000000000001</v>
      </c>
      <c r="D16" s="53">
        <v>54.16</v>
      </c>
      <c r="E16" s="53">
        <v>30.67</v>
      </c>
      <c r="F16" s="53">
        <f t="shared" si="0"/>
        <v>105.02</v>
      </c>
      <c r="G16" s="53">
        <f t="shared" si="1"/>
        <v>3.3877419354838709</v>
      </c>
      <c r="H16" s="73">
        <v>0.65129029999999999</v>
      </c>
    </row>
    <row r="17" spans="1:8" x14ac:dyDescent="0.2">
      <c r="A17" s="23">
        <v>45305</v>
      </c>
      <c r="B17" s="24">
        <v>31</v>
      </c>
      <c r="C17" s="25">
        <v>20.45</v>
      </c>
      <c r="D17" s="25">
        <v>43.63</v>
      </c>
      <c r="E17" s="25">
        <v>24.11</v>
      </c>
      <c r="F17" s="25">
        <f t="shared" si="0"/>
        <v>88.19</v>
      </c>
      <c r="G17" s="25">
        <f t="shared" si="1"/>
        <v>2.8448387096774193</v>
      </c>
      <c r="H17" s="33">
        <v>0.65967739999999997</v>
      </c>
    </row>
    <row r="18" spans="1:8" x14ac:dyDescent="0.2">
      <c r="A18" s="23">
        <v>45336</v>
      </c>
      <c r="B18" s="24">
        <v>29</v>
      </c>
      <c r="C18" s="25">
        <v>20.12</v>
      </c>
      <c r="D18" s="25">
        <v>36.729999999999997</v>
      </c>
      <c r="E18" s="25">
        <v>19.670000000000002</v>
      </c>
      <c r="F18" s="25">
        <f t="shared" si="0"/>
        <v>76.52</v>
      </c>
      <c r="G18" s="25">
        <f t="shared" si="1"/>
        <v>2.6386206896551725</v>
      </c>
      <c r="H18" s="33">
        <v>0.69379310000000005</v>
      </c>
    </row>
    <row r="19" spans="1:8" x14ac:dyDescent="0.2">
      <c r="A19" s="23">
        <v>45365</v>
      </c>
      <c r="B19" s="24">
        <v>31</v>
      </c>
      <c r="C19" s="25">
        <v>21.66</v>
      </c>
      <c r="D19" s="25">
        <v>38.75</v>
      </c>
      <c r="E19" s="25">
        <v>20.81</v>
      </c>
      <c r="F19" s="25">
        <f t="shared" si="0"/>
        <v>81.22</v>
      </c>
      <c r="G19" s="25">
        <f t="shared" si="1"/>
        <v>2.62</v>
      </c>
      <c r="H19" s="33">
        <v>0.69870969999999999</v>
      </c>
    </row>
    <row r="20" spans="1:8" x14ac:dyDescent="0.2">
      <c r="A20" s="23">
        <v>45396</v>
      </c>
      <c r="B20" s="24">
        <v>30</v>
      </c>
      <c r="C20" s="25">
        <v>20.27</v>
      </c>
      <c r="D20" s="25">
        <v>30.28</v>
      </c>
      <c r="E20" s="25">
        <v>16.95</v>
      </c>
      <c r="F20" s="25">
        <f t="shared" si="0"/>
        <v>67.5</v>
      </c>
      <c r="G20" s="25">
        <f t="shared" si="1"/>
        <v>2.25</v>
      </c>
      <c r="H20" s="33">
        <v>0.67566669999999995</v>
      </c>
    </row>
    <row r="21" spans="1:8" x14ac:dyDescent="0.2">
      <c r="A21" s="23">
        <v>45426</v>
      </c>
      <c r="B21" s="24">
        <v>31</v>
      </c>
      <c r="C21" s="25">
        <v>21.93</v>
      </c>
      <c r="D21" s="25">
        <v>29.06</v>
      </c>
      <c r="E21" s="25">
        <v>16.62</v>
      </c>
      <c r="F21" s="25">
        <f t="shared" si="0"/>
        <v>67.61</v>
      </c>
      <c r="G21" s="25">
        <f>F21/B21</f>
        <v>2.180967741935484</v>
      </c>
      <c r="H21" s="33">
        <v>0.70741940000000003</v>
      </c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 s="85" t="s">
        <v>47</v>
      </c>
      <c r="B23" s="36" t="s">
        <v>41</v>
      </c>
      <c r="C23" s="37" t="s">
        <v>32</v>
      </c>
      <c r="D23" s="37" t="s">
        <v>36</v>
      </c>
      <c r="E23" s="37" t="s">
        <v>35</v>
      </c>
      <c r="F23" s="37" t="s">
        <v>33</v>
      </c>
      <c r="G23" s="34" t="s">
        <v>39</v>
      </c>
      <c r="H23" s="38" t="s">
        <v>34</v>
      </c>
    </row>
    <row r="24" spans="1:8" x14ac:dyDescent="0.2">
      <c r="A24" s="85"/>
      <c r="B24" s="36" t="s">
        <v>43</v>
      </c>
      <c r="C24" s="37">
        <f>AVERAGE(Dataset[Trash Charges])</f>
        <v>18.6585</v>
      </c>
      <c r="D24" s="37">
        <f>MIN(Dataset[Trash Charges])</f>
        <v>16.71</v>
      </c>
      <c r="E24" s="37">
        <f>MAX(Dataset[Trash Charges])</f>
        <v>21.93</v>
      </c>
      <c r="F24" s="37">
        <f>MEDIAN(Dataset[Trash Charges])</f>
        <v>17.855</v>
      </c>
      <c r="G24" s="39">
        <f>E24-D24</f>
        <v>5.2199999999999989</v>
      </c>
      <c r="H24" s="39">
        <f>_xlfn.STDEV.S(Dataset[Trash Charges])</f>
        <v>1.6198254454367018</v>
      </c>
    </row>
    <row r="25" spans="1:8" x14ac:dyDescent="0.2">
      <c r="A25" s="85"/>
      <c r="B25" s="36" t="s">
        <v>42</v>
      </c>
      <c r="C25" s="37">
        <f>AVERAGE(Dataset[Water Charges])</f>
        <v>31.884999999999998</v>
      </c>
      <c r="D25" s="39">
        <f>MIN(Dataset[Water Charges])</f>
        <v>21.95</v>
      </c>
      <c r="E25" s="39">
        <f>MAX(Dataset[Water Charges])</f>
        <v>54.16</v>
      </c>
      <c r="F25" s="37">
        <f>MEDIAN(Dataset[Water Charges])</f>
        <v>28.979999999999997</v>
      </c>
      <c r="G25" s="39">
        <f>E25-D25</f>
        <v>32.209999999999994</v>
      </c>
      <c r="H25" s="39">
        <f>_xlfn.STDEV.S(Dataset[Water Charges])</f>
        <v>7.9310552161806047</v>
      </c>
    </row>
    <row r="26" spans="1:8" x14ac:dyDescent="0.2">
      <c r="A26" s="85"/>
      <c r="B26" s="36" t="s">
        <v>44</v>
      </c>
      <c r="C26" s="37">
        <f>AVERAGE(Dataset[Sewer Charges])</f>
        <v>18.964000000000002</v>
      </c>
      <c r="D26" s="37">
        <f>MIN(Dataset[Sewer Charges])</f>
        <v>14.55</v>
      </c>
      <c r="E26" s="37">
        <f>MAX(Dataset[Sewer Charges])</f>
        <v>30.67</v>
      </c>
      <c r="F26" s="37">
        <f>MEDIAN(Dataset[Sewer Charges])</f>
        <v>17.88</v>
      </c>
      <c r="G26" s="39">
        <f>E26-D26</f>
        <v>16.12</v>
      </c>
      <c r="H26" s="39">
        <f>_xlfn.STDEV.S(Dataset[Sewer Charges])</f>
        <v>3.8559678967870776</v>
      </c>
    </row>
    <row r="27" spans="1:8" x14ac:dyDescent="0.2">
      <c r="A27" s="85"/>
      <c r="B27" s="69" t="s">
        <v>7</v>
      </c>
      <c r="C27" s="83">
        <f>AVERAGE(Dataset[Total Bill])</f>
        <v>69.507499999999993</v>
      </c>
      <c r="D27" s="83">
        <f>MIN(Dataset[Total Bill])</f>
        <v>53.209999999999994</v>
      </c>
      <c r="E27" s="83">
        <f>MAX(Dataset[Total Bill])</f>
        <v>105.02</v>
      </c>
      <c r="F27" s="83">
        <f>MEDIAN(Dataset[Total Bill])</f>
        <v>64.724999999999994</v>
      </c>
      <c r="G27" s="84">
        <f>E27-D27</f>
        <v>51.81</v>
      </c>
      <c r="H27" s="84">
        <f>_xlfn.STDEV.S(Dataset[Total Bill])</f>
        <v>12.7474281719883</v>
      </c>
    </row>
    <row r="29" spans="1:8" x14ac:dyDescent="0.2">
      <c r="B29" s="34" t="s">
        <v>52</v>
      </c>
      <c r="C29" s="37" t="s">
        <v>51</v>
      </c>
      <c r="D29" s="43" t="s">
        <v>63</v>
      </c>
    </row>
    <row r="30" spans="1:8" x14ac:dyDescent="0.2">
      <c r="B30" s="34" t="s">
        <v>48</v>
      </c>
      <c r="C30" s="37">
        <f>C27</f>
        <v>69.507499999999993</v>
      </c>
      <c r="D30" s="43" t="s">
        <v>64</v>
      </c>
    </row>
    <row r="31" spans="1:8" x14ac:dyDescent="0.2">
      <c r="B31" s="34" t="s">
        <v>53</v>
      </c>
      <c r="C31" s="37">
        <f>G27</f>
        <v>51.81</v>
      </c>
      <c r="D31" s="43" t="s">
        <v>64</v>
      </c>
    </row>
    <row r="32" spans="1:8" x14ac:dyDescent="0.2">
      <c r="B32" s="34" t="s">
        <v>50</v>
      </c>
      <c r="C32" s="47">
        <f>E27</f>
        <v>105.02</v>
      </c>
      <c r="D32" s="64">
        <f>_xlfn.XLOOKUP(C32, F2:F21, A2:A21)</f>
        <v>45274</v>
      </c>
    </row>
    <row r="33" spans="2:9" x14ac:dyDescent="0.2">
      <c r="B33" s="34" t="s">
        <v>49</v>
      </c>
      <c r="C33" s="66">
        <f>D27</f>
        <v>53.209999999999994</v>
      </c>
      <c r="D33" s="65">
        <f>_xlfn.XLOOKUP(C33, F2:F21, A2:A21)</f>
        <v>44848</v>
      </c>
    </row>
    <row r="37" spans="2:9" x14ac:dyDescent="0.2">
      <c r="I37" s="34" t="s">
        <v>9</v>
      </c>
    </row>
  </sheetData>
  <mergeCells count="1">
    <mergeCell ref="A23:A27"/>
  </mergeCells>
  <pageMargins left="0.7" right="0.7" top="0.75" bottom="0.75" header="0.3" footer="0.3"/>
  <ignoredErrors>
    <ignoredError sqref="F2:F21" formulaRange="1"/>
  </ignoredErrors>
  <drawing r:id="rId1"/>
  <legacyDrawing r:id="rId2"/>
  <tableParts count="3"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3445-069E-D24F-9F80-E4301F425554}">
  <dimension ref="A1:J28"/>
  <sheetViews>
    <sheetView topLeftCell="B1" zoomScale="120" zoomScaleNormal="120" workbookViewId="0">
      <selection activeCell="F51" sqref="F51"/>
    </sheetView>
  </sheetViews>
  <sheetFormatPr baseColWidth="10" defaultColWidth="21" defaultRowHeight="16" x14ac:dyDescent="0.2"/>
  <cols>
    <col min="1" max="1" width="30.5" style="2" hidden="1" customWidth="1"/>
    <col min="2" max="2" width="21" style="1"/>
    <col min="3" max="3" width="0" style="2" hidden="1" customWidth="1"/>
    <col min="4" max="4" width="21" style="3"/>
    <col min="5" max="8" width="21" style="4"/>
    <col min="9" max="9" width="21" style="1"/>
    <col min="10" max="10" width="21" style="5"/>
    <col min="11" max="16384" width="21" style="1"/>
  </cols>
  <sheetData>
    <row r="1" spans="1:10" s="10" customFormat="1" x14ac:dyDescent="0.2">
      <c r="A1" s="11" t="s">
        <v>0</v>
      </c>
      <c r="B1" s="11" t="s">
        <v>1</v>
      </c>
      <c r="C1" s="11" t="s">
        <v>2</v>
      </c>
      <c r="D1" s="12" t="s">
        <v>38</v>
      </c>
      <c r="E1" s="13" t="s">
        <v>3</v>
      </c>
      <c r="F1" s="13" t="s">
        <v>4</v>
      </c>
      <c r="G1" s="13" t="s">
        <v>5</v>
      </c>
      <c r="H1" s="13" t="s">
        <v>7</v>
      </c>
      <c r="I1" s="13" t="s">
        <v>8</v>
      </c>
      <c r="J1" s="14" t="s">
        <v>6</v>
      </c>
    </row>
    <row r="2" spans="1:10" x14ac:dyDescent="0.2">
      <c r="A2" s="6">
        <v>45457</v>
      </c>
      <c r="B2" s="6">
        <v>45396</v>
      </c>
      <c r="C2" s="6">
        <v>45426</v>
      </c>
      <c r="D2" s="7">
        <v>30</v>
      </c>
      <c r="E2" s="8">
        <v>20.27</v>
      </c>
      <c r="F2" s="8">
        <v>30.28</v>
      </c>
      <c r="G2" s="8">
        <v>16.95</v>
      </c>
      <c r="H2" s="8">
        <f>SUM(E2:G2)</f>
        <v>67.5</v>
      </c>
      <c r="I2" s="8">
        <f t="shared" ref="I2:I21" si="0">H2/D2</f>
        <v>2.25</v>
      </c>
      <c r="J2" s="9">
        <v>0.67566669999999995</v>
      </c>
    </row>
    <row r="3" spans="1:10" x14ac:dyDescent="0.2">
      <c r="A3" s="6">
        <v>45421</v>
      </c>
      <c r="B3" s="6">
        <v>45365</v>
      </c>
      <c r="C3" s="6">
        <v>45396</v>
      </c>
      <c r="D3" s="7">
        <v>31</v>
      </c>
      <c r="E3" s="8">
        <v>21.66</v>
      </c>
      <c r="F3" s="8">
        <v>38.75</v>
      </c>
      <c r="G3" s="8">
        <v>20.81</v>
      </c>
      <c r="H3" s="8">
        <f t="shared" ref="H3:H21" si="1">SUM(E3:G3)</f>
        <v>81.22</v>
      </c>
      <c r="I3" s="8">
        <f t="shared" si="0"/>
        <v>2.62</v>
      </c>
      <c r="J3" s="9">
        <v>0.69870969999999999</v>
      </c>
    </row>
    <row r="4" spans="1:10" x14ac:dyDescent="0.2">
      <c r="A4" s="6">
        <v>45393</v>
      </c>
      <c r="B4" s="6">
        <v>45336</v>
      </c>
      <c r="C4" s="6">
        <v>45365</v>
      </c>
      <c r="D4" s="7">
        <v>29</v>
      </c>
      <c r="E4" s="8">
        <v>20.12</v>
      </c>
      <c r="F4" s="8">
        <v>36.729999999999997</v>
      </c>
      <c r="G4" s="8">
        <v>19.670000000000002</v>
      </c>
      <c r="H4" s="8">
        <f t="shared" si="1"/>
        <v>76.52</v>
      </c>
      <c r="I4" s="8">
        <f t="shared" si="0"/>
        <v>2.6386206896551725</v>
      </c>
      <c r="J4" s="9">
        <v>0.69379310000000005</v>
      </c>
    </row>
    <row r="5" spans="1:10" x14ac:dyDescent="0.2">
      <c r="A5" s="6">
        <v>45364</v>
      </c>
      <c r="B5" s="6">
        <v>45305</v>
      </c>
      <c r="C5" s="6">
        <v>45336</v>
      </c>
      <c r="D5" s="7">
        <v>31</v>
      </c>
      <c r="E5" s="8">
        <v>20.45</v>
      </c>
      <c r="F5" s="8">
        <v>43.63</v>
      </c>
      <c r="G5" s="8">
        <v>24.11</v>
      </c>
      <c r="H5" s="8">
        <f t="shared" si="1"/>
        <v>88.19</v>
      </c>
      <c r="I5" s="8">
        <f t="shared" si="0"/>
        <v>2.8448387096774193</v>
      </c>
      <c r="J5" s="9">
        <v>0.65967739999999997</v>
      </c>
    </row>
    <row r="6" spans="1:10" x14ac:dyDescent="0.2">
      <c r="A6" s="6">
        <v>45335</v>
      </c>
      <c r="B6" s="6">
        <v>45274</v>
      </c>
      <c r="C6" s="6">
        <v>45305</v>
      </c>
      <c r="D6" s="7">
        <v>31</v>
      </c>
      <c r="E6" s="8">
        <v>20.190000000000001</v>
      </c>
      <c r="F6" s="8">
        <v>54.16</v>
      </c>
      <c r="G6" s="8">
        <v>30.67</v>
      </c>
      <c r="H6" s="8">
        <f t="shared" si="1"/>
        <v>105.02</v>
      </c>
      <c r="I6" s="8">
        <f t="shared" si="0"/>
        <v>3.3877419354838709</v>
      </c>
      <c r="J6" s="9">
        <v>0.65129029999999999</v>
      </c>
    </row>
    <row r="7" spans="1:10" x14ac:dyDescent="0.2">
      <c r="A7" s="6">
        <v>45303</v>
      </c>
      <c r="B7" s="6">
        <v>45244</v>
      </c>
      <c r="C7" s="6">
        <v>45274</v>
      </c>
      <c r="D7" s="7">
        <v>30</v>
      </c>
      <c r="E7" s="8">
        <v>20.11</v>
      </c>
      <c r="F7" s="8">
        <v>40.42</v>
      </c>
      <c r="G7" s="8">
        <v>23.09</v>
      </c>
      <c r="H7" s="8">
        <f t="shared" si="1"/>
        <v>83.62</v>
      </c>
      <c r="I7" s="8">
        <f t="shared" si="0"/>
        <v>2.7873333333333337</v>
      </c>
      <c r="J7" s="9">
        <v>0.67033330000000002</v>
      </c>
    </row>
    <row r="8" spans="1:10" x14ac:dyDescent="0.2">
      <c r="A8" s="6">
        <v>45273</v>
      </c>
      <c r="B8" s="6">
        <v>45213</v>
      </c>
      <c r="C8" s="6">
        <v>45244</v>
      </c>
      <c r="D8" s="7">
        <v>31</v>
      </c>
      <c r="E8" s="8">
        <v>18.22</v>
      </c>
      <c r="F8" s="8">
        <v>38.770000000000003</v>
      </c>
      <c r="G8" s="8">
        <v>23.03</v>
      </c>
      <c r="H8" s="8">
        <f t="shared" si="1"/>
        <v>80.02000000000001</v>
      </c>
      <c r="I8" s="8">
        <f t="shared" si="0"/>
        <v>2.5812903225806454</v>
      </c>
      <c r="J8" s="9">
        <v>0.58774190000000004</v>
      </c>
    </row>
    <row r="9" spans="1:10" x14ac:dyDescent="0.2">
      <c r="A9" s="6">
        <v>45609</v>
      </c>
      <c r="B9" s="6">
        <v>45183</v>
      </c>
      <c r="C9" s="6">
        <v>45213</v>
      </c>
      <c r="D9" s="7">
        <v>30</v>
      </c>
      <c r="E9" s="8">
        <v>18.100000000000001</v>
      </c>
      <c r="F9" s="8">
        <v>33.450000000000003</v>
      </c>
      <c r="G9" s="8">
        <v>20.54</v>
      </c>
      <c r="H9" s="8">
        <f t="shared" si="1"/>
        <v>72.09</v>
      </c>
      <c r="I9" s="8">
        <f t="shared" si="0"/>
        <v>2.403</v>
      </c>
      <c r="J9" s="9">
        <v>0.60333329999999996</v>
      </c>
    </row>
    <row r="10" spans="1:10" x14ac:dyDescent="0.2">
      <c r="A10" s="6">
        <v>45211</v>
      </c>
      <c r="B10" s="6">
        <v>45152</v>
      </c>
      <c r="C10" s="6">
        <v>45183</v>
      </c>
      <c r="D10" s="7">
        <v>31</v>
      </c>
      <c r="E10" s="8">
        <v>17.84</v>
      </c>
      <c r="F10" s="8">
        <v>29.19</v>
      </c>
      <c r="G10" s="8">
        <v>18.02</v>
      </c>
      <c r="H10" s="8">
        <f t="shared" si="1"/>
        <v>65.05</v>
      </c>
      <c r="I10" s="8">
        <f t="shared" si="0"/>
        <v>2.0983870967741933</v>
      </c>
      <c r="J10" s="9">
        <v>0.57548390000000005</v>
      </c>
    </row>
    <row r="11" spans="1:10" x14ac:dyDescent="0.2">
      <c r="A11" s="6">
        <v>45183</v>
      </c>
      <c r="B11" s="6">
        <v>45121</v>
      </c>
      <c r="C11" s="6">
        <v>45152</v>
      </c>
      <c r="D11" s="7">
        <v>31</v>
      </c>
      <c r="E11" s="8">
        <v>17.8</v>
      </c>
      <c r="F11" s="8">
        <v>25.92</v>
      </c>
      <c r="G11" s="8">
        <v>16.38</v>
      </c>
      <c r="H11" s="8">
        <f t="shared" si="1"/>
        <v>60.099999999999994</v>
      </c>
      <c r="I11" s="8">
        <f t="shared" si="0"/>
        <v>1.9387096774193546</v>
      </c>
      <c r="J11" s="9">
        <v>0.57419350000000002</v>
      </c>
    </row>
    <row r="12" spans="1:10" x14ac:dyDescent="0.2">
      <c r="A12" s="6">
        <v>45145</v>
      </c>
      <c r="B12" s="6">
        <v>45091</v>
      </c>
      <c r="C12" s="6">
        <v>45121</v>
      </c>
      <c r="D12" s="7">
        <v>30</v>
      </c>
      <c r="E12" s="8">
        <v>17.55</v>
      </c>
      <c r="F12" s="8">
        <v>28.68</v>
      </c>
      <c r="G12" s="8">
        <v>17.88</v>
      </c>
      <c r="H12" s="8">
        <f t="shared" si="1"/>
        <v>64.11</v>
      </c>
      <c r="I12" s="8">
        <f t="shared" si="0"/>
        <v>2.137</v>
      </c>
      <c r="J12" s="9">
        <v>0.58499999999999996</v>
      </c>
    </row>
    <row r="13" spans="1:10" x14ac:dyDescent="0.2">
      <c r="A13" s="6">
        <v>45121</v>
      </c>
      <c r="B13" s="6">
        <v>45060</v>
      </c>
      <c r="C13" s="6">
        <v>45091</v>
      </c>
      <c r="D13" s="7">
        <v>31</v>
      </c>
      <c r="E13" s="8">
        <v>17.600000000000001</v>
      </c>
      <c r="F13" s="8">
        <v>27.28</v>
      </c>
      <c r="G13" s="8">
        <v>16.62</v>
      </c>
      <c r="H13" s="8">
        <f t="shared" si="1"/>
        <v>61.5</v>
      </c>
      <c r="I13" s="8">
        <f t="shared" si="0"/>
        <v>1.9838709677419355</v>
      </c>
      <c r="J13" s="9">
        <v>0.56774190000000002</v>
      </c>
    </row>
    <row r="14" spans="1:10" x14ac:dyDescent="0.2">
      <c r="A14" s="6">
        <v>45090</v>
      </c>
      <c r="B14" s="6">
        <v>45030</v>
      </c>
      <c r="C14" s="6">
        <v>45060</v>
      </c>
      <c r="D14" s="7">
        <v>30</v>
      </c>
      <c r="E14" s="8">
        <v>17.39</v>
      </c>
      <c r="F14" s="8">
        <v>27.32</v>
      </c>
      <c r="G14" s="8">
        <v>16.8</v>
      </c>
      <c r="H14" s="8">
        <f t="shared" si="1"/>
        <v>61.510000000000005</v>
      </c>
      <c r="I14" s="8">
        <f t="shared" si="0"/>
        <v>2.0503333333333336</v>
      </c>
      <c r="J14" s="9">
        <v>0.57966669999999998</v>
      </c>
    </row>
    <row r="15" spans="1:10" x14ac:dyDescent="0.2">
      <c r="A15" s="6">
        <v>45057</v>
      </c>
      <c r="B15" s="6">
        <v>44999</v>
      </c>
      <c r="C15" s="6">
        <v>45030</v>
      </c>
      <c r="D15" s="7">
        <v>31</v>
      </c>
      <c r="E15" s="8">
        <v>17.62</v>
      </c>
      <c r="F15" s="8">
        <v>28.9</v>
      </c>
      <c r="G15" s="8">
        <v>17.88</v>
      </c>
      <c r="H15" s="8">
        <f t="shared" si="1"/>
        <v>64.399999999999991</v>
      </c>
      <c r="I15" s="8">
        <f t="shared" si="0"/>
        <v>2.0774193548387094</v>
      </c>
      <c r="J15" s="9">
        <v>0.56838710000000003</v>
      </c>
    </row>
    <row r="16" spans="1:10" x14ac:dyDescent="0.2">
      <c r="A16" s="6">
        <v>45029</v>
      </c>
      <c r="B16" s="6">
        <v>44971</v>
      </c>
      <c r="C16" s="6">
        <v>44999</v>
      </c>
      <c r="D16" s="7">
        <v>28</v>
      </c>
      <c r="E16" s="8">
        <v>17.87</v>
      </c>
      <c r="F16" s="8">
        <v>25.17</v>
      </c>
      <c r="G16" s="8">
        <v>15.51</v>
      </c>
      <c r="H16" s="8">
        <f t="shared" si="1"/>
        <v>58.550000000000004</v>
      </c>
      <c r="I16" s="8">
        <f t="shared" si="0"/>
        <v>2.0910714285714289</v>
      </c>
      <c r="J16" s="9">
        <v>0.63821430000000001</v>
      </c>
    </row>
    <row r="17" spans="1:10" x14ac:dyDescent="0.2">
      <c r="A17" s="6">
        <v>44998</v>
      </c>
      <c r="B17" s="6">
        <v>44940</v>
      </c>
      <c r="C17" s="6">
        <v>44971</v>
      </c>
      <c r="D17" s="7">
        <v>31</v>
      </c>
      <c r="E17" s="8">
        <v>17.760000000000002</v>
      </c>
      <c r="F17" s="8">
        <v>25.94</v>
      </c>
      <c r="G17" s="8">
        <v>16.41</v>
      </c>
      <c r="H17" s="8">
        <f t="shared" si="1"/>
        <v>60.11</v>
      </c>
      <c r="I17" s="8">
        <f t="shared" si="0"/>
        <v>1.9390322580645161</v>
      </c>
      <c r="J17" s="9">
        <v>0.57290319999999995</v>
      </c>
    </row>
    <row r="18" spans="1:10" x14ac:dyDescent="0.2">
      <c r="A18" s="6">
        <v>44971</v>
      </c>
      <c r="B18" s="6">
        <v>44909</v>
      </c>
      <c r="C18" s="6">
        <v>44940</v>
      </c>
      <c r="D18" s="7">
        <v>31</v>
      </c>
      <c r="E18" s="8">
        <v>17.04</v>
      </c>
      <c r="F18" s="8">
        <v>27.76</v>
      </c>
      <c r="G18" s="8">
        <v>18.03</v>
      </c>
      <c r="H18" s="8">
        <f t="shared" si="1"/>
        <v>62.83</v>
      </c>
      <c r="I18" s="8">
        <f t="shared" si="0"/>
        <v>2.0267741935483872</v>
      </c>
      <c r="J18" s="9">
        <v>0.54967739999999998</v>
      </c>
    </row>
    <row r="19" spans="1:10" x14ac:dyDescent="0.2">
      <c r="A19" s="6">
        <v>44939</v>
      </c>
      <c r="B19" s="6">
        <v>44879</v>
      </c>
      <c r="C19" s="6">
        <v>44909</v>
      </c>
      <c r="D19" s="7">
        <v>30</v>
      </c>
      <c r="E19" s="8">
        <v>16.940000000000001</v>
      </c>
      <c r="F19" s="8">
        <v>24.34</v>
      </c>
      <c r="G19" s="8">
        <v>15.71</v>
      </c>
      <c r="H19" s="8">
        <f t="shared" si="1"/>
        <v>56.99</v>
      </c>
      <c r="I19" s="8">
        <f t="shared" si="0"/>
        <v>1.8996666666666668</v>
      </c>
      <c r="J19" s="9">
        <v>0.56466669999999997</v>
      </c>
    </row>
    <row r="20" spans="1:10" x14ac:dyDescent="0.2">
      <c r="A20" s="6">
        <v>44909</v>
      </c>
      <c r="B20" s="6">
        <v>44848</v>
      </c>
      <c r="C20" s="6">
        <v>44879</v>
      </c>
      <c r="D20" s="7">
        <v>31</v>
      </c>
      <c r="E20" s="8">
        <v>16.71</v>
      </c>
      <c r="F20" s="8">
        <v>21.95</v>
      </c>
      <c r="G20" s="8">
        <v>14.55</v>
      </c>
      <c r="H20" s="8">
        <f t="shared" si="1"/>
        <v>53.209999999999994</v>
      </c>
      <c r="I20" s="8">
        <f t="shared" si="0"/>
        <v>1.7164516129032257</v>
      </c>
      <c r="J20" s="9">
        <v>0.53903230000000002</v>
      </c>
    </row>
    <row r="21" spans="1:10" x14ac:dyDescent="0.2">
      <c r="A21" s="6">
        <v>44880</v>
      </c>
      <c r="B21" s="6">
        <v>44829</v>
      </c>
      <c r="C21" s="6">
        <v>44848</v>
      </c>
      <c r="D21" s="7">
        <v>19</v>
      </c>
      <c r="E21" s="8">
        <v>10.72</v>
      </c>
      <c r="F21" s="8">
        <v>14.36</v>
      </c>
      <c r="G21" s="8">
        <v>9.52</v>
      </c>
      <c r="H21" s="8">
        <f t="shared" si="1"/>
        <v>34.599999999999994</v>
      </c>
      <c r="I21" s="8">
        <f t="shared" si="0"/>
        <v>1.821052631578947</v>
      </c>
      <c r="J21" s="9">
        <v>0.56421049999999995</v>
      </c>
    </row>
    <row r="23" spans="1:10" x14ac:dyDescent="0.2">
      <c r="B23"/>
      <c r="C23"/>
      <c r="D23"/>
      <c r="E23"/>
      <c r="F23"/>
      <c r="G23"/>
      <c r="H23"/>
      <c r="I23"/>
      <c r="J23"/>
    </row>
    <row r="24" spans="1:10" x14ac:dyDescent="0.2">
      <c r="B24" s="1" t="s">
        <v>32</v>
      </c>
      <c r="D24" s="3">
        <f>AVERAGE(Table57[Billing Days])</f>
        <v>29.85</v>
      </c>
      <c r="E24" s="4">
        <f>AVERAGE(Table57[Trash Charges])</f>
        <v>18.098000000000003</v>
      </c>
      <c r="F24" s="4">
        <f>AVERAGE(Table57[Water Charges])</f>
        <v>31.150000000000006</v>
      </c>
      <c r="G24" s="4">
        <f>AVERAGE(Table57[Sewer Charges])</f>
        <v>18.608999999999998</v>
      </c>
      <c r="H24" s="4">
        <f>AVERAGE(Table57[Total Bill])</f>
        <v>67.856999999999999</v>
      </c>
      <c r="I24" s="4">
        <f>AVERAGE(Table57[Cost Per Day])</f>
        <v>2.2646297106085571</v>
      </c>
      <c r="J24" s="15">
        <f>AVERAGE(Table57[Rate])</f>
        <v>0.60598616000000005</v>
      </c>
    </row>
    <row r="25" spans="1:10" x14ac:dyDescent="0.2">
      <c r="B25" s="1" t="s">
        <v>33</v>
      </c>
      <c r="D25" s="3">
        <f>MEDIAN(Table57[Billing Days])</f>
        <v>31</v>
      </c>
      <c r="E25" s="4">
        <f>MEDIAN(Table57[Trash Charges])</f>
        <v>17.82</v>
      </c>
      <c r="F25" s="4">
        <f>MEDIAN(Table57[Water Charges])</f>
        <v>28.79</v>
      </c>
      <c r="G25" s="4">
        <f>MEDIAN(Table57[Sewer Charges])</f>
        <v>17.88</v>
      </c>
      <c r="H25" s="4">
        <f>MEDIAN(Table57[Total Bill])</f>
        <v>64.254999999999995</v>
      </c>
      <c r="I25" s="4">
        <f>MEDIAN(Table57[Cost Per Day])</f>
        <v>2.0947292626728111</v>
      </c>
      <c r="J25" s="15">
        <f>MEDIAN(Table57[Rate])</f>
        <v>0.58233334999999997</v>
      </c>
    </row>
    <row r="26" spans="1:10" x14ac:dyDescent="0.2">
      <c r="B26" s="1" t="s">
        <v>36</v>
      </c>
      <c r="D26" s="3">
        <f>MIN(Table57[Billing Days])</f>
        <v>19</v>
      </c>
      <c r="E26" s="4">
        <f>MIN(Table57[Trash Charges])</f>
        <v>10.72</v>
      </c>
      <c r="F26" s="4">
        <f>MIN(Table57[Water Charges])</f>
        <v>14.36</v>
      </c>
      <c r="G26" s="4">
        <f>MIN(Table57[Sewer Charges])</f>
        <v>9.52</v>
      </c>
      <c r="H26" s="4">
        <f>MIN(Table57[Total Bill])</f>
        <v>34.599999999999994</v>
      </c>
      <c r="I26" s="4">
        <f>MIN(Table57[Cost Per Day])</f>
        <v>1.7164516129032257</v>
      </c>
      <c r="J26" s="15">
        <f>MIN(Table57[Rate])</f>
        <v>0.53903230000000002</v>
      </c>
    </row>
    <row r="27" spans="1:10" x14ac:dyDescent="0.2">
      <c r="B27" s="1" t="s">
        <v>35</v>
      </c>
      <c r="D27" s="3">
        <f>MAX(Table57[Billing Days])</f>
        <v>31</v>
      </c>
      <c r="E27" s="4">
        <f>MAX(Table57[Trash Charges])</f>
        <v>21.66</v>
      </c>
      <c r="F27" s="4">
        <f>MAX(Table57[Water Charges])</f>
        <v>54.16</v>
      </c>
      <c r="G27" s="4">
        <f>MAX(Table57[Sewer Charges])</f>
        <v>30.67</v>
      </c>
      <c r="H27" s="4">
        <f>MAX(Table57[Total Bill])</f>
        <v>105.02</v>
      </c>
      <c r="I27" s="4">
        <f>MAX(Table57[Cost Per Day])</f>
        <v>3.3877419354838709</v>
      </c>
      <c r="J27" s="16">
        <f>MAX(Table57[Rate])</f>
        <v>0.69870969999999999</v>
      </c>
    </row>
    <row r="28" spans="1:10" x14ac:dyDescent="0.2">
      <c r="B28" s="1" t="s">
        <v>34</v>
      </c>
      <c r="D28" s="3">
        <f>_xlfn.STDEV.S(Table57[Billing Days])</f>
        <v>2.6808286228819549</v>
      </c>
      <c r="E28" s="4">
        <f>_xlfn.STDEV.S(Table57[Trash Charges])</f>
        <v>2.2464793508252385</v>
      </c>
      <c r="F28" s="4">
        <f>_xlfn.STDEV.S(Table57[Water Charges])</f>
        <v>8.8361446701363473</v>
      </c>
      <c r="G28" s="4">
        <f>_xlfn.STDEV.S(Table57[Sewer Charges])</f>
        <v>4.3750222856575425</v>
      </c>
      <c r="H28" s="4">
        <f>_xlfn.STDEV.S(Table57[Total Bill])</f>
        <v>14.952365804711173</v>
      </c>
      <c r="I28" s="4">
        <f>_xlfn.STDEV.S(Table57[Cost Per Day])</f>
        <v>0.42240847515320951</v>
      </c>
      <c r="J28" s="16">
        <f>_xlfn.STDEV.S(Table57[Rate])</f>
        <v>5.1180018735834991E-2</v>
      </c>
    </row>
  </sheetData>
  <pageMargins left="0.7" right="0.7" top="0.75" bottom="0.75" header="0.3" footer="0.3"/>
  <ignoredErrors>
    <ignoredError sqref="H2:H21" formulaRange="1"/>
  </ignoredErrors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A25D-6D02-5D4E-907D-21A80CC61F45}">
  <dimension ref="A1:H21"/>
  <sheetViews>
    <sheetView zoomScale="130" zoomScaleNormal="130" workbookViewId="0">
      <selection activeCell="I3" sqref="I3"/>
    </sheetView>
  </sheetViews>
  <sheetFormatPr baseColWidth="10" defaultColWidth="21" defaultRowHeight="16" x14ac:dyDescent="0.2"/>
  <cols>
    <col min="1" max="1" width="21" style="34" customWidth="1"/>
    <col min="2" max="2" width="21" style="36" customWidth="1"/>
    <col min="3" max="3" width="21" style="37" customWidth="1"/>
    <col min="4" max="5" width="21" style="37"/>
    <col min="6" max="6" width="21" style="38"/>
    <col min="7" max="7" width="21" style="37"/>
    <col min="8" max="16384" width="21" style="34"/>
  </cols>
  <sheetData>
    <row r="1" spans="1:8" s="22" customFormat="1" x14ac:dyDescent="0.2">
      <c r="A1" s="48" t="s">
        <v>1</v>
      </c>
      <c r="B1" s="49" t="s">
        <v>38</v>
      </c>
      <c r="C1" s="50" t="s">
        <v>3</v>
      </c>
      <c r="D1" s="50" t="s">
        <v>4</v>
      </c>
      <c r="E1" s="50" t="s">
        <v>5</v>
      </c>
      <c r="F1" s="51" t="s">
        <v>6</v>
      </c>
      <c r="G1" s="50" t="s">
        <v>7</v>
      </c>
      <c r="H1" s="50" t="s">
        <v>8</v>
      </c>
    </row>
    <row r="2" spans="1:8" x14ac:dyDescent="0.2">
      <c r="A2" s="23">
        <v>44848</v>
      </c>
      <c r="B2" s="24">
        <v>31</v>
      </c>
      <c r="C2" s="25">
        <v>16.71</v>
      </c>
      <c r="D2" s="25">
        <v>21.95</v>
      </c>
      <c r="E2" s="25">
        <v>14.55</v>
      </c>
      <c r="F2" s="33">
        <v>0.53903230000000002</v>
      </c>
      <c r="G2" s="25">
        <f t="shared" ref="G2:G20" si="0">SUM(C2:E2)</f>
        <v>53.209999999999994</v>
      </c>
      <c r="H2" s="25">
        <f>G2/B2</f>
        <v>1.7164516129032257</v>
      </c>
    </row>
    <row r="3" spans="1:8" x14ac:dyDescent="0.2">
      <c r="A3" s="23">
        <v>44879</v>
      </c>
      <c r="B3" s="24">
        <v>30</v>
      </c>
      <c r="C3" s="25">
        <v>16.940000000000001</v>
      </c>
      <c r="D3" s="25">
        <v>24.34</v>
      </c>
      <c r="E3" s="25">
        <v>15.71</v>
      </c>
      <c r="F3" s="33">
        <v>0.56466669999999997</v>
      </c>
      <c r="G3" s="25">
        <f t="shared" si="0"/>
        <v>56.99</v>
      </c>
      <c r="H3" s="25">
        <f t="shared" ref="H3:H20" si="1">G3/B3</f>
        <v>1.8996666666666668</v>
      </c>
    </row>
    <row r="4" spans="1:8" x14ac:dyDescent="0.2">
      <c r="A4" s="23">
        <v>44909</v>
      </c>
      <c r="B4" s="24">
        <v>31</v>
      </c>
      <c r="C4" s="25">
        <v>17.04</v>
      </c>
      <c r="D4" s="25">
        <v>27.76</v>
      </c>
      <c r="E4" s="25">
        <v>18.03</v>
      </c>
      <c r="F4" s="33">
        <v>0.54967739999999998</v>
      </c>
      <c r="G4" s="25">
        <f t="shared" si="0"/>
        <v>62.83</v>
      </c>
      <c r="H4" s="25">
        <f t="shared" si="1"/>
        <v>2.0267741935483872</v>
      </c>
    </row>
    <row r="5" spans="1:8" x14ac:dyDescent="0.2">
      <c r="A5" s="23">
        <v>44940</v>
      </c>
      <c r="B5" s="24">
        <v>31</v>
      </c>
      <c r="C5" s="25">
        <v>17.760000000000002</v>
      </c>
      <c r="D5" s="25">
        <v>25.94</v>
      </c>
      <c r="E5" s="25">
        <v>16.41</v>
      </c>
      <c r="F5" s="33">
        <v>0.57290319999999995</v>
      </c>
      <c r="G5" s="25">
        <f t="shared" si="0"/>
        <v>60.11</v>
      </c>
      <c r="H5" s="25">
        <f t="shared" si="1"/>
        <v>1.9390322580645161</v>
      </c>
    </row>
    <row r="6" spans="1:8" x14ac:dyDescent="0.2">
      <c r="A6" s="23">
        <v>44971</v>
      </c>
      <c r="B6" s="24">
        <v>28</v>
      </c>
      <c r="C6" s="25">
        <v>17.87</v>
      </c>
      <c r="D6" s="25">
        <v>25.17</v>
      </c>
      <c r="E6" s="25">
        <v>15.51</v>
      </c>
      <c r="F6" s="33">
        <v>0.63821430000000001</v>
      </c>
      <c r="G6" s="25">
        <f t="shared" si="0"/>
        <v>58.550000000000004</v>
      </c>
      <c r="H6" s="25">
        <f t="shared" si="1"/>
        <v>2.0910714285714289</v>
      </c>
    </row>
    <row r="7" spans="1:8" x14ac:dyDescent="0.2">
      <c r="A7" s="23">
        <v>44999</v>
      </c>
      <c r="B7" s="24">
        <v>31</v>
      </c>
      <c r="C7" s="25">
        <v>17.62</v>
      </c>
      <c r="D7" s="25">
        <v>28.9</v>
      </c>
      <c r="E7" s="25">
        <v>17.88</v>
      </c>
      <c r="F7" s="33">
        <v>0.56838710000000003</v>
      </c>
      <c r="G7" s="25">
        <f t="shared" si="0"/>
        <v>64.399999999999991</v>
      </c>
      <c r="H7" s="25">
        <f t="shared" si="1"/>
        <v>2.0774193548387094</v>
      </c>
    </row>
    <row r="8" spans="1:8" x14ac:dyDescent="0.2">
      <c r="A8" s="23">
        <v>45030</v>
      </c>
      <c r="B8" s="24">
        <v>30</v>
      </c>
      <c r="C8" s="25">
        <v>17.39</v>
      </c>
      <c r="D8" s="25">
        <v>27.32</v>
      </c>
      <c r="E8" s="25">
        <v>16.8</v>
      </c>
      <c r="F8" s="33">
        <v>0.57966669999999998</v>
      </c>
      <c r="G8" s="25">
        <f t="shared" si="0"/>
        <v>61.510000000000005</v>
      </c>
      <c r="H8" s="25">
        <f t="shared" si="1"/>
        <v>2.0503333333333336</v>
      </c>
    </row>
    <row r="9" spans="1:8" x14ac:dyDescent="0.2">
      <c r="A9" s="23">
        <v>45060</v>
      </c>
      <c r="B9" s="24">
        <v>31</v>
      </c>
      <c r="C9" s="25">
        <v>17.600000000000001</v>
      </c>
      <c r="D9" s="25">
        <v>27.28</v>
      </c>
      <c r="E9" s="25">
        <v>16.62</v>
      </c>
      <c r="F9" s="33">
        <v>0.56774190000000002</v>
      </c>
      <c r="G9" s="25">
        <f t="shared" si="0"/>
        <v>61.5</v>
      </c>
      <c r="H9" s="25">
        <f t="shared" si="1"/>
        <v>1.9838709677419355</v>
      </c>
    </row>
    <row r="10" spans="1:8" x14ac:dyDescent="0.2">
      <c r="A10" s="23">
        <v>45091</v>
      </c>
      <c r="B10" s="24">
        <v>30</v>
      </c>
      <c r="C10" s="25">
        <v>17.55</v>
      </c>
      <c r="D10" s="25">
        <v>28.68</v>
      </c>
      <c r="E10" s="25">
        <v>17.88</v>
      </c>
      <c r="F10" s="33">
        <v>0.58499999999999996</v>
      </c>
      <c r="G10" s="25">
        <f t="shared" si="0"/>
        <v>64.11</v>
      </c>
      <c r="H10" s="25">
        <f t="shared" si="1"/>
        <v>2.137</v>
      </c>
    </row>
    <row r="11" spans="1:8" x14ac:dyDescent="0.2">
      <c r="A11" s="23">
        <v>45121</v>
      </c>
      <c r="B11" s="24">
        <v>31</v>
      </c>
      <c r="C11" s="25">
        <v>17.8</v>
      </c>
      <c r="D11" s="25">
        <v>25.92</v>
      </c>
      <c r="E11" s="25">
        <v>16.38</v>
      </c>
      <c r="F11" s="33">
        <v>0.57419350000000002</v>
      </c>
      <c r="G11" s="25">
        <f t="shared" si="0"/>
        <v>60.099999999999994</v>
      </c>
      <c r="H11" s="25">
        <f t="shared" si="1"/>
        <v>1.9387096774193546</v>
      </c>
    </row>
    <row r="12" spans="1:8" x14ac:dyDescent="0.2">
      <c r="A12" s="23">
        <v>45152</v>
      </c>
      <c r="B12" s="24">
        <v>31</v>
      </c>
      <c r="C12" s="25">
        <v>17.84</v>
      </c>
      <c r="D12" s="25">
        <v>29.19</v>
      </c>
      <c r="E12" s="25">
        <v>18.02</v>
      </c>
      <c r="F12" s="33">
        <v>0.57548390000000005</v>
      </c>
      <c r="G12" s="25">
        <f t="shared" si="0"/>
        <v>65.05</v>
      </c>
      <c r="H12" s="25">
        <f t="shared" si="1"/>
        <v>2.0983870967741933</v>
      </c>
    </row>
    <row r="13" spans="1:8" x14ac:dyDescent="0.2">
      <c r="A13" s="23">
        <v>45183</v>
      </c>
      <c r="B13" s="24">
        <v>30</v>
      </c>
      <c r="C13" s="25">
        <v>18.100000000000001</v>
      </c>
      <c r="D13" s="25">
        <v>33.450000000000003</v>
      </c>
      <c r="E13" s="25">
        <v>20.54</v>
      </c>
      <c r="F13" s="33">
        <v>0.60333329999999996</v>
      </c>
      <c r="G13" s="25">
        <f t="shared" si="0"/>
        <v>72.09</v>
      </c>
      <c r="H13" s="25">
        <f t="shared" si="1"/>
        <v>2.403</v>
      </c>
    </row>
    <row r="14" spans="1:8" x14ac:dyDescent="0.2">
      <c r="A14" s="23">
        <v>45213</v>
      </c>
      <c r="B14" s="24">
        <v>31</v>
      </c>
      <c r="C14" s="25">
        <v>18.22</v>
      </c>
      <c r="D14" s="25">
        <v>38.770000000000003</v>
      </c>
      <c r="E14" s="25">
        <v>23.03</v>
      </c>
      <c r="F14" s="33">
        <v>0.58774190000000004</v>
      </c>
      <c r="G14" s="25">
        <f t="shared" si="0"/>
        <v>80.02000000000001</v>
      </c>
      <c r="H14" s="25">
        <f t="shared" si="1"/>
        <v>2.5812903225806454</v>
      </c>
    </row>
    <row r="15" spans="1:8" x14ac:dyDescent="0.2">
      <c r="A15" s="23">
        <v>45244</v>
      </c>
      <c r="B15" s="24">
        <v>30</v>
      </c>
      <c r="C15" s="25">
        <v>20.11</v>
      </c>
      <c r="D15" s="25">
        <v>40.42</v>
      </c>
      <c r="E15" s="25">
        <v>23.09</v>
      </c>
      <c r="F15" s="33">
        <v>0.67033330000000002</v>
      </c>
      <c r="G15" s="25">
        <f t="shared" si="0"/>
        <v>83.62</v>
      </c>
      <c r="H15" s="25">
        <f t="shared" si="1"/>
        <v>2.7873333333333337</v>
      </c>
    </row>
    <row r="16" spans="1:8" x14ac:dyDescent="0.2">
      <c r="A16" s="23">
        <v>45274</v>
      </c>
      <c r="B16" s="24">
        <v>31</v>
      </c>
      <c r="C16" s="25">
        <v>20.190000000000001</v>
      </c>
      <c r="D16" s="25">
        <v>54.16</v>
      </c>
      <c r="E16" s="25">
        <v>30.67</v>
      </c>
      <c r="F16" s="33">
        <v>0.65129029999999999</v>
      </c>
      <c r="G16" s="25">
        <f t="shared" si="0"/>
        <v>105.02</v>
      </c>
      <c r="H16" s="25">
        <f t="shared" si="1"/>
        <v>3.3877419354838709</v>
      </c>
    </row>
    <row r="17" spans="1:8" x14ac:dyDescent="0.2">
      <c r="A17" s="23">
        <v>45305</v>
      </c>
      <c r="B17" s="24">
        <v>31</v>
      </c>
      <c r="C17" s="25">
        <v>20.45</v>
      </c>
      <c r="D17" s="25">
        <v>43.63</v>
      </c>
      <c r="E17" s="25">
        <v>24.11</v>
      </c>
      <c r="F17" s="33">
        <v>0.65967739999999997</v>
      </c>
      <c r="G17" s="25">
        <f t="shared" si="0"/>
        <v>88.19</v>
      </c>
      <c r="H17" s="25">
        <f t="shared" si="1"/>
        <v>2.8448387096774193</v>
      </c>
    </row>
    <row r="18" spans="1:8" x14ac:dyDescent="0.2">
      <c r="A18" s="23">
        <v>45336</v>
      </c>
      <c r="B18" s="24">
        <v>29</v>
      </c>
      <c r="C18" s="25">
        <v>20.12</v>
      </c>
      <c r="D18" s="25">
        <v>36.729999999999997</v>
      </c>
      <c r="E18" s="25">
        <v>19.670000000000002</v>
      </c>
      <c r="F18" s="33">
        <v>0.69379310000000005</v>
      </c>
      <c r="G18" s="25">
        <f t="shared" si="0"/>
        <v>76.52</v>
      </c>
      <c r="H18" s="25">
        <f t="shared" si="1"/>
        <v>2.6386206896551725</v>
      </c>
    </row>
    <row r="19" spans="1:8" x14ac:dyDescent="0.2">
      <c r="A19" s="23">
        <v>45365</v>
      </c>
      <c r="B19" s="24">
        <v>31</v>
      </c>
      <c r="C19" s="25">
        <v>21.66</v>
      </c>
      <c r="D19" s="25">
        <v>38.75</v>
      </c>
      <c r="E19" s="25">
        <v>20.81</v>
      </c>
      <c r="F19" s="33">
        <v>0.69870969999999999</v>
      </c>
      <c r="G19" s="25">
        <f t="shared" si="0"/>
        <v>81.22</v>
      </c>
      <c r="H19" s="25">
        <f t="shared" si="1"/>
        <v>2.62</v>
      </c>
    </row>
    <row r="20" spans="1:8" x14ac:dyDescent="0.2">
      <c r="A20" s="23">
        <v>45396</v>
      </c>
      <c r="B20" s="24">
        <v>30</v>
      </c>
      <c r="C20" s="25">
        <v>20.27</v>
      </c>
      <c r="D20" s="25">
        <v>30.28</v>
      </c>
      <c r="E20" s="25">
        <v>16.95</v>
      </c>
      <c r="F20" s="33">
        <v>0.67566669999999995</v>
      </c>
      <c r="G20" s="25">
        <f t="shared" si="0"/>
        <v>67.5</v>
      </c>
      <c r="H20" s="25">
        <f t="shared" si="1"/>
        <v>2.25</v>
      </c>
    </row>
    <row r="21" spans="1:8" x14ac:dyDescent="0.2">
      <c r="A21" s="23">
        <v>45426</v>
      </c>
      <c r="B21" s="24">
        <v>31</v>
      </c>
      <c r="C21" s="25">
        <v>21.93</v>
      </c>
      <c r="D21" s="25">
        <v>29.06</v>
      </c>
      <c r="E21" s="25">
        <v>16.62</v>
      </c>
      <c r="F21" s="33">
        <v>0.70741940000000003</v>
      </c>
      <c r="G21" s="25">
        <f>SUM(C21:E21)</f>
        <v>67.61</v>
      </c>
      <c r="H21" s="25">
        <f>G21/B21</f>
        <v>2.180967741935484</v>
      </c>
    </row>
  </sheetData>
  <pageMargins left="0.7" right="0.7" top="0.75" bottom="0.75" header="0.3" footer="0.3"/>
  <ignoredErrors>
    <ignoredError sqref="G2:G21" formulaRange="1"/>
  </ignoredErrors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D459-4EDF-B642-A3E6-567D61B2F36B}">
  <dimension ref="A1:I22"/>
  <sheetViews>
    <sheetView workbookViewId="0">
      <selection activeCell="I2" sqref="I2"/>
    </sheetView>
  </sheetViews>
  <sheetFormatPr baseColWidth="10" defaultColWidth="21" defaultRowHeight="16" x14ac:dyDescent="0.2"/>
  <cols>
    <col min="1" max="1" width="30.5" style="28" customWidth="1"/>
    <col min="2" max="2" width="21" style="27"/>
    <col min="3" max="3" width="21" style="28"/>
    <col min="4" max="4" width="21" style="29"/>
    <col min="5" max="7" width="21" style="30"/>
    <col min="8" max="8" width="21" style="31"/>
    <col min="9" max="9" width="21" style="30"/>
    <col min="10" max="16384" width="21" style="27"/>
  </cols>
  <sheetData>
    <row r="1" spans="1:9" s="22" customFormat="1" x14ac:dyDescent="0.2">
      <c r="A1" s="18" t="s">
        <v>0</v>
      </c>
      <c r="B1" s="18" t="s">
        <v>1</v>
      </c>
      <c r="C1" s="18" t="s">
        <v>2</v>
      </c>
      <c r="D1" s="19" t="s">
        <v>38</v>
      </c>
      <c r="E1" s="20" t="s">
        <v>3</v>
      </c>
      <c r="F1" s="20" t="s">
        <v>4</v>
      </c>
      <c r="G1" s="20" t="s">
        <v>5</v>
      </c>
      <c r="H1" s="21" t="s">
        <v>6</v>
      </c>
      <c r="I1" s="20" t="s">
        <v>7</v>
      </c>
    </row>
    <row r="2" spans="1:9" s="34" customFormat="1" x14ac:dyDescent="0.2">
      <c r="A2" s="23">
        <v>45484</v>
      </c>
      <c r="B2" s="23">
        <v>45426</v>
      </c>
      <c r="C2" s="23">
        <v>45457</v>
      </c>
      <c r="D2" s="24">
        <v>31</v>
      </c>
      <c r="E2" s="25">
        <v>21.93</v>
      </c>
      <c r="F2" s="25">
        <v>29.06</v>
      </c>
      <c r="G2" s="25">
        <v>16.62</v>
      </c>
      <c r="H2" s="26">
        <v>0.70741940000000003</v>
      </c>
      <c r="I2" s="25">
        <f>SUM(E2:G2)</f>
        <v>67.61</v>
      </c>
    </row>
    <row r="3" spans="1:9" x14ac:dyDescent="0.2">
      <c r="A3" s="23">
        <v>45457</v>
      </c>
      <c r="B3" s="23">
        <v>45396</v>
      </c>
      <c r="C3" s="23">
        <v>45426</v>
      </c>
      <c r="D3" s="24">
        <v>30</v>
      </c>
      <c r="E3" s="25">
        <v>20.27</v>
      </c>
      <c r="F3" s="25">
        <v>30.28</v>
      </c>
      <c r="G3" s="25">
        <v>16.95</v>
      </c>
      <c r="H3" s="26">
        <v>0.67566669999999995</v>
      </c>
      <c r="I3" s="25">
        <f>SUM(E3:G3)</f>
        <v>67.5</v>
      </c>
    </row>
    <row r="4" spans="1:9" x14ac:dyDescent="0.2">
      <c r="A4" s="23">
        <v>45421</v>
      </c>
      <c r="B4" s="23">
        <v>45365</v>
      </c>
      <c r="C4" s="23">
        <v>45396</v>
      </c>
      <c r="D4" s="24">
        <v>31</v>
      </c>
      <c r="E4" s="25">
        <v>21.66</v>
      </c>
      <c r="F4" s="25">
        <v>38.75</v>
      </c>
      <c r="G4" s="25">
        <v>20.81</v>
      </c>
      <c r="H4" s="26">
        <v>0.69870969999999999</v>
      </c>
      <c r="I4" s="25">
        <f t="shared" ref="I4:I22" si="0">SUM(E4:G4)</f>
        <v>81.22</v>
      </c>
    </row>
    <row r="5" spans="1:9" x14ac:dyDescent="0.2">
      <c r="A5" s="23">
        <v>45393</v>
      </c>
      <c r="B5" s="23">
        <v>45336</v>
      </c>
      <c r="C5" s="23">
        <v>45365</v>
      </c>
      <c r="D5" s="24">
        <v>29</v>
      </c>
      <c r="E5" s="25">
        <v>20.12</v>
      </c>
      <c r="F5" s="25">
        <v>36.729999999999997</v>
      </c>
      <c r="G5" s="25">
        <v>19.670000000000002</v>
      </c>
      <c r="H5" s="26">
        <v>0.69379310000000005</v>
      </c>
      <c r="I5" s="25">
        <f t="shared" si="0"/>
        <v>76.52</v>
      </c>
    </row>
    <row r="6" spans="1:9" x14ac:dyDescent="0.2">
      <c r="A6" s="23">
        <v>45364</v>
      </c>
      <c r="B6" s="23">
        <v>45305</v>
      </c>
      <c r="C6" s="23">
        <v>45336</v>
      </c>
      <c r="D6" s="24">
        <v>31</v>
      </c>
      <c r="E6" s="25">
        <v>20.45</v>
      </c>
      <c r="F6" s="25">
        <v>43.63</v>
      </c>
      <c r="G6" s="25">
        <v>24.11</v>
      </c>
      <c r="H6" s="26">
        <v>0.65967739999999997</v>
      </c>
      <c r="I6" s="25">
        <f t="shared" si="0"/>
        <v>88.19</v>
      </c>
    </row>
    <row r="7" spans="1:9" x14ac:dyDescent="0.2">
      <c r="A7" s="23">
        <v>45335</v>
      </c>
      <c r="B7" s="23">
        <v>45274</v>
      </c>
      <c r="C7" s="23">
        <v>45305</v>
      </c>
      <c r="D7" s="24">
        <v>31</v>
      </c>
      <c r="E7" s="25">
        <v>20.190000000000001</v>
      </c>
      <c r="F7" s="25">
        <v>54.16</v>
      </c>
      <c r="G7" s="25">
        <v>30.67</v>
      </c>
      <c r="H7" s="26">
        <v>0.65129029999999999</v>
      </c>
      <c r="I7" s="25">
        <f t="shared" si="0"/>
        <v>105.02</v>
      </c>
    </row>
    <row r="8" spans="1:9" x14ac:dyDescent="0.2">
      <c r="A8" s="23">
        <v>45303</v>
      </c>
      <c r="B8" s="23">
        <v>45244</v>
      </c>
      <c r="C8" s="23">
        <v>45274</v>
      </c>
      <c r="D8" s="24">
        <v>30</v>
      </c>
      <c r="E8" s="25">
        <v>20.11</v>
      </c>
      <c r="F8" s="25">
        <v>40.42</v>
      </c>
      <c r="G8" s="25">
        <v>23.09</v>
      </c>
      <c r="H8" s="26">
        <v>0.67033330000000002</v>
      </c>
      <c r="I8" s="25">
        <f t="shared" si="0"/>
        <v>83.62</v>
      </c>
    </row>
    <row r="9" spans="1:9" x14ac:dyDescent="0.2">
      <c r="A9" s="23">
        <v>45273</v>
      </c>
      <c r="B9" s="23">
        <v>45213</v>
      </c>
      <c r="C9" s="23">
        <v>45244</v>
      </c>
      <c r="D9" s="24">
        <v>31</v>
      </c>
      <c r="E9" s="25">
        <v>18.22</v>
      </c>
      <c r="F9" s="25">
        <v>38.770000000000003</v>
      </c>
      <c r="G9" s="25">
        <v>23.03</v>
      </c>
      <c r="H9" s="26">
        <v>0.58774190000000004</v>
      </c>
      <c r="I9" s="25">
        <f t="shared" si="0"/>
        <v>80.02000000000001</v>
      </c>
    </row>
    <row r="10" spans="1:9" x14ac:dyDescent="0.2">
      <c r="A10" s="23">
        <v>45609</v>
      </c>
      <c r="B10" s="23">
        <v>45183</v>
      </c>
      <c r="C10" s="23">
        <v>45213</v>
      </c>
      <c r="D10" s="24">
        <v>30</v>
      </c>
      <c r="E10" s="25">
        <v>18.100000000000001</v>
      </c>
      <c r="F10" s="25">
        <v>33.450000000000003</v>
      </c>
      <c r="G10" s="25">
        <v>20.54</v>
      </c>
      <c r="H10" s="26">
        <v>0.60333329999999996</v>
      </c>
      <c r="I10" s="25">
        <f t="shared" si="0"/>
        <v>72.09</v>
      </c>
    </row>
    <row r="11" spans="1:9" x14ac:dyDescent="0.2">
      <c r="A11" s="23">
        <v>45211</v>
      </c>
      <c r="B11" s="23">
        <v>45152</v>
      </c>
      <c r="C11" s="23">
        <v>45183</v>
      </c>
      <c r="D11" s="24">
        <v>31</v>
      </c>
      <c r="E11" s="25">
        <v>17.84</v>
      </c>
      <c r="F11" s="25">
        <v>29.19</v>
      </c>
      <c r="G11" s="25">
        <v>18.02</v>
      </c>
      <c r="H11" s="26">
        <v>0.57548390000000005</v>
      </c>
      <c r="I11" s="25">
        <f t="shared" si="0"/>
        <v>65.05</v>
      </c>
    </row>
    <row r="12" spans="1:9" x14ac:dyDescent="0.2">
      <c r="A12" s="23">
        <v>45183</v>
      </c>
      <c r="B12" s="23">
        <v>45121</v>
      </c>
      <c r="C12" s="23">
        <v>45152</v>
      </c>
      <c r="D12" s="24">
        <v>31</v>
      </c>
      <c r="E12" s="25">
        <v>17.8</v>
      </c>
      <c r="F12" s="25">
        <v>25.92</v>
      </c>
      <c r="G12" s="25">
        <v>16.38</v>
      </c>
      <c r="H12" s="26">
        <v>0.57419350000000002</v>
      </c>
      <c r="I12" s="25">
        <f t="shared" si="0"/>
        <v>60.099999999999994</v>
      </c>
    </row>
    <row r="13" spans="1:9" x14ac:dyDescent="0.2">
      <c r="A13" s="23">
        <v>45145</v>
      </c>
      <c r="B13" s="23">
        <v>45091</v>
      </c>
      <c r="C13" s="23">
        <v>45121</v>
      </c>
      <c r="D13" s="24">
        <v>30</v>
      </c>
      <c r="E13" s="25">
        <v>17.55</v>
      </c>
      <c r="F13" s="25">
        <v>28.68</v>
      </c>
      <c r="G13" s="25">
        <v>17.88</v>
      </c>
      <c r="H13" s="26">
        <v>0.58499999999999996</v>
      </c>
      <c r="I13" s="25">
        <f t="shared" si="0"/>
        <v>64.11</v>
      </c>
    </row>
    <row r="14" spans="1:9" x14ac:dyDescent="0.2">
      <c r="A14" s="23">
        <v>45121</v>
      </c>
      <c r="B14" s="23">
        <v>45060</v>
      </c>
      <c r="C14" s="23">
        <v>45091</v>
      </c>
      <c r="D14" s="24">
        <v>31</v>
      </c>
      <c r="E14" s="25">
        <v>17.600000000000001</v>
      </c>
      <c r="F14" s="25">
        <v>27.28</v>
      </c>
      <c r="G14" s="25">
        <v>16.62</v>
      </c>
      <c r="H14" s="26">
        <v>0.56774190000000002</v>
      </c>
      <c r="I14" s="25">
        <f t="shared" si="0"/>
        <v>61.5</v>
      </c>
    </row>
    <row r="15" spans="1:9" x14ac:dyDescent="0.2">
      <c r="A15" s="23">
        <v>45090</v>
      </c>
      <c r="B15" s="23">
        <v>45030</v>
      </c>
      <c r="C15" s="23">
        <v>45060</v>
      </c>
      <c r="D15" s="24">
        <v>30</v>
      </c>
      <c r="E15" s="25">
        <v>17.39</v>
      </c>
      <c r="F15" s="25">
        <v>27.32</v>
      </c>
      <c r="G15" s="25">
        <v>16.8</v>
      </c>
      <c r="H15" s="26">
        <v>0.57966669999999998</v>
      </c>
      <c r="I15" s="25">
        <f t="shared" si="0"/>
        <v>61.510000000000005</v>
      </c>
    </row>
    <row r="16" spans="1:9" x14ac:dyDescent="0.2">
      <c r="A16" s="23">
        <v>45057</v>
      </c>
      <c r="B16" s="23">
        <v>44999</v>
      </c>
      <c r="C16" s="23">
        <v>45030</v>
      </c>
      <c r="D16" s="24">
        <v>31</v>
      </c>
      <c r="E16" s="25">
        <v>17.62</v>
      </c>
      <c r="F16" s="25">
        <v>28.9</v>
      </c>
      <c r="G16" s="25">
        <v>17.88</v>
      </c>
      <c r="H16" s="26">
        <v>0.56838710000000003</v>
      </c>
      <c r="I16" s="25">
        <f t="shared" si="0"/>
        <v>64.399999999999991</v>
      </c>
    </row>
    <row r="17" spans="1:9" x14ac:dyDescent="0.2">
      <c r="A17" s="23">
        <v>45029</v>
      </c>
      <c r="B17" s="23">
        <v>44971</v>
      </c>
      <c r="C17" s="23">
        <v>44999</v>
      </c>
      <c r="D17" s="24">
        <v>28</v>
      </c>
      <c r="E17" s="25">
        <v>17.87</v>
      </c>
      <c r="F17" s="25">
        <v>25.17</v>
      </c>
      <c r="G17" s="25">
        <v>15.51</v>
      </c>
      <c r="H17" s="26">
        <v>0.63821430000000001</v>
      </c>
      <c r="I17" s="25">
        <f t="shared" si="0"/>
        <v>58.550000000000004</v>
      </c>
    </row>
    <row r="18" spans="1:9" x14ac:dyDescent="0.2">
      <c r="A18" s="23">
        <v>44998</v>
      </c>
      <c r="B18" s="23">
        <v>44940</v>
      </c>
      <c r="C18" s="23">
        <v>44971</v>
      </c>
      <c r="D18" s="24">
        <v>31</v>
      </c>
      <c r="E18" s="25">
        <v>17.760000000000002</v>
      </c>
      <c r="F18" s="25">
        <v>25.94</v>
      </c>
      <c r="G18" s="25">
        <v>16.41</v>
      </c>
      <c r="H18" s="26">
        <v>0.57290319999999995</v>
      </c>
      <c r="I18" s="25">
        <f t="shared" si="0"/>
        <v>60.11</v>
      </c>
    </row>
    <row r="19" spans="1:9" x14ac:dyDescent="0.2">
      <c r="A19" s="23">
        <v>44971</v>
      </c>
      <c r="B19" s="23">
        <v>44909</v>
      </c>
      <c r="C19" s="23">
        <v>44940</v>
      </c>
      <c r="D19" s="24">
        <v>31</v>
      </c>
      <c r="E19" s="25">
        <v>17.04</v>
      </c>
      <c r="F19" s="25">
        <v>27.76</v>
      </c>
      <c r="G19" s="25">
        <v>18.03</v>
      </c>
      <c r="H19" s="26">
        <v>0.54967739999999998</v>
      </c>
      <c r="I19" s="25">
        <f t="shared" si="0"/>
        <v>62.83</v>
      </c>
    </row>
    <row r="20" spans="1:9" x14ac:dyDescent="0.2">
      <c r="A20" s="23">
        <v>44939</v>
      </c>
      <c r="B20" s="23">
        <v>44879</v>
      </c>
      <c r="C20" s="23">
        <v>44909</v>
      </c>
      <c r="D20" s="24">
        <v>30</v>
      </c>
      <c r="E20" s="25">
        <v>16.940000000000001</v>
      </c>
      <c r="F20" s="25">
        <v>24.34</v>
      </c>
      <c r="G20" s="25">
        <v>15.71</v>
      </c>
      <c r="H20" s="26">
        <v>0.56466669999999997</v>
      </c>
      <c r="I20" s="25">
        <f t="shared" si="0"/>
        <v>56.99</v>
      </c>
    </row>
    <row r="21" spans="1:9" x14ac:dyDescent="0.2">
      <c r="A21" s="23">
        <v>44909</v>
      </c>
      <c r="B21" s="23">
        <v>44848</v>
      </c>
      <c r="C21" s="23">
        <v>44879</v>
      </c>
      <c r="D21" s="24">
        <v>31</v>
      </c>
      <c r="E21" s="25">
        <v>16.71</v>
      </c>
      <c r="F21" s="25">
        <v>21.95</v>
      </c>
      <c r="G21" s="25">
        <v>14.55</v>
      </c>
      <c r="H21" s="26">
        <v>0.53903230000000002</v>
      </c>
      <c r="I21" s="25">
        <f t="shared" si="0"/>
        <v>53.209999999999994</v>
      </c>
    </row>
    <row r="22" spans="1:9" x14ac:dyDescent="0.2">
      <c r="A22" s="23">
        <v>44880</v>
      </c>
      <c r="B22" s="23">
        <v>44829</v>
      </c>
      <c r="C22" s="23">
        <v>44848</v>
      </c>
      <c r="D22" s="24">
        <v>19</v>
      </c>
      <c r="E22" s="25">
        <v>10.72</v>
      </c>
      <c r="F22" s="25">
        <v>14.36</v>
      </c>
      <c r="G22" s="25">
        <v>9.52</v>
      </c>
      <c r="H22" s="26">
        <v>0.56421049999999995</v>
      </c>
      <c r="I22" s="25">
        <f t="shared" si="0"/>
        <v>34.599999999999994</v>
      </c>
    </row>
  </sheetData>
  <pageMargins left="0.7" right="0.7" top="0.75" bottom="0.75" header="0.3" footer="0.3"/>
  <ignoredErrors>
    <ignoredError sqref="I2:I4 I5:I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Forecasts</vt:lpstr>
      <vt:lpstr>YrMoUtilities</vt:lpstr>
      <vt:lpstr>YrPivot</vt:lpstr>
      <vt:lpstr>Seasonal</vt:lpstr>
      <vt:lpstr>PerChange</vt:lpstr>
      <vt:lpstr>Trends</vt:lpstr>
      <vt:lpstr>RateDaysCorrelations</vt:lpstr>
      <vt:lpstr>UtilityCorrelations</vt:lpstr>
      <vt:lpstr>CPDandRate</vt:lpstr>
      <vt:lpstr>Breakdown</vt:lpstr>
      <vt:lpstr>SummaryStats</vt:lpstr>
      <vt:lpstr>SummaryUtilitieswSep22</vt:lpstr>
      <vt:lpstr>CleanUtilities</vt:lpstr>
      <vt:lpstr>RawUtilities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Akinyemi</dc:creator>
  <cp:lastModifiedBy>Dominique Akinyemi</cp:lastModifiedBy>
  <dcterms:created xsi:type="dcterms:W3CDTF">2024-06-15T03:20:49Z</dcterms:created>
  <dcterms:modified xsi:type="dcterms:W3CDTF">2024-07-20T06:17:12Z</dcterms:modified>
</cp:coreProperties>
</file>