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hali/Downloads/"/>
    </mc:Choice>
  </mc:AlternateContent>
  <xr:revisionPtr revIDLastSave="0" documentId="13_ncr:1_{1228ACC9-5CC4-164F-A60E-D913C5B9E0C7}" xr6:coauthVersionLast="47" xr6:coauthVersionMax="47" xr10:uidLastSave="{00000000-0000-0000-0000-000000000000}"/>
  <bookViews>
    <workbookView xWindow="6820" yWindow="640" windowWidth="15600" windowHeight="16140" tabRatio="500" activeTab="2" xr2:uid="{00000000-000D-0000-FFFF-FFFF00000000}"/>
  </bookViews>
  <sheets>
    <sheet name="Financials" sheetId="1" r:id="rId1"/>
    <sheet name="WACC" sheetId="2" r:id="rId2"/>
    <sheet name="DC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4" i="3" l="1"/>
  <c r="B22" i="3"/>
  <c r="B26" i="3"/>
  <c r="B20" i="3"/>
  <c r="B19" i="3"/>
  <c r="G22" i="3"/>
  <c r="L17" i="3"/>
  <c r="J17" i="3"/>
  <c r="B13" i="3"/>
  <c r="G11" i="3"/>
  <c r="F11" i="3"/>
  <c r="K11" i="3" s="1"/>
  <c r="B11" i="3"/>
  <c r="I4" i="3"/>
  <c r="H4" i="3"/>
  <c r="G4" i="3"/>
  <c r="F5" i="3"/>
  <c r="G38" i="3"/>
  <c r="G33" i="3"/>
  <c r="G32" i="3"/>
  <c r="G31" i="3"/>
  <c r="B21" i="3"/>
  <c r="H12" i="3"/>
  <c r="I12" i="3"/>
  <c r="J12" i="3"/>
  <c r="K12" i="3"/>
  <c r="G12" i="3"/>
  <c r="K6" i="3"/>
  <c r="I6" i="3"/>
  <c r="J6" i="3" s="1"/>
  <c r="H6" i="3"/>
  <c r="G6" i="3"/>
  <c r="G8" i="3"/>
  <c r="F9" i="3"/>
  <c r="F13" i="3"/>
  <c r="G13" i="3" s="1"/>
  <c r="G17" i="3" s="1"/>
  <c r="B12" i="3"/>
  <c r="F12" i="3"/>
  <c r="C13" i="3"/>
  <c r="D13" i="3"/>
  <c r="E13" i="3"/>
  <c r="C12" i="3"/>
  <c r="D12" i="3"/>
  <c r="E12" i="3"/>
  <c r="C11" i="3"/>
  <c r="D11" i="3"/>
  <c r="E11" i="3"/>
  <c r="F7" i="3"/>
  <c r="D7" i="3"/>
  <c r="E7" i="3"/>
  <c r="C7" i="3"/>
  <c r="D5" i="3"/>
  <c r="E5" i="3"/>
  <c r="C5" i="3"/>
  <c r="C8" i="3"/>
  <c r="D8" i="3"/>
  <c r="E8" i="3"/>
  <c r="B8" i="3"/>
  <c r="C6" i="3"/>
  <c r="D6" i="3"/>
  <c r="E6" i="3"/>
  <c r="B6" i="3"/>
  <c r="C4" i="3"/>
  <c r="D4" i="3"/>
  <c r="E4" i="3"/>
  <c r="B4" i="3"/>
  <c r="C9" i="3"/>
  <c r="D9" i="3"/>
  <c r="E9" i="3"/>
  <c r="B9" i="3"/>
  <c r="B2" i="2"/>
  <c r="E100" i="1"/>
  <c r="D100" i="1"/>
  <c r="C100" i="1"/>
  <c r="B100" i="1"/>
  <c r="E73" i="1"/>
  <c r="B73" i="1"/>
  <c r="E67" i="1"/>
  <c r="E66" i="1" s="1"/>
  <c r="E83" i="1" s="1"/>
  <c r="D67" i="1"/>
  <c r="D66" i="1" s="1"/>
  <c r="D83" i="1" s="1"/>
  <c r="C67" i="1"/>
  <c r="C66" i="1" s="1"/>
  <c r="C83" i="1" s="1"/>
  <c r="B67" i="1"/>
  <c r="E59" i="1"/>
  <c r="C59" i="1"/>
  <c r="B59" i="1"/>
  <c r="B66" i="1" s="1"/>
  <c r="E50" i="1"/>
  <c r="D50" i="1"/>
  <c r="C50" i="1"/>
  <c r="B50" i="1"/>
  <c r="D49" i="1"/>
  <c r="E40" i="1"/>
  <c r="D40" i="1"/>
  <c r="C40" i="1"/>
  <c r="B40" i="1"/>
  <c r="E39" i="1"/>
  <c r="E49" i="1" s="1"/>
  <c r="D39" i="1"/>
  <c r="C39" i="1"/>
  <c r="C49" i="1" s="1"/>
  <c r="B39" i="1"/>
  <c r="B49" i="1" s="1"/>
  <c r="E8" i="1"/>
  <c r="D8" i="1"/>
  <c r="C8" i="1"/>
  <c r="B8" i="1"/>
  <c r="E7" i="1"/>
  <c r="E15" i="1" s="1"/>
  <c r="E19" i="1" s="1"/>
  <c r="D7" i="1"/>
  <c r="D15" i="1" s="1"/>
  <c r="D19" i="1" s="1"/>
  <c r="C7" i="1"/>
  <c r="C15" i="1" s="1"/>
  <c r="C19" i="1" s="1"/>
  <c r="B7" i="1"/>
  <c r="B15" i="1" s="1"/>
  <c r="B19" i="1" s="1"/>
  <c r="E3" i="1"/>
  <c r="D3" i="1"/>
  <c r="C3" i="1"/>
  <c r="B3" i="1"/>
  <c r="I13" i="3" l="1"/>
  <c r="I17" i="3" s="1"/>
  <c r="H13" i="3"/>
  <c r="H17" i="3" s="1"/>
  <c r="K13" i="3"/>
  <c r="K17" i="3" s="1"/>
  <c r="J13" i="3"/>
  <c r="I11" i="3"/>
  <c r="J11" i="3"/>
  <c r="H11" i="3"/>
  <c r="E21" i="1"/>
  <c r="E25" i="1" s="1"/>
  <c r="E27" i="1" s="1"/>
  <c r="E29" i="1" s="1"/>
  <c r="E31" i="1" s="1"/>
  <c r="E33" i="1" s="1"/>
  <c r="J4" i="2"/>
  <c r="B13" i="2"/>
  <c r="B83" i="1"/>
  <c r="G4" i="2"/>
  <c r="B9" i="2" s="1"/>
  <c r="B7" i="2" s="1"/>
  <c r="B21" i="1"/>
  <c r="B25" i="1" s="1"/>
  <c r="B27" i="1" s="1"/>
  <c r="B29" i="1" s="1"/>
  <c r="B31" i="1" s="1"/>
  <c r="B33" i="1" s="1"/>
  <c r="B12" i="2"/>
  <c r="C21" i="1"/>
  <c r="C25" i="1" s="1"/>
  <c r="C27" i="1" s="1"/>
  <c r="C29" i="1" s="1"/>
  <c r="C31" i="1" s="1"/>
  <c r="C33" i="1" s="1"/>
  <c r="H4" i="2"/>
  <c r="D21" i="1"/>
  <c r="D25" i="1" s="1"/>
  <c r="D27" i="1" s="1"/>
  <c r="D29" i="1" s="1"/>
  <c r="D31" i="1" s="1"/>
  <c r="D33" i="1" s="1"/>
  <c r="I4" i="2"/>
  <c r="H8" i="3" l="1"/>
  <c r="B11" i="2"/>
  <c r="J4" i="3" l="1"/>
  <c r="I8" i="3"/>
  <c r="K4" i="3" l="1"/>
  <c r="K8" i="3" s="1"/>
  <c r="J8" i="3"/>
</calcChain>
</file>

<file path=xl/sharedStrings.xml><?xml version="1.0" encoding="utf-8"?>
<sst xmlns="http://schemas.openxmlformats.org/spreadsheetml/2006/main" count="159" uniqueCount="154">
  <si>
    <t>BMW Income Statement</t>
  </si>
  <si>
    <t>EUR, '000 000</t>
  </si>
  <si>
    <t>Total Revenue</t>
  </si>
  <si>
    <t xml:space="preserve">   Revenue</t>
  </si>
  <si>
    <t xml:space="preserve">   Other Revenue, Total</t>
  </si>
  <si>
    <t>Cost of Revenue, Total</t>
  </si>
  <si>
    <t>Gross Profit</t>
  </si>
  <si>
    <t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</si>
  <si>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</si>
  <si>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</si>
  <si>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</si>
  <si>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</si>
  <si>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</si>
  <si>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</si>
  <si>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</si>
  <si>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</si>
  <si>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</si>
  <si>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</si>
  <si>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</si>
  <si>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</si>
  <si>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</si>
  <si>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</si>
  <si>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</si>
  <si>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</si>
  <si>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</si>
  <si>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</si>
  <si>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</si>
  <si>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</si>
  <si>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</si>
  <si>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</si>
  <si>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</si>
  <si>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</si>
  <si>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</si>
  <si>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</si>
  <si>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</si>
  <si>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BMW Balance Sheet</t>
  </si>
  <si>
    <t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</si>
  <si>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</si>
  <si>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</si>
  <si>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</si>
  <si>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</si>
  <si>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</si>
  <si>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</si>
  <si>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</si>
  <si>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</si>
  <si>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</si>
  <si>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</si>
  <si>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</si>
  <si>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</si>
  <si>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</si>
  <si>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</si>
  <si>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</si>
  <si>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</si>
  <si>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</si>
  <si>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</si>
  <si>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</si>
  <si>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</si>
  <si>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</si>
  <si>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</si>
  <si>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</si>
  <si>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</si>
  <si>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</si>
  <si>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</si>
  <si>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</si>
  <si>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</si>
  <si>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</si>
  <si>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</si>
  <si>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</si>
  <si>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</si>
  <si>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</si>
  <si>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</si>
  <si>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</si>
  <si>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</si>
  <si>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</si>
  <si>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</si>
  <si>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</si>
  <si>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</si>
  <si>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</si>
  <si>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</si>
  <si>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</si>
  <si>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</si>
  <si>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</si>
  <si>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</si>
  <si>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</si>
  <si>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</si>
  <si>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</si>
  <si>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</si>
  <si>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</si>
  <si>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</si>
  <si>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</si>
  <si>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</si>
  <si>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</si>
  <si>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</si>
  <si>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</si>
  <si>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</si>
  <si>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</si>
  <si>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</si>
  <si>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</si>
  <si>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</si>
  <si>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</si>
  <si>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</si>
  <si>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</si>
  <si>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</si>
  <si>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</si>
  <si>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</si>
  <si>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</si>
  <si>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</si>
  <si>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</si>
  <si>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</si>
  <si>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</si>
  <si>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BMW financial statements: https://www.investing.com/equities/bay-mot-werke-financial-summary</t>
  </si>
  <si>
    <t>Comments</t>
  </si>
  <si>
    <t>Cost of Equity</t>
  </si>
  <si>
    <t>Tax Schedule</t>
  </si>
  <si>
    <t xml:space="preserve">     Equity Risk Premium</t>
  </si>
  <si>
    <t>Market Risk Premium in Germany as of 2019 according to Statista</t>
  </si>
  <si>
    <t xml:space="preserve"> (x) Beta</t>
  </si>
  <si>
    <t>Calculated in Introduction to Valuation with WACC</t>
  </si>
  <si>
    <t xml:space="preserve"> (+) Risk Free Rate</t>
  </si>
  <si>
    <t>Yearly Risk Free Rate in Germany as of 2019 according to Statista</t>
  </si>
  <si>
    <t>Cost of Debt</t>
  </si>
  <si>
    <t xml:space="preserve">      Average Yield on Debt</t>
  </si>
  <si>
    <t>Coupon of BMW bonds</t>
  </si>
  <si>
    <t xml:space="preserve"> (x) Tax Shield</t>
  </si>
  <si>
    <t>WACC</t>
  </si>
  <si>
    <t xml:space="preserve">  Percent of equity</t>
  </si>
  <si>
    <t>. Percent of debt</t>
  </si>
  <si>
    <t>FCF = EBIT*(1-Tax Rate) + Depreciation &amp; Amortization - Net Capex - Increase in Working Capital</t>
  </si>
  <si>
    <t>Average</t>
  </si>
  <si>
    <t>Exit</t>
  </si>
  <si>
    <t>Revenue</t>
  </si>
  <si>
    <t>Revenue Growth</t>
  </si>
  <si>
    <t>Expenses Growth</t>
  </si>
  <si>
    <t>EBIT</t>
  </si>
  <si>
    <t>Tax Rate</t>
  </si>
  <si>
    <t>+ Depreciation &amp; Amortization</t>
  </si>
  <si>
    <t>- Net Capital Expenditure</t>
  </si>
  <si>
    <t>- Change in Working Capital</t>
  </si>
  <si>
    <t>FCF</t>
  </si>
  <si>
    <t>NPV of FCF (Enterprise Value)</t>
  </si>
  <si>
    <t>+ Cash and Cash Equivalents</t>
  </si>
  <si>
    <t>EV/EBITDA multiple</t>
  </si>
  <si>
    <t>- Debt</t>
  </si>
  <si>
    <t>Terminal value</t>
  </si>
  <si>
    <t>Equity Value</t>
  </si>
  <si>
    <t>EV/EBITDA</t>
  </si>
  <si>
    <t>Shares outstanding (mln)</t>
  </si>
  <si>
    <t>Fair value per share</t>
  </si>
  <si>
    <t>Market price (as of 30 Dec 2019)</t>
  </si>
  <si>
    <t>Growth forecast</t>
  </si>
  <si>
    <t>Recommendation</t>
  </si>
  <si>
    <t>SELL</t>
  </si>
  <si>
    <t>NPV of FCF</t>
  </si>
  <si>
    <t>Fair value/share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</si>
</sst>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#,##0.00;\(#,##0.00\)"/>
    <numFmt numFmtId="165" formatCode="#,##0;\(#,##0\)"/>
    <numFmt numFmtId="166" formatCode="0.000"/>
  </numFmts>
  <fonts count="19" x14ac:knownFonts="1">
    <font>
      <sz val="10"/>
      <color rgb="FF000000"/>
      <name val="Arial"/>
      <charset val="1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sz val="12"/>
      <color rgb="FF000000"/>
      <name val="Arial"/>
      <family val="2"/>
    </font>
    <font>
      <b/>
      <sz val="10"/>
      <color rgb="FF0000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FF"/>
      <name val="Arial"/>
      <family val="2"/>
    </font>
    <font>
      <i/>
      <sz val="11"/>
      <color rgb="FF000000"/>
      <name val="Arial"/>
      <family val="2"/>
    </font>
    <font>
      <sz val="11"/>
      <color rgb="FF1155CC"/>
      <name val="Inconsolata"/>
      <charset val="1"/>
    </font>
    <font>
      <sz val="11"/>
      <name val="Cambria"/>
      <family val="1"/>
    </font>
    <font>
      <i/>
      <sz val="11"/>
      <name val="Cambria"/>
      <family val="1"/>
    </font>
    <font>
      <b/>
      <sz val="11"/>
      <name val="Cambria"/>
      <family val="1"/>
    </font>
    <font>
      <sz val="11"/>
      <color rgb="FF0000FF"/>
      <name val="Cambria"/>
      <family val="1"/>
    </font>
    <font>
      <sz val="10"/>
      <color rgb="FF000000"/>
      <name val="Arial"/>
      <family val="2"/>
    </font>
    <font>
      <b/>
      <sz val="11"/>
      <color rgb="FFFF0000"/>
      <name val="Cambria"/>
      <family val="1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B5394"/>
        <bgColor rgb="FF1155CC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4" fillId="0" borderId="0" xfId="0" applyNumberFormat="1" applyFont="1" applyAlignment="1">
      <alignment horizontal="right"/>
    </xf>
    <xf numFmtId="0" fontId="5" fillId="3" borderId="0" xfId="0" applyFont="1" applyFill="1"/>
    <xf numFmtId="0" fontId="5" fillId="0" borderId="0" xfId="0" applyFont="1"/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6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/>
    <xf numFmtId="0" fontId="10" fillId="0" borderId="0" xfId="0" applyFont="1"/>
    <xf numFmtId="10" fontId="7" fillId="0" borderId="0" xfId="0" applyNumberFormat="1" applyFont="1"/>
    <xf numFmtId="1" fontId="7" fillId="0" borderId="0" xfId="0" applyNumberFormat="1" applyFont="1"/>
    <xf numFmtId="0" fontId="11" fillId="3" borderId="0" xfId="0" applyFont="1" applyFill="1" applyAlignment="1">
      <alignment horizontal="left"/>
    </xf>
    <xf numFmtId="0" fontId="7" fillId="0" borderId="1" xfId="0" applyFont="1" applyBorder="1"/>
    <xf numFmtId="0" fontId="0" fillId="0" borderId="1" xfId="0" applyBorder="1"/>
    <xf numFmtId="0" fontId="8" fillId="0" borderId="1" xfId="0" applyFont="1" applyBorder="1"/>
    <xf numFmtId="0" fontId="10" fillId="0" borderId="1" xfId="0" applyFont="1" applyBorder="1"/>
    <xf numFmtId="165" fontId="12" fillId="4" borderId="1" xfId="0" applyNumberFormat="1" applyFont="1" applyFill="1" applyBorder="1"/>
    <xf numFmtId="10" fontId="12" fillId="4" borderId="1" xfId="0" applyNumberFormat="1" applyFont="1" applyFill="1" applyBorder="1"/>
    <xf numFmtId="165" fontId="12" fillId="0" borderId="1" xfId="0" applyNumberFormat="1" applyFont="1" applyBorder="1"/>
    <xf numFmtId="0" fontId="13" fillId="0" borderId="1" xfId="0" applyFont="1" applyBorder="1"/>
    <xf numFmtId="10" fontId="1" fillId="5" borderId="1" xfId="1" applyNumberFormat="1" applyFill="1" applyBorder="1"/>
    <xf numFmtId="10" fontId="0" fillId="5" borderId="1" xfId="0" applyNumberFormat="1" applyFill="1" applyBorder="1"/>
    <xf numFmtId="0" fontId="12" fillId="4" borderId="1" xfId="0" applyFont="1" applyFill="1" applyBorder="1"/>
    <xf numFmtId="0" fontId="0" fillId="5" borderId="1" xfId="0" applyFill="1" applyBorder="1"/>
    <xf numFmtId="1" fontId="14" fillId="4" borderId="1" xfId="0" applyNumberFormat="1" applyFont="1" applyFill="1" applyBorder="1"/>
    <xf numFmtId="165" fontId="8" fillId="4" borderId="1" xfId="0" applyNumberFormat="1" applyFont="1" applyFill="1" applyBorder="1"/>
    <xf numFmtId="1" fontId="0" fillId="0" borderId="1" xfId="0" applyNumberFormat="1" applyBorder="1"/>
    <xf numFmtId="165" fontId="14" fillId="4" borderId="1" xfId="0" applyNumberFormat="1" applyFont="1" applyFill="1" applyBorder="1"/>
    <xf numFmtId="0" fontId="9" fillId="0" borderId="1" xfId="0" applyFont="1" applyBorder="1"/>
    <xf numFmtId="0" fontId="15" fillId="0" borderId="1" xfId="0" applyFont="1" applyBorder="1"/>
    <xf numFmtId="2" fontId="14" fillId="4" borderId="1" xfId="0" applyNumberFormat="1" applyFont="1" applyFill="1" applyBorder="1"/>
    <xf numFmtId="0" fontId="16" fillId="0" borderId="1" xfId="0" applyFont="1" applyBorder="1"/>
    <xf numFmtId="10" fontId="17" fillId="4" borderId="1" xfId="0" applyNumberFormat="1" applyFont="1" applyFill="1" applyBorder="1"/>
    <xf numFmtId="0" fontId="18" fillId="0" borderId="1" xfId="0" applyFont="1" applyBorder="1"/>
    <xf numFmtId="8" fontId="0" fillId="0" borderId="1" xfId="0" applyNumberFormat="1" applyBorder="1"/>
    <xf numFmtId="10" fontId="8" fillId="0" borderId="1" xfId="0" applyNumberFormat="1" applyFont="1" applyBorder="1"/>
    <xf numFmtId="10" fontId="9" fillId="0" borderId="1" xfId="0" applyNumberFormat="1" applyFont="1" applyBorder="1"/>
    <xf numFmtId="166" fontId="9" fillId="0" borderId="1" xfId="0" applyNumberFormat="1" applyFont="1" applyBorder="1"/>
    <xf numFmtId="10" fontId="7" fillId="0" borderId="1" xfId="0" applyNumberFormat="1" applyFont="1" applyBorder="1"/>
    <xf numFmtId="10" fontId="0" fillId="6" borderId="1" xfId="0" applyNumberFormat="1" applyFill="1" applyBorder="1"/>
    <xf numFmtId="0" fontId="7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B539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"/>
  <sheetViews>
    <sheetView zoomScale="150" zoomScaleNormal="100" workbookViewId="0"/>
  </sheetViews>
  <sheetFormatPr baseColWidth="10" defaultColWidth="14.5" defaultRowHeight="13" x14ac:dyDescent="0.15"/>
  <cols>
    <col min="1" max="1" width="54.5" customWidth="1"/>
    <col min="2" max="4" width="9.5" customWidth="1"/>
    <col min="5" max="5" width="10.5" customWidth="1"/>
  </cols>
  <sheetData>
    <row r="1" spans="1:8" x14ac:dyDescent="0.15">
      <c r="A1" s="1" t="s">
        <v>0</v>
      </c>
      <c r="B1" s="1"/>
      <c r="C1" s="1"/>
      <c r="D1" s="1"/>
      <c r="E1" s="1"/>
    </row>
    <row r="2" spans="1:8" x14ac:dyDescent="0.15">
      <c r="A2" s="2" t="s">
        <v>1</v>
      </c>
      <c r="B2" s="1">
        <v>2016</v>
      </c>
      <c r="C2" s="1">
        <v>2017</v>
      </c>
      <c r="D2" s="1">
        <v>2018</v>
      </c>
      <c r="E2" s="1">
        <v>2019</v>
      </c>
    </row>
    <row r="3" spans="1:8" x14ac:dyDescent="0.15">
      <c r="A3" s="3" t="s">
        <v>2</v>
      </c>
      <c r="B3" s="4">
        <f>SUM(B4:B5)</f>
        <v>94163</v>
      </c>
      <c r="C3" s="4">
        <f>SUM(C4:C5)</f>
        <v>98282</v>
      </c>
      <c r="D3" s="4">
        <f>SUM(D4:D5)</f>
        <v>96855</v>
      </c>
      <c r="E3" s="4">
        <f>SUM(E4:E5)</f>
        <v>104210</v>
      </c>
    </row>
    <row r="4" spans="1:8" x14ac:dyDescent="0.15">
      <c r="A4" s="5" t="s">
        <v>3</v>
      </c>
      <c r="B4" s="6">
        <v>94163</v>
      </c>
      <c r="C4" s="6">
        <v>98282</v>
      </c>
      <c r="D4" s="6">
        <v>96855</v>
      </c>
      <c r="E4" s="6">
        <v>104210</v>
      </c>
    </row>
    <row r="5" spans="1:8" ht="16" x14ac:dyDescent="0.2">
      <c r="A5" s="5" t="s">
        <v>4</v>
      </c>
      <c r="B5" s="6">
        <v>0</v>
      </c>
      <c r="C5" s="6">
        <v>0</v>
      </c>
      <c r="D5" s="6">
        <v>0</v>
      </c>
      <c r="E5" s="6">
        <v>0</v>
      </c>
      <c r="H5" s="7"/>
    </row>
    <row r="6" spans="1:8" ht="16" x14ac:dyDescent="0.2">
      <c r="A6" s="5" t="s">
        <v>5</v>
      </c>
      <c r="B6" s="6">
        <v>75442</v>
      </c>
      <c r="C6" s="6">
        <v>78329</v>
      </c>
      <c r="D6" s="6">
        <v>78477</v>
      </c>
      <c r="E6" s="6">
        <v>86147</v>
      </c>
      <c r="H6" s="7"/>
    </row>
    <row r="7" spans="1:8" x14ac:dyDescent="0.15">
      <c r="A7" s="3" t="s">
        <v>6</v>
      </c>
      <c r="B7" s="4">
        <f>B3-B6</f>
        <v>18721</v>
      </c>
      <c r="C7" s="4">
        <f>C3-C6</f>
        <v>19953</v>
      </c>
      <c r="D7" s="4">
        <f>D3-D6</f>
        <v>18378</v>
      </c>
      <c r="E7" s="4">
        <f>E3-E6</f>
        <v>18063</v>
      </c>
    </row>
    <row r="8" spans="1:8" ht="16" x14ac:dyDescent="0.2">
      <c r="A8" s="3" t="s">
        <v>7</v>
      </c>
      <c r="B8" s="4">
        <f>B6+SUM(B9:B14)</f>
        <v>84777</v>
      </c>
      <c r="C8" s="4">
        <f>C6+SUM(C9:C14)</f>
        <v>88383</v>
      </c>
      <c r="D8" s="4">
        <f>D6+SUM(D9:D14)</f>
        <v>87922</v>
      </c>
      <c r="E8" s="4">
        <f>E6+SUM(E9:E14)</f>
        <v>96799</v>
      </c>
      <c r="H8" s="8"/>
    </row>
    <row r="9" spans="1:8" ht="16" x14ac:dyDescent="0.2">
      <c r="A9" s="5" t="s">
        <v>8</v>
      </c>
      <c r="B9" s="6">
        <v>9158</v>
      </c>
      <c r="C9" s="6">
        <v>9560</v>
      </c>
      <c r="D9" s="6">
        <v>9568</v>
      </c>
      <c r="E9" s="6">
        <v>9367</v>
      </c>
      <c r="H9" s="8"/>
    </row>
    <row r="10" spans="1:8" x14ac:dyDescent="0.15">
      <c r="A10" s="5" t="s">
        <v>9</v>
      </c>
      <c r="B10" s="6">
        <v>0</v>
      </c>
      <c r="C10" s="6">
        <v>0</v>
      </c>
      <c r="D10" s="6">
        <v>0</v>
      </c>
      <c r="E10" s="6">
        <v>0</v>
      </c>
    </row>
    <row r="11" spans="1:8" ht="16" x14ac:dyDescent="0.2">
      <c r="A11" s="5" t="s">
        <v>10</v>
      </c>
      <c r="B11" s="6">
        <v>0</v>
      </c>
      <c r="C11" s="6">
        <v>0</v>
      </c>
      <c r="D11" s="6">
        <v>0</v>
      </c>
      <c r="E11" s="6">
        <v>0</v>
      </c>
      <c r="H11" s="8"/>
    </row>
    <row r="12" spans="1:8" ht="16" x14ac:dyDescent="0.2">
      <c r="A12" s="5" t="s">
        <v>11</v>
      </c>
      <c r="B12" s="6">
        <v>-13</v>
      </c>
      <c r="C12" s="6">
        <v>-36</v>
      </c>
      <c r="D12" s="6">
        <v>-50</v>
      </c>
      <c r="E12" s="6">
        <v>33</v>
      </c>
      <c r="H12" s="8"/>
    </row>
    <row r="13" spans="1:8" x14ac:dyDescent="0.15">
      <c r="A13" s="5" t="s">
        <v>12</v>
      </c>
      <c r="B13" s="6">
        <v>-69</v>
      </c>
      <c r="C13" s="6">
        <v>-59</v>
      </c>
      <c r="D13" s="6">
        <v>-63</v>
      </c>
      <c r="E13" s="6">
        <v>124</v>
      </c>
    </row>
    <row r="14" spans="1:8" x14ac:dyDescent="0.15">
      <c r="A14" s="5" t="s">
        <v>13</v>
      </c>
      <c r="B14" s="6">
        <v>259</v>
      </c>
      <c r="C14" s="6">
        <v>589</v>
      </c>
      <c r="D14" s="6">
        <v>-10</v>
      </c>
      <c r="E14" s="6">
        <v>1128</v>
      </c>
    </row>
    <row r="15" spans="1:8" x14ac:dyDescent="0.15">
      <c r="A15" s="9" t="s">
        <v>14</v>
      </c>
      <c r="B15" s="4">
        <f>B7-SUM(B9:B14)</f>
        <v>9386</v>
      </c>
      <c r="C15" s="4">
        <f>C7-SUM(C9:C14)</f>
        <v>9899</v>
      </c>
      <c r="D15" s="4">
        <f>D7-SUM(D9:D14)</f>
        <v>8933</v>
      </c>
      <c r="E15" s="4">
        <f>E7-SUM(E9:E14)</f>
        <v>7411</v>
      </c>
    </row>
    <row r="16" spans="1:8" x14ac:dyDescent="0.15">
      <c r="A16" s="10" t="s">
        <v>15</v>
      </c>
      <c r="B16" s="6">
        <v>363</v>
      </c>
      <c r="C16" s="6">
        <v>842</v>
      </c>
      <c r="D16" s="6">
        <v>785</v>
      </c>
      <c r="E16" s="6">
        <v>-67</v>
      </c>
    </row>
    <row r="17" spans="1:5" x14ac:dyDescent="0.15">
      <c r="A17" s="10" t="s">
        <v>16</v>
      </c>
      <c r="B17" s="6">
        <v>0</v>
      </c>
      <c r="C17" s="6">
        <v>0</v>
      </c>
      <c r="D17" s="6">
        <v>0</v>
      </c>
      <c r="E17" s="6">
        <v>0</v>
      </c>
    </row>
    <row r="18" spans="1:5" x14ac:dyDescent="0.15">
      <c r="A18" s="10" t="s">
        <v>17</v>
      </c>
      <c r="B18" s="6">
        <v>-84</v>
      </c>
      <c r="C18" s="6">
        <v>-66</v>
      </c>
      <c r="D18" s="6">
        <v>-91</v>
      </c>
      <c r="E18" s="6">
        <v>-226</v>
      </c>
    </row>
    <row r="19" spans="1:5" x14ac:dyDescent="0.15">
      <c r="A19" s="9" t="s">
        <v>18</v>
      </c>
      <c r="B19" s="4">
        <f>SUM(B15:B18)</f>
        <v>9665</v>
      </c>
      <c r="C19" s="4">
        <f>SUM(C15:C18)</f>
        <v>10675</v>
      </c>
      <c r="D19" s="4">
        <f>SUM(D15:D18)</f>
        <v>9627</v>
      </c>
      <c r="E19" s="4">
        <f>SUM(E15:E18)</f>
        <v>7118</v>
      </c>
    </row>
    <row r="20" spans="1:5" x14ac:dyDescent="0.15">
      <c r="A20" s="10" t="s">
        <v>19</v>
      </c>
      <c r="B20" s="6">
        <v>2755</v>
      </c>
      <c r="C20" s="6">
        <v>2000</v>
      </c>
      <c r="D20" s="6">
        <v>2530</v>
      </c>
      <c r="E20" s="6">
        <v>2140</v>
      </c>
    </row>
    <row r="21" spans="1:5" x14ac:dyDescent="0.15">
      <c r="A21" s="9" t="s">
        <v>20</v>
      </c>
      <c r="B21" s="4">
        <f>B19-B20</f>
        <v>6910</v>
      </c>
      <c r="C21" s="4">
        <f>C19-C20</f>
        <v>8675</v>
      </c>
      <c r="D21" s="4">
        <f>D19-D20</f>
        <v>7097</v>
      </c>
      <c r="E21" s="4">
        <f>E19-E20</f>
        <v>4978</v>
      </c>
    </row>
    <row r="22" spans="1:5" x14ac:dyDescent="0.15">
      <c r="A22" s="10" t="s">
        <v>21</v>
      </c>
      <c r="B22" s="6">
        <v>-47</v>
      </c>
      <c r="C22" s="6">
        <v>-86</v>
      </c>
      <c r="D22" s="6">
        <v>-90</v>
      </c>
      <c r="E22" s="6">
        <v>-107</v>
      </c>
    </row>
    <row r="23" spans="1:5" x14ac:dyDescent="0.15">
      <c r="A23" s="10" t="s">
        <v>22</v>
      </c>
      <c r="B23" s="6">
        <v>0</v>
      </c>
      <c r="C23" s="6">
        <v>0</v>
      </c>
      <c r="D23" s="6">
        <v>0</v>
      </c>
      <c r="E23" s="6">
        <v>0</v>
      </c>
    </row>
    <row r="24" spans="1:5" x14ac:dyDescent="0.15">
      <c r="A24" s="10" t="s">
        <v>23</v>
      </c>
      <c r="B24" s="6">
        <v>0</v>
      </c>
      <c r="C24" s="6">
        <v>0</v>
      </c>
      <c r="D24" s="6">
        <v>0</v>
      </c>
      <c r="E24" s="6">
        <v>0</v>
      </c>
    </row>
    <row r="25" spans="1:5" x14ac:dyDescent="0.15">
      <c r="A25" s="9" t="s">
        <v>24</v>
      </c>
      <c r="B25" s="4">
        <f>SUM(B21:B24)</f>
        <v>6863</v>
      </c>
      <c r="C25" s="4">
        <f>SUM(C21:C24)</f>
        <v>8589</v>
      </c>
      <c r="D25" s="4">
        <f>SUM(D21:D24)</f>
        <v>7007</v>
      </c>
      <c r="E25" s="4">
        <f>SUM(E21:E24)</f>
        <v>4871</v>
      </c>
    </row>
    <row r="26" spans="1:5" x14ac:dyDescent="0.15">
      <c r="A26" s="10" t="s">
        <v>25</v>
      </c>
      <c r="B26" s="6">
        <v>0</v>
      </c>
      <c r="C26" s="6">
        <v>0</v>
      </c>
      <c r="D26" s="6">
        <v>-33</v>
      </c>
      <c r="E26" s="6">
        <v>44</v>
      </c>
    </row>
    <row r="27" spans="1:5" x14ac:dyDescent="0.15">
      <c r="A27" s="9" t="s">
        <v>26</v>
      </c>
      <c r="B27" s="4">
        <f>SUM(B25:B26)</f>
        <v>6863</v>
      </c>
      <c r="C27" s="4">
        <f>SUM(C25:C26)</f>
        <v>8589</v>
      </c>
      <c r="D27" s="4">
        <f>SUM(D25:D26)</f>
        <v>6974</v>
      </c>
      <c r="E27" s="4">
        <f>SUM(E25:E26)</f>
        <v>4915</v>
      </c>
    </row>
    <row r="28" spans="1:5" x14ac:dyDescent="0.15">
      <c r="A28" s="10" t="s">
        <v>27</v>
      </c>
      <c r="B28" s="6">
        <v>0</v>
      </c>
      <c r="C28" s="6">
        <v>0</v>
      </c>
      <c r="D28" s="6">
        <v>0</v>
      </c>
      <c r="E28" s="6">
        <v>0</v>
      </c>
    </row>
    <row r="29" spans="1:5" x14ac:dyDescent="0.15">
      <c r="A29" s="9" t="s">
        <v>28</v>
      </c>
      <c r="B29" s="4">
        <f>SUM(B27:B28)</f>
        <v>6863</v>
      </c>
      <c r="C29" s="4">
        <f>SUM(C27:C28)</f>
        <v>8589</v>
      </c>
      <c r="D29" s="4">
        <f>SUM(D27:D28)</f>
        <v>6974</v>
      </c>
      <c r="E29" s="4">
        <f>SUM(E27:E28)</f>
        <v>4915</v>
      </c>
    </row>
    <row r="30" spans="1:5" x14ac:dyDescent="0.15">
      <c r="A30" s="10" t="s">
        <v>29</v>
      </c>
      <c r="B30" s="6">
        <v>0</v>
      </c>
      <c r="C30" s="6">
        <v>0</v>
      </c>
      <c r="D30" s="6">
        <v>0</v>
      </c>
      <c r="E30" s="6">
        <v>0</v>
      </c>
    </row>
    <row r="31" spans="1:5" x14ac:dyDescent="0.15">
      <c r="A31" s="10" t="s">
        <v>30</v>
      </c>
      <c r="B31" s="11">
        <f>SUM(B29:B30)</f>
        <v>6863</v>
      </c>
      <c r="C31" s="11">
        <f>SUM(C29:C30)</f>
        <v>8589</v>
      </c>
      <c r="D31" s="11">
        <f>SUM(D29:D30)</f>
        <v>6974</v>
      </c>
      <c r="E31" s="11">
        <f>SUM(E29:E30)</f>
        <v>4915</v>
      </c>
    </row>
    <row r="32" spans="1:5" x14ac:dyDescent="0.15">
      <c r="A32" s="10" t="s">
        <v>31</v>
      </c>
      <c r="B32" s="6">
        <v>656.8</v>
      </c>
      <c r="C32" s="6">
        <v>657.11</v>
      </c>
      <c r="D32" s="6">
        <v>657.6</v>
      </c>
      <c r="E32" s="6">
        <v>658.12</v>
      </c>
    </row>
    <row r="33" spans="1:5" x14ac:dyDescent="0.15">
      <c r="A33" s="3" t="s">
        <v>32</v>
      </c>
      <c r="B33" s="12">
        <f>B31/B32</f>
        <v>10.449147381242389</v>
      </c>
      <c r="C33" s="12">
        <f>C31/C32</f>
        <v>13.07087093485109</v>
      </c>
      <c r="D33" s="12">
        <f>D31/D32</f>
        <v>10.605231143552311</v>
      </c>
      <c r="E33" s="12">
        <f>E31/E32</f>
        <v>7.4682428736400652</v>
      </c>
    </row>
    <row r="34" spans="1:5" x14ac:dyDescent="0.15">
      <c r="A34" s="10" t="s">
        <v>33</v>
      </c>
      <c r="B34" s="6">
        <v>3.5</v>
      </c>
      <c r="C34" s="6">
        <v>4</v>
      </c>
      <c r="D34" s="6">
        <v>3.5</v>
      </c>
      <c r="E34" s="6">
        <v>2.5</v>
      </c>
    </row>
    <row r="35" spans="1:5" x14ac:dyDescent="0.15">
      <c r="A35" s="10" t="s">
        <v>34</v>
      </c>
      <c r="B35" s="6">
        <v>10.37</v>
      </c>
      <c r="C35" s="6">
        <v>13</v>
      </c>
      <c r="D35" s="6">
        <v>10.58</v>
      </c>
      <c r="E35" s="6">
        <v>7.53</v>
      </c>
    </row>
    <row r="36" spans="1:5" x14ac:dyDescent="0.15">
      <c r="A36" s="13"/>
    </row>
    <row r="37" spans="1:5" x14ac:dyDescent="0.15">
      <c r="A37" s="1" t="s">
        <v>35</v>
      </c>
      <c r="B37" s="1"/>
      <c r="C37" s="1"/>
      <c r="D37" s="1"/>
      <c r="E37" s="1"/>
    </row>
    <row r="38" spans="1:5" x14ac:dyDescent="0.15">
      <c r="A38" s="2" t="s">
        <v>1</v>
      </c>
      <c r="B38" s="1">
        <v>2016</v>
      </c>
      <c r="C38" s="1">
        <v>2017</v>
      </c>
      <c r="D38" s="1">
        <v>2018</v>
      </c>
      <c r="E38" s="1">
        <v>2019</v>
      </c>
    </row>
    <row r="39" spans="1:5" x14ac:dyDescent="0.15">
      <c r="A39" s="9" t="s">
        <v>36</v>
      </c>
      <c r="B39" s="14">
        <f>B40+B44+B46+B47+B48</f>
        <v>66864</v>
      </c>
      <c r="C39" s="14">
        <f>C40+C44+C46+C47+C48</f>
        <v>73542</v>
      </c>
      <c r="D39" s="14">
        <f>D40+D44+D46+D47+D48</f>
        <v>84736</v>
      </c>
      <c r="E39" s="14">
        <f>E40+E44+E46+E47+E48</f>
        <v>90630</v>
      </c>
    </row>
    <row r="40" spans="1:5" x14ac:dyDescent="0.15">
      <c r="A40" s="10" t="s">
        <v>37</v>
      </c>
      <c r="B40" s="15">
        <f>SUM(B41:B43)</f>
        <v>14945</v>
      </c>
      <c r="C40" s="15">
        <f>SUM(C41:C43)</f>
        <v>17004</v>
      </c>
      <c r="D40" s="15">
        <f>SUM(D41:D43)</f>
        <v>17654</v>
      </c>
      <c r="E40" s="15">
        <f>SUM(E41:E43)</f>
        <v>17991</v>
      </c>
    </row>
    <row r="41" spans="1:5" x14ac:dyDescent="0.15">
      <c r="A41" s="10" t="s">
        <v>38</v>
      </c>
      <c r="B41" s="16">
        <v>0</v>
      </c>
      <c r="C41" s="16">
        <v>0</v>
      </c>
      <c r="D41" s="16">
        <v>0</v>
      </c>
      <c r="E41" s="16">
        <v>0</v>
      </c>
    </row>
    <row r="42" spans="1:5" x14ac:dyDescent="0.15">
      <c r="A42" s="10" t="s">
        <v>39</v>
      </c>
      <c r="B42" s="16">
        <v>7880</v>
      </c>
      <c r="C42" s="16">
        <v>9039</v>
      </c>
      <c r="D42" s="16">
        <v>10979</v>
      </c>
      <c r="E42" s="16">
        <v>12036</v>
      </c>
    </row>
    <row r="43" spans="1:5" x14ac:dyDescent="0.15">
      <c r="A43" s="10" t="s">
        <v>40</v>
      </c>
      <c r="B43" s="16">
        <v>7065</v>
      </c>
      <c r="C43" s="16">
        <v>7965</v>
      </c>
      <c r="D43" s="16">
        <v>6675</v>
      </c>
      <c r="E43" s="16">
        <v>5955</v>
      </c>
    </row>
    <row r="44" spans="1:5" x14ac:dyDescent="0.15">
      <c r="A44" s="10" t="s">
        <v>41</v>
      </c>
      <c r="B44" s="16">
        <v>34991</v>
      </c>
      <c r="C44" s="16">
        <v>36346</v>
      </c>
      <c r="D44" s="16">
        <v>42624</v>
      </c>
      <c r="E44" s="16">
        <v>45134</v>
      </c>
    </row>
    <row r="45" spans="1:5" x14ac:dyDescent="0.15">
      <c r="A45" s="10" t="s">
        <v>42</v>
      </c>
      <c r="B45" s="16">
        <v>33053</v>
      </c>
      <c r="C45" s="16">
        <v>34780</v>
      </c>
      <c r="D45" s="16">
        <v>41246</v>
      </c>
      <c r="E45" s="16">
        <v>43925</v>
      </c>
    </row>
    <row r="46" spans="1:5" x14ac:dyDescent="0.15">
      <c r="A46" s="10" t="s">
        <v>43</v>
      </c>
      <c r="B46" s="16">
        <v>11841</v>
      </c>
      <c r="C46" s="16">
        <v>12707</v>
      </c>
      <c r="D46" s="16">
        <v>14248</v>
      </c>
      <c r="E46" s="16">
        <v>15891</v>
      </c>
    </row>
    <row r="47" spans="1:5" x14ac:dyDescent="0.15">
      <c r="A47" s="10" t="s">
        <v>44</v>
      </c>
      <c r="B47" s="16">
        <v>0</v>
      </c>
      <c r="C47" s="16">
        <v>0</v>
      </c>
      <c r="D47" s="16">
        <v>0</v>
      </c>
      <c r="E47" s="16">
        <v>0</v>
      </c>
    </row>
    <row r="48" spans="1:5" x14ac:dyDescent="0.15">
      <c r="A48" s="10" t="s">
        <v>45</v>
      </c>
      <c r="B48" s="16">
        <v>5087</v>
      </c>
      <c r="C48" s="16">
        <v>7485</v>
      </c>
      <c r="D48" s="16">
        <v>10210</v>
      </c>
      <c r="E48" s="16">
        <v>11614</v>
      </c>
    </row>
    <row r="49" spans="1:5" x14ac:dyDescent="0.15">
      <c r="A49" s="9" t="s">
        <v>46</v>
      </c>
      <c r="B49" s="14">
        <f>B50+SUM(B53:B58)+B39</f>
        <v>188535</v>
      </c>
      <c r="C49" s="14">
        <f>C50+SUM(C53:C58)+C39</f>
        <v>195506</v>
      </c>
      <c r="D49" s="14">
        <f>D50+SUM(D53:D58)+D39</f>
        <v>208938</v>
      </c>
      <c r="E49" s="14">
        <f>E50+SUM(E53:E58)+E39</f>
        <v>228034</v>
      </c>
    </row>
    <row r="50" spans="1:5" x14ac:dyDescent="0.15">
      <c r="A50" s="10" t="s">
        <v>47</v>
      </c>
      <c r="B50" s="15">
        <f>SUM(B51:B52)</f>
        <v>55749</v>
      </c>
      <c r="C50" s="15">
        <f>SUM(C51:C52)</f>
        <v>54728</v>
      </c>
      <c r="D50" s="15">
        <f>SUM(D51:D52)</f>
        <v>58060</v>
      </c>
      <c r="E50" s="15">
        <f>SUM(E51:E52)</f>
        <v>65854</v>
      </c>
    </row>
    <row r="51" spans="1:5" x14ac:dyDescent="0.15">
      <c r="A51" s="10" t="s">
        <v>48</v>
      </c>
      <c r="B51" s="16">
        <v>97377</v>
      </c>
      <c r="C51" s="16">
        <v>97388</v>
      </c>
      <c r="D51" s="16">
        <v>101155</v>
      </c>
      <c r="E51" s="16">
        <v>110615</v>
      </c>
    </row>
    <row r="52" spans="1:5" x14ac:dyDescent="0.15">
      <c r="A52" s="10" t="s">
        <v>49</v>
      </c>
      <c r="B52" s="16">
        <v>-41628</v>
      </c>
      <c r="C52" s="16">
        <v>-42660</v>
      </c>
      <c r="D52" s="16">
        <v>-43095</v>
      </c>
      <c r="E52" s="16">
        <v>-44761</v>
      </c>
    </row>
    <row r="53" spans="1:5" x14ac:dyDescent="0.15">
      <c r="A53" s="10" t="s">
        <v>50</v>
      </c>
      <c r="B53" s="16">
        <v>364</v>
      </c>
      <c r="C53" s="16">
        <v>380</v>
      </c>
      <c r="D53" s="16">
        <v>380</v>
      </c>
      <c r="E53" s="16">
        <v>380</v>
      </c>
    </row>
    <row r="54" spans="1:5" x14ac:dyDescent="0.15">
      <c r="A54" s="10" t="s">
        <v>51</v>
      </c>
      <c r="B54" s="16">
        <v>7793</v>
      </c>
      <c r="C54" s="16">
        <v>9084</v>
      </c>
      <c r="D54" s="16">
        <v>10591</v>
      </c>
      <c r="E54" s="16">
        <v>11349</v>
      </c>
    </row>
    <row r="55" spans="1:5" x14ac:dyDescent="0.15">
      <c r="A55" s="10" t="s">
        <v>52</v>
      </c>
      <c r="B55" s="16">
        <v>5811</v>
      </c>
      <c r="C55" s="16">
        <v>5828</v>
      </c>
      <c r="D55" s="16">
        <v>4373</v>
      </c>
      <c r="E55" s="16">
        <v>5272</v>
      </c>
    </row>
    <row r="56" spans="1:5" x14ac:dyDescent="0.15">
      <c r="A56" s="10" t="s">
        <v>53</v>
      </c>
      <c r="B56" s="16">
        <v>48032</v>
      </c>
      <c r="C56" s="16">
        <v>48321</v>
      </c>
      <c r="D56" s="16">
        <v>48313</v>
      </c>
      <c r="E56" s="16">
        <v>51030</v>
      </c>
    </row>
    <row r="57" spans="1:5" x14ac:dyDescent="0.15">
      <c r="A57" s="10" t="s">
        <v>54</v>
      </c>
      <c r="B57" s="16">
        <v>3922</v>
      </c>
      <c r="C57" s="16">
        <v>3623</v>
      </c>
      <c r="D57" s="16">
        <v>2485</v>
      </c>
      <c r="E57" s="16">
        <v>3519</v>
      </c>
    </row>
    <row r="58" spans="1:5" x14ac:dyDescent="0.15">
      <c r="A58" s="10" t="s">
        <v>55</v>
      </c>
      <c r="B58" s="16">
        <v>0</v>
      </c>
      <c r="C58" s="16">
        <v>0</v>
      </c>
      <c r="D58" s="16">
        <v>0</v>
      </c>
      <c r="E58" s="16">
        <v>0</v>
      </c>
    </row>
    <row r="59" spans="1:5" x14ac:dyDescent="0.15">
      <c r="A59" s="9" t="s">
        <v>56</v>
      </c>
      <c r="B59" s="14">
        <f>SUM(B60:B65)</f>
        <v>67989</v>
      </c>
      <c r="C59" s="14">
        <f>SUM(C60:C65)</f>
        <v>71765</v>
      </c>
      <c r="D59" s="17">
        <v>71411</v>
      </c>
      <c r="E59" s="14">
        <f>SUM(E60:E65)</f>
        <v>82625</v>
      </c>
    </row>
    <row r="60" spans="1:5" x14ac:dyDescent="0.15">
      <c r="A60" s="10" t="s">
        <v>57</v>
      </c>
      <c r="B60" s="16">
        <v>9226</v>
      </c>
      <c r="C60" s="16">
        <v>10604</v>
      </c>
      <c r="D60" s="16">
        <v>9669</v>
      </c>
      <c r="E60" s="16">
        <v>10182</v>
      </c>
    </row>
    <row r="61" spans="1:5" x14ac:dyDescent="0.15">
      <c r="A61" s="10" t="s">
        <v>58</v>
      </c>
      <c r="B61" s="16">
        <v>0</v>
      </c>
      <c r="C61" s="16">
        <v>0</v>
      </c>
      <c r="D61" s="16">
        <v>0</v>
      </c>
      <c r="E61" s="16">
        <v>0</v>
      </c>
    </row>
    <row r="62" spans="1:5" x14ac:dyDescent="0.15">
      <c r="A62" s="10" t="s">
        <v>59</v>
      </c>
      <c r="B62" s="16">
        <v>4331</v>
      </c>
      <c r="C62" s="16">
        <v>2359</v>
      </c>
      <c r="D62" s="16">
        <v>4214</v>
      </c>
      <c r="E62" s="16">
        <v>0</v>
      </c>
    </row>
    <row r="63" spans="1:5" x14ac:dyDescent="0.15">
      <c r="A63" s="10" t="s">
        <v>60</v>
      </c>
      <c r="B63" s="16">
        <v>3852</v>
      </c>
      <c r="C63" s="16">
        <v>4461</v>
      </c>
      <c r="D63" s="16">
        <v>2480</v>
      </c>
      <c r="E63" s="16">
        <v>2615</v>
      </c>
    </row>
    <row r="64" spans="1:5" x14ac:dyDescent="0.15">
      <c r="A64" s="10" t="s">
        <v>61</v>
      </c>
      <c r="B64" s="16">
        <v>36818</v>
      </c>
      <c r="C64" s="16">
        <v>36266</v>
      </c>
      <c r="D64" s="16">
        <v>35699</v>
      </c>
      <c r="E64" s="16">
        <v>42329</v>
      </c>
    </row>
    <row r="65" spans="1:5" x14ac:dyDescent="0.15">
      <c r="A65" s="10" t="s">
        <v>62</v>
      </c>
      <c r="B65" s="16">
        <v>13762</v>
      </c>
      <c r="C65" s="16">
        <v>18075</v>
      </c>
      <c r="D65" s="16">
        <v>23563</v>
      </c>
      <c r="E65" s="16">
        <v>27499</v>
      </c>
    </row>
    <row r="66" spans="1:5" x14ac:dyDescent="0.15">
      <c r="A66" s="9" t="s">
        <v>63</v>
      </c>
      <c r="B66" s="14">
        <f>B67+B70+B71+B72+B59</f>
        <v>141427</v>
      </c>
      <c r="C66" s="14">
        <f>C67+C70+C71+C72+C59</f>
        <v>141835</v>
      </c>
      <c r="D66" s="14">
        <f>D67+D70+D71+D72+D59</f>
        <v>151638</v>
      </c>
      <c r="E66" s="14">
        <f>E67+E70+E71+E72+E59</f>
        <v>168710</v>
      </c>
    </row>
    <row r="67" spans="1:5" x14ac:dyDescent="0.15">
      <c r="A67" s="10" t="s">
        <v>64</v>
      </c>
      <c r="B67" s="15">
        <f>SUM(B68:B69)</f>
        <v>53730</v>
      </c>
      <c r="C67" s="15">
        <f>SUM(C68:C69)</f>
        <v>52831</v>
      </c>
      <c r="D67" s="15">
        <f>SUM(D68:D69)</f>
        <v>63743</v>
      </c>
      <c r="E67" s="15">
        <f>SUM(E68:E69)</f>
        <v>69700</v>
      </c>
    </row>
    <row r="68" spans="1:5" x14ac:dyDescent="0.15">
      <c r="A68" s="10" t="s">
        <v>65</v>
      </c>
      <c r="B68" s="16">
        <v>53730</v>
      </c>
      <c r="C68" s="16">
        <v>52831</v>
      </c>
      <c r="D68" s="16">
        <v>63734</v>
      </c>
      <c r="E68" s="16">
        <v>69156</v>
      </c>
    </row>
    <row r="69" spans="1:5" x14ac:dyDescent="0.15">
      <c r="A69" s="10" t="s">
        <v>66</v>
      </c>
      <c r="B69" s="16">
        <v>0</v>
      </c>
      <c r="C69" s="16">
        <v>0</v>
      </c>
      <c r="D69" s="16">
        <v>9</v>
      </c>
      <c r="E69" s="16">
        <v>544</v>
      </c>
    </row>
    <row r="70" spans="1:5" x14ac:dyDescent="0.15">
      <c r="A70" s="10" t="s">
        <v>67</v>
      </c>
      <c r="B70" s="16">
        <v>2795</v>
      </c>
      <c r="C70" s="16">
        <v>2157</v>
      </c>
      <c r="D70" s="16">
        <v>1773</v>
      </c>
      <c r="E70" s="16">
        <v>632</v>
      </c>
    </row>
    <row r="71" spans="1:5" x14ac:dyDescent="0.15">
      <c r="A71" s="10" t="s">
        <v>68</v>
      </c>
      <c r="B71" s="16">
        <v>255</v>
      </c>
      <c r="C71" s="16">
        <v>436</v>
      </c>
      <c r="D71" s="16">
        <v>529</v>
      </c>
      <c r="E71" s="16">
        <v>583</v>
      </c>
    </row>
    <row r="72" spans="1:5" x14ac:dyDescent="0.15">
      <c r="A72" s="10" t="s">
        <v>69</v>
      </c>
      <c r="B72" s="16">
        <v>16658</v>
      </c>
      <c r="C72" s="16">
        <v>14646</v>
      </c>
      <c r="D72" s="16">
        <v>14182</v>
      </c>
      <c r="E72" s="16">
        <v>15170</v>
      </c>
    </row>
    <row r="73" spans="1:5" x14ac:dyDescent="0.15">
      <c r="A73" s="9" t="s">
        <v>70</v>
      </c>
      <c r="B73" s="14">
        <f>SUM(B74:B82)</f>
        <v>47108</v>
      </c>
      <c r="C73" s="17">
        <v>53671</v>
      </c>
      <c r="D73" s="17">
        <v>57300</v>
      </c>
      <c r="E73" s="14">
        <f>SUM(E74:E82)</f>
        <v>59324</v>
      </c>
    </row>
    <row r="74" spans="1:5" x14ac:dyDescent="0.15">
      <c r="A74" s="10" t="s">
        <v>71</v>
      </c>
      <c r="B74" s="16">
        <v>0</v>
      </c>
      <c r="C74" s="16">
        <v>0</v>
      </c>
      <c r="D74" s="16">
        <v>0</v>
      </c>
      <c r="E74" s="16">
        <v>0</v>
      </c>
    </row>
    <row r="75" spans="1:5" x14ac:dyDescent="0.15">
      <c r="A75" s="10" t="s">
        <v>72</v>
      </c>
      <c r="B75" s="16">
        <v>0</v>
      </c>
      <c r="C75" s="16">
        <v>0</v>
      </c>
      <c r="D75" s="16">
        <v>0</v>
      </c>
      <c r="E75" s="16">
        <v>0</v>
      </c>
    </row>
    <row r="76" spans="1:5" x14ac:dyDescent="0.15">
      <c r="A76" s="10" t="s">
        <v>73</v>
      </c>
      <c r="B76" s="16">
        <v>657</v>
      </c>
      <c r="C76" s="16">
        <v>658</v>
      </c>
      <c r="D76" s="16">
        <v>658</v>
      </c>
      <c r="E76" s="16">
        <v>659</v>
      </c>
    </row>
    <row r="77" spans="1:5" x14ac:dyDescent="0.15">
      <c r="A77" s="10" t="s">
        <v>74</v>
      </c>
      <c r="B77" s="16">
        <v>2047</v>
      </c>
      <c r="C77" s="16">
        <v>2084</v>
      </c>
      <c r="D77" s="16">
        <v>2118</v>
      </c>
      <c r="E77" s="16">
        <v>0</v>
      </c>
    </row>
    <row r="78" spans="1:5" x14ac:dyDescent="0.15">
      <c r="A78" s="10" t="s">
        <v>75</v>
      </c>
      <c r="B78" s="16">
        <v>44445</v>
      </c>
      <c r="C78" s="16">
        <v>52899</v>
      </c>
      <c r="D78" s="16">
        <v>57980</v>
      </c>
      <c r="E78" s="16">
        <v>59828</v>
      </c>
    </row>
    <row r="79" spans="1:5" x14ac:dyDescent="0.15">
      <c r="A79" s="10" t="s">
        <v>76</v>
      </c>
      <c r="B79" s="16">
        <v>0</v>
      </c>
      <c r="C79" s="16">
        <v>0</v>
      </c>
      <c r="D79" s="16">
        <v>0</v>
      </c>
      <c r="E79" s="16">
        <v>0</v>
      </c>
    </row>
    <row r="80" spans="1:5" x14ac:dyDescent="0.15">
      <c r="A80" s="10" t="s">
        <v>77</v>
      </c>
      <c r="B80" s="16">
        <v>0</v>
      </c>
      <c r="C80" s="16">
        <v>0</v>
      </c>
      <c r="D80" s="16">
        <v>0</v>
      </c>
      <c r="E80" s="16">
        <v>0</v>
      </c>
    </row>
    <row r="81" spans="1:5" x14ac:dyDescent="0.15">
      <c r="A81" s="10" t="s">
        <v>78</v>
      </c>
      <c r="B81" s="16">
        <v>52</v>
      </c>
      <c r="C81" s="16">
        <v>93</v>
      </c>
      <c r="D81" s="16">
        <v>-1</v>
      </c>
      <c r="E81" s="16">
        <v>29</v>
      </c>
    </row>
    <row r="82" spans="1:5" x14ac:dyDescent="0.15">
      <c r="A82" s="10" t="s">
        <v>79</v>
      </c>
      <c r="B82" s="16">
        <v>-93</v>
      </c>
      <c r="C82" s="16">
        <v>21</v>
      </c>
      <c r="D82" s="16">
        <v>-1337</v>
      </c>
      <c r="E82" s="16">
        <v>-1192</v>
      </c>
    </row>
    <row r="83" spans="1:5" x14ac:dyDescent="0.15">
      <c r="A83" s="9" t="s">
        <v>80</v>
      </c>
      <c r="B83" s="14">
        <f>B66+B73</f>
        <v>188535</v>
      </c>
      <c r="C83" s="14">
        <f>C66+C73</f>
        <v>195506</v>
      </c>
      <c r="D83" s="14">
        <f>D66+D73</f>
        <v>208938</v>
      </c>
      <c r="E83" s="14">
        <f>E66+E73</f>
        <v>228034</v>
      </c>
    </row>
    <row r="84" spans="1:5" x14ac:dyDescent="0.15">
      <c r="A84" s="9" t="s">
        <v>81</v>
      </c>
      <c r="B84" s="17">
        <v>657.11</v>
      </c>
      <c r="C84" s="17">
        <v>657.6</v>
      </c>
      <c r="D84" s="17">
        <v>658.12</v>
      </c>
      <c r="E84" s="17">
        <v>658.86</v>
      </c>
    </row>
    <row r="85" spans="1:5" x14ac:dyDescent="0.15">
      <c r="A85" s="9" t="s">
        <v>82</v>
      </c>
      <c r="B85" s="17">
        <v>0</v>
      </c>
      <c r="C85" s="17">
        <v>0</v>
      </c>
      <c r="D85" s="17">
        <v>0</v>
      </c>
      <c r="E85" s="17">
        <v>0</v>
      </c>
    </row>
    <row r="86" spans="1:5" x14ac:dyDescent="0.15">
      <c r="A86" s="18"/>
    </row>
    <row r="87" spans="1:5" x14ac:dyDescent="0.15">
      <c r="A87" s="1" t="s">
        <v>83</v>
      </c>
      <c r="B87" s="1"/>
      <c r="C87" s="1"/>
      <c r="D87" s="1"/>
      <c r="E87" s="1"/>
    </row>
    <row r="88" spans="1:5" x14ac:dyDescent="0.15">
      <c r="A88" s="2" t="s">
        <v>1</v>
      </c>
      <c r="B88" s="1">
        <v>2016</v>
      </c>
      <c r="C88" s="1">
        <v>2017</v>
      </c>
      <c r="D88" s="1">
        <v>2018</v>
      </c>
      <c r="E88" s="1">
        <v>2019</v>
      </c>
    </row>
    <row r="89" spans="1:5" x14ac:dyDescent="0.15">
      <c r="A89" s="19" t="s">
        <v>84</v>
      </c>
      <c r="B89" s="17">
        <v>6910</v>
      </c>
      <c r="C89" s="17">
        <v>8675</v>
      </c>
      <c r="D89" s="17">
        <v>7064</v>
      </c>
      <c r="E89" s="17">
        <v>5022</v>
      </c>
    </row>
    <row r="90" spans="1:5" x14ac:dyDescent="0.15">
      <c r="A90" s="19" t="s">
        <v>85</v>
      </c>
      <c r="B90" s="17">
        <v>3211</v>
      </c>
      <c r="C90" s="17">
        <v>5973</v>
      </c>
      <c r="D90" s="17">
        <v>5026</v>
      </c>
      <c r="E90" s="17">
        <v>3579</v>
      </c>
    </row>
    <row r="91" spans="1:5" x14ac:dyDescent="0.15">
      <c r="A91" s="20" t="s">
        <v>86</v>
      </c>
      <c r="B91" s="16">
        <v>4998</v>
      </c>
      <c r="C91" s="16">
        <v>4822</v>
      </c>
      <c r="D91" s="16">
        <v>5113</v>
      </c>
      <c r="E91" s="16">
        <v>6017</v>
      </c>
    </row>
    <row r="92" spans="1:5" x14ac:dyDescent="0.15">
      <c r="A92" s="20" t="s">
        <v>87</v>
      </c>
      <c r="B92" s="16">
        <v>0</v>
      </c>
      <c r="C92" s="16">
        <v>0</v>
      </c>
      <c r="D92" s="16">
        <v>0</v>
      </c>
      <c r="E92" s="16">
        <v>0</v>
      </c>
    </row>
    <row r="93" spans="1:5" x14ac:dyDescent="0.15">
      <c r="A93" s="20" t="s">
        <v>88</v>
      </c>
      <c r="B93" s="16">
        <v>85</v>
      </c>
      <c r="C93" s="16">
        <v>-559</v>
      </c>
      <c r="D93" s="16">
        <v>312</v>
      </c>
      <c r="E93" s="16">
        <v>-1176</v>
      </c>
    </row>
    <row r="94" spans="1:5" x14ac:dyDescent="0.15">
      <c r="A94" s="20" t="s">
        <v>89</v>
      </c>
      <c r="B94" s="16">
        <v>-7670</v>
      </c>
      <c r="C94" s="16">
        <v>-6230</v>
      </c>
      <c r="D94" s="16">
        <v>-5957</v>
      </c>
      <c r="E94" s="16">
        <v>-2882</v>
      </c>
    </row>
    <row r="95" spans="1:5" x14ac:dyDescent="0.15">
      <c r="A95" s="20" t="s">
        <v>90</v>
      </c>
      <c r="B95" s="16">
        <v>0</v>
      </c>
      <c r="C95" s="16">
        <v>0</v>
      </c>
      <c r="D95" s="16">
        <v>0</v>
      </c>
      <c r="E95" s="16">
        <v>0</v>
      </c>
    </row>
    <row r="96" spans="1:5" x14ac:dyDescent="0.15">
      <c r="A96" s="20" t="s">
        <v>91</v>
      </c>
      <c r="B96" s="16">
        <v>0</v>
      </c>
      <c r="C96" s="16">
        <v>0</v>
      </c>
      <c r="D96" s="16">
        <v>0</v>
      </c>
      <c r="E96" s="16">
        <v>0</v>
      </c>
    </row>
    <row r="97" spans="1:5" x14ac:dyDescent="0.15">
      <c r="A97" s="20" t="s">
        <v>92</v>
      </c>
      <c r="B97" s="16">
        <v>2417</v>
      </c>
      <c r="C97" s="16">
        <v>2301</v>
      </c>
      <c r="D97" s="16">
        <v>1972</v>
      </c>
      <c r="E97" s="16">
        <v>3389</v>
      </c>
    </row>
    <row r="98" spans="1:5" x14ac:dyDescent="0.15">
      <c r="A98" s="20" t="s">
        <v>93</v>
      </c>
      <c r="B98" s="16">
        <v>118</v>
      </c>
      <c r="C98" s="16">
        <v>165</v>
      </c>
      <c r="D98" s="16">
        <v>136</v>
      </c>
      <c r="E98" s="16">
        <v>199</v>
      </c>
    </row>
    <row r="99" spans="1:5" x14ac:dyDescent="0.15">
      <c r="A99" s="20" t="s">
        <v>94</v>
      </c>
      <c r="B99" s="16">
        <v>-1112</v>
      </c>
      <c r="C99" s="16">
        <v>-735</v>
      </c>
      <c r="D99" s="16">
        <v>-1506</v>
      </c>
      <c r="E99" s="16">
        <v>-3402</v>
      </c>
    </row>
    <row r="100" spans="1:5" x14ac:dyDescent="0.15">
      <c r="A100" s="19" t="s">
        <v>95</v>
      </c>
      <c r="B100" s="14">
        <f>SUM(B101:B102)</f>
        <v>-5863</v>
      </c>
      <c r="C100" s="14">
        <f>SUM(C101:C102)</f>
        <v>-6163</v>
      </c>
      <c r="D100" s="14">
        <f>SUM(D101:D102)</f>
        <v>-7363</v>
      </c>
      <c r="E100" s="14">
        <f>SUM(E101:E102)</f>
        <v>-7284</v>
      </c>
    </row>
    <row r="101" spans="1:5" x14ac:dyDescent="0.15">
      <c r="A101" s="20" t="s">
        <v>96</v>
      </c>
      <c r="B101" s="16">
        <v>-5823</v>
      </c>
      <c r="C101" s="16">
        <v>-7112</v>
      </c>
      <c r="D101" s="16">
        <v>-7777</v>
      </c>
      <c r="E101" s="16">
        <v>-6902</v>
      </c>
    </row>
    <row r="102" spans="1:5" x14ac:dyDescent="0.15">
      <c r="A102" s="20" t="s">
        <v>97</v>
      </c>
      <c r="B102" s="16">
        <v>-40</v>
      </c>
      <c r="C102" s="16">
        <v>949</v>
      </c>
      <c r="D102" s="16">
        <v>414</v>
      </c>
      <c r="E102" s="16">
        <v>-382</v>
      </c>
    </row>
    <row r="103" spans="1:5" x14ac:dyDescent="0.15">
      <c r="A103" s="19" t="s">
        <v>98</v>
      </c>
      <c r="B103" s="17">
        <v>4393</v>
      </c>
      <c r="C103" s="17">
        <v>1572</v>
      </c>
      <c r="D103" s="17">
        <v>4296</v>
      </c>
      <c r="E103" s="17">
        <v>4790</v>
      </c>
    </row>
    <row r="104" spans="1:5" x14ac:dyDescent="0.15">
      <c r="A104" s="20" t="s">
        <v>99</v>
      </c>
      <c r="B104" s="16">
        <v>-98</v>
      </c>
      <c r="C104" s="16">
        <v>-127</v>
      </c>
      <c r="D104" s="16">
        <v>-111</v>
      </c>
      <c r="E104" s="16">
        <v>-166</v>
      </c>
    </row>
    <row r="105" spans="1:5" x14ac:dyDescent="0.15">
      <c r="A105" s="20" t="s">
        <v>100</v>
      </c>
      <c r="B105" s="16">
        <v>-2121</v>
      </c>
      <c r="C105" s="16">
        <v>-2324</v>
      </c>
      <c r="D105" s="16">
        <v>-2630</v>
      </c>
      <c r="E105" s="16">
        <v>-2366</v>
      </c>
    </row>
    <row r="106" spans="1:5" x14ac:dyDescent="0.15">
      <c r="A106" s="20" t="s">
        <v>101</v>
      </c>
      <c r="B106" s="16">
        <v>0</v>
      </c>
      <c r="C106" s="16">
        <v>0</v>
      </c>
      <c r="D106" s="16">
        <v>0</v>
      </c>
      <c r="E106" s="16">
        <v>0</v>
      </c>
    </row>
    <row r="107" spans="1:5" x14ac:dyDescent="0.15">
      <c r="A107" s="20" t="s">
        <v>102</v>
      </c>
      <c r="B107" s="16">
        <v>6612</v>
      </c>
      <c r="C107" s="16">
        <v>4023</v>
      </c>
      <c r="D107" s="16">
        <v>7037</v>
      </c>
      <c r="E107" s="16">
        <v>7322</v>
      </c>
    </row>
    <row r="108" spans="1:5" x14ac:dyDescent="0.15">
      <c r="A108" s="20" t="s">
        <v>103</v>
      </c>
      <c r="B108" s="16">
        <v>17</v>
      </c>
      <c r="C108" s="16">
        <v>-223</v>
      </c>
      <c r="D108" s="16">
        <v>-19</v>
      </c>
      <c r="E108" s="16">
        <v>-28</v>
      </c>
    </row>
    <row r="109" spans="1:5" x14ac:dyDescent="0.15">
      <c r="A109" s="19" t="s">
        <v>104</v>
      </c>
      <c r="B109" s="17">
        <v>1758</v>
      </c>
      <c r="C109" s="17">
        <v>1159</v>
      </c>
      <c r="D109" s="17">
        <v>1940</v>
      </c>
      <c r="E109" s="17">
        <v>1057</v>
      </c>
    </row>
    <row r="110" spans="1:5" x14ac:dyDescent="0.15">
      <c r="A110" s="20" t="s">
        <v>105</v>
      </c>
      <c r="B110" s="16">
        <v>0</v>
      </c>
      <c r="C110" s="16">
        <v>7880</v>
      </c>
      <c r="D110" s="16">
        <v>9039</v>
      </c>
      <c r="E110" s="16">
        <v>10979</v>
      </c>
    </row>
    <row r="111" spans="1:5" x14ac:dyDescent="0.15">
      <c r="A111" s="20" t="s">
        <v>106</v>
      </c>
      <c r="B111" s="16">
        <v>0</v>
      </c>
      <c r="C111" s="16">
        <v>9039</v>
      </c>
      <c r="D111" s="16">
        <v>10979</v>
      </c>
      <c r="E111" s="16">
        <v>12036</v>
      </c>
    </row>
    <row r="112" spans="1:5" x14ac:dyDescent="0.15">
      <c r="A112" s="20" t="s">
        <v>107</v>
      </c>
      <c r="B112" s="16">
        <v>0</v>
      </c>
      <c r="C112" s="16">
        <v>-1139</v>
      </c>
      <c r="D112" s="16">
        <v>-2751</v>
      </c>
      <c r="E112" s="16">
        <v>-3323</v>
      </c>
    </row>
    <row r="113" spans="1:6" x14ac:dyDescent="0.15">
      <c r="A113" s="20" t="s">
        <v>108</v>
      </c>
      <c r="B113" s="16">
        <v>0</v>
      </c>
      <c r="C113" s="16">
        <v>0</v>
      </c>
      <c r="D113" s="16">
        <v>-141.53</v>
      </c>
      <c r="E113" s="16">
        <v>-20.79</v>
      </c>
    </row>
    <row r="114" spans="1:6" x14ac:dyDescent="0.15">
      <c r="A114" s="20" t="s">
        <v>109</v>
      </c>
      <c r="B114" s="16">
        <v>0</v>
      </c>
      <c r="C114" s="16">
        <v>0</v>
      </c>
      <c r="D114" s="16">
        <v>-5.81</v>
      </c>
      <c r="E114" s="16">
        <v>-12.89</v>
      </c>
    </row>
    <row r="116" spans="1:6" x14ac:dyDescent="0.15">
      <c r="A116" s="3"/>
    </row>
    <row r="117" spans="1:6" x14ac:dyDescent="0.15">
      <c r="A117" s="18"/>
    </row>
    <row r="118" spans="1:6" x14ac:dyDescent="0.15">
      <c r="A118" s="21"/>
    </row>
    <row r="119" spans="1:6" ht="15.75" customHeight="1" x14ac:dyDescent="0.15">
      <c r="A119" s="56" t="s">
        <v>110</v>
      </c>
      <c r="B119" s="56"/>
      <c r="C119" s="56"/>
      <c r="D119" s="56"/>
      <c r="E119" s="56"/>
      <c r="F119" s="56"/>
    </row>
    <row r="120" spans="1:6" ht="15.75" customHeight="1" x14ac:dyDescent="0.15">
      <c r="A120" s="56"/>
      <c r="B120" s="56"/>
      <c r="C120" s="56"/>
      <c r="D120" s="56"/>
      <c r="E120" s="56"/>
      <c r="F120" s="56"/>
    </row>
    <row r="121" spans="1:6" ht="15.75" customHeight="1" x14ac:dyDescent="0.15">
      <c r="A121" s="56"/>
      <c r="B121" s="56"/>
      <c r="C121" s="56"/>
      <c r="D121" s="56"/>
      <c r="E121" s="56"/>
      <c r="F121" s="56"/>
    </row>
    <row r="122" spans="1:6" ht="15.75" customHeight="1" x14ac:dyDescent="0.15">
      <c r="A122" s="56"/>
      <c r="B122" s="56"/>
      <c r="C122" s="56"/>
      <c r="D122" s="56"/>
      <c r="E122" s="56"/>
      <c r="F122" s="56"/>
    </row>
    <row r="123" spans="1:6" ht="15.75" customHeight="1" x14ac:dyDescent="0.15">
      <c r="A123" s="56"/>
      <c r="B123" s="56"/>
      <c r="C123" s="56"/>
      <c r="D123" s="56"/>
      <c r="E123" s="56"/>
      <c r="F123" s="56"/>
    </row>
    <row r="124" spans="1:6" ht="15.75" customHeight="1" x14ac:dyDescent="0.15">
      <c r="A124" s="56"/>
      <c r="B124" s="56"/>
      <c r="C124" s="56"/>
      <c r="D124" s="56"/>
      <c r="E124" s="56"/>
      <c r="F124" s="56"/>
    </row>
    <row r="125" spans="1:6" x14ac:dyDescent="0.15">
      <c r="A125" s="21"/>
    </row>
    <row r="126" spans="1:6" x14ac:dyDescent="0.15">
      <c r="A126" s="21"/>
    </row>
    <row r="127" spans="1:6" x14ac:dyDescent="0.15">
      <c r="A127" s="21"/>
    </row>
  </sheetData>
  <mergeCells count="1">
    <mergeCell ref="A119:F124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="164" zoomScaleNormal="100" workbookViewId="0">
      <selection activeCell="D49" sqref="D49"/>
    </sheetView>
  </sheetViews>
  <sheetFormatPr baseColWidth="10" defaultColWidth="14.5" defaultRowHeight="13" x14ac:dyDescent="0.15"/>
  <cols>
    <col min="1" max="1" width="22.6640625" customWidth="1"/>
    <col min="4" max="4" width="56.5" customWidth="1"/>
  </cols>
  <sheetData>
    <row r="1" spans="1:11" ht="14" x14ac:dyDescent="0.15">
      <c r="A1" s="29"/>
      <c r="B1" s="29"/>
      <c r="D1" s="22" t="s">
        <v>111</v>
      </c>
      <c r="G1" s="22"/>
    </row>
    <row r="2" spans="1:11" ht="14" x14ac:dyDescent="0.15">
      <c r="A2" s="30" t="s">
        <v>112</v>
      </c>
      <c r="B2" s="51">
        <f>(B3*B4)+B5</f>
        <v>4.2521000000000003E-2</v>
      </c>
      <c r="G2" s="22" t="s">
        <v>113</v>
      </c>
    </row>
    <row r="3" spans="1:11" ht="14" x14ac:dyDescent="0.15">
      <c r="A3" s="28" t="s">
        <v>114</v>
      </c>
      <c r="B3" s="52">
        <v>5.7000000000000002E-2</v>
      </c>
      <c r="D3" s="24" t="s">
        <v>115</v>
      </c>
      <c r="G3" s="23">
        <v>2016</v>
      </c>
      <c r="H3" s="23">
        <v>2017</v>
      </c>
      <c r="I3" s="23">
        <v>2018</v>
      </c>
      <c r="J3" s="23">
        <v>2019</v>
      </c>
    </row>
    <row r="4" spans="1:11" ht="14" x14ac:dyDescent="0.15">
      <c r="A4" s="28" t="s">
        <v>116</v>
      </c>
      <c r="B4" s="53">
        <v>0.55300000000000005</v>
      </c>
      <c r="D4" s="24" t="s">
        <v>117</v>
      </c>
      <c r="G4" s="25">
        <f>Financials!B20/Financials!B19</f>
        <v>0.28504914640455253</v>
      </c>
      <c r="H4" s="25">
        <f>Financials!C20/Financials!C19</f>
        <v>0.18735362997658081</v>
      </c>
      <c r="I4" s="25">
        <f>Financials!D20/Financials!D19</f>
        <v>0.26280253453827779</v>
      </c>
      <c r="J4" s="25">
        <f>Financials!E20/Financials!E19</f>
        <v>0.30064624894633324</v>
      </c>
    </row>
    <row r="5" spans="1:11" ht="14" x14ac:dyDescent="0.15">
      <c r="A5" s="28" t="s">
        <v>118</v>
      </c>
      <c r="B5" s="52">
        <v>1.0999999999999999E-2</v>
      </c>
      <c r="D5" s="24" t="s">
        <v>119</v>
      </c>
    </row>
    <row r="6" spans="1:11" x14ac:dyDescent="0.15">
      <c r="A6" s="29"/>
      <c r="B6" s="29"/>
    </row>
    <row r="7" spans="1:11" ht="14" x14ac:dyDescent="0.15">
      <c r="A7" s="30" t="s">
        <v>120</v>
      </c>
      <c r="B7" s="51">
        <f>B8*B9</f>
        <v>2.5565780296157956E-2</v>
      </c>
      <c r="G7" s="22"/>
    </row>
    <row r="8" spans="1:11" ht="14" x14ac:dyDescent="0.15">
      <c r="A8" s="28" t="s">
        <v>121</v>
      </c>
      <c r="B8" s="52">
        <v>3.4500000000000003E-2</v>
      </c>
      <c r="D8" s="24" t="s">
        <v>122</v>
      </c>
    </row>
    <row r="9" spans="1:11" ht="14" x14ac:dyDescent="0.15">
      <c r="A9" s="28" t="s">
        <v>123</v>
      </c>
      <c r="B9" s="54">
        <f>1-AVERAGE(G4:J4)</f>
        <v>0.74103711003356387</v>
      </c>
      <c r="G9" s="25"/>
      <c r="H9" s="25"/>
      <c r="I9" s="25"/>
      <c r="J9" s="25"/>
    </row>
    <row r="10" spans="1:11" x14ac:dyDescent="0.15">
      <c r="A10" s="29"/>
      <c r="B10" s="29"/>
    </row>
    <row r="11" spans="1:11" ht="14" x14ac:dyDescent="0.15">
      <c r="A11" s="30" t="s">
        <v>124</v>
      </c>
      <c r="B11" s="51">
        <f>B2*B12+B7*B13</f>
        <v>3.5253721170755217E-2</v>
      </c>
    </row>
    <row r="12" spans="1:11" ht="14" x14ac:dyDescent="0.15">
      <c r="A12" s="28" t="s">
        <v>125</v>
      </c>
      <c r="B12" s="54">
        <f>Financials!B49/(Financials!B49+Financials!B66)</f>
        <v>0.57138397754892989</v>
      </c>
    </row>
    <row r="13" spans="1:11" ht="14" x14ac:dyDescent="0.15">
      <c r="A13" s="28" t="s">
        <v>126</v>
      </c>
      <c r="B13" s="54">
        <f>Financials!B66/(Financials!B66+Financials!B49)</f>
        <v>0.42861602245107011</v>
      </c>
      <c r="G13" s="22"/>
    </row>
    <row r="15" spans="1:11" ht="14" x14ac:dyDescent="0.15">
      <c r="A15" s="22"/>
      <c r="G15" s="26"/>
      <c r="H15" s="26"/>
      <c r="I15" s="26"/>
      <c r="J15" s="26"/>
      <c r="K15" s="26"/>
    </row>
    <row r="17" spans="7:9" ht="14" x14ac:dyDescent="0.15">
      <c r="G17" s="22"/>
    </row>
    <row r="19" spans="7:9" ht="14" x14ac:dyDescent="0.15">
      <c r="G19" s="25"/>
      <c r="H19" s="25"/>
      <c r="I19" s="25"/>
    </row>
    <row r="22" spans="7:9" x14ac:dyDescent="0.15">
      <c r="H22" s="27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tabSelected="1" zoomScale="161" zoomScaleNormal="100" workbookViewId="0">
      <selection activeCell="B25" sqref="B25"/>
    </sheetView>
  </sheetViews>
  <sheetFormatPr baseColWidth="10" defaultColWidth="14.5" defaultRowHeight="13" x14ac:dyDescent="0.15"/>
  <cols>
    <col min="1" max="1" width="29.5" style="29" customWidth="1"/>
    <col min="2" max="5" width="14.5" style="29"/>
    <col min="6" max="6" width="17.6640625" style="29" customWidth="1"/>
    <col min="7" max="11" width="14.5" style="29"/>
    <col min="12" max="12" width="14.5" style="29" customWidth="1"/>
    <col min="13" max="16384" width="14.5" style="29"/>
  </cols>
  <sheetData>
    <row r="1" spans="1:12" ht="14" x14ac:dyDescent="0.15">
      <c r="A1" s="28" t="s">
        <v>127</v>
      </c>
    </row>
    <row r="2" spans="1:12" ht="14" x14ac:dyDescent="0.15">
      <c r="F2" s="30" t="s">
        <v>128</v>
      </c>
    </row>
    <row r="3" spans="1:12" ht="14" x14ac:dyDescent="0.15">
      <c r="A3" s="31" t="s">
        <v>1</v>
      </c>
      <c r="B3" s="30">
        <v>2016</v>
      </c>
      <c r="C3" s="30">
        <v>2017</v>
      </c>
      <c r="D3" s="30">
        <v>2018</v>
      </c>
      <c r="E3" s="30">
        <v>2019</v>
      </c>
      <c r="G3" s="30">
        <v>2020</v>
      </c>
      <c r="H3" s="30">
        <v>2021</v>
      </c>
      <c r="I3" s="30">
        <v>2022</v>
      </c>
      <c r="J3" s="30">
        <v>2023</v>
      </c>
      <c r="K3" s="30">
        <v>2024</v>
      </c>
      <c r="L3" s="30" t="s">
        <v>129</v>
      </c>
    </row>
    <row r="4" spans="1:12" ht="14" x14ac:dyDescent="0.15">
      <c r="A4" s="28" t="s">
        <v>130</v>
      </c>
      <c r="B4" s="32">
        <f>Financials!B3</f>
        <v>94163</v>
      </c>
      <c r="C4" s="32">
        <f>Financials!C3</f>
        <v>98282</v>
      </c>
      <c r="D4" s="32">
        <f>Financials!D3</f>
        <v>96855</v>
      </c>
      <c r="E4" s="32">
        <f>Financials!E3</f>
        <v>104210</v>
      </c>
      <c r="G4" s="32">
        <f>E4*($F$5+1)</f>
        <v>107862.98117393587</v>
      </c>
      <c r="H4" s="32">
        <f>G4*($F$5+1)</f>
        <v>111644.01408433782</v>
      </c>
      <c r="I4" s="32">
        <f>H4*($F$5+1)</f>
        <v>115557.587461487</v>
      </c>
      <c r="J4" s="32">
        <f t="shared" ref="J4:K4" si="0">I4*($F$5+1)</f>
        <v>119608.34738378102</v>
      </c>
      <c r="K4" s="32">
        <f t="shared" si="0"/>
        <v>123801.10279342052</v>
      </c>
    </row>
    <row r="5" spans="1:12" ht="14" x14ac:dyDescent="0.15">
      <c r="A5" s="31" t="s">
        <v>131</v>
      </c>
      <c r="C5" s="33">
        <f>C4/B4-1</f>
        <v>4.3743296199143966E-2</v>
      </c>
      <c r="D5" s="33">
        <f t="shared" ref="D5:E5" si="1">D4/C4-1</f>
        <v>-1.4519444048757602E-2</v>
      </c>
      <c r="E5" s="33">
        <f t="shared" si="1"/>
        <v>7.5938258221052157E-2</v>
      </c>
      <c r="F5" s="33">
        <f>AVERAGE(C5:E5)</f>
        <v>3.5054036790479505E-2</v>
      </c>
      <c r="G5" s="34"/>
      <c r="H5" s="34"/>
      <c r="I5" s="34"/>
      <c r="J5" s="34"/>
      <c r="K5" s="34"/>
    </row>
    <row r="6" spans="1:12" ht="14" x14ac:dyDescent="0.15">
      <c r="A6" s="28" t="s">
        <v>7</v>
      </c>
      <c r="B6" s="32">
        <f>Financials!B8</f>
        <v>84777</v>
      </c>
      <c r="C6" s="32">
        <f>Financials!C8</f>
        <v>88383</v>
      </c>
      <c r="D6" s="32">
        <f>Financials!D8</f>
        <v>87922</v>
      </c>
      <c r="E6" s="32">
        <f>Financials!E8</f>
        <v>96799</v>
      </c>
      <c r="G6" s="32">
        <f>E6*(F7+1)</f>
        <v>101260.90723653803</v>
      </c>
      <c r="H6" s="32">
        <f>G6*($F$7+1)</f>
        <v>105928.48412036033</v>
      </c>
      <c r="I6" s="32">
        <f t="shared" ref="I6:J6" si="2">H6*($F$7+1)</f>
        <v>110811.21090320044</v>
      </c>
      <c r="J6" s="32">
        <f t="shared" si="2"/>
        <v>115919.00482481669</v>
      </c>
      <c r="K6" s="32">
        <f>J6*($F$7+1)</f>
        <v>121262.24025576263</v>
      </c>
    </row>
    <row r="7" spans="1:12" ht="14" x14ac:dyDescent="0.15">
      <c r="A7" s="35" t="s">
        <v>132</v>
      </c>
      <c r="C7" s="33">
        <f>C6/B6-1</f>
        <v>4.2535121554195143E-2</v>
      </c>
      <c r="D7" s="33">
        <f t="shared" ref="D7:E7" si="3">D6/C6-1</f>
        <v>-5.2159351911567065E-3</v>
      </c>
      <c r="E7" s="33">
        <f t="shared" si="3"/>
        <v>0.10096449125361118</v>
      </c>
      <c r="F7" s="33">
        <f>AVERAGE(C7:E7)</f>
        <v>4.6094559205549869E-2</v>
      </c>
      <c r="G7" s="34"/>
      <c r="H7" s="34"/>
      <c r="I7" s="34"/>
      <c r="J7" s="34"/>
      <c r="K7" s="34"/>
    </row>
    <row r="8" spans="1:12" ht="14" x14ac:dyDescent="0.15">
      <c r="A8" s="30" t="s">
        <v>133</v>
      </c>
      <c r="B8" s="32">
        <f>B4-B6</f>
        <v>9386</v>
      </c>
      <c r="C8" s="32">
        <f t="shared" ref="C8:E8" si="4">C4-C6</f>
        <v>9899</v>
      </c>
      <c r="D8" s="32">
        <f t="shared" si="4"/>
        <v>8933</v>
      </c>
      <c r="E8" s="32">
        <f t="shared" si="4"/>
        <v>7411</v>
      </c>
      <c r="G8" s="32">
        <f>G4-G6</f>
        <v>6602.0739373978431</v>
      </c>
      <c r="H8" s="32">
        <f t="shared" ref="H8:K8" si="5">H4-H6</f>
        <v>5715.5299639774894</v>
      </c>
      <c r="I8" s="32">
        <f t="shared" si="5"/>
        <v>4746.3765582865599</v>
      </c>
      <c r="J8" s="32">
        <f t="shared" si="5"/>
        <v>3689.3425589643302</v>
      </c>
      <c r="K8" s="32">
        <f t="shared" si="5"/>
        <v>2538.8625376578857</v>
      </c>
    </row>
    <row r="9" spans="1:12" ht="14" x14ac:dyDescent="0.15">
      <c r="A9" s="30" t="s">
        <v>134</v>
      </c>
      <c r="B9" s="36">
        <f>Financials!B20/Financials!B19</f>
        <v>0.28504914640455253</v>
      </c>
      <c r="C9" s="36">
        <f>Financials!C20/Financials!C19</f>
        <v>0.18735362997658081</v>
      </c>
      <c r="D9" s="36">
        <f>Financials!D20/Financials!D19</f>
        <v>0.26280253453827779</v>
      </c>
      <c r="E9" s="36">
        <f>Financials!E20/Financials!E19</f>
        <v>0.30064624894633324</v>
      </c>
      <c r="F9" s="37">
        <f>AVERAGE(B9:E9)</f>
        <v>0.25896288996643613</v>
      </c>
      <c r="G9" s="55"/>
      <c r="H9" s="55"/>
      <c r="I9" s="55"/>
      <c r="J9" s="55"/>
      <c r="K9" s="55"/>
    </row>
    <row r="11" spans="1:12" ht="14" x14ac:dyDescent="0.15">
      <c r="A11" s="30" t="s">
        <v>135</v>
      </c>
      <c r="B11" s="38">
        <f>Financials!B91+Financials!B92</f>
        <v>4998</v>
      </c>
      <c r="C11" s="38">
        <f>Financials!C91+Financials!C92</f>
        <v>4822</v>
      </c>
      <c r="D11" s="38">
        <f>Financials!D91+Financials!D92</f>
        <v>5113</v>
      </c>
      <c r="E11" s="38">
        <f>Financials!E91+Financials!E92</f>
        <v>6017</v>
      </c>
      <c r="F11" s="39">
        <f>AVERAGE(B11:E11)</f>
        <v>5237.5</v>
      </c>
      <c r="G11" s="38">
        <f>$F$11</f>
        <v>5237.5</v>
      </c>
      <c r="H11" s="38">
        <f t="shared" ref="H11:K11" si="6">$F$11</f>
        <v>5237.5</v>
      </c>
      <c r="I11" s="38">
        <f t="shared" si="6"/>
        <v>5237.5</v>
      </c>
      <c r="J11" s="38">
        <f t="shared" si="6"/>
        <v>5237.5</v>
      </c>
      <c r="K11" s="38">
        <f t="shared" si="6"/>
        <v>5237.5</v>
      </c>
    </row>
    <row r="12" spans="1:12" ht="14" x14ac:dyDescent="0.15">
      <c r="A12" s="30" t="s">
        <v>136</v>
      </c>
      <c r="B12" s="38">
        <f>Financials!B101</f>
        <v>-5823</v>
      </c>
      <c r="C12" s="38">
        <f>Financials!C101</f>
        <v>-7112</v>
      </c>
      <c r="D12" s="38">
        <f>Financials!D101</f>
        <v>-7777</v>
      </c>
      <c r="E12" s="38">
        <f>Financials!E101</f>
        <v>-6902</v>
      </c>
      <c r="F12" s="39">
        <f>AVERAGE(B12:E12)</f>
        <v>-6903.5</v>
      </c>
      <c r="G12" s="38">
        <f>$F$12</f>
        <v>-6903.5</v>
      </c>
      <c r="H12" s="38">
        <f t="shared" ref="H12:K12" si="7">$F$12</f>
        <v>-6903.5</v>
      </c>
      <c r="I12" s="38">
        <f t="shared" si="7"/>
        <v>-6903.5</v>
      </c>
      <c r="J12" s="38">
        <f t="shared" si="7"/>
        <v>-6903.5</v>
      </c>
      <c r="K12" s="38">
        <f t="shared" si="7"/>
        <v>-6903.5</v>
      </c>
    </row>
    <row r="13" spans="1:12" ht="14" x14ac:dyDescent="0.15">
      <c r="A13" s="30" t="s">
        <v>137</v>
      </c>
      <c r="B13" s="38">
        <f>Financials!B99</f>
        <v>-1112</v>
      </c>
      <c r="C13" s="38">
        <f>Financials!C99</f>
        <v>-735</v>
      </c>
      <c r="D13" s="38">
        <f>Financials!D99</f>
        <v>-1506</v>
      </c>
      <c r="E13" s="38">
        <f>Financials!E99</f>
        <v>-3402</v>
      </c>
      <c r="F13" s="39">
        <f>AVERAGE(B13:E13)</f>
        <v>-1688.75</v>
      </c>
      <c r="G13" s="38">
        <f>$F$13</f>
        <v>-1688.75</v>
      </c>
      <c r="H13" s="38">
        <f t="shared" ref="H13:K13" si="8">$F$13</f>
        <v>-1688.75</v>
      </c>
      <c r="I13" s="38">
        <f t="shared" si="8"/>
        <v>-1688.75</v>
      </c>
      <c r="J13" s="38">
        <f t="shared" si="8"/>
        <v>-1688.75</v>
      </c>
      <c r="K13" s="38">
        <f t="shared" si="8"/>
        <v>-1688.75</v>
      </c>
    </row>
    <row r="17" spans="1:12" ht="14" x14ac:dyDescent="0.15">
      <c r="F17" s="30" t="s">
        <v>138</v>
      </c>
      <c r="G17" s="40">
        <f>G8*(1-$F$9)+G11+G12-G13</f>
        <v>4915.1317907972098</v>
      </c>
      <c r="H17" s="40">
        <f>H8*(1-$F$9)+H11+H12-H13</f>
        <v>4258.1698068161186</v>
      </c>
      <c r="I17" s="40">
        <f>I8*(1-$F$9)+I11+I12-I13</f>
        <v>3539.9911678837252</v>
      </c>
      <c r="J17" s="40">
        <f>J8*(1-$F$9)+J11+J12-J13</f>
        <v>2756.6897478187602</v>
      </c>
      <c r="K17" s="40">
        <f>K8*(1-$F$9)+K11+K12-K13</f>
        <v>1904.1413576784798</v>
      </c>
      <c r="L17" s="41">
        <f>G22</f>
        <v>155527.25075315771</v>
      </c>
    </row>
    <row r="18" spans="1:12" x14ac:dyDescent="0.15">
      <c r="G18" s="42"/>
      <c r="H18" s="42"/>
      <c r="I18" s="42"/>
      <c r="J18" s="42"/>
      <c r="K18" s="42"/>
    </row>
    <row r="19" spans="1:12" ht="14" x14ac:dyDescent="0.15">
      <c r="A19" s="30" t="s">
        <v>139</v>
      </c>
      <c r="B19" s="43">
        <f>NPV(WACC!B11,DCF!G17:L17)</f>
        <v>142248.17526806213</v>
      </c>
    </row>
    <row r="20" spans="1:12" ht="14" x14ac:dyDescent="0.15">
      <c r="A20" s="30" t="s">
        <v>140</v>
      </c>
      <c r="B20" s="38">
        <f>Financials!E42</f>
        <v>12036</v>
      </c>
      <c r="F20" s="28" t="s">
        <v>141</v>
      </c>
      <c r="G20" s="44">
        <v>20</v>
      </c>
    </row>
    <row r="21" spans="1:12" ht="14" x14ac:dyDescent="0.15">
      <c r="A21" s="30" t="s">
        <v>142</v>
      </c>
      <c r="B21" s="38">
        <f>Financials!E67+Financials!E64+Financials!E63</f>
        <v>114644</v>
      </c>
      <c r="F21" s="30" t="s">
        <v>143</v>
      </c>
    </row>
    <row r="22" spans="1:12" ht="14" x14ac:dyDescent="0.15">
      <c r="A22" s="30" t="s">
        <v>144</v>
      </c>
      <c r="B22" s="43">
        <f>B19+B20-B21</f>
        <v>39640.175268062128</v>
      </c>
      <c r="F22" s="28" t="s">
        <v>145</v>
      </c>
      <c r="G22" s="38">
        <f>(K8+K11)*G20</f>
        <v>155527.25075315771</v>
      </c>
    </row>
    <row r="23" spans="1:12" ht="14" x14ac:dyDescent="0.15">
      <c r="A23" s="28" t="s">
        <v>146</v>
      </c>
      <c r="B23" s="45">
        <v>659</v>
      </c>
    </row>
    <row r="24" spans="1:12" ht="14" x14ac:dyDescent="0.15">
      <c r="A24" s="30" t="s">
        <v>147</v>
      </c>
      <c r="B24" s="46">
        <f>B22/B23</f>
        <v>60.152011028925841</v>
      </c>
    </row>
    <row r="25" spans="1:12" ht="14" x14ac:dyDescent="0.15">
      <c r="A25" s="28" t="s">
        <v>148</v>
      </c>
      <c r="B25" s="45">
        <v>73.14</v>
      </c>
      <c r="C25" s="47" t="s">
        <v>150</v>
      </c>
    </row>
    <row r="26" spans="1:12" ht="14" x14ac:dyDescent="0.15">
      <c r="A26" s="30" t="s">
        <v>149</v>
      </c>
      <c r="B26" s="48">
        <f>B24/B25-1</f>
        <v>-0.17757709831930757</v>
      </c>
      <c r="C26" s="49" t="s">
        <v>151</v>
      </c>
    </row>
    <row r="28" spans="1:12" x14ac:dyDescent="0.15">
      <c r="G28" s="29">
        <v>100</v>
      </c>
      <c r="H28" s="29">
        <v>100</v>
      </c>
      <c r="I28" s="29">
        <v>300</v>
      </c>
      <c r="J28" s="29">
        <v>-200</v>
      </c>
      <c r="K28" s="29">
        <v>500</v>
      </c>
      <c r="L28" s="29">
        <v>1400</v>
      </c>
    </row>
    <row r="31" spans="1:12" x14ac:dyDescent="0.15">
      <c r="F31" s="47" t="s">
        <v>138</v>
      </c>
      <c r="G31" s="29">
        <f>-1000*(1-20%)-200-100-100</f>
        <v>-1200</v>
      </c>
    </row>
    <row r="32" spans="1:12" x14ac:dyDescent="0.15">
      <c r="A32" s="47"/>
      <c r="F32" s="47" t="s">
        <v>152</v>
      </c>
      <c r="G32" s="50">
        <f>NPV(5%,G28:L28)</f>
        <v>1717.0164662104744</v>
      </c>
    </row>
    <row r="33" spans="1:7" x14ac:dyDescent="0.15">
      <c r="A33" s="47"/>
      <c r="F33" s="47" t="s">
        <v>153</v>
      </c>
      <c r="G33" s="29">
        <f>((10000+3000)-6000)/700</f>
        <v>10</v>
      </c>
    </row>
    <row r="34" spans="1:7" x14ac:dyDescent="0.15">
      <c r="A34" s="47"/>
    </row>
    <row r="38" spans="1:7" x14ac:dyDescent="0.15">
      <c r="G38" s="29">
        <f>1000*(1-20%) + 200 - 100 - 100</f>
        <v>800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WACC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 Saleh</cp:lastModifiedBy>
  <cp:revision>1</cp:revision>
  <dcterms:created xsi:type="dcterms:W3CDTF">2024-01-02T20:21:35Z</dcterms:created>
  <dcterms:modified xsi:type="dcterms:W3CDTF">2024-01-27T06:47:02Z</dcterms:modified>
  <dc:language>en-US</dc:language>
</cp:coreProperties>
</file>