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RangeTested" sheetId="1" state="visible" r:id="rId2"/>
    <sheet name="yield_T" sheetId="2" state="visible" r:id="rId3"/>
    <sheet name="yield_CC" sheetId="3" state="visible" r:id="rId4"/>
    <sheet name="SOC_T" sheetId="4" state="visible" r:id="rId5"/>
    <sheet name="SOC_CC" sheetId="5" state="visible" r:id="rId6"/>
    <sheet name="f_Ni" sheetId="6" state="visible" r:id="rId7"/>
    <sheet name="f_ONd" sheetId="7" state="visible" r:id="rId8"/>
    <sheet name="f_Nd" sheetId="8" state="visible" r:id="rId9"/>
    <sheet name="f_up" sheetId="9" state="visible" r:id="rId10"/>
    <sheet name="f_Ng" sheetId="10" state="visible" r:id="rId11"/>
    <sheet name="CO2_T" sheetId="11" state="visible" r:id="rId12"/>
    <sheet name="CO2Fcc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<sst xmlns="http://schemas.openxmlformats.org/spreadsheetml/2006/main" count="1376" uniqueCount="272">
  <si>
    <t xml:space="preserve">Table</t>
  </si>
  <si>
    <t xml:space="preserve">Parameter</t>
  </si>
  <si>
    <t xml:space="preserve">Uncertainty</t>
  </si>
  <si>
    <t xml:space="preserve">Sensitive</t>
  </si>
  <si>
    <t xml:space="preserve">Test range</t>
  </si>
  <si>
    <t xml:space="preserve">Impact</t>
  </si>
  <si>
    <t xml:space="preserve">Source</t>
  </si>
  <si>
    <t xml:space="preserve">GWPN2O</t>
  </si>
  <si>
    <t xml:space="preserve">none</t>
  </si>
  <si>
    <t xml:space="preserve">no</t>
  </si>
  <si>
    <t xml:space="preserve">a</t>
  </si>
  <si>
    <t xml:space="preserve">Tillage definition</t>
  </si>
  <si>
    <t xml:space="preserve">SOCcc</t>
  </si>
  <si>
    <t xml:space="preserve">large</t>
  </si>
  <si>
    <t xml:space="preserve">observed</t>
  </si>
  <si>
    <t xml:space="preserve">SOC change</t>
  </si>
  <si>
    <t xml:space="preserve">Dominic analysis</t>
  </si>
  <si>
    <t xml:space="preserve">SOCt</t>
  </si>
  <si>
    <t xml:space="preserve">Ogle range</t>
  </si>
  <si>
    <t xml:space="preserve">f100cc</t>
  </si>
  <si>
    <t xml:space="preserve">f100t</t>
  </si>
  <si>
    <t xml:space="preserve">CO2Fcc</t>
  </si>
  <si>
    <t xml:space="preserve">small</t>
  </si>
  <si>
    <t xml:space="preserve">FEAT</t>
  </si>
  <si>
    <t xml:space="preserve">CO2Icc</t>
  </si>
  <si>
    <t xml:space="preserve">CO2Ft</t>
  </si>
  <si>
    <t xml:space="preserve">percent?</t>
  </si>
  <si>
    <t xml:space="preserve">GREET?</t>
  </si>
  <si>
    <t xml:space="preserve">CO2It</t>
  </si>
  <si>
    <t xml:space="preserve">Fycc</t>
  </si>
  <si>
    <t xml:space="preserve">Yield change</t>
  </si>
  <si>
    <t xml:space="preserve">Miguez, Tonitto, USDA survey</t>
  </si>
  <si>
    <t xml:space="preserve">Fyt</t>
  </si>
  <si>
    <t xml:space="preserve">Daigh, Cusser, Pittelkow</t>
  </si>
  <si>
    <t xml:space="preserve">Fi</t>
  </si>
  <si>
    <t xml:space="preserve">leakage</t>
  </si>
  <si>
    <t xml:space="preserve">Fp</t>
  </si>
  <si>
    <t xml:space="preserve">fNd</t>
  </si>
  <si>
    <t xml:space="preserve">N2O dir</t>
  </si>
  <si>
    <t xml:space="preserve">IPCC uncertainty</t>
  </si>
  <si>
    <t xml:space="preserve">fONd</t>
  </si>
  <si>
    <t xml:space="preserve">N2O organic</t>
  </si>
  <si>
    <t xml:space="preserve">fONl </t>
  </si>
  <si>
    <t xml:space="preserve">fNv</t>
  </si>
  <si>
    <t xml:space="preserve">N2O indir</t>
  </si>
  <si>
    <t xml:space="preserve">fNl </t>
  </si>
  <si>
    <t xml:space="preserve">fup</t>
  </si>
  <si>
    <t xml:space="preserve">soil health N uptake</t>
  </si>
  <si>
    <t xml:space="preserve">Woodbury, Tonitto, Waring</t>
  </si>
  <si>
    <t xml:space="preserve">fNg</t>
  </si>
  <si>
    <t xml:space="preserve">%N crop</t>
  </si>
  <si>
    <t xml:space="preserve">Woodbury %N ranges in worksheet, various sources</t>
  </si>
  <si>
    <t xml:space="preserve">FAST-GHG units</t>
  </si>
  <si>
    <t xml:space="preserve">Mean change in yield under  treatment compared to conventional tillage</t>
  </si>
  <si>
    <t xml:space="preserve">Range</t>
  </si>
  <si>
    <t xml:space="preserve">Dispersion</t>
  </si>
  <si>
    <t xml:space="preserve">Gigaton</t>
  </si>
  <si>
    <t xml:space="preserve">Units</t>
  </si>
  <si>
    <t xml:space="preserve">Mean</t>
  </si>
  <si>
    <t xml:space="preserve">Distribution</t>
  </si>
  <si>
    <t xml:space="preserve">Sign</t>
  </si>
  <si>
    <t xml:space="preserve">Sample Size</t>
  </si>
  <si>
    <t xml:space="preserve">Min</t>
  </si>
  <si>
    <t xml:space="preserve">Max</t>
  </si>
  <si>
    <t xml:space="preserve">CI low</t>
  </si>
  <si>
    <t xml:space="preserve">CI high</t>
  </si>
  <si>
    <t xml:space="preserve">Std Dev</t>
  </si>
  <si>
    <t xml:space="preserve">Std Error</t>
  </si>
  <si>
    <t xml:space="preserve">Notes</t>
  </si>
  <si>
    <t xml:space="preserve">Tillage Practice</t>
  </si>
  <si>
    <t xml:space="preserve"> Crop</t>
  </si>
  <si>
    <t xml:space="preserve"> Moisture</t>
  </si>
  <si>
    <t xml:space="preserve"> Rotation</t>
  </si>
  <si>
    <t xml:space="preserve"> $F_{Y_T}$</t>
  </si>
  <si>
    <t xml:space="preserve">% change from conventional</t>
  </si>
  <si>
    <t xml:space="preserve">No-till</t>
  </si>
  <si>
    <t xml:space="preserve"> Maize</t>
  </si>
  <si>
    <t xml:space="preserve"> All</t>
  </si>
  <si>
    <t xml:space="preserve"> Maize-Soybean</t>
  </si>
  <si>
    <t xml:space="preserve">normal</t>
  </si>
  <si>
    <t xml:space="preserve">Negative possible</t>
  </si>
  <si>
    <t xml:space="preserve">Daigh + Cusser</t>
  </si>
  <si>
    <t xml:space="preserve">average of 5 long term sites, long-term sites only average 36 year of no-till</t>
  </si>
  <si>
    <t xml:space="preserve"> Continuous Maize</t>
  </si>
  <si>
    <t xml:space="preserve">average of 4 long term sites, long-term sites only average 37 year of no-till</t>
  </si>
  <si>
    <t xml:space="preserve"> Soybean</t>
  </si>
  <si>
    <t xml:space="preserve"> Wheat</t>
  </si>
  <si>
    <t xml:space="preserve"> Moist</t>
  </si>
  <si>
    <t xml:space="preserve">Pittelkow</t>
  </si>
  <si>
    <t xml:space="preserve">Global meta-analysis, 99 studies</t>
  </si>
  <si>
    <t xml:space="preserve"> Dry</t>
  </si>
  <si>
    <t xml:space="preserve">Global meta-analysis, 217 studies</t>
  </si>
  <si>
    <t xml:space="preserve">Reduced-till</t>
  </si>
  <si>
    <t xml:space="preserve">Based on no-till results</t>
  </si>
  <si>
    <t xml:space="preserve">Reduced till half of no-till mean. Same Std Dev</t>
  </si>
  <si>
    <t xml:space="preserve">Units in literature</t>
  </si>
  <si>
    <t xml:space="preserve">Mg grain per ha</t>
  </si>
  <si>
    <t xml:space="preserve"> </t>
  </si>
  <si>
    <t xml:space="preserve">Using state average from cover crop survey</t>
  </si>
  <si>
    <t xml:space="preserve">Mean change in yield under treatment compared to conventional bare fallow</t>
  </si>
  <si>
    <t xml:space="preserve">Crop</t>
  </si>
  <si>
    <t xml:space="preserve">Moisture</t>
  </si>
  <si>
    <t xml:space="preserve">$F_{Y_{CC}}$</t>
  </si>
  <si>
    <t xml:space="preserve">Maize</t>
  </si>
  <si>
    <t xml:space="preserve">Moist</t>
  </si>
  <si>
    <t xml:space="preserve">% change from mean yield without cover crop</t>
  </si>
  <si>
    <t xml:space="preserve">negative possible</t>
  </si>
  <si>
    <t xml:space="preserve">Cover crop survey. State-level means reported for 12 midwest states. These aggregate values are used to calculate the mininum, maximum, and standard deviation of yield response for moist sites</t>
  </si>
  <si>
    <t xml:space="preserve">Dry</t>
  </si>
  <si>
    <t xml:space="preserve">NA</t>
  </si>
  <si>
    <t xml:space="preserve">Wheat</t>
  </si>
  <si>
    <t xml:space="preserve">Soybean</t>
  </si>
  <si>
    <t xml:space="preserve">Using meta analysis</t>
  </si>
  <si>
    <t xml:space="preserve">These used for non-legume</t>
  </si>
  <si>
    <t xml:space="preserve">These used for all cover crops</t>
  </si>
  <si>
    <t xml:space="preserve">Marcillo &amp; Miguez</t>
  </si>
  <si>
    <t xml:space="preserve">non-legume</t>
  </si>
  <si>
    <t xml:space="preserve">Corn grain yield response following non-legume cover crops. Average across all cover crop termination times</t>
  </si>
  <si>
    <t xml:space="preserve">Tonitto et al. 2006</t>
  </si>
  <si>
    <t xml:space="preserve">Observations are maize and sorghum and vegetable, use Marcillo &amp; Miguez for all crops? It is mid-west specific.</t>
  </si>
  <si>
    <t xml:space="preserve">This used for all crops for legume</t>
  </si>
  <si>
    <t xml:space="preserve">Non-irrigated</t>
  </si>
  <si>
    <t xml:space="preserve">legume</t>
  </si>
  <si>
    <t xml:space="preserve">Corn grain yield following legume cover crop. For systems where legume biomass N provided 110-180 kg N /ha (average 139.3 kg N/ha) compared to recommended N fertilizer rate in conventional system).</t>
  </si>
  <si>
    <t xml:space="preserve">Sorghum</t>
  </si>
  <si>
    <t xml:space="preserve">Sorghum grain yield following legume cover crop. Systems where legume biomess provided 11-180 kg N/ha (average 139.9 kg N/ha) compared to recommended N rate in conventional system. </t>
  </si>
  <si>
    <t xml:space="preserve">maize, sorghum</t>
  </si>
  <si>
    <t xml:space="preserve">Corn and sorghum yields following legume cover crop. Legume biomass N provided 8-280 kg N / ha (averaged 123.4 kg N /ha). Compared to grain grown with fertilizer N. </t>
  </si>
  <si>
    <t xml:space="preserve">Temperature</t>
  </si>
  <si>
    <t xml:space="preserve">Soil</t>
  </si>
  <si>
    <t xml:space="preserve">$\Delta\textrm{SOC}_T$</t>
  </si>
  <si>
    <t xml:space="preserve">Mg C per ha per yr</t>
  </si>
  <si>
    <t xml:space="preserve">Conventional</t>
  </si>
  <si>
    <t xml:space="preserve">All</t>
  </si>
  <si>
    <t xml:space="preserve">Ogle et al 2019</t>
  </si>
  <si>
    <t xml:space="preserve">Reduced-till mean and CI range is calculated from Ogle no-till observations by adjusting based on Meuer observations. </t>
  </si>
  <si>
    <t xml:space="preserve">Cool</t>
  </si>
  <si>
    <t xml:space="preserve">Other</t>
  </si>
  <si>
    <t xml:space="preserve">Sandy</t>
  </si>
  <si>
    <t xml:space="preserve">Assume normal distribution</t>
  </si>
  <si>
    <t xml:space="preserve">Assume 1205 observations used in Ogle were divided equally across 12 climate, geographies studied. </t>
  </si>
  <si>
    <t xml:space="preserve">Therefore N = 100</t>
  </si>
  <si>
    <t xml:space="preserve">Warm</t>
  </si>
  <si>
    <t xml:space="preserve">Use Ogle 95% CI range reported, converted to depth using Peter's calculations</t>
  </si>
  <si>
    <t xml:space="preserve"> $\Delta\textrm{SOC}_{CC}$</t>
  </si>
  <si>
    <t xml:space="preserve">se</t>
  </si>
  <si>
    <t xml:space="preserve">Sources</t>
  </si>
  <si>
    <t xml:space="preserve">Dominic's analysis</t>
  </si>
  <si>
    <t xml:space="preserve">Indirect N2O</t>
  </si>
  <si>
    <t xml:space="preserve">IPCC units</t>
  </si>
  <si>
    <t xml:space="preserve">kg-N2O/kgNapplied</t>
  </si>
  <si>
    <t xml:space="preserve">kg-N2O-N/kgNlost</t>
  </si>
  <si>
    <t xml:space="preserve"> f_{Nv}</t>
  </si>
  <si>
    <t xml:space="preserve">FracGASM</t>
  </si>
  <si>
    <t xml:space="preserve">EFvol</t>
  </si>
  <si>
    <t xml:space="preserve">sdlog</t>
  </si>
  <si>
    <t xml:space="preserve">Organic Volatilization</t>
  </si>
  <si>
    <t xml:space="preserve">non-negative</t>
  </si>
  <si>
    <t xml:space="preserve">lognormal</t>
  </si>
  <si>
    <t xml:space="preserve">IPCC 2019</t>
  </si>
  <si>
    <t xml:space="preserve">Calculation of sd</t>
  </si>
  <si>
    <t xml:space="preserve">gasm = rriskDistributions::get.lnorm.par(q = c(0.02, 0.11, 0.33))</t>
  </si>
  <si>
    <t xml:space="preserve">ef = rriskDistributions::get.norm.par(q = c(0.011, 0.014, 0.017))</t>
  </si>
  <si>
    <t xml:space="preserve">monte = data.frame(gasm = rlnorm(10000, gasm[1], gasm[2]), ef = rnorm (10000, ef[1], ef[2]))</t>
  </si>
  <si>
    <t xml:space="preserve">monte$f = monte$ef*monte$gasm*44/28</t>
  </si>
  <si>
    <t xml:space="preserve">p = seq(0.025, 0.975, 0.01)</t>
  </si>
  <si>
    <t xml:space="preserve">rriskDistributions::get.lnorm.par(p = p, q = quantile(monte$f, probs=p))</t>
  </si>
  <si>
    <t xml:space="preserve">#    meanlog      sdlog </t>
  </si>
  <si>
    <t xml:space="preserve"># -6.0312556  0.5856656 </t>
  </si>
  <si>
    <t xml:space="preserve">kg-N2O/kgNlost</t>
  </si>
  <si>
    <t xml:space="preserve">$f_{Nl}$</t>
  </si>
  <si>
    <t xml:space="preserve">FracLEACH</t>
  </si>
  <si>
    <t xml:space="preserve">EFleach </t>
  </si>
  <si>
    <t xml:space="preserve">Direct, organic N2O</t>
  </si>
  <si>
    <t xml:space="preserve">EF for N applied</t>
  </si>
  <si>
    <t xml:space="preserve">Gigaton units</t>
  </si>
  <si>
    <t xml:space="preserve">logsd</t>
  </si>
  <si>
    <t xml:space="preserve">Efdirect, org</t>
  </si>
  <si>
    <t xml:space="preserve"> f_{ONd}</t>
  </si>
  <si>
    <t xml:space="preserve">Direct organic N2O emissions</t>
  </si>
  <si>
    <t xml:space="preserve">Indirect organic N2O</t>
  </si>
  <si>
    <t xml:space="preserve"> f_{ONv}</t>
  </si>
  <si>
    <t xml:space="preserve">log-normal</t>
  </si>
  <si>
    <t xml:space="preserve">Not applied in FAST-GHG</t>
  </si>
  <si>
    <t xml:space="preserve">Included in equation so manure could be added in future. </t>
  </si>
  <si>
    <t xml:space="preserve"> f_{ONl}</t>
  </si>
  <si>
    <t xml:space="preserve">FracLeach</t>
  </si>
  <si>
    <t xml:space="preserve">Efleach</t>
  </si>
  <si>
    <t xml:space="preserve">Organic leaching indirect N2O</t>
  </si>
  <si>
    <t xml:space="preserve">Assumed no leaching in dry systems</t>
  </si>
  <si>
    <t xml:space="preserve">Moist systems has leaching</t>
  </si>
  <si>
    <t xml:space="preserve">Suggest to replace F_Onv and F_Onl with a single aggregated factor for indirect emissions, based on USDA 2021 method</t>
  </si>
  <si>
    <t xml:space="preserve">f_{ONi}</t>
  </si>
  <si>
    <t xml:space="preserve">log_sd</t>
  </si>
  <si>
    <t xml:space="preserve">distribution</t>
  </si>
  <si>
    <t xml:space="preserve">kg N2O/kg N applied</t>
  </si>
  <si>
    <t xml:space="preserve">kg N2O-N/kg N applied</t>
  </si>
  <si>
    <t xml:space="preserve">Moisture class</t>
  </si>
  <si>
    <t xml:space="preserve">Need to convert to (kg N2O / kg N applied) </t>
  </si>
  <si>
    <t xml:space="preserve">Moist </t>
  </si>
  <si>
    <t xml:space="preserve">0.085 x clay</t>
  </si>
  <si>
    <t xml:space="preserve">0.054 x clay</t>
  </si>
  <si>
    <t xml:space="preserve">Non-negative</t>
  </si>
  <si>
    <t xml:space="preserve">0.031 x clay</t>
  </si>
  <si>
    <t xml:space="preserve">0.012 *clay</t>
  </si>
  <si>
    <t xml:space="preserve">Tonitto et al 2020</t>
  </si>
  <si>
    <t xml:space="preserve">ef = rriskDistributions::get.norm.par(q = c(0.031, 0.054, 0.085))</t>
  </si>
  <si>
    <t xml:space="preserve">Bootstrap Ci using mean N rate IA, IL, IN. Sample size is sdata ample behind model derivation. </t>
  </si>
  <si>
    <t xml:space="preserve">proportional reduction in NO3 leaching under treatment relative to conventional practice</t>
  </si>
  <si>
    <t xml:space="preserve">proportional reduction in NO3 leaching</t>
  </si>
  <si>
    <t xml:space="preserve">proportional change in NO3 loss relative to conventional</t>
  </si>
  <si>
    <t xml:space="preserve">Woodbury 2017</t>
  </si>
  <si>
    <t xml:space="preserve">Tonitto 2006</t>
  </si>
  <si>
    <t xml:space="preserve">Waring 2020</t>
  </si>
  <si>
    <t xml:space="preserve">Cover Crop</t>
  </si>
  <si>
    <t xml:space="preserve">Tillage</t>
  </si>
  <si>
    <t xml:space="preserve"> f_{up}</t>
  </si>
  <si>
    <t xml:space="preserve">Non-legume</t>
  </si>
  <si>
    <t xml:space="preserve">proportion reduction in NO3 leaching relative to conventional</t>
  </si>
  <si>
    <t xml:space="preserve">Legume</t>
  </si>
  <si>
    <t xml:space="preserve">None</t>
  </si>
  <si>
    <t xml:space="preserve">No-till </t>
  </si>
  <si>
    <t xml:space="preserve">f_{Ng}</t>
  </si>
  <si>
    <t xml:space="preserve">SE</t>
  </si>
  <si>
    <t xml:space="preserve">cv</t>
  </si>
  <si>
    <t xml:space="preserve">SE based on CV</t>
  </si>
  <si>
    <t xml:space="preserve">grain %N</t>
  </si>
  <si>
    <t xml:space="preserve">USGC (2012, 2014, 2015); McLellan; Tenorio</t>
  </si>
  <si>
    <t xml:space="preserve">Average of 6 annual means that are derived from large data sets (87, 163, and &gt;600 for four of the values). </t>
  </si>
  <si>
    <t xml:space="preserve">Don't have dispersion for averaged wheat %N. </t>
  </si>
  <si>
    <t xml:space="preserve">Salvagiotti; Miller-Garvin</t>
  </si>
  <si>
    <t xml:space="preserve">Average of 2 mean values, which are both from large data sets (289, and large sample of growers)</t>
  </si>
  <si>
    <t xml:space="preserve">mean</t>
  </si>
  <si>
    <t xml:space="preserve">wheat variety by region</t>
  </si>
  <si>
    <t xml:space="preserve">cool dry</t>
  </si>
  <si>
    <t xml:space="preserve">hard red spring</t>
  </si>
  <si>
    <t xml:space="preserve">US Wheat Council 2019 report</t>
  </si>
  <si>
    <t xml:space="preserve">warm dry</t>
  </si>
  <si>
    <t xml:space="preserve">hard red winter</t>
  </si>
  <si>
    <t xml:space="preserve">Regional wheat variety based on distribution cited in the US Wheat Council 2019 Wheat quality report. </t>
  </si>
  <si>
    <t xml:space="preserve">cool moist</t>
  </si>
  <si>
    <t xml:space="preserve">soft red winter</t>
  </si>
  <si>
    <t xml:space="preserve">https://www.uswheat.org/wp-content/uploads/2019/10/2019-USW-Crop-Quality-Report-English.pdf</t>
  </si>
  <si>
    <t xml:space="preserve">warm moist</t>
  </si>
  <si>
    <t xml:space="preserve">FAST-GHG parameter</t>
  </si>
  <si>
    <t xml:space="preserve">Uncertainty analysis</t>
  </si>
  <si>
    <t xml:space="preserve">$\Delta\textrm{CO2}_I$</t>
  </si>
  <si>
    <t xml:space="preserve">CO2_I</t>
  </si>
  <si>
    <t xml:space="preserve">Mg CO2e/ha/yr</t>
  </si>
  <si>
    <t xml:space="preserve">Standard deviation of pesticides in FEAT model</t>
  </si>
  <si>
    <t xml:space="preserve">$\Delta\textrm{CO2}_F$</t>
  </si>
  <si>
    <t xml:space="preserve">CO2_F</t>
  </si>
  <si>
    <t xml:space="preserve">Range in FEAT model for conventional tillage </t>
  </si>
  <si>
    <t xml:space="preserve">CO2-F</t>
  </si>
  <si>
    <t xml:space="preserve">FEAT values</t>
  </si>
  <si>
    <t xml:space="preserve">StdDev</t>
  </si>
  <si>
    <t xml:space="preserve">N</t>
  </si>
  <si>
    <t xml:space="preserve">units</t>
  </si>
  <si>
    <t xml:space="preserve">Moldboard plow</t>
  </si>
  <si>
    <t xml:space="preserve">L/ha</t>
  </si>
  <si>
    <t xml:space="preserve">Chisel plow</t>
  </si>
  <si>
    <t xml:space="preserve">Diesel</t>
  </si>
  <si>
    <t xml:space="preserve">kg CO2e/L diesel</t>
  </si>
  <si>
    <t xml:space="preserve">CO2-I</t>
  </si>
  <si>
    <t xml:space="preserve">Pesticide rate</t>
  </si>
  <si>
    <t xml:space="preserve">kg/ha/yr</t>
  </si>
  <si>
    <t xml:space="preserve">Pesticide GHG</t>
  </si>
  <si>
    <t xml:space="preserve">kg CO2e/kg</t>
  </si>
  <si>
    <t xml:space="preserve">Cover crop</t>
  </si>
  <si>
    <t xml:space="preserve">Standard deviation derived from FEAT model values</t>
  </si>
  <si>
    <t xml:space="preserve">FEAT model</t>
  </si>
  <si>
    <t xml:space="preserve">Camargo et al. 2013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</si>
</sst>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"/>
    <numFmt numFmtId="167" formatCode="0.0000"/>
    <numFmt numFmtId="168" formatCode="0"/>
    <numFmt numFmtId="169" formatCode="0.000"/>
    <numFmt numFmtId="170" formatCode="0.000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imes New Roman"/>
      <family val="1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ourier New"/>
      <family val="3"/>
      <charset val="1"/>
    </font>
    <font>
      <sz val="12"/>
      <color rgb="FF000000"/>
      <name val="Courier New"/>
      <family val="3"/>
      <charset val="1"/>
    </font>
    <font>
      <sz val="12"/>
      <color rgb="FF00000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4EA6B"/>
        <bgColor rgb="FFE8F2A1"/>
      </patternFill>
    </fill>
    <fill>
      <patternFill patternType="solid">
        <fgColor rgb="FFFFC000"/>
        <bgColor rgb="FFFF9900"/>
      </patternFill>
    </fill>
    <fill>
      <patternFill patternType="solid">
        <fgColor rgb="FFE8F2A1"/>
        <bgColor rgb="FFFFFFCC"/>
      </patternFill>
    </fill>
    <fill>
      <patternFill patternType="solid">
        <fgColor rgb="FF81D41A"/>
        <bgColor rgb="FFD4EA6B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9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E8F2A1"/>
      <rgbColor rgb="FF99CCFF"/>
      <rgbColor rgb="FFFF99CC"/>
      <rgbColor rgb="FFCC99FF"/>
      <rgbColor rgb="FFFFCC99"/>
      <rgbColor rgb="FF3366FF"/>
      <rgbColor rgb="FF33CCCC"/>
      <rgbColor rgb="FF81D41A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703800</xdr:colOff>
      <xdr:row>30</xdr:row>
      <xdr:rowOff>38880</xdr:rowOff>
    </xdr:from>
    <xdr:to>
      <xdr:col>11</xdr:col>
      <xdr:colOff>262080</xdr:colOff>
      <xdr:row>65</xdr:row>
      <xdr:rowOff>186840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03800" y="6541200"/>
          <a:ext cx="9191160" cy="7259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M18:M23 B8"/>
    </sheetView>
  </sheetViews>
  <sheetFormatPr defaultColWidth="10.6015625" defaultRowHeight="16" zeroHeight="false" outlineLevelRow="0" outlineLevelCol="0"/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I1" s="2" t="s">
        <v>6</v>
      </c>
    </row>
    <row r="3" customFormat="false" ht="16" hidden="false" customHeight="false" outlineLevel="0" collapsed="false">
      <c r="A3" s="2" t="n">
        <v>1</v>
      </c>
      <c r="B3" s="2" t="s">
        <v>7</v>
      </c>
      <c r="C3" s="2" t="s">
        <v>8</v>
      </c>
      <c r="E3" s="2" t="s">
        <v>9</v>
      </c>
    </row>
    <row r="4" customFormat="false" ht="16" hidden="false" customHeight="false" outlineLevel="0" collapsed="false">
      <c r="A4" s="2" t="n">
        <v>1</v>
      </c>
      <c r="B4" s="2" t="s">
        <v>10</v>
      </c>
      <c r="C4" s="2" t="s">
        <v>8</v>
      </c>
      <c r="E4" s="2" t="s">
        <v>9</v>
      </c>
    </row>
    <row r="6" customFormat="false" ht="16" hidden="false" customHeight="false" outlineLevel="0" collapsed="false">
      <c r="A6" s="2" t="n">
        <v>2</v>
      </c>
      <c r="B6" s="2" t="s">
        <v>11</v>
      </c>
    </row>
    <row r="8" customFormat="false" ht="16" hidden="false" customHeight="false" outlineLevel="0" collapsed="false">
      <c r="A8" s="2" t="n">
        <v>3</v>
      </c>
      <c r="B8" s="3" t="s">
        <v>12</v>
      </c>
      <c r="C8" s="2" t="s">
        <v>13</v>
      </c>
      <c r="D8" s="2" t="s">
        <v>13</v>
      </c>
      <c r="E8" s="2" t="s">
        <v>14</v>
      </c>
      <c r="G8" s="2" t="s">
        <v>15</v>
      </c>
      <c r="I8" s="3" t="s">
        <v>16</v>
      </c>
    </row>
    <row r="10" customFormat="false" ht="16" hidden="false" customHeight="false" outlineLevel="0" collapsed="false">
      <c r="A10" s="2" t="n">
        <v>4</v>
      </c>
      <c r="B10" s="2" t="s">
        <v>17</v>
      </c>
      <c r="C10" s="2" t="s">
        <v>13</v>
      </c>
      <c r="D10" s="2" t="s">
        <v>13</v>
      </c>
      <c r="E10" s="2" t="s">
        <v>14</v>
      </c>
      <c r="G10" s="2" t="s">
        <v>15</v>
      </c>
      <c r="I10" s="2" t="s">
        <v>18</v>
      </c>
    </row>
    <row r="12" customFormat="false" ht="16" hidden="false" customHeight="false" outlineLevel="0" collapsed="false">
      <c r="A12" s="2" t="n">
        <v>5</v>
      </c>
      <c r="B12" s="2" t="s">
        <v>19</v>
      </c>
      <c r="C12" s="2" t="s">
        <v>9</v>
      </c>
      <c r="E12" s="2" t="s">
        <v>9</v>
      </c>
    </row>
    <row r="13" customFormat="false" ht="16" hidden="false" customHeight="false" outlineLevel="0" collapsed="false">
      <c r="B13" s="2" t="s">
        <v>20</v>
      </c>
      <c r="C13" s="2" t="s">
        <v>9</v>
      </c>
      <c r="E13" s="2" t="s">
        <v>9</v>
      </c>
    </row>
    <row r="15" customFormat="false" ht="16" hidden="false" customHeight="false" outlineLevel="0" collapsed="false">
      <c r="A15" s="2" t="n">
        <v>6</v>
      </c>
      <c r="B15" s="2" t="s">
        <v>21</v>
      </c>
      <c r="C15" s="2" t="s">
        <v>22</v>
      </c>
      <c r="E15" s="2" t="s">
        <v>14</v>
      </c>
      <c r="I15" s="2" t="s">
        <v>23</v>
      </c>
    </row>
    <row r="16" customFormat="false" ht="16" hidden="false" customHeight="false" outlineLevel="0" collapsed="false">
      <c r="B16" s="2" t="s">
        <v>24</v>
      </c>
      <c r="C16" s="2" t="s">
        <v>22</v>
      </c>
      <c r="E16" s="2" t="s">
        <v>14</v>
      </c>
      <c r="I16" s="2" t="s">
        <v>23</v>
      </c>
    </row>
    <row r="18" customFormat="false" ht="16" hidden="false" customHeight="false" outlineLevel="0" collapsed="false">
      <c r="A18" s="2" t="n">
        <v>7</v>
      </c>
      <c r="B18" s="3" t="s">
        <v>25</v>
      </c>
      <c r="C18" s="2" t="s">
        <v>22</v>
      </c>
      <c r="E18" s="2" t="s">
        <v>26</v>
      </c>
      <c r="I18" s="2" t="s">
        <v>27</v>
      </c>
    </row>
    <row r="19" customFormat="false" ht="16" hidden="false" customHeight="false" outlineLevel="0" collapsed="false">
      <c r="B19" s="3" t="s">
        <v>28</v>
      </c>
      <c r="C19" s="2" t="s">
        <v>22</v>
      </c>
      <c r="E19" s="2" t="s">
        <v>26</v>
      </c>
    </row>
    <row r="21" customFormat="false" ht="16" hidden="false" customHeight="false" outlineLevel="0" collapsed="false">
      <c r="A21" s="2" t="n">
        <v>8</v>
      </c>
      <c r="B21" s="2" t="s">
        <v>29</v>
      </c>
      <c r="C21" s="2" t="s">
        <v>13</v>
      </c>
      <c r="D21" s="2" t="s">
        <v>13</v>
      </c>
      <c r="E21" s="2" t="s">
        <v>14</v>
      </c>
      <c r="G21" s="2" t="s">
        <v>30</v>
      </c>
      <c r="I21" s="2" t="s">
        <v>31</v>
      </c>
    </row>
    <row r="23" customFormat="false" ht="16" hidden="false" customHeight="false" outlineLevel="0" collapsed="false">
      <c r="A23" s="2" t="n">
        <v>9</v>
      </c>
      <c r="B23" s="2" t="s">
        <v>32</v>
      </c>
      <c r="C23" s="2" t="s">
        <v>13</v>
      </c>
      <c r="D23" s="2" t="s">
        <v>13</v>
      </c>
      <c r="E23" s="2" t="s">
        <v>14</v>
      </c>
      <c r="G23" s="2" t="s">
        <v>30</v>
      </c>
      <c r="I23" s="2" t="s">
        <v>33</v>
      </c>
    </row>
    <row r="25" customFormat="false" ht="16" hidden="false" customHeight="false" outlineLevel="0" collapsed="false">
      <c r="A25" s="2" t="n">
        <v>10</v>
      </c>
      <c r="B25" s="2" t="s">
        <v>34</v>
      </c>
      <c r="C25" s="2" t="s">
        <v>13</v>
      </c>
      <c r="D25" s="2" t="s">
        <v>13</v>
      </c>
      <c r="E25" s="2" t="s">
        <v>14</v>
      </c>
      <c r="G25" s="2" t="s">
        <v>35</v>
      </c>
    </row>
    <row r="26" customFormat="false" ht="16" hidden="false" customHeight="false" outlineLevel="0" collapsed="false">
      <c r="B26" s="2" t="s">
        <v>36</v>
      </c>
    </row>
    <row r="29" customFormat="false" ht="16" hidden="false" customHeight="false" outlineLevel="0" collapsed="false">
      <c r="A29" s="2" t="n">
        <v>11</v>
      </c>
      <c r="B29" s="2" t="s">
        <v>37</v>
      </c>
      <c r="C29" s="2" t="s">
        <v>13</v>
      </c>
      <c r="E29" s="2" t="s">
        <v>14</v>
      </c>
      <c r="G29" s="2" t="s">
        <v>38</v>
      </c>
      <c r="I29" s="2" t="s">
        <v>39</v>
      </c>
    </row>
    <row r="31" customFormat="false" ht="16" hidden="false" customHeight="false" outlineLevel="0" collapsed="false">
      <c r="A31" s="2" t="n">
        <v>12</v>
      </c>
      <c r="B31" s="2" t="s">
        <v>40</v>
      </c>
      <c r="C31" s="2" t="s">
        <v>13</v>
      </c>
      <c r="E31" s="2" t="s">
        <v>14</v>
      </c>
      <c r="G31" s="2" t="s">
        <v>41</v>
      </c>
      <c r="I31" s="2" t="s">
        <v>39</v>
      </c>
    </row>
    <row r="33" customFormat="false" ht="16" hidden="false" customHeight="false" outlineLevel="0" collapsed="false">
      <c r="B33" s="2" t="s">
        <v>42</v>
      </c>
      <c r="C33" s="2" t="s">
        <v>13</v>
      </c>
      <c r="E33" s="2" t="s">
        <v>14</v>
      </c>
    </row>
    <row r="35" customFormat="false" ht="16" hidden="false" customHeight="false" outlineLevel="0" collapsed="false">
      <c r="A35" s="2" t="n">
        <v>13</v>
      </c>
      <c r="B35" s="2" t="s">
        <v>43</v>
      </c>
      <c r="C35" s="2" t="s">
        <v>13</v>
      </c>
      <c r="E35" s="2" t="s">
        <v>14</v>
      </c>
      <c r="G35" s="2" t="s">
        <v>44</v>
      </c>
      <c r="I35" s="2" t="s">
        <v>39</v>
      </c>
    </row>
    <row r="36" customFormat="false" ht="16" hidden="false" customHeight="false" outlineLevel="0" collapsed="false">
      <c r="B36" s="2" t="s">
        <v>45</v>
      </c>
      <c r="C36" s="2" t="s">
        <v>13</v>
      </c>
      <c r="E36" s="2" t="s">
        <v>14</v>
      </c>
    </row>
    <row r="38" customFormat="false" ht="16" hidden="false" customHeight="false" outlineLevel="0" collapsed="false">
      <c r="A38" s="2" t="n">
        <v>14</v>
      </c>
      <c r="B38" s="2" t="s">
        <v>46</v>
      </c>
      <c r="C38" s="2" t="s">
        <v>13</v>
      </c>
      <c r="E38" s="2" t="s">
        <v>14</v>
      </c>
      <c r="G38" s="2" t="s">
        <v>47</v>
      </c>
      <c r="I38" s="2" t="s">
        <v>48</v>
      </c>
    </row>
    <row r="40" customFormat="false" ht="16" hidden="false" customHeight="false" outlineLevel="0" collapsed="false">
      <c r="A40" s="2" t="n">
        <v>16</v>
      </c>
      <c r="B40" s="2" t="s">
        <v>49</v>
      </c>
      <c r="C40" s="2" t="s">
        <v>22</v>
      </c>
      <c r="E40" s="2" t="s">
        <v>14</v>
      </c>
      <c r="G40" s="2" t="s">
        <v>50</v>
      </c>
      <c r="I40" s="2" t="s">
        <v>51</v>
      </c>
    </row>
    <row r="43" customFormat="false" ht="16" hidden="false" customHeight="false" outlineLevel="0" collapsed="false">
      <c r="A43" s="2" t="n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1" sqref="M18:M23 N2"/>
    </sheetView>
  </sheetViews>
  <sheetFormatPr defaultColWidth="10.6015625" defaultRowHeight="15" zeroHeight="false" outlineLevelRow="0" outlineLevelCol="0"/>
  <cols>
    <col collapsed="false" customWidth="true" hidden="false" outlineLevel="0" max="6" min="6" style="2" width="12.5"/>
    <col collapsed="false" customWidth="true" hidden="false" outlineLevel="0" max="15" min="14" style="0" width="17.47"/>
  </cols>
  <sheetData>
    <row r="1" customFormat="false" ht="15" hidden="false" customHeight="false" outlineLevel="0" collapsed="false">
      <c r="A1" s="48" t="s">
        <v>100</v>
      </c>
      <c r="B1" s="48" t="s">
        <v>222</v>
      </c>
      <c r="L1" s="0" t="s">
        <v>223</v>
      </c>
      <c r="M1" s="0" t="s">
        <v>224</v>
      </c>
      <c r="N1" s="0" t="s">
        <v>225</v>
      </c>
    </row>
    <row r="2" customFormat="false" ht="15" hidden="false" customHeight="false" outlineLevel="0" collapsed="false">
      <c r="A2" s="6" t="s">
        <v>103</v>
      </c>
      <c r="B2" s="49" t="n">
        <v>0.012</v>
      </c>
      <c r="C2" s="2" t="s">
        <v>226</v>
      </c>
      <c r="D2" s="2" t="n">
        <v>0.0117</v>
      </c>
      <c r="E2" s="2" t="s">
        <v>79</v>
      </c>
      <c r="F2" s="2" t="s">
        <v>157</v>
      </c>
      <c r="G2" s="2" t="n">
        <v>6</v>
      </c>
      <c r="H2" s="2" t="n">
        <v>0.0113</v>
      </c>
      <c r="I2" s="2" t="n">
        <v>0.0121</v>
      </c>
      <c r="L2" s="0" t="n">
        <f aca="false">((I2-H2)/2)/TINV(0.05, G2)*SQRT(G2)</f>
        <v>0.00040042141144349</v>
      </c>
      <c r="M2" s="0" t="n">
        <f aca="false">L2/B2</f>
        <v>0.0333684509536242</v>
      </c>
      <c r="N2" s="45" t="n">
        <f aca="false">0.03*B2</f>
        <v>0.00036</v>
      </c>
      <c r="O2" s="2" t="s">
        <v>227</v>
      </c>
      <c r="P2" s="2"/>
      <c r="Q2" s="2" t="s">
        <v>228</v>
      </c>
    </row>
    <row r="3" customFormat="false" ht="15" hidden="false" customHeight="false" outlineLevel="0" collapsed="false">
      <c r="A3" s="6" t="s">
        <v>110</v>
      </c>
      <c r="B3" s="49" t="n">
        <v>0.021</v>
      </c>
      <c r="C3" s="2" t="s">
        <v>226</v>
      </c>
      <c r="E3" s="2" t="s">
        <v>79</v>
      </c>
      <c r="F3" s="2" t="s">
        <v>157</v>
      </c>
      <c r="N3" s="45" t="n">
        <f aca="false">0.03*B3</f>
        <v>0.00063</v>
      </c>
      <c r="Q3" s="3" t="s">
        <v>229</v>
      </c>
    </row>
    <row r="4" customFormat="false" ht="15" hidden="false" customHeight="false" outlineLevel="0" collapsed="false">
      <c r="A4" s="50" t="s">
        <v>111</v>
      </c>
      <c r="B4" s="51" t="n">
        <v>0.059</v>
      </c>
      <c r="C4" s="2" t="s">
        <v>226</v>
      </c>
      <c r="D4" s="2" t="n">
        <v>0.059</v>
      </c>
      <c r="E4" s="2" t="s">
        <v>79</v>
      </c>
      <c r="F4" s="2" t="s">
        <v>157</v>
      </c>
      <c r="G4" s="2" t="n">
        <v>2</v>
      </c>
      <c r="H4" s="2" t="n">
        <v>0.0546</v>
      </c>
      <c r="I4" s="2" t="n">
        <v>0.0634</v>
      </c>
      <c r="L4" s="0" t="n">
        <f aca="false">((I4-H4)/2)/TINV(0.05, G4)*SQRT(G4)</f>
        <v>0.001446210062787</v>
      </c>
      <c r="M4" s="0" t="n">
        <f aca="false">L4/B4</f>
        <v>0.0245120349624915</v>
      </c>
      <c r="N4" s="45" t="n">
        <f aca="false">0.03*B4</f>
        <v>0.00177</v>
      </c>
      <c r="O4" s="2" t="s">
        <v>230</v>
      </c>
      <c r="P4" s="2"/>
      <c r="Q4" s="2" t="s">
        <v>231</v>
      </c>
    </row>
    <row r="7" customFormat="false" ht="15" hidden="false" customHeight="false" outlineLevel="0" collapsed="false">
      <c r="A7" s="52" t="s">
        <v>110</v>
      </c>
      <c r="B7" s="52" t="s">
        <v>232</v>
      </c>
      <c r="C7" s="52"/>
      <c r="D7" s="53" t="s">
        <v>233</v>
      </c>
    </row>
    <row r="8" customFormat="false" ht="15" hidden="false" customHeight="false" outlineLevel="0" collapsed="false">
      <c r="A8" s="6" t="s">
        <v>234</v>
      </c>
      <c r="B8" s="6" t="n">
        <v>0.0249</v>
      </c>
      <c r="C8" s="6" t="s">
        <v>79</v>
      </c>
      <c r="D8" s="11" t="s">
        <v>235</v>
      </c>
      <c r="F8" s="2" t="s">
        <v>236</v>
      </c>
    </row>
    <row r="9" customFormat="false" ht="15" hidden="false" customHeight="false" outlineLevel="0" collapsed="false">
      <c r="A9" s="6" t="s">
        <v>237</v>
      </c>
      <c r="B9" s="6" t="n">
        <v>0.0214</v>
      </c>
      <c r="C9" s="6" t="s">
        <v>79</v>
      </c>
      <c r="D9" s="11" t="s">
        <v>238</v>
      </c>
      <c r="F9" s="2" t="s">
        <v>239</v>
      </c>
    </row>
    <row r="10" customFormat="false" ht="15" hidden="false" customHeight="false" outlineLevel="0" collapsed="false">
      <c r="A10" s="6" t="s">
        <v>240</v>
      </c>
      <c r="B10" s="6" t="n">
        <v>0.017</v>
      </c>
      <c r="C10" s="6" t="s">
        <v>79</v>
      </c>
      <c r="D10" s="11" t="s">
        <v>241</v>
      </c>
      <c r="F10" s="2" t="s">
        <v>242</v>
      </c>
    </row>
    <row r="11" customFormat="false" ht="15" hidden="false" customHeight="false" outlineLevel="0" collapsed="false">
      <c r="A11" s="54" t="s">
        <v>243</v>
      </c>
      <c r="B11" s="54" t="n">
        <v>0.017</v>
      </c>
      <c r="C11" s="54" t="s">
        <v>79</v>
      </c>
      <c r="D11" s="55" t="s">
        <v>241</v>
      </c>
    </row>
    <row r="12" customFormat="false" ht="15" hidden="false" customHeight="false" outlineLevel="0" collapsed="false">
      <c r="A12" s="6"/>
      <c r="B12" s="6"/>
      <c r="C12" s="6"/>
      <c r="D12" s="6"/>
      <c r="E12" s="6"/>
      <c r="F12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8" activeCellId="0" sqref="M18:M23"/>
    </sheetView>
  </sheetViews>
  <sheetFormatPr defaultColWidth="10.6015625" defaultRowHeight="16" zeroHeight="false" outlineLevelRow="0" outlineLevelCol="0"/>
  <cols>
    <col collapsed="false" customWidth="true" hidden="false" outlineLevel="0" max="4" min="4" style="2" width="15.33"/>
  </cols>
  <sheetData>
    <row r="1" customFormat="false" ht="16" hidden="false" customHeight="false" outlineLevel="0" collapsed="false">
      <c r="A1" s="6"/>
      <c r="B1" s="6"/>
      <c r="C1" s="6"/>
      <c r="D1" s="6"/>
      <c r="E1" s="6"/>
      <c r="F1" s="6"/>
      <c r="G1" s="6"/>
      <c r="H1" s="5"/>
      <c r="I1" s="6"/>
      <c r="J1" s="6"/>
      <c r="K1" s="6"/>
      <c r="L1" s="6"/>
      <c r="N1" s="5"/>
      <c r="O1" s="6"/>
      <c r="P1" s="6"/>
      <c r="Q1" s="6"/>
      <c r="R1" s="6"/>
      <c r="S1" s="6"/>
      <c r="T1" s="6"/>
      <c r="U1" s="6"/>
    </row>
    <row r="2" customFormat="false" ht="16" hidden="false" customHeight="false" outlineLevel="0" collapsed="false">
      <c r="C2" s="2" t="s">
        <v>244</v>
      </c>
      <c r="E2" s="2" t="s">
        <v>245</v>
      </c>
    </row>
    <row r="3" customFormat="false" ht="17" hidden="false" customHeight="false" outlineLevel="0" collapsed="false">
      <c r="A3" s="6"/>
      <c r="B3" s="6"/>
      <c r="C3" s="6"/>
      <c r="D3" s="6"/>
      <c r="E3" s="6"/>
      <c r="F3" s="6"/>
      <c r="G3" s="6"/>
      <c r="I3" s="31" t="s">
        <v>54</v>
      </c>
      <c r="M3" s="5" t="s">
        <v>55</v>
      </c>
      <c r="N3" s="6"/>
      <c r="P3" s="6"/>
      <c r="Q3" s="6"/>
      <c r="R3" s="6"/>
      <c r="S3" s="6"/>
      <c r="U3" s="5"/>
      <c r="V3" s="6"/>
      <c r="W3" s="6"/>
      <c r="X3" s="6"/>
      <c r="AA3" s="6"/>
      <c r="AB3" s="6"/>
    </row>
    <row r="4" customFormat="false" ht="16" hidden="false" customHeight="false" outlineLevel="0" collapsed="false">
      <c r="A4" s="6"/>
      <c r="B4" s="6"/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5" t="s">
        <v>61</v>
      </c>
      <c r="I4" s="5" t="s">
        <v>62</v>
      </c>
      <c r="J4" s="5" t="s">
        <v>63</v>
      </c>
      <c r="K4" s="5" t="s">
        <v>64</v>
      </c>
      <c r="L4" s="5" t="s">
        <v>65</v>
      </c>
      <c r="M4" s="5" t="s">
        <v>66</v>
      </c>
      <c r="N4" s="5" t="s">
        <v>67</v>
      </c>
      <c r="O4" s="5" t="s">
        <v>6</v>
      </c>
      <c r="P4" s="5" t="s">
        <v>68</v>
      </c>
      <c r="Q4" s="5"/>
      <c r="R4" s="5"/>
      <c r="S4" s="5"/>
      <c r="T4" s="5"/>
      <c r="U4" s="5"/>
      <c r="V4" s="5"/>
      <c r="W4" s="5"/>
      <c r="X4" s="5"/>
      <c r="AA4" s="5"/>
      <c r="AB4" s="5"/>
    </row>
    <row r="5" customFormat="false" ht="16" hidden="false" customHeight="false" outlineLevel="0" collapsed="false">
      <c r="A5" s="2" t="s">
        <v>69</v>
      </c>
      <c r="B5" s="2" t="s">
        <v>100</v>
      </c>
      <c r="C5" s="6" t="s">
        <v>246</v>
      </c>
      <c r="E5" s="7" t="s">
        <v>247</v>
      </c>
      <c r="F5" s="6"/>
      <c r="J5" s="6"/>
      <c r="K5" s="6"/>
      <c r="L5" s="6"/>
      <c r="M5" s="7" t="s">
        <v>247</v>
      </c>
    </row>
    <row r="6" customFormat="false" ht="16" hidden="false" customHeight="false" outlineLevel="0" collapsed="false">
      <c r="A6" s="2" t="s">
        <v>92</v>
      </c>
      <c r="B6" s="2" t="s">
        <v>103</v>
      </c>
      <c r="C6" s="2" t="n">
        <v>0</v>
      </c>
      <c r="D6" s="2" t="s">
        <v>248</v>
      </c>
      <c r="E6" s="2" t="n">
        <v>0</v>
      </c>
      <c r="F6" s="6" t="s">
        <v>79</v>
      </c>
      <c r="G6" s="2" t="s">
        <v>80</v>
      </c>
    </row>
    <row r="7" customFormat="false" ht="16" hidden="false" customHeight="false" outlineLevel="0" collapsed="false">
      <c r="A7" s="2" t="s">
        <v>92</v>
      </c>
      <c r="B7" s="2" t="s">
        <v>110</v>
      </c>
      <c r="C7" s="2" t="n">
        <v>-0.01</v>
      </c>
      <c r="D7" s="2" t="s">
        <v>248</v>
      </c>
      <c r="E7" s="2" t="n">
        <v>-0.01</v>
      </c>
      <c r="F7" s="6" t="s">
        <v>79</v>
      </c>
      <c r="G7" s="2" t="s">
        <v>80</v>
      </c>
      <c r="M7" s="2" t="n">
        <v>0.001</v>
      </c>
      <c r="O7" s="2" t="s">
        <v>249</v>
      </c>
    </row>
    <row r="8" customFormat="false" ht="16" hidden="false" customHeight="false" outlineLevel="0" collapsed="false">
      <c r="A8" s="2" t="s">
        <v>92</v>
      </c>
      <c r="B8" s="2" t="s">
        <v>111</v>
      </c>
      <c r="C8" s="2" t="n">
        <v>0</v>
      </c>
      <c r="D8" s="2" t="s">
        <v>248</v>
      </c>
      <c r="E8" s="2" t="n">
        <v>0</v>
      </c>
      <c r="F8" s="6" t="s">
        <v>79</v>
      </c>
      <c r="G8" s="2" t="s">
        <v>80</v>
      </c>
    </row>
    <row r="9" customFormat="false" ht="16" hidden="false" customHeight="false" outlineLevel="0" collapsed="false">
      <c r="A9" s="2" t="s">
        <v>75</v>
      </c>
      <c r="B9" s="2" t="s">
        <v>103</v>
      </c>
      <c r="C9" s="2" t="n">
        <v>-0.01</v>
      </c>
      <c r="D9" s="2" t="s">
        <v>248</v>
      </c>
      <c r="E9" s="2" t="n">
        <v>-0.01</v>
      </c>
      <c r="F9" s="6" t="s">
        <v>79</v>
      </c>
      <c r="G9" s="2" t="s">
        <v>80</v>
      </c>
      <c r="M9" s="2" t="n">
        <v>0.001</v>
      </c>
      <c r="O9" s="2" t="s">
        <v>249</v>
      </c>
    </row>
    <row r="10" customFormat="false" ht="16" hidden="false" customHeight="false" outlineLevel="0" collapsed="false">
      <c r="A10" s="2" t="s">
        <v>75</v>
      </c>
      <c r="B10" s="2" t="s">
        <v>110</v>
      </c>
      <c r="C10" s="2" t="n">
        <v>-0.02</v>
      </c>
      <c r="D10" s="2" t="s">
        <v>248</v>
      </c>
      <c r="E10" s="2" t="n">
        <v>-0.02</v>
      </c>
      <c r="F10" s="6" t="s">
        <v>79</v>
      </c>
      <c r="G10" s="2" t="s">
        <v>80</v>
      </c>
      <c r="M10" s="2" t="n">
        <v>0.001</v>
      </c>
      <c r="O10" s="2" t="s">
        <v>249</v>
      </c>
    </row>
    <row r="11" customFormat="false" ht="16" hidden="false" customHeight="false" outlineLevel="0" collapsed="false">
      <c r="A11" s="2" t="s">
        <v>75</v>
      </c>
      <c r="B11" s="2" t="s">
        <v>111</v>
      </c>
      <c r="C11" s="2" t="n">
        <v>-0.01</v>
      </c>
      <c r="D11" s="2" t="s">
        <v>248</v>
      </c>
      <c r="E11" s="2" t="n">
        <v>-0.01</v>
      </c>
      <c r="F11" s="6" t="s">
        <v>79</v>
      </c>
      <c r="G11" s="2" t="s">
        <v>80</v>
      </c>
      <c r="M11" s="2" t="n">
        <v>0.001</v>
      </c>
      <c r="O11" s="2" t="s">
        <v>249</v>
      </c>
    </row>
    <row r="14" customFormat="false" ht="16" hidden="false" customHeight="false" outlineLevel="0" collapsed="false">
      <c r="C14" s="2" t="s">
        <v>244</v>
      </c>
      <c r="E14" s="2" t="s">
        <v>245</v>
      </c>
    </row>
    <row r="15" customFormat="false" ht="17" hidden="false" customHeight="false" outlineLevel="0" collapsed="false">
      <c r="A15" s="6"/>
      <c r="B15" s="6"/>
      <c r="C15" s="6"/>
      <c r="D15" s="6"/>
      <c r="E15" s="6"/>
      <c r="F15" s="6"/>
      <c r="G15" s="6"/>
      <c r="I15" s="31" t="s">
        <v>54</v>
      </c>
      <c r="M15" s="5" t="s">
        <v>55</v>
      </c>
      <c r="N15" s="6"/>
      <c r="P15" s="6"/>
      <c r="Q15" s="6"/>
      <c r="R15" s="6"/>
      <c r="S15" s="6"/>
      <c r="U15" s="5"/>
      <c r="V15" s="6"/>
      <c r="W15" s="6"/>
      <c r="X15" s="6"/>
      <c r="AA15" s="6"/>
      <c r="AB15" s="6"/>
    </row>
    <row r="16" customFormat="false" ht="16" hidden="false" customHeight="false" outlineLevel="0" collapsed="false">
      <c r="A16" s="6"/>
      <c r="B16" s="6"/>
      <c r="C16" s="5" t="s">
        <v>56</v>
      </c>
      <c r="D16" s="5" t="s">
        <v>57</v>
      </c>
      <c r="E16" s="5" t="s">
        <v>58</v>
      </c>
      <c r="F16" s="5" t="s">
        <v>59</v>
      </c>
      <c r="G16" s="5" t="s">
        <v>60</v>
      </c>
      <c r="H16" s="5" t="s">
        <v>61</v>
      </c>
      <c r="I16" s="5" t="s">
        <v>62</v>
      </c>
      <c r="J16" s="5" t="s">
        <v>63</v>
      </c>
      <c r="K16" s="5" t="s">
        <v>64</v>
      </c>
      <c r="L16" s="5" t="s">
        <v>65</v>
      </c>
      <c r="M16" s="5" t="s">
        <v>66</v>
      </c>
      <c r="N16" s="5" t="s">
        <v>67</v>
      </c>
      <c r="O16" s="5" t="s">
        <v>6</v>
      </c>
      <c r="P16" s="5" t="s">
        <v>68</v>
      </c>
      <c r="Q16" s="5"/>
      <c r="R16" s="5"/>
      <c r="S16" s="5"/>
      <c r="T16" s="5"/>
      <c r="U16" s="5"/>
      <c r="V16" s="5"/>
      <c r="W16" s="5"/>
      <c r="X16" s="5"/>
      <c r="AA16" s="5"/>
      <c r="AB16" s="5"/>
    </row>
    <row r="17" customFormat="false" ht="16" hidden="false" customHeight="false" outlineLevel="0" collapsed="false">
      <c r="A17" s="2" t="s">
        <v>69</v>
      </c>
      <c r="B17" s="2" t="s">
        <v>100</v>
      </c>
      <c r="C17" s="6" t="s">
        <v>250</v>
      </c>
      <c r="E17" s="7" t="s">
        <v>251</v>
      </c>
      <c r="F17" s="6"/>
      <c r="M17" s="7" t="s">
        <v>251</v>
      </c>
    </row>
    <row r="18" customFormat="false" ht="16" hidden="false" customHeight="false" outlineLevel="0" collapsed="false">
      <c r="A18" s="2" t="s">
        <v>92</v>
      </c>
      <c r="B18" s="2" t="s">
        <v>103</v>
      </c>
      <c r="C18" s="2" t="n">
        <v>0.08</v>
      </c>
      <c r="D18" s="2" t="s">
        <v>248</v>
      </c>
      <c r="E18" s="2" t="n">
        <v>0.08</v>
      </c>
      <c r="F18" s="6" t="s">
        <v>79</v>
      </c>
      <c r="G18" s="2" t="s">
        <v>80</v>
      </c>
      <c r="M18" s="2" t="n">
        <v>0.0004</v>
      </c>
      <c r="O18" s="2" t="s">
        <v>252</v>
      </c>
    </row>
    <row r="19" customFormat="false" ht="16" hidden="false" customHeight="false" outlineLevel="0" collapsed="false">
      <c r="A19" s="2" t="s">
        <v>92</v>
      </c>
      <c r="B19" s="2" t="s">
        <v>110</v>
      </c>
      <c r="C19" s="2" t="n">
        <v>0.08</v>
      </c>
      <c r="D19" s="2" t="s">
        <v>248</v>
      </c>
      <c r="E19" s="2" t="n">
        <v>0.08</v>
      </c>
      <c r="F19" s="6" t="s">
        <v>79</v>
      </c>
      <c r="G19" s="2" t="s">
        <v>80</v>
      </c>
      <c r="M19" s="2" t="n">
        <v>0.0004</v>
      </c>
      <c r="O19" s="2" t="s">
        <v>252</v>
      </c>
    </row>
    <row r="20" customFormat="false" ht="16" hidden="false" customHeight="false" outlineLevel="0" collapsed="false">
      <c r="A20" s="2" t="s">
        <v>92</v>
      </c>
      <c r="B20" s="2" t="s">
        <v>111</v>
      </c>
      <c r="C20" s="2" t="n">
        <v>0.08</v>
      </c>
      <c r="D20" s="2" t="s">
        <v>248</v>
      </c>
      <c r="E20" s="2" t="n">
        <v>0.08</v>
      </c>
      <c r="F20" s="6" t="s">
        <v>79</v>
      </c>
      <c r="G20" s="2" t="s">
        <v>80</v>
      </c>
      <c r="M20" s="2" t="n">
        <v>0.0004</v>
      </c>
      <c r="O20" s="2" t="s">
        <v>252</v>
      </c>
    </row>
    <row r="21" customFormat="false" ht="16" hidden="false" customHeight="false" outlineLevel="0" collapsed="false">
      <c r="A21" s="2" t="s">
        <v>75</v>
      </c>
      <c r="B21" s="2" t="s">
        <v>103</v>
      </c>
      <c r="C21" s="2" t="n">
        <v>0.1</v>
      </c>
      <c r="D21" s="2" t="s">
        <v>248</v>
      </c>
      <c r="E21" s="2" t="n">
        <v>0.1</v>
      </c>
      <c r="F21" s="6" t="s">
        <v>79</v>
      </c>
      <c r="G21" s="2" t="s">
        <v>80</v>
      </c>
      <c r="M21" s="2" t="n">
        <v>0.0004</v>
      </c>
      <c r="O21" s="2" t="s">
        <v>252</v>
      </c>
    </row>
    <row r="22" customFormat="false" ht="16" hidden="false" customHeight="false" outlineLevel="0" collapsed="false">
      <c r="A22" s="2" t="s">
        <v>75</v>
      </c>
      <c r="B22" s="2" t="s">
        <v>110</v>
      </c>
      <c r="C22" s="2" t="n">
        <v>0.1</v>
      </c>
      <c r="D22" s="2" t="s">
        <v>248</v>
      </c>
      <c r="E22" s="2" t="n">
        <v>0.1</v>
      </c>
      <c r="F22" s="6" t="s">
        <v>79</v>
      </c>
      <c r="G22" s="2" t="s">
        <v>80</v>
      </c>
      <c r="M22" s="2" t="n">
        <v>0.0004</v>
      </c>
      <c r="O22" s="2" t="s">
        <v>252</v>
      </c>
    </row>
    <row r="23" customFormat="false" ht="16" hidden="false" customHeight="false" outlineLevel="0" collapsed="false">
      <c r="A23" s="2" t="s">
        <v>75</v>
      </c>
      <c r="B23" s="2" t="s">
        <v>111</v>
      </c>
      <c r="C23" s="2" t="n">
        <v>0.1</v>
      </c>
      <c r="D23" s="2" t="s">
        <v>248</v>
      </c>
      <c r="E23" s="2" t="n">
        <v>0.1</v>
      </c>
      <c r="F23" s="6" t="s">
        <v>79</v>
      </c>
      <c r="G23" s="2" t="s">
        <v>80</v>
      </c>
      <c r="M23" s="2" t="n">
        <v>0.0004</v>
      </c>
      <c r="O23" s="2" t="s">
        <v>252</v>
      </c>
    </row>
    <row r="27" customFormat="false" ht="16" hidden="false" customHeight="false" outlineLevel="0" collapsed="false">
      <c r="H27" s="2" t="s">
        <v>253</v>
      </c>
    </row>
    <row r="28" s="1" customFormat="true" ht="16" hidden="false" customHeight="false" outlineLevel="0" collapsed="false">
      <c r="A28" s="1" t="s">
        <v>254</v>
      </c>
      <c r="C28" s="1" t="s">
        <v>58</v>
      </c>
      <c r="D28" s="1" t="s">
        <v>255</v>
      </c>
      <c r="E28" s="1" t="s">
        <v>57</v>
      </c>
      <c r="F28" s="1" t="s">
        <v>256</v>
      </c>
      <c r="H28" s="1" t="s">
        <v>58</v>
      </c>
      <c r="I28" s="1" t="s">
        <v>257</v>
      </c>
      <c r="J28" s="1" t="s">
        <v>255</v>
      </c>
    </row>
    <row r="29" customFormat="false" ht="16" hidden="false" customHeight="false" outlineLevel="0" collapsed="false">
      <c r="A29" s="2" t="s">
        <v>258</v>
      </c>
      <c r="C29" s="2" t="n">
        <v>21.12</v>
      </c>
      <c r="D29" s="2" t="n">
        <v>5.04</v>
      </c>
      <c r="E29" s="2" t="s">
        <v>259</v>
      </c>
      <c r="F29" s="2" t="n">
        <v>16</v>
      </c>
      <c r="H29" s="2" t="n">
        <f aca="false">(C29*$C$32)/1000</f>
        <v>0.069696</v>
      </c>
      <c r="I29" s="2" t="s">
        <v>248</v>
      </c>
      <c r="J29" s="32" t="n">
        <f aca="false">(SQRT(D29/C29)^2 + ($D$32/$C$32)^2)/1000</f>
        <v>0.000271694214876033</v>
      </c>
    </row>
    <row r="30" customFormat="false" ht="16" hidden="false" customHeight="false" outlineLevel="0" collapsed="false">
      <c r="A30" s="2" t="s">
        <v>260</v>
      </c>
      <c r="C30" s="2" t="n">
        <v>14.18</v>
      </c>
      <c r="D30" s="2" t="n">
        <v>6.59</v>
      </c>
      <c r="E30" s="2" t="s">
        <v>259</v>
      </c>
      <c r="F30" s="2" t="n">
        <v>12</v>
      </c>
      <c r="H30" s="2" t="n">
        <f aca="false">(C30*$C$32)/1000</f>
        <v>0.046794</v>
      </c>
      <c r="I30" s="2" t="s">
        <v>248</v>
      </c>
      <c r="J30" s="32" t="n">
        <f aca="false">(SQRT(D30/C30)^2 + ($D$32/$C$32)^2)/1000</f>
        <v>0.000497796920351094</v>
      </c>
    </row>
    <row r="32" customFormat="false" ht="16" hidden="false" customHeight="false" outlineLevel="0" collapsed="false">
      <c r="A32" s="2" t="s">
        <v>261</v>
      </c>
      <c r="C32" s="2" t="n">
        <v>3.3</v>
      </c>
      <c r="D32" s="2" t="n">
        <v>0.6</v>
      </c>
      <c r="E32" s="2" t="s">
        <v>262</v>
      </c>
      <c r="F32" s="2" t="n">
        <v>7</v>
      </c>
      <c r="H32" s="2" t="s">
        <v>97</v>
      </c>
    </row>
    <row r="34" customFormat="false" ht="16" hidden="false" customHeight="false" outlineLevel="0" collapsed="false">
      <c r="H34" s="2" t="s">
        <v>263</v>
      </c>
    </row>
    <row r="35" customFormat="false" ht="16" hidden="false" customHeight="false" outlineLevel="0" collapsed="false">
      <c r="A35" s="1" t="s">
        <v>264</v>
      </c>
      <c r="C35" s="1" t="s">
        <v>58</v>
      </c>
      <c r="D35" s="1" t="s">
        <v>255</v>
      </c>
      <c r="E35" s="1" t="s">
        <v>57</v>
      </c>
      <c r="F35" s="1" t="s">
        <v>256</v>
      </c>
      <c r="H35" s="1" t="s">
        <v>58</v>
      </c>
      <c r="I35" s="1" t="s">
        <v>257</v>
      </c>
      <c r="J35" s="1" t="s">
        <v>255</v>
      </c>
    </row>
    <row r="36" customFormat="false" ht="16" hidden="false" customHeight="false" outlineLevel="0" collapsed="false">
      <c r="A36" s="2" t="s">
        <v>103</v>
      </c>
      <c r="C36" s="2" t="n">
        <v>3</v>
      </c>
      <c r="D36" s="2" t="n">
        <v>1.2</v>
      </c>
      <c r="E36" s="2" t="s">
        <v>265</v>
      </c>
      <c r="F36" s="2" t="n">
        <v>9</v>
      </c>
      <c r="H36" s="36" t="n">
        <f aca="false">(C36*$C$40)/1000</f>
        <v>0.0495</v>
      </c>
      <c r="I36" s="2" t="s">
        <v>248</v>
      </c>
      <c r="J36" s="36" t="n">
        <f aca="false">(SQRT(D36/C36)^2 + ($D$40/$C$40)^2)/1000</f>
        <v>0.000659173553719008</v>
      </c>
    </row>
    <row r="37" customFormat="false" ht="16" hidden="false" customHeight="false" outlineLevel="0" collapsed="false">
      <c r="A37" s="2" t="s">
        <v>110</v>
      </c>
      <c r="C37" s="2" t="n">
        <v>1.07</v>
      </c>
      <c r="D37" s="2" t="n">
        <v>1.2</v>
      </c>
      <c r="E37" s="2" t="s">
        <v>265</v>
      </c>
      <c r="F37" s="2" t="n">
        <v>2</v>
      </c>
      <c r="H37" s="36" t="n">
        <f aca="false">(C37*$C$40)/1000</f>
        <v>0.017655</v>
      </c>
      <c r="I37" s="2" t="s">
        <v>248</v>
      </c>
      <c r="J37" s="36" t="n">
        <f aca="false">(SQRT(D37/C37)^2 + ($D$40/$C$40)^2)/1000</f>
        <v>0.00138066888082181</v>
      </c>
    </row>
    <row r="38" customFormat="false" ht="16" hidden="false" customHeight="false" outlineLevel="0" collapsed="false">
      <c r="A38" s="2" t="s">
        <v>111</v>
      </c>
      <c r="C38" s="2" t="n">
        <v>2</v>
      </c>
      <c r="D38" s="2" t="n">
        <v>1.3</v>
      </c>
      <c r="E38" s="2" t="s">
        <v>265</v>
      </c>
      <c r="F38" s="2" t="n">
        <v>2</v>
      </c>
      <c r="H38" s="36" t="n">
        <f aca="false">(C38*$C$40)/1000</f>
        <v>0.033</v>
      </c>
      <c r="I38" s="2" t="s">
        <v>248</v>
      </c>
      <c r="J38" s="36" t="n">
        <f aca="false">(SQRT(D38/C38)^2 + ($D$40/$C$40)^2)/1000</f>
        <v>0.000909173553719008</v>
      </c>
    </row>
    <row r="40" customFormat="false" ht="16" hidden="false" customHeight="false" outlineLevel="0" collapsed="false">
      <c r="A40" s="2" t="s">
        <v>266</v>
      </c>
      <c r="C40" s="2" t="n">
        <v>16.5</v>
      </c>
      <c r="D40" s="2" t="n">
        <v>8.4</v>
      </c>
      <c r="E40" s="2" t="s">
        <v>267</v>
      </c>
      <c r="F40" s="2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3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M18" activeCellId="0" sqref="M18:M23"/>
    </sheetView>
  </sheetViews>
  <sheetFormatPr defaultColWidth="10.6015625" defaultRowHeight="16" zeroHeight="false" outlineLevelRow="0" outlineLevelCol="0"/>
  <cols>
    <col collapsed="false" customWidth="true" hidden="false" outlineLevel="0" max="3" min="3" style="2" width="23"/>
    <col collapsed="false" customWidth="true" hidden="false" outlineLevel="0" max="4" min="4" style="2" width="16.33"/>
    <col collapsed="false" customWidth="true" hidden="false" outlineLevel="0" max="5" min="5" style="2" width="16.5"/>
    <col collapsed="false" customWidth="true" hidden="false" outlineLevel="0" max="7" min="7" style="2" width="17.15"/>
    <col collapsed="false" customWidth="true" hidden="false" outlineLevel="0" max="11" min="9" style="2" width="16.5"/>
    <col collapsed="false" customWidth="true" hidden="false" outlineLevel="0" max="27" min="27" style="2" width="13.82"/>
  </cols>
  <sheetData>
    <row r="1" customFormat="false" ht="16" hidden="false" customHeight="false" outlineLevel="0" collapsed="false">
      <c r="C1" s="2" t="s">
        <v>244</v>
      </c>
      <c r="E1" s="2" t="s">
        <v>245</v>
      </c>
    </row>
    <row r="2" customFormat="false" ht="17" hidden="false" customHeight="false" outlineLevel="0" collapsed="false">
      <c r="A2" s="6"/>
      <c r="B2" s="6"/>
      <c r="C2" s="6"/>
      <c r="D2" s="6"/>
      <c r="E2" s="6"/>
      <c r="F2" s="6"/>
      <c r="G2" s="6"/>
      <c r="I2" s="31" t="s">
        <v>54</v>
      </c>
      <c r="M2" s="5" t="s">
        <v>55</v>
      </c>
      <c r="N2" s="6"/>
      <c r="P2" s="6"/>
      <c r="Q2" s="6"/>
      <c r="R2" s="6"/>
      <c r="S2" s="6"/>
      <c r="U2" s="5"/>
      <c r="V2" s="6"/>
      <c r="W2" s="6"/>
      <c r="X2" s="6"/>
      <c r="AA2" s="6"/>
      <c r="AB2" s="6"/>
    </row>
    <row r="3" customFormat="false" ht="16" hidden="false" customHeight="false" outlineLevel="0" collapsed="false">
      <c r="A3" s="6"/>
      <c r="B3" s="6"/>
      <c r="C3" s="5" t="s">
        <v>56</v>
      </c>
      <c r="D3" s="5" t="s">
        <v>57</v>
      </c>
      <c r="E3" s="5" t="s">
        <v>58</v>
      </c>
      <c r="F3" s="5" t="s">
        <v>59</v>
      </c>
      <c r="G3" s="5" t="s">
        <v>60</v>
      </c>
      <c r="H3" s="5" t="s">
        <v>61</v>
      </c>
      <c r="I3" s="5" t="s">
        <v>62</v>
      </c>
      <c r="J3" s="5" t="s">
        <v>63</v>
      </c>
      <c r="K3" s="5" t="s">
        <v>64</v>
      </c>
      <c r="L3" s="5" t="s">
        <v>65</v>
      </c>
      <c r="M3" s="5" t="s">
        <v>66</v>
      </c>
      <c r="N3" s="5" t="s">
        <v>67</v>
      </c>
      <c r="O3" s="5" t="s">
        <v>6</v>
      </c>
      <c r="P3" s="5" t="s">
        <v>68</v>
      </c>
      <c r="Q3" s="5"/>
      <c r="R3" s="5"/>
      <c r="S3" s="5"/>
      <c r="T3" s="5"/>
      <c r="U3" s="5"/>
      <c r="V3" s="5"/>
      <c r="W3" s="5"/>
      <c r="X3" s="5"/>
      <c r="AA3" s="5" t="s">
        <v>6</v>
      </c>
      <c r="AB3" s="5" t="s">
        <v>68</v>
      </c>
    </row>
    <row r="4" customFormat="false" ht="16" hidden="false" customHeight="false" outlineLevel="0" collapsed="false">
      <c r="A4" s="6" t="s">
        <v>268</v>
      </c>
      <c r="B4" s="6" t="s">
        <v>69</v>
      </c>
      <c r="C4" s="6" t="s">
        <v>246</v>
      </c>
      <c r="E4" s="7" t="s">
        <v>247</v>
      </c>
      <c r="F4" s="6"/>
      <c r="L4" s="6"/>
      <c r="M4" s="7" t="s">
        <v>247</v>
      </c>
      <c r="N4" s="6"/>
      <c r="P4" s="7"/>
      <c r="Q4" s="6"/>
      <c r="R4" s="6"/>
      <c r="S4" s="6"/>
    </row>
    <row r="5" customFormat="false" ht="15" hidden="false" customHeight="false" outlineLevel="0" collapsed="false">
      <c r="A5" s="6" t="s">
        <v>217</v>
      </c>
      <c r="B5" s="6" t="s">
        <v>132</v>
      </c>
      <c r="C5" s="6" t="n">
        <v>-0.037</v>
      </c>
      <c r="D5" s="2" t="s">
        <v>248</v>
      </c>
      <c r="E5" s="6" t="n">
        <v>-0.037</v>
      </c>
      <c r="F5" s="6" t="s">
        <v>79</v>
      </c>
      <c r="G5" s="2" t="s">
        <v>80</v>
      </c>
      <c r="L5" s="6"/>
      <c r="M5" s="26" t="n">
        <v>0.000279269602577873</v>
      </c>
      <c r="N5" s="6"/>
      <c r="O5" s="2" t="s">
        <v>269</v>
      </c>
      <c r="P5" s="26"/>
      <c r="Q5" s="6"/>
      <c r="R5" s="6"/>
      <c r="S5" s="6"/>
      <c r="AA5" s="56" t="s">
        <v>270</v>
      </c>
      <c r="AB5" s="57" t="s">
        <v>271</v>
      </c>
    </row>
    <row r="6" customFormat="false" ht="15" hidden="false" customHeight="false" outlineLevel="0" collapsed="false">
      <c r="A6" s="6" t="s">
        <v>217</v>
      </c>
      <c r="B6" s="6" t="s">
        <v>92</v>
      </c>
      <c r="C6" s="6" t="n">
        <v>-0.059</v>
      </c>
      <c r="D6" s="2" t="s">
        <v>248</v>
      </c>
      <c r="E6" s="6" t="n">
        <v>-0.059</v>
      </c>
      <c r="F6" s="6" t="s">
        <v>79</v>
      </c>
      <c r="G6" s="2" t="s">
        <v>80</v>
      </c>
      <c r="L6" s="6"/>
      <c r="M6" s="26" t="n">
        <v>0.00117354475883834</v>
      </c>
      <c r="N6" s="6"/>
      <c r="O6" s="2" t="s">
        <v>269</v>
      </c>
      <c r="P6" s="26"/>
      <c r="Q6" s="6"/>
      <c r="R6" s="6"/>
      <c r="S6" s="6"/>
      <c r="AA6" s="56" t="s">
        <v>270</v>
      </c>
      <c r="AB6" s="57" t="s">
        <v>271</v>
      </c>
    </row>
    <row r="7" customFormat="false" ht="15" hidden="false" customHeight="false" outlineLevel="0" collapsed="false">
      <c r="A7" s="6" t="s">
        <v>217</v>
      </c>
      <c r="B7" s="6" t="s">
        <v>75</v>
      </c>
      <c r="C7" s="6" t="n">
        <v>-0.059</v>
      </c>
      <c r="D7" s="2" t="s">
        <v>248</v>
      </c>
      <c r="E7" s="6" t="n">
        <v>-0.059</v>
      </c>
      <c r="F7" s="6" t="s">
        <v>79</v>
      </c>
      <c r="G7" s="2" t="s">
        <v>80</v>
      </c>
      <c r="L7" s="6"/>
      <c r="M7" s="26" t="n">
        <v>0.00117354475883834</v>
      </c>
      <c r="N7" s="6"/>
      <c r="O7" s="2" t="s">
        <v>269</v>
      </c>
      <c r="P7" s="26"/>
      <c r="Q7" s="6"/>
      <c r="R7" s="6"/>
      <c r="S7" s="6"/>
      <c r="AA7" s="56" t="s">
        <v>270</v>
      </c>
      <c r="AB7" s="57" t="s">
        <v>271</v>
      </c>
    </row>
    <row r="8" customFormat="false" ht="15" hidden="false" customHeight="false" outlineLevel="0" collapsed="false">
      <c r="A8" s="6" t="s">
        <v>219</v>
      </c>
      <c r="B8" s="6" t="s">
        <v>132</v>
      </c>
      <c r="C8" s="6" t="n">
        <v>-0.017</v>
      </c>
      <c r="D8" s="2" t="s">
        <v>248</v>
      </c>
      <c r="E8" s="6" t="n">
        <v>-0.017</v>
      </c>
      <c r="F8" s="6" t="s">
        <v>79</v>
      </c>
      <c r="G8" s="2" t="s">
        <v>80</v>
      </c>
      <c r="L8" s="6"/>
      <c r="M8" s="26" t="n">
        <v>0.000219512195121951</v>
      </c>
      <c r="N8" s="6"/>
      <c r="O8" s="2" t="s">
        <v>269</v>
      </c>
      <c r="P8" s="26"/>
      <c r="Q8" s="6"/>
      <c r="R8" s="6"/>
      <c r="S8" s="6"/>
      <c r="AA8" s="56" t="s">
        <v>270</v>
      </c>
      <c r="AB8" s="57" t="s">
        <v>271</v>
      </c>
    </row>
    <row r="9" customFormat="false" ht="15" hidden="false" customHeight="false" outlineLevel="0" collapsed="false">
      <c r="A9" s="6" t="s">
        <v>219</v>
      </c>
      <c r="B9" s="6" t="s">
        <v>92</v>
      </c>
      <c r="C9" s="6" t="n">
        <v>-0.039</v>
      </c>
      <c r="D9" s="2" t="s">
        <v>248</v>
      </c>
      <c r="E9" s="6" t="n">
        <v>-0.039</v>
      </c>
      <c r="F9" s="6" t="s">
        <v>79</v>
      </c>
      <c r="G9" s="2" t="s">
        <v>80</v>
      </c>
      <c r="L9" s="6"/>
      <c r="M9" s="26" t="n">
        <v>0.00116077620318483</v>
      </c>
      <c r="N9" s="6"/>
      <c r="O9" s="2" t="s">
        <v>269</v>
      </c>
      <c r="P9" s="26"/>
      <c r="Q9" s="6"/>
      <c r="R9" s="6"/>
      <c r="S9" s="6"/>
      <c r="AA9" s="56" t="s">
        <v>270</v>
      </c>
      <c r="AB9" s="57" t="s">
        <v>271</v>
      </c>
    </row>
    <row r="10" customFormat="false" ht="15" hidden="false" customHeight="false" outlineLevel="0" collapsed="false">
      <c r="A10" s="6" t="s">
        <v>219</v>
      </c>
      <c r="B10" s="6" t="s">
        <v>75</v>
      </c>
      <c r="C10" s="6" t="n">
        <v>-0.039</v>
      </c>
      <c r="D10" s="2" t="s">
        <v>248</v>
      </c>
      <c r="E10" s="6" t="n">
        <v>-0.039</v>
      </c>
      <c r="F10" s="6" t="s">
        <v>79</v>
      </c>
      <c r="G10" s="2" t="s">
        <v>80</v>
      </c>
      <c r="L10" s="6"/>
      <c r="M10" s="26" t="n">
        <v>0.00116077620318483</v>
      </c>
      <c r="N10" s="6"/>
      <c r="O10" s="2" t="s">
        <v>269</v>
      </c>
      <c r="P10" s="26"/>
      <c r="Q10" s="6"/>
      <c r="R10" s="6"/>
      <c r="S10" s="6"/>
      <c r="AA10" s="56" t="s">
        <v>270</v>
      </c>
      <c r="AB10" s="57" t="s">
        <v>271</v>
      </c>
    </row>
    <row r="11" customFormat="false" ht="16" hidden="false" customHeight="false" outlineLevel="0" collapsed="false">
      <c r="A11" s="6"/>
      <c r="B11" s="6"/>
      <c r="C11" s="6"/>
      <c r="D11" s="6"/>
      <c r="F11" s="6"/>
      <c r="G11" s="6"/>
      <c r="H11" s="6"/>
      <c r="L11" s="6"/>
      <c r="M11" s="6"/>
      <c r="N11" s="6"/>
      <c r="O11" s="6"/>
      <c r="P11" s="6"/>
      <c r="Q11" s="6"/>
      <c r="R11" s="6"/>
      <c r="S11" s="6"/>
    </row>
    <row r="12" customFormat="false" ht="16" hidden="false" customHeight="false" outlineLevel="0" collapsed="false">
      <c r="A12" s="6"/>
      <c r="B12" s="6"/>
      <c r="C12" s="6"/>
      <c r="D12" s="6"/>
      <c r="F12" s="6"/>
      <c r="G12" s="6"/>
      <c r="H12" s="6"/>
      <c r="L12" s="6"/>
      <c r="M12" s="6"/>
      <c r="N12" s="6"/>
      <c r="O12" s="6"/>
      <c r="P12" s="6"/>
      <c r="Q12" s="6"/>
      <c r="R12" s="6"/>
      <c r="S12" s="6"/>
    </row>
    <row r="13" customFormat="false" ht="16" hidden="false" customHeight="false" outlineLevel="0" collapsed="false">
      <c r="A13" s="6"/>
      <c r="B13" s="6"/>
      <c r="C13" s="6"/>
      <c r="D13" s="6"/>
      <c r="F13" s="6"/>
      <c r="G13" s="6"/>
      <c r="H13" s="6"/>
      <c r="L13" s="6"/>
      <c r="M13" s="6"/>
      <c r="N13" s="6"/>
      <c r="O13" s="6"/>
      <c r="P13" s="6"/>
      <c r="Q13" s="6"/>
      <c r="R13" s="6"/>
      <c r="S13" s="6"/>
    </row>
    <row r="14" customFormat="false" ht="16" hidden="false" customHeight="false" outlineLevel="0" collapsed="false">
      <c r="C14" s="2" t="s">
        <v>244</v>
      </c>
      <c r="E14" s="2" t="s">
        <v>245</v>
      </c>
    </row>
    <row r="15" customFormat="false" ht="17" hidden="false" customHeight="false" outlineLevel="0" collapsed="false">
      <c r="I15" s="31" t="s">
        <v>54</v>
      </c>
    </row>
    <row r="16" customFormat="false" ht="16" hidden="false" customHeight="false" outlineLevel="0" collapsed="false">
      <c r="A16" s="6"/>
      <c r="B16" s="6"/>
      <c r="C16" s="5" t="s">
        <v>56</v>
      </c>
      <c r="D16" s="5" t="s">
        <v>57</v>
      </c>
      <c r="E16" s="5" t="s">
        <v>58</v>
      </c>
      <c r="F16" s="5" t="s">
        <v>59</v>
      </c>
      <c r="G16" s="5" t="s">
        <v>60</v>
      </c>
      <c r="H16" s="5" t="s">
        <v>61</v>
      </c>
      <c r="I16" s="5" t="s">
        <v>62</v>
      </c>
      <c r="J16" s="5" t="s">
        <v>63</v>
      </c>
      <c r="K16" s="5" t="s">
        <v>64</v>
      </c>
      <c r="L16" s="5" t="s">
        <v>65</v>
      </c>
      <c r="M16" s="5" t="s">
        <v>66</v>
      </c>
      <c r="N16" s="5"/>
      <c r="Q16" s="5"/>
      <c r="R16" s="5"/>
      <c r="S16" s="5"/>
      <c r="T16" s="5"/>
      <c r="U16" s="5"/>
      <c r="V16" s="5"/>
      <c r="W16" s="5"/>
      <c r="X16" s="5"/>
      <c r="AA16" s="5" t="s">
        <v>6</v>
      </c>
      <c r="AB16" s="5" t="s">
        <v>68</v>
      </c>
    </row>
    <row r="17" customFormat="false" ht="16" hidden="false" customHeight="false" outlineLevel="0" collapsed="false">
      <c r="A17" s="6" t="s">
        <v>268</v>
      </c>
      <c r="B17" s="6" t="s">
        <v>69</v>
      </c>
      <c r="C17" s="6" t="s">
        <v>250</v>
      </c>
      <c r="E17" s="7" t="s">
        <v>251</v>
      </c>
      <c r="F17" s="6"/>
      <c r="L17" s="6"/>
      <c r="M17" s="7" t="s">
        <v>251</v>
      </c>
      <c r="N17" s="6"/>
      <c r="Q17" s="6"/>
      <c r="R17" s="6"/>
      <c r="S17" s="6"/>
    </row>
    <row r="18" customFormat="false" ht="16" hidden="false" customHeight="false" outlineLevel="0" collapsed="false">
      <c r="A18" s="6" t="s">
        <v>217</v>
      </c>
      <c r="B18" s="6" t="s">
        <v>132</v>
      </c>
      <c r="C18" s="6" t="n">
        <v>-0.04</v>
      </c>
      <c r="D18" s="2" t="s">
        <v>248</v>
      </c>
      <c r="E18" s="6" t="n">
        <v>-0.041</v>
      </c>
      <c r="F18" s="6" t="s">
        <v>79</v>
      </c>
      <c r="G18" s="2" t="s">
        <v>80</v>
      </c>
      <c r="L18" s="6"/>
      <c r="M18" s="58" t="n">
        <v>0.000296432036863998</v>
      </c>
      <c r="N18" s="6"/>
      <c r="O18" s="2" t="s">
        <v>269</v>
      </c>
      <c r="Q18" s="6"/>
      <c r="R18" s="6"/>
      <c r="S18" s="6"/>
      <c r="AA18" s="56" t="s">
        <v>270</v>
      </c>
      <c r="AB18" s="57" t="s">
        <v>271</v>
      </c>
    </row>
    <row r="19" customFormat="false" ht="16" hidden="false" customHeight="false" outlineLevel="0" collapsed="false">
      <c r="A19" s="6" t="s">
        <v>217</v>
      </c>
      <c r="B19" s="6" t="s">
        <v>92</v>
      </c>
      <c r="C19" s="6" t="n">
        <v>-0.029</v>
      </c>
      <c r="D19" s="2" t="s">
        <v>248</v>
      </c>
      <c r="E19" s="6" t="n">
        <v>-0.034</v>
      </c>
      <c r="F19" s="6" t="s">
        <v>79</v>
      </c>
      <c r="G19" s="2" t="s">
        <v>80</v>
      </c>
      <c r="L19" s="6"/>
      <c r="M19" s="58" t="n">
        <v>0.00025712973861329</v>
      </c>
      <c r="N19" s="6"/>
      <c r="O19" s="2" t="s">
        <v>269</v>
      </c>
      <c r="Q19" s="6"/>
      <c r="R19" s="6"/>
      <c r="S19" s="6"/>
      <c r="AA19" s="56" t="s">
        <v>270</v>
      </c>
      <c r="AB19" s="57" t="s">
        <v>271</v>
      </c>
    </row>
    <row r="20" customFormat="false" ht="16" hidden="false" customHeight="false" outlineLevel="0" collapsed="false">
      <c r="A20" s="6" t="s">
        <v>217</v>
      </c>
      <c r="B20" s="6" t="s">
        <v>75</v>
      </c>
      <c r="C20" s="6" t="n">
        <v>-0.029</v>
      </c>
      <c r="D20" s="2" t="s">
        <v>248</v>
      </c>
      <c r="E20" s="6" t="n">
        <v>-0.034</v>
      </c>
      <c r="F20" s="6" t="s">
        <v>79</v>
      </c>
      <c r="G20" s="2" t="s">
        <v>80</v>
      </c>
      <c r="L20" s="6"/>
      <c r="M20" s="58" t="n">
        <v>0.00025712973861329</v>
      </c>
      <c r="N20" s="6"/>
      <c r="O20" s="2" t="s">
        <v>269</v>
      </c>
      <c r="Q20" s="6"/>
      <c r="R20" s="6"/>
      <c r="S20" s="6"/>
      <c r="AA20" s="56" t="s">
        <v>270</v>
      </c>
      <c r="AB20" s="57" t="s">
        <v>271</v>
      </c>
    </row>
    <row r="21" customFormat="false" ht="16" hidden="false" customHeight="false" outlineLevel="0" collapsed="false">
      <c r="A21" s="6" t="s">
        <v>219</v>
      </c>
      <c r="B21" s="6" t="s">
        <v>132</v>
      </c>
      <c r="C21" s="6" t="n">
        <v>-0.04</v>
      </c>
      <c r="D21" s="2" t="s">
        <v>248</v>
      </c>
      <c r="E21" s="6" t="n">
        <v>-0.041</v>
      </c>
      <c r="F21" s="6" t="s">
        <v>79</v>
      </c>
      <c r="G21" s="2" t="s">
        <v>80</v>
      </c>
      <c r="L21" s="6"/>
      <c r="M21" s="58" t="n">
        <v>0.000296432036863998</v>
      </c>
      <c r="N21" s="6"/>
      <c r="O21" s="2" t="s">
        <v>269</v>
      </c>
      <c r="Q21" s="6"/>
      <c r="R21" s="6"/>
      <c r="S21" s="6"/>
      <c r="AA21" s="56" t="s">
        <v>270</v>
      </c>
      <c r="AB21" s="57" t="s">
        <v>271</v>
      </c>
    </row>
    <row r="22" customFormat="false" ht="16" hidden="false" customHeight="false" outlineLevel="0" collapsed="false">
      <c r="A22" s="6" t="s">
        <v>219</v>
      </c>
      <c r="B22" s="6" t="s">
        <v>92</v>
      </c>
      <c r="C22" s="6" t="n">
        <v>-0.029</v>
      </c>
      <c r="D22" s="2" t="s">
        <v>248</v>
      </c>
      <c r="E22" s="6" t="n">
        <v>-0.034</v>
      </c>
      <c r="F22" s="6" t="s">
        <v>79</v>
      </c>
      <c r="G22" s="2" t="s">
        <v>80</v>
      </c>
      <c r="L22" s="6"/>
      <c r="M22" s="58" t="n">
        <v>0.00025712973861329</v>
      </c>
      <c r="N22" s="6"/>
      <c r="O22" s="2" t="s">
        <v>269</v>
      </c>
      <c r="Q22" s="6"/>
      <c r="R22" s="6"/>
      <c r="S22" s="6"/>
      <c r="AA22" s="56" t="s">
        <v>270</v>
      </c>
      <c r="AB22" s="57" t="s">
        <v>271</v>
      </c>
    </row>
    <row r="23" customFormat="false" ht="16" hidden="false" customHeight="false" outlineLevel="0" collapsed="false">
      <c r="A23" s="6" t="s">
        <v>219</v>
      </c>
      <c r="B23" s="6" t="s">
        <v>75</v>
      </c>
      <c r="C23" s="6" t="n">
        <v>-0.029</v>
      </c>
      <c r="D23" s="2" t="s">
        <v>248</v>
      </c>
      <c r="E23" s="6" t="n">
        <v>-0.034</v>
      </c>
      <c r="F23" s="6" t="s">
        <v>79</v>
      </c>
      <c r="G23" s="2" t="s">
        <v>80</v>
      </c>
      <c r="L23" s="6"/>
      <c r="M23" s="58" t="n">
        <v>0.00025712973861329</v>
      </c>
      <c r="N23" s="6"/>
      <c r="O23" s="2" t="s">
        <v>269</v>
      </c>
      <c r="Q23" s="6"/>
      <c r="R23" s="6"/>
      <c r="S23" s="6"/>
      <c r="AA23" s="56" t="s">
        <v>270</v>
      </c>
      <c r="AB23" s="57" t="s">
        <v>271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P26" activeCellId="1" sqref="M18:M23 P26"/>
    </sheetView>
  </sheetViews>
  <sheetFormatPr defaultColWidth="10.6015625" defaultRowHeight="16" zeroHeight="false" outlineLevelRow="0" outlineLevelCol="0"/>
  <cols>
    <col collapsed="false" customWidth="true" hidden="false" outlineLevel="0" max="4" min="4" style="2" width="17.33"/>
    <col collapsed="false" customWidth="true" hidden="false" outlineLevel="0" max="6" min="6" style="2" width="30.67"/>
    <col collapsed="false" customWidth="true" hidden="false" outlineLevel="0" max="7" min="7" style="2" width="15.33"/>
    <col collapsed="false" customWidth="true" hidden="false" outlineLevel="0" max="9" min="9" style="2" width="20"/>
    <col collapsed="false" customWidth="true" hidden="false" outlineLevel="0" max="17" min="17" style="2" width="21.18"/>
    <col collapsed="false" customWidth="true" hidden="false" outlineLevel="0" max="18" min="18" style="2" width="11.17"/>
    <col collapsed="false" customWidth="true" hidden="false" outlineLevel="0" max="24" min="24" style="2" width="32.33"/>
  </cols>
  <sheetData>
    <row r="1" s="4" customFormat="true" ht="102" hidden="false" customHeight="false" outlineLevel="0" collapsed="false">
      <c r="F1" s="4" t="s">
        <v>52</v>
      </c>
      <c r="G1" s="4" t="s">
        <v>53</v>
      </c>
      <c r="K1" s="4" t="s">
        <v>54</v>
      </c>
      <c r="O1" s="4" t="s">
        <v>55</v>
      </c>
    </row>
    <row r="2" s="5" customFormat="true" ht="16" hidden="false" customHeight="false" outlineLevel="0" collapsed="false">
      <c r="E2" s="5" t="s">
        <v>56</v>
      </c>
      <c r="F2" s="5" t="s">
        <v>57</v>
      </c>
      <c r="G2" s="5" t="s">
        <v>58</v>
      </c>
      <c r="H2" s="5" t="s">
        <v>59</v>
      </c>
      <c r="I2" s="5" t="s">
        <v>60</v>
      </c>
      <c r="J2" s="5" t="s">
        <v>61</v>
      </c>
      <c r="K2" s="5" t="s">
        <v>62</v>
      </c>
      <c r="L2" s="5" t="s">
        <v>63</v>
      </c>
      <c r="M2" s="5" t="s">
        <v>64</v>
      </c>
      <c r="N2" s="5" t="s">
        <v>65</v>
      </c>
      <c r="O2" s="5" t="s">
        <v>66</v>
      </c>
      <c r="P2" s="5" t="s">
        <v>67</v>
      </c>
      <c r="Q2" s="5" t="s">
        <v>6</v>
      </c>
      <c r="R2" s="5" t="s">
        <v>68</v>
      </c>
    </row>
    <row r="3" s="6" customFormat="true" ht="16" hidden="false" customHeight="false" outlineLevel="0" collapsed="false">
      <c r="A3" s="6" t="s">
        <v>69</v>
      </c>
      <c r="B3" s="6" t="s">
        <v>70</v>
      </c>
      <c r="C3" s="6" t="s">
        <v>71</v>
      </c>
      <c r="D3" s="6" t="s">
        <v>72</v>
      </c>
      <c r="E3" s="6" t="s">
        <v>73</v>
      </c>
      <c r="G3" s="6" t="s">
        <v>74</v>
      </c>
      <c r="H3" s="7"/>
      <c r="J3" s="7"/>
      <c r="K3" s="6" t="s">
        <v>74</v>
      </c>
      <c r="L3" s="6" t="s">
        <v>74</v>
      </c>
      <c r="M3" s="6" t="s">
        <v>74</v>
      </c>
      <c r="N3" s="6" t="s">
        <v>74</v>
      </c>
      <c r="O3" s="7"/>
      <c r="P3" s="7"/>
      <c r="R3" s="5"/>
      <c r="Y3" s="5"/>
      <c r="Z3" s="5"/>
    </row>
    <row r="4" s="6" customFormat="true" ht="16" hidden="false" customHeight="false" outlineLevel="0" collapsed="false">
      <c r="A4" s="6" t="s">
        <v>75</v>
      </c>
      <c r="B4" s="6" t="s">
        <v>76</v>
      </c>
      <c r="C4" s="6" t="s">
        <v>77</v>
      </c>
      <c r="D4" s="6" t="s">
        <v>78</v>
      </c>
      <c r="E4" s="6" t="n">
        <v>0</v>
      </c>
      <c r="F4" s="6" t="s">
        <v>74</v>
      </c>
      <c r="G4" s="8" t="n">
        <f aca="false">AVERAGE(84,105,98,100, 113)-100</f>
        <v>0</v>
      </c>
      <c r="H4" s="7" t="s">
        <v>79</v>
      </c>
      <c r="I4" s="6" t="s">
        <v>80</v>
      </c>
      <c r="J4" s="7" t="n">
        <v>5</v>
      </c>
      <c r="K4" s="6" t="n">
        <v>-16</v>
      </c>
      <c r="L4" s="6" t="n">
        <v>13</v>
      </c>
      <c r="N4" s="5"/>
      <c r="O4" s="8" t="n">
        <f aca="false">STDEV(84,105,98,100, 113)</f>
        <v>10.6536378763313</v>
      </c>
      <c r="P4" s="9" t="n">
        <f aca="false">O4/SQRT(J4)</f>
        <v>4.76445169982864</v>
      </c>
      <c r="Q4" s="6" t="s">
        <v>81</v>
      </c>
      <c r="R4" s="6" t="s">
        <v>82</v>
      </c>
      <c r="Y4" s="5"/>
      <c r="Z4" s="5"/>
    </row>
    <row r="5" s="6" customFormat="true" ht="15" hidden="false" customHeight="false" outlineLevel="0" collapsed="false">
      <c r="A5" s="6" t="s">
        <v>75</v>
      </c>
      <c r="B5" s="6" t="s">
        <v>76</v>
      </c>
      <c r="C5" s="6" t="s">
        <v>77</v>
      </c>
      <c r="D5" s="6" t="s">
        <v>83</v>
      </c>
      <c r="E5" s="6" t="n">
        <v>0</v>
      </c>
      <c r="F5" s="6" t="s">
        <v>74</v>
      </c>
      <c r="G5" s="8" t="n">
        <f aca="false">AVERAGE(96,111,87,91)-100</f>
        <v>-3.75</v>
      </c>
      <c r="H5" s="7" t="s">
        <v>79</v>
      </c>
      <c r="I5" s="6" t="s">
        <v>80</v>
      </c>
      <c r="J5" s="7" t="n">
        <v>4</v>
      </c>
      <c r="K5" s="6" t="n">
        <v>-13.1</v>
      </c>
      <c r="L5" s="6" t="n">
        <v>11.5</v>
      </c>
      <c r="N5" s="5"/>
      <c r="O5" s="8" t="n">
        <f aca="false">STDEV(96,111, 87,91)</f>
        <v>10.5</v>
      </c>
      <c r="P5" s="9" t="n">
        <f aca="false">O5/SQRT(J5)</f>
        <v>5.25</v>
      </c>
      <c r="Q5" s="6" t="s">
        <v>81</v>
      </c>
      <c r="R5" s="6" t="s">
        <v>84</v>
      </c>
      <c r="Y5" s="5"/>
      <c r="Z5" s="5"/>
    </row>
    <row r="6" s="6" customFormat="true" ht="15" hidden="false" customHeight="false" outlineLevel="0" collapsed="false">
      <c r="A6" s="6" t="s">
        <v>75</v>
      </c>
      <c r="B6" s="6" t="s">
        <v>85</v>
      </c>
      <c r="C6" s="6" t="s">
        <v>77</v>
      </c>
      <c r="D6" s="6" t="s">
        <v>77</v>
      </c>
      <c r="E6" s="6" t="n">
        <v>0</v>
      </c>
      <c r="F6" s="6" t="s">
        <v>74</v>
      </c>
      <c r="G6" s="8" t="n">
        <f aca="false">AVERAGE(93,108,89,105,119)-100</f>
        <v>2.8</v>
      </c>
      <c r="H6" s="7" t="s">
        <v>79</v>
      </c>
      <c r="I6" s="6" t="s">
        <v>80</v>
      </c>
      <c r="J6" s="7" t="n">
        <v>5</v>
      </c>
      <c r="K6" s="6" t="n">
        <v>-11</v>
      </c>
      <c r="L6" s="6" t="n">
        <v>19</v>
      </c>
      <c r="N6" s="5"/>
      <c r="O6" s="8" t="n">
        <f aca="false">STDEV(93,108,89,105,119)</f>
        <v>12.0498962651137</v>
      </c>
      <c r="P6" s="9" t="n">
        <f aca="false">O6/SQRT(J6)</f>
        <v>5.38887743412301</v>
      </c>
      <c r="Q6" s="6" t="s">
        <v>81</v>
      </c>
      <c r="R6" s="6" t="s">
        <v>82</v>
      </c>
      <c r="Y6" s="5"/>
      <c r="Z6" s="5"/>
    </row>
    <row r="7" s="6" customFormat="true" ht="16" hidden="false" customHeight="false" outlineLevel="0" collapsed="false">
      <c r="A7" s="6" t="s">
        <v>75</v>
      </c>
      <c r="B7" s="6" t="s">
        <v>86</v>
      </c>
      <c r="C7" s="6" t="s">
        <v>87</v>
      </c>
      <c r="D7" s="6" t="s">
        <v>77</v>
      </c>
      <c r="E7" s="6" t="n">
        <v>-4</v>
      </c>
      <c r="F7" s="6" t="s">
        <v>74</v>
      </c>
      <c r="G7" s="10" t="n">
        <v>-3.4</v>
      </c>
      <c r="H7" s="7" t="s">
        <v>79</v>
      </c>
      <c r="I7" s="6" t="s">
        <v>80</v>
      </c>
      <c r="J7" s="7" t="n">
        <v>99</v>
      </c>
      <c r="M7" s="6" t="n">
        <v>-5.5</v>
      </c>
      <c r="N7" s="6" t="n">
        <v>-1</v>
      </c>
      <c r="O7" s="8" t="n">
        <f aca="false">P7*SQRT(J7)</f>
        <v>11.4220496606627</v>
      </c>
      <c r="P7" s="9" t="n">
        <f aca="false">(N7-M7)/3.92</f>
        <v>1.14795918367347</v>
      </c>
      <c r="Q7" s="6" t="s">
        <v>88</v>
      </c>
      <c r="R7" s="6" t="s">
        <v>89</v>
      </c>
      <c r="Y7" s="5"/>
      <c r="Z7" s="5"/>
    </row>
    <row r="8" s="6" customFormat="true" ht="16" hidden="false" customHeight="false" outlineLevel="0" collapsed="false">
      <c r="A8" s="6" t="s">
        <v>75</v>
      </c>
      <c r="B8" s="6" t="s">
        <v>86</v>
      </c>
      <c r="C8" s="6" t="s">
        <v>90</v>
      </c>
      <c r="D8" s="6" t="s">
        <v>77</v>
      </c>
      <c r="E8" s="6" t="n">
        <v>4.3</v>
      </c>
      <c r="F8" s="6" t="s">
        <v>74</v>
      </c>
      <c r="G8" s="10" t="n">
        <v>4</v>
      </c>
      <c r="H8" s="7" t="s">
        <v>79</v>
      </c>
      <c r="I8" s="6" t="s">
        <v>80</v>
      </c>
      <c r="J8" s="7" t="n">
        <v>217</v>
      </c>
      <c r="M8" s="6" t="n">
        <v>0.7</v>
      </c>
      <c r="N8" s="6" t="n">
        <v>7.9</v>
      </c>
      <c r="O8" s="8" t="n">
        <f aca="false">P8*SQRT(J8)</f>
        <v>27.0567915844706</v>
      </c>
      <c r="P8" s="9" t="n">
        <f aca="false">(N8-M8)/3.92</f>
        <v>1.83673469387755</v>
      </c>
      <c r="Q8" s="6" t="s">
        <v>88</v>
      </c>
      <c r="R8" s="6" t="s">
        <v>91</v>
      </c>
      <c r="Y8" s="5"/>
      <c r="Z8" s="5"/>
    </row>
    <row r="9" s="6" customFormat="true" ht="15" hidden="false" customHeight="false" outlineLevel="0" collapsed="false">
      <c r="A9" s="6" t="s">
        <v>92</v>
      </c>
      <c r="B9" s="6" t="s">
        <v>76</v>
      </c>
      <c r="C9" s="6" t="s">
        <v>77</v>
      </c>
      <c r="D9" s="6" t="s">
        <v>78</v>
      </c>
      <c r="E9" s="6" t="n">
        <v>0</v>
      </c>
      <c r="F9" s="6" t="s">
        <v>74</v>
      </c>
      <c r="G9" s="8" t="n">
        <f aca="false">G4/2</f>
        <v>0</v>
      </c>
      <c r="H9" s="7" t="s">
        <v>79</v>
      </c>
      <c r="I9" s="6" t="s">
        <v>80</v>
      </c>
      <c r="J9" s="7"/>
      <c r="K9" s="6" t="n">
        <f aca="false">K4/2</f>
        <v>-8</v>
      </c>
      <c r="L9" s="6" t="n">
        <f aca="false">L4/2</f>
        <v>6.5</v>
      </c>
      <c r="O9" s="8" t="n">
        <f aca="false">O4</f>
        <v>10.6536378763313</v>
      </c>
      <c r="P9" s="9" t="n">
        <v>4.76445169982864</v>
      </c>
      <c r="Q9" s="6" t="s">
        <v>93</v>
      </c>
      <c r="R9" s="11" t="s">
        <v>94</v>
      </c>
      <c r="Y9" s="5"/>
      <c r="Z9" s="5"/>
    </row>
    <row r="10" s="6" customFormat="true" ht="15" hidden="false" customHeight="false" outlineLevel="0" collapsed="false">
      <c r="A10" s="6" t="s">
        <v>92</v>
      </c>
      <c r="B10" s="6" t="s">
        <v>76</v>
      </c>
      <c r="C10" s="6" t="s">
        <v>77</v>
      </c>
      <c r="D10" s="6" t="s">
        <v>83</v>
      </c>
      <c r="E10" s="6" t="n">
        <v>0</v>
      </c>
      <c r="F10" s="6" t="s">
        <v>74</v>
      </c>
      <c r="G10" s="8" t="n">
        <f aca="false">G5/2</f>
        <v>-1.875</v>
      </c>
      <c r="H10" s="7" t="s">
        <v>79</v>
      </c>
      <c r="I10" s="6" t="s">
        <v>80</v>
      </c>
      <c r="J10" s="7"/>
      <c r="K10" s="6" t="n">
        <f aca="false">K5/2</f>
        <v>-6.55</v>
      </c>
      <c r="L10" s="6" t="n">
        <f aca="false">L5/2</f>
        <v>5.75</v>
      </c>
      <c r="O10" s="8" t="n">
        <f aca="false">O6</f>
        <v>12.0498962651137</v>
      </c>
      <c r="P10" s="9" t="n">
        <v>5.25</v>
      </c>
      <c r="R10" s="5"/>
      <c r="Y10" s="5"/>
      <c r="Z10" s="5"/>
    </row>
    <row r="11" s="6" customFormat="true" ht="15" hidden="false" customHeight="false" outlineLevel="0" collapsed="false">
      <c r="A11" s="6" t="s">
        <v>92</v>
      </c>
      <c r="B11" s="6" t="s">
        <v>85</v>
      </c>
      <c r="C11" s="6" t="s">
        <v>77</v>
      </c>
      <c r="D11" s="6" t="s">
        <v>77</v>
      </c>
      <c r="E11" s="6" t="n">
        <v>0</v>
      </c>
      <c r="F11" s="6" t="s">
        <v>74</v>
      </c>
      <c r="G11" s="8" t="n">
        <f aca="false">G6/2</f>
        <v>1.4</v>
      </c>
      <c r="H11" s="7" t="s">
        <v>79</v>
      </c>
      <c r="I11" s="6" t="s">
        <v>80</v>
      </c>
      <c r="J11" s="7"/>
      <c r="K11" s="6" t="n">
        <f aca="false">K6/2</f>
        <v>-5.5</v>
      </c>
      <c r="L11" s="6" t="n">
        <f aca="false">L6/2</f>
        <v>9.5</v>
      </c>
      <c r="O11" s="8" t="n">
        <f aca="false">O5</f>
        <v>10.5</v>
      </c>
      <c r="P11" s="9" t="n">
        <v>5.38887743412301</v>
      </c>
      <c r="R11" s="5"/>
      <c r="Y11" s="5"/>
      <c r="Z11" s="5"/>
    </row>
    <row r="12" s="6" customFormat="true" ht="15" hidden="false" customHeight="false" outlineLevel="0" collapsed="false">
      <c r="A12" s="6" t="s">
        <v>92</v>
      </c>
      <c r="B12" s="6" t="s">
        <v>86</v>
      </c>
      <c r="C12" s="6" t="s">
        <v>87</v>
      </c>
      <c r="D12" s="6" t="s">
        <v>77</v>
      </c>
      <c r="E12" s="6" t="n">
        <v>-2</v>
      </c>
      <c r="F12" s="6" t="s">
        <v>74</v>
      </c>
      <c r="G12" s="8" t="n">
        <f aca="false">G7/2</f>
        <v>-1.7</v>
      </c>
      <c r="H12" s="7" t="s">
        <v>79</v>
      </c>
      <c r="I12" s="6" t="s">
        <v>80</v>
      </c>
      <c r="J12" s="7"/>
      <c r="M12" s="6" t="n">
        <f aca="false">M7/2</f>
        <v>-2.75</v>
      </c>
      <c r="N12" s="6" t="n">
        <f aca="false">N7/2</f>
        <v>-0.5</v>
      </c>
      <c r="O12" s="8" t="n">
        <f aca="false">O7</f>
        <v>11.4220496606627</v>
      </c>
      <c r="P12" s="9" t="n">
        <v>1.14795918367347</v>
      </c>
      <c r="R12" s="5"/>
      <c r="Y12" s="5"/>
      <c r="Z12" s="5"/>
    </row>
    <row r="13" s="6" customFormat="true" ht="15" hidden="false" customHeight="false" outlineLevel="0" collapsed="false">
      <c r="A13" s="6" t="s">
        <v>92</v>
      </c>
      <c r="B13" s="6" t="s">
        <v>86</v>
      </c>
      <c r="C13" s="6" t="s">
        <v>90</v>
      </c>
      <c r="D13" s="6" t="s">
        <v>77</v>
      </c>
      <c r="E13" s="6" t="n">
        <v>2.2</v>
      </c>
      <c r="F13" s="6" t="s">
        <v>74</v>
      </c>
      <c r="G13" s="8" t="n">
        <f aca="false">G8/2</f>
        <v>2</v>
      </c>
      <c r="H13" s="7" t="s">
        <v>79</v>
      </c>
      <c r="I13" s="6" t="s">
        <v>80</v>
      </c>
      <c r="J13" s="7"/>
      <c r="M13" s="6" t="n">
        <f aca="false">M8/2</f>
        <v>0.35</v>
      </c>
      <c r="N13" s="6" t="n">
        <f aca="false">N8/2</f>
        <v>3.95</v>
      </c>
      <c r="O13" s="8" t="n">
        <f aca="false">O8</f>
        <v>27.0567915844706</v>
      </c>
      <c r="P13" s="9" t="n">
        <v>1.83673469387755</v>
      </c>
      <c r="R13" s="5"/>
      <c r="Y13" s="5"/>
      <c r="Z13" s="5"/>
    </row>
    <row r="14" customFormat="false" ht="16" hidden="false" customHeight="false" outlineLevel="0" collapsed="false">
      <c r="H14" s="2"/>
      <c r="J14" s="2"/>
      <c r="O14" s="2"/>
      <c r="P14" s="2"/>
    </row>
    <row r="16" customFormat="false" ht="16" hidden="false" customHeight="false" outlineLevel="0" collapsed="false">
      <c r="F16" s="1" t="s">
        <v>95</v>
      </c>
      <c r="G16" s="6" t="s">
        <v>96</v>
      </c>
      <c r="K16" s="6" t="s">
        <v>96</v>
      </c>
      <c r="L16" s="6" t="s">
        <v>96</v>
      </c>
    </row>
    <row r="17" s="6" customFormat="true" ht="16" hidden="false" customHeight="false" outlineLevel="0" collapsed="false">
      <c r="A17" s="6" t="s">
        <v>75</v>
      </c>
      <c r="B17" s="6" t="s">
        <v>76</v>
      </c>
      <c r="C17" s="6" t="s">
        <v>77</v>
      </c>
      <c r="D17" s="6" t="s">
        <v>78</v>
      </c>
      <c r="E17" s="6" t="n">
        <v>0</v>
      </c>
      <c r="F17" s="6" t="s">
        <v>96</v>
      </c>
      <c r="G17" s="12" t="n">
        <f aca="false">AVERAGE(-2,0.5,-0.3, 0, 1.4)</f>
        <v>-0.08</v>
      </c>
      <c r="H17" s="7" t="s">
        <v>79</v>
      </c>
      <c r="I17" s="6" t="s">
        <v>80</v>
      </c>
      <c r="J17" s="7" t="n">
        <v>5</v>
      </c>
      <c r="K17" s="6" t="n">
        <v>-2</v>
      </c>
      <c r="L17" s="6" t="n">
        <v>1.4</v>
      </c>
      <c r="N17" s="5"/>
      <c r="O17" s="12" t="n">
        <f aca="false">STDEV(-2,0.5,-0.3, 0, 1.4)</f>
        <v>1.25179870586289</v>
      </c>
      <c r="P17" s="12"/>
      <c r="Q17" s="6" t="s">
        <v>81</v>
      </c>
      <c r="R17" s="6" t="s">
        <v>82</v>
      </c>
      <c r="Y17" s="5"/>
      <c r="Z17" s="5"/>
    </row>
    <row r="18" s="6" customFormat="true" ht="16" hidden="false" customHeight="false" outlineLevel="0" collapsed="false">
      <c r="A18" s="6" t="s">
        <v>75</v>
      </c>
      <c r="B18" s="6" t="s">
        <v>76</v>
      </c>
      <c r="C18" s="6" t="s">
        <v>77</v>
      </c>
      <c r="D18" s="6" t="s">
        <v>83</v>
      </c>
      <c r="E18" s="6" t="n">
        <v>0</v>
      </c>
      <c r="F18" s="6" t="s">
        <v>96</v>
      </c>
      <c r="G18" s="12" t="n">
        <f aca="false">AVERAGE(-0.4,1,-1.7,-1.2)</f>
        <v>-0.575</v>
      </c>
      <c r="H18" s="7" t="s">
        <v>79</v>
      </c>
      <c r="I18" s="6" t="s">
        <v>80</v>
      </c>
      <c r="J18" s="7" t="n">
        <v>4</v>
      </c>
      <c r="K18" s="6" t="n">
        <v>-1.7</v>
      </c>
      <c r="L18" s="6" t="n">
        <v>1</v>
      </c>
      <c r="N18" s="5"/>
      <c r="O18" s="12" t="n">
        <f aca="false">STDEV(-0.4,1,-1.7,-1.2)</f>
        <v>1.17862914721581</v>
      </c>
      <c r="P18" s="12"/>
      <c r="Q18" s="6" t="s">
        <v>81</v>
      </c>
      <c r="R18" s="6" t="s">
        <v>84</v>
      </c>
      <c r="Y18" s="5"/>
      <c r="Z18" s="5"/>
    </row>
    <row r="19" s="6" customFormat="true" ht="16" hidden="false" customHeight="false" outlineLevel="0" collapsed="false">
      <c r="A19" s="6" t="s">
        <v>75</v>
      </c>
      <c r="B19" s="6" t="s">
        <v>85</v>
      </c>
      <c r="C19" s="6" t="s">
        <v>77</v>
      </c>
      <c r="D19" s="6" t="s">
        <v>77</v>
      </c>
      <c r="E19" s="6" t="n">
        <v>0</v>
      </c>
      <c r="F19" s="6" t="s">
        <v>96</v>
      </c>
      <c r="G19" s="12" t="n">
        <f aca="false">AVERAGE(-0.3,0.3,-0.4,0.2,0.54)</f>
        <v>0.068</v>
      </c>
      <c r="H19" s="7" t="s">
        <v>79</v>
      </c>
      <c r="I19" s="6" t="s">
        <v>80</v>
      </c>
      <c r="J19" s="7" t="n">
        <v>5</v>
      </c>
      <c r="K19" s="6" t="n">
        <v>-0.4</v>
      </c>
      <c r="L19" s="6" t="n">
        <v>0.54</v>
      </c>
      <c r="N19" s="5"/>
      <c r="O19" s="12" t="n">
        <f aca="false">STDEV(-0.3,0.3,-0.4,0.2,0.54)</f>
        <v>0.402641279552904</v>
      </c>
      <c r="P19" s="12" t="s">
        <v>97</v>
      </c>
      <c r="Q19" s="6" t="s">
        <v>81</v>
      </c>
      <c r="R19" s="6" t="s">
        <v>82</v>
      </c>
      <c r="Y19" s="5"/>
      <c r="Z19" s="5"/>
    </row>
    <row r="20" customFormat="false" ht="16" hidden="false" customHeight="false" outlineLevel="0" collapsed="false">
      <c r="C20" s="2" t="s">
        <v>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" activeCellId="1" sqref="M18:M23 N17"/>
    </sheetView>
  </sheetViews>
  <sheetFormatPr defaultColWidth="10.8203125" defaultRowHeight="16" zeroHeight="false" outlineLevelRow="0" outlineLevelCol="0"/>
  <cols>
    <col collapsed="false" customWidth="false" hidden="false" outlineLevel="0" max="3" min="1" style="2" width="10.83"/>
    <col collapsed="false" customWidth="true" hidden="false" outlineLevel="0" max="4" min="4" style="2" width="39.5"/>
    <col collapsed="false" customWidth="true" hidden="false" outlineLevel="0" max="5" min="5" style="2" width="15.33"/>
    <col collapsed="false" customWidth="false" hidden="false" outlineLevel="0" max="6" min="6" style="2" width="10.83"/>
    <col collapsed="false" customWidth="true" hidden="false" outlineLevel="0" max="7" min="7" style="2" width="15.16"/>
    <col collapsed="false" customWidth="false" hidden="false" outlineLevel="0" max="14" min="8" style="2" width="10.83"/>
    <col collapsed="false" customWidth="true" hidden="false" outlineLevel="0" max="16" min="15" style="2" width="30.67"/>
    <col collapsed="false" customWidth="true" hidden="false" outlineLevel="0" max="17" min="17" style="2" width="36"/>
    <col collapsed="false" customWidth="false" hidden="false" outlineLevel="0" max="1024" min="18" style="2" width="10.83"/>
  </cols>
  <sheetData>
    <row r="2" customFormat="false" ht="16" hidden="false" customHeight="false" outlineLevel="0" collapsed="false">
      <c r="A2" s="3" t="s">
        <v>98</v>
      </c>
    </row>
    <row r="3" s="4" customFormat="true" ht="102" hidden="false" customHeight="false" outlineLevel="0" collapsed="false">
      <c r="D3" s="4" t="s">
        <v>52</v>
      </c>
      <c r="E3" s="4" t="s">
        <v>99</v>
      </c>
      <c r="I3" s="4" t="s">
        <v>54</v>
      </c>
      <c r="M3" s="4" t="s">
        <v>55</v>
      </c>
    </row>
    <row r="4" s="5" customFormat="true" ht="16" hidden="false" customHeight="false" outlineLevel="0" collapsed="false">
      <c r="C4" s="5" t="s">
        <v>56</v>
      </c>
      <c r="D4" s="5" t="s">
        <v>57</v>
      </c>
      <c r="E4" s="5" t="s">
        <v>58</v>
      </c>
      <c r="F4" s="5" t="s">
        <v>59</v>
      </c>
      <c r="G4" s="5" t="s">
        <v>60</v>
      </c>
      <c r="H4" s="5" t="s">
        <v>61</v>
      </c>
      <c r="I4" s="5" t="s">
        <v>62</v>
      </c>
      <c r="J4" s="5" t="s">
        <v>63</v>
      </c>
      <c r="K4" s="5" t="s">
        <v>64</v>
      </c>
      <c r="L4" s="5" t="s">
        <v>65</v>
      </c>
      <c r="M4" s="5" t="s">
        <v>66</v>
      </c>
      <c r="N4" s="5" t="s">
        <v>67</v>
      </c>
      <c r="O4" s="5" t="s">
        <v>6</v>
      </c>
      <c r="Q4" s="5" t="s">
        <v>68</v>
      </c>
    </row>
    <row r="5" s="5" customFormat="true" ht="16" hidden="false" customHeight="false" outlineLevel="0" collapsed="false">
      <c r="A5" s="2" t="s">
        <v>100</v>
      </c>
      <c r="B5" s="2" t="s">
        <v>101</v>
      </c>
      <c r="C5" s="2" t="s">
        <v>102</v>
      </c>
    </row>
    <row r="6" s="5" customFormat="true" ht="16" hidden="false" customHeight="false" outlineLevel="0" collapsed="false">
      <c r="A6" s="2" t="s">
        <v>103</v>
      </c>
      <c r="B6" s="2" t="s">
        <v>104</v>
      </c>
      <c r="C6" s="2" t="n">
        <v>0</v>
      </c>
      <c r="D6" s="2" t="s">
        <v>105</v>
      </c>
      <c r="E6" s="13" t="n">
        <f aca="false">AVERAGE(2,1,0,0,4,2,-1,2)</f>
        <v>1.25</v>
      </c>
      <c r="F6" s="6" t="s">
        <v>79</v>
      </c>
      <c r="G6" s="6" t="s">
        <v>106</v>
      </c>
      <c r="H6" s="2" t="n">
        <v>8</v>
      </c>
      <c r="I6" s="13" t="n">
        <f aca="false">MIN(2,1,0,0,4,2,-1,2)</f>
        <v>-1</v>
      </c>
      <c r="J6" s="13" t="n">
        <f aca="false">MAX(2,1,0,0,4,2,-1,2)</f>
        <v>4</v>
      </c>
      <c r="K6" s="6"/>
      <c r="L6" s="6"/>
      <c r="M6" s="14" t="n">
        <f aca="false">STDEV(2,1,0,0,4,2,-1,2)</f>
        <v>1.58113883008419</v>
      </c>
      <c r="N6" s="15" t="n">
        <f aca="false">M6/SQRT(H6)</f>
        <v>0.559016994374947</v>
      </c>
      <c r="O6" s="2" t="s">
        <v>107</v>
      </c>
      <c r="P6" s="2"/>
    </row>
    <row r="7" s="5" customFormat="true" ht="16" hidden="false" customHeight="false" outlineLevel="0" collapsed="false">
      <c r="A7" s="2" t="s">
        <v>103</v>
      </c>
      <c r="B7" s="2" t="s">
        <v>108</v>
      </c>
      <c r="C7" s="2" t="s">
        <v>109</v>
      </c>
      <c r="E7" s="2"/>
      <c r="F7" s="6"/>
      <c r="G7" s="6"/>
      <c r="H7" s="2"/>
      <c r="I7" s="2" t="s">
        <v>109</v>
      </c>
      <c r="J7" s="2" t="s">
        <v>109</v>
      </c>
      <c r="K7" s="6"/>
      <c r="L7" s="6"/>
      <c r="M7" s="2" t="s">
        <v>109</v>
      </c>
      <c r="N7" s="15"/>
      <c r="O7" s="2"/>
      <c r="P7" s="2"/>
    </row>
    <row r="8" s="5" customFormat="true" ht="16" hidden="false" customHeight="false" outlineLevel="0" collapsed="false">
      <c r="A8" s="2" t="s">
        <v>110</v>
      </c>
      <c r="B8" s="2" t="s">
        <v>104</v>
      </c>
      <c r="C8" s="2" t="n">
        <v>0</v>
      </c>
      <c r="D8" s="2" t="s">
        <v>105</v>
      </c>
      <c r="E8" s="6" t="n">
        <f aca="false">AVERAGE(1,4,0,0,7,0,8,1)</f>
        <v>2.625</v>
      </c>
      <c r="F8" s="6" t="s">
        <v>79</v>
      </c>
      <c r="G8" s="6" t="s">
        <v>106</v>
      </c>
      <c r="H8" s="2" t="n">
        <v>8</v>
      </c>
      <c r="I8" s="6" t="n">
        <f aca="false">MIN(1,4,0,0,7,0,8,1)</f>
        <v>0</v>
      </c>
      <c r="J8" s="6" t="n">
        <f aca="false">MAX(1,4,0,0,7,0,8,1)</f>
        <v>8</v>
      </c>
      <c r="K8" s="6"/>
      <c r="L8" s="6"/>
      <c r="M8" s="14" t="n">
        <f aca="false">STDEV(1,4,0,0,7,0,8,1)</f>
        <v>3.29230705042615</v>
      </c>
      <c r="N8" s="15" t="n">
        <f aca="false">M8/SQRT(H8)</f>
        <v>1.1640063205523</v>
      </c>
      <c r="O8" s="2" t="s">
        <v>107</v>
      </c>
      <c r="P8" s="2"/>
    </row>
    <row r="9" s="5" customFormat="true" ht="16" hidden="false" customHeight="false" outlineLevel="0" collapsed="false">
      <c r="A9" s="2" t="s">
        <v>110</v>
      </c>
      <c r="B9" s="2" t="s">
        <v>108</v>
      </c>
      <c r="C9" s="2" t="s">
        <v>109</v>
      </c>
      <c r="E9" s="2"/>
      <c r="F9" s="6"/>
      <c r="G9" s="6"/>
      <c r="H9" s="2"/>
      <c r="I9" s="2" t="s">
        <v>109</v>
      </c>
      <c r="J9" s="2" t="s">
        <v>109</v>
      </c>
      <c r="K9" s="6"/>
      <c r="L9" s="6"/>
      <c r="M9" s="16" t="s">
        <v>109</v>
      </c>
      <c r="N9" s="15"/>
      <c r="O9" s="2"/>
      <c r="P9" s="2"/>
    </row>
    <row r="10" s="5" customFormat="true" ht="16" hidden="false" customHeight="false" outlineLevel="0" collapsed="false">
      <c r="A10" s="2" t="s">
        <v>111</v>
      </c>
      <c r="B10" s="2" t="s">
        <v>104</v>
      </c>
      <c r="C10" s="2" t="n">
        <v>3.8</v>
      </c>
      <c r="D10" s="2" t="s">
        <v>105</v>
      </c>
      <c r="E10" s="6" t="n">
        <f aca="false">AVERAGE(3,4,3,6,1,6,4,-1)</f>
        <v>3.25</v>
      </c>
      <c r="F10" s="6" t="s">
        <v>79</v>
      </c>
      <c r="G10" s="6" t="s">
        <v>106</v>
      </c>
      <c r="H10" s="2" t="n">
        <v>8</v>
      </c>
      <c r="I10" s="6" t="n">
        <f aca="false">MIN(3,4,3,6,1,6,4,-1)</f>
        <v>-1</v>
      </c>
      <c r="J10" s="6" t="n">
        <f aca="false">MAX(3,4,3,6,1,6,4,-1)</f>
        <v>6</v>
      </c>
      <c r="K10" s="6"/>
      <c r="L10" s="6"/>
      <c r="M10" s="14" t="n">
        <f aca="false">STDEV(3,4,3,6,1,6,4,-1)</f>
        <v>2.37546987833084</v>
      </c>
      <c r="N10" s="15" t="n">
        <f aca="false">M10/SQRT(H10)</f>
        <v>0.83985542973606</v>
      </c>
      <c r="O10" s="2" t="s">
        <v>107</v>
      </c>
      <c r="P10" s="2"/>
    </row>
    <row r="11" s="5" customFormat="true" ht="16" hidden="false" customHeight="false" outlineLevel="0" collapsed="false">
      <c r="A11" s="2" t="s">
        <v>111</v>
      </c>
      <c r="B11" s="2" t="s">
        <v>108</v>
      </c>
      <c r="C11" s="2" t="s">
        <v>109</v>
      </c>
      <c r="E11" s="2"/>
      <c r="F11" s="6"/>
      <c r="G11" s="6"/>
      <c r="H11" s="6"/>
      <c r="I11" s="2" t="s">
        <v>109</v>
      </c>
      <c r="J11" s="2" t="s">
        <v>109</v>
      </c>
      <c r="K11" s="6"/>
      <c r="L11" s="6"/>
      <c r="M11" s="16" t="s">
        <v>109</v>
      </c>
      <c r="N11" s="2"/>
    </row>
    <row r="12" s="5" customFormat="true" ht="16" hidden="false" customHeight="false" outlineLevel="0" collapsed="false"/>
    <row r="13" s="5" customFormat="true" ht="16" hidden="false" customHeight="false" outlineLevel="0" collapsed="false">
      <c r="A13" s="3" t="s">
        <v>112</v>
      </c>
      <c r="B13" s="2"/>
      <c r="C13" s="2"/>
      <c r="H13" s="2"/>
      <c r="I13" s="2"/>
      <c r="J13" s="2"/>
      <c r="R13" s="5" t="s">
        <v>97</v>
      </c>
    </row>
    <row r="14" customFormat="false" ht="16" hidden="false" customHeight="false" outlineLevel="0" collapsed="false">
      <c r="I14" s="1" t="s">
        <v>54</v>
      </c>
      <c r="M14" s="1" t="s">
        <v>55</v>
      </c>
    </row>
    <row r="15" s="5" customFormat="true" ht="16" hidden="false" customHeight="false" outlineLevel="0" collapsed="false">
      <c r="C15" s="5" t="s">
        <v>56</v>
      </c>
      <c r="D15" s="5" t="s">
        <v>57</v>
      </c>
      <c r="E15" s="5" t="s">
        <v>58</v>
      </c>
      <c r="F15" s="5" t="s">
        <v>59</v>
      </c>
      <c r="G15" s="5" t="s">
        <v>60</v>
      </c>
      <c r="H15" s="5" t="s">
        <v>61</v>
      </c>
      <c r="I15" s="5" t="s">
        <v>62</v>
      </c>
      <c r="J15" s="5" t="s">
        <v>63</v>
      </c>
      <c r="K15" s="5" t="s">
        <v>64</v>
      </c>
      <c r="L15" s="5" t="s">
        <v>65</v>
      </c>
      <c r="M15" s="5" t="s">
        <v>66</v>
      </c>
      <c r="N15" s="5" t="s">
        <v>67</v>
      </c>
      <c r="O15" s="5" t="s">
        <v>6</v>
      </c>
      <c r="P15" s="5" t="s">
        <v>68</v>
      </c>
      <c r="Q15" s="5" t="s">
        <v>68</v>
      </c>
    </row>
    <row r="16" s="5" customFormat="true" ht="15" hidden="false" customHeight="false" outlineLevel="0" collapsed="false">
      <c r="A16" s="2" t="s">
        <v>100</v>
      </c>
      <c r="B16" s="2" t="s">
        <v>101</v>
      </c>
      <c r="C16" s="2" t="s">
        <v>102</v>
      </c>
      <c r="E16" s="17" t="s">
        <v>113</v>
      </c>
      <c r="N16" s="17" t="s">
        <v>114</v>
      </c>
    </row>
    <row r="17" s="21" customFormat="true" ht="16" hidden="false" customHeight="false" outlineLevel="0" collapsed="false">
      <c r="A17" s="18" t="s">
        <v>103</v>
      </c>
      <c r="B17" s="18" t="s">
        <v>104</v>
      </c>
      <c r="C17" s="18" t="n">
        <v>0</v>
      </c>
      <c r="D17" s="18" t="s">
        <v>105</v>
      </c>
      <c r="E17" s="19" t="n">
        <v>3</v>
      </c>
      <c r="F17" s="20" t="s">
        <v>79</v>
      </c>
      <c r="G17" s="20" t="s">
        <v>106</v>
      </c>
      <c r="H17" s="18" t="n">
        <v>140</v>
      </c>
      <c r="K17" s="22" t="n">
        <v>-2</v>
      </c>
      <c r="L17" s="22" t="n">
        <v>8</v>
      </c>
      <c r="M17" s="23" t="n">
        <f aca="false">N17*SQRT(H17)</f>
        <v>30.1840805260184</v>
      </c>
      <c r="N17" s="24" t="n">
        <f aca="false">(L17-K17)/3.92</f>
        <v>2.55102040816327</v>
      </c>
      <c r="O17" s="18" t="s">
        <v>115</v>
      </c>
      <c r="P17" s="18" t="s">
        <v>116</v>
      </c>
      <c r="Q17" s="20" t="s">
        <v>117</v>
      </c>
    </row>
    <row r="18" s="5" customFormat="true" ht="16" hidden="false" customHeight="false" outlineLevel="0" collapsed="false">
      <c r="A18" s="2" t="s">
        <v>103</v>
      </c>
      <c r="B18" s="2" t="s">
        <v>108</v>
      </c>
      <c r="C18" s="2" t="s">
        <v>109</v>
      </c>
      <c r="E18" s="19"/>
      <c r="F18" s="6"/>
      <c r="G18" s="6"/>
      <c r="H18" s="2"/>
      <c r="K18" s="2" t="s">
        <v>109</v>
      </c>
      <c r="L18" s="2" t="s">
        <v>109</v>
      </c>
      <c r="M18" s="14"/>
      <c r="N18" s="25"/>
      <c r="O18" s="2"/>
      <c r="P18" s="2"/>
    </row>
    <row r="19" s="5" customFormat="true" ht="16" hidden="false" customHeight="false" outlineLevel="0" collapsed="false">
      <c r="A19" s="2" t="s">
        <v>110</v>
      </c>
      <c r="B19" s="2" t="s">
        <v>104</v>
      </c>
      <c r="C19" s="2" t="n">
        <v>0</v>
      </c>
      <c r="D19" s="2" t="s">
        <v>105</v>
      </c>
      <c r="E19" s="19" t="n">
        <v>-3</v>
      </c>
      <c r="F19" s="6" t="s">
        <v>79</v>
      </c>
      <c r="G19" s="6" t="s">
        <v>106</v>
      </c>
      <c r="H19" s="2" t="n">
        <v>69</v>
      </c>
      <c r="K19" s="2" t="n">
        <v>-6.7</v>
      </c>
      <c r="L19" s="2" t="n">
        <v>0</v>
      </c>
      <c r="M19" s="16" t="n">
        <f aca="false">N19*SQRT(H19)</f>
        <v>14.1975458881508</v>
      </c>
      <c r="N19" s="24" t="n">
        <f aca="false">(L19-K19)/3.92</f>
        <v>1.70918367346939</v>
      </c>
      <c r="O19" s="2" t="s">
        <v>118</v>
      </c>
      <c r="P19" s="2" t="s">
        <v>116</v>
      </c>
      <c r="Q19" s="3" t="s">
        <v>119</v>
      </c>
    </row>
    <row r="20" s="5" customFormat="true" ht="16" hidden="false" customHeight="false" outlineLevel="0" collapsed="false">
      <c r="A20" s="2" t="s">
        <v>110</v>
      </c>
      <c r="B20" s="2" t="s">
        <v>108</v>
      </c>
      <c r="C20" s="2" t="s">
        <v>109</v>
      </c>
      <c r="E20" s="19"/>
      <c r="F20" s="6"/>
      <c r="G20" s="6"/>
      <c r="H20" s="2"/>
      <c r="K20" s="2" t="s">
        <v>109</v>
      </c>
      <c r="L20" s="2" t="s">
        <v>109</v>
      </c>
      <c r="M20" s="14"/>
      <c r="N20" s="25"/>
      <c r="O20" s="2"/>
      <c r="P20" s="2"/>
      <c r="Q20" s="2"/>
    </row>
    <row r="21" s="5" customFormat="true" ht="16" hidden="false" customHeight="false" outlineLevel="0" collapsed="false">
      <c r="A21" s="2" t="s">
        <v>111</v>
      </c>
      <c r="B21" s="2" t="s">
        <v>104</v>
      </c>
      <c r="C21" s="2" t="n">
        <v>3.8</v>
      </c>
      <c r="D21" s="2" t="s">
        <v>105</v>
      </c>
      <c r="E21" s="19" t="n">
        <v>-3</v>
      </c>
      <c r="F21" s="6" t="s">
        <v>79</v>
      </c>
      <c r="G21" s="6" t="s">
        <v>106</v>
      </c>
      <c r="H21" s="2" t="n">
        <v>69</v>
      </c>
      <c r="K21" s="2" t="n">
        <v>-6.7</v>
      </c>
      <c r="L21" s="2" t="n">
        <v>0</v>
      </c>
      <c r="M21" s="16" t="n">
        <f aca="false">N21*SQRT(H21)</f>
        <v>14.1975458881508</v>
      </c>
      <c r="N21" s="24" t="n">
        <f aca="false">(L21-K21)/3.92</f>
        <v>1.70918367346939</v>
      </c>
      <c r="O21" s="2" t="s">
        <v>118</v>
      </c>
      <c r="P21" s="2" t="s">
        <v>116</v>
      </c>
      <c r="Q21" s="3" t="s">
        <v>119</v>
      </c>
    </row>
    <row r="22" s="5" customFormat="true" ht="16" hidden="false" customHeight="false" outlineLevel="0" collapsed="false">
      <c r="A22" s="2" t="s">
        <v>111</v>
      </c>
      <c r="B22" s="2" t="s">
        <v>108</v>
      </c>
      <c r="C22" s="2" t="s">
        <v>109</v>
      </c>
      <c r="K22" s="2" t="s">
        <v>109</v>
      </c>
      <c r="L22" s="2" t="s">
        <v>109</v>
      </c>
    </row>
    <row r="23" s="5" customFormat="true" ht="16" hidden="false" customHeight="false" outlineLevel="0" collapsed="false">
      <c r="A23" s="2"/>
      <c r="B23" s="2"/>
      <c r="C23" s="2"/>
      <c r="E23" s="5" t="s">
        <v>120</v>
      </c>
      <c r="I23" s="2"/>
      <c r="J23" s="2"/>
    </row>
    <row r="24" s="18" customFormat="true" ht="16" hidden="false" customHeight="false" outlineLevel="0" collapsed="false">
      <c r="A24" s="18" t="s">
        <v>103</v>
      </c>
      <c r="B24" s="18" t="s">
        <v>121</v>
      </c>
      <c r="D24" s="18" t="s">
        <v>105</v>
      </c>
      <c r="E24" s="19" t="n">
        <v>0.3</v>
      </c>
      <c r="F24" s="20" t="s">
        <v>79</v>
      </c>
      <c r="G24" s="20" t="s">
        <v>106</v>
      </c>
      <c r="H24" s="18" t="n">
        <v>66</v>
      </c>
      <c r="I24" s="18" t="n">
        <v>-40</v>
      </c>
      <c r="J24" s="18" t="n">
        <v>57.3</v>
      </c>
      <c r="O24" s="18" t="s">
        <v>118</v>
      </c>
      <c r="P24" s="18" t="s">
        <v>122</v>
      </c>
      <c r="Q24" s="18" t="s">
        <v>123</v>
      </c>
    </row>
    <row r="25" customFormat="false" ht="16" hidden="false" customHeight="false" outlineLevel="0" collapsed="false">
      <c r="A25" s="2" t="s">
        <v>124</v>
      </c>
      <c r="B25" s="2" t="s">
        <v>121</v>
      </c>
      <c r="D25" s="2" t="s">
        <v>105</v>
      </c>
      <c r="E25" s="2" t="n">
        <v>32.8</v>
      </c>
      <c r="F25" s="6" t="s">
        <v>79</v>
      </c>
      <c r="G25" s="6" t="s">
        <v>106</v>
      </c>
      <c r="H25" s="2" t="n">
        <v>33</v>
      </c>
      <c r="I25" s="2" t="n">
        <v>-56</v>
      </c>
      <c r="J25" s="2" t="n">
        <v>120.8</v>
      </c>
      <c r="O25" s="2" t="s">
        <v>118</v>
      </c>
      <c r="P25" s="2" t="s">
        <v>122</v>
      </c>
      <c r="Q25" s="2" t="s">
        <v>125</v>
      </c>
    </row>
    <row r="27" customFormat="false" ht="16" hidden="false" customHeight="false" outlineLevel="0" collapsed="false">
      <c r="A27" s="2" t="s">
        <v>126</v>
      </c>
      <c r="B27" s="2" t="s">
        <v>121</v>
      </c>
      <c r="D27" s="2" t="s">
        <v>105</v>
      </c>
      <c r="E27" s="2" t="n">
        <v>0.3</v>
      </c>
      <c r="F27" s="6" t="s">
        <v>79</v>
      </c>
      <c r="G27" s="6" t="s">
        <v>106</v>
      </c>
      <c r="H27" s="2" t="n">
        <v>242</v>
      </c>
      <c r="I27" s="2" t="n">
        <v>-56</v>
      </c>
      <c r="J27" s="2" t="n">
        <v>144.4</v>
      </c>
      <c r="O27" s="2" t="s">
        <v>118</v>
      </c>
      <c r="P27" s="2" t="s">
        <v>122</v>
      </c>
      <c r="Q27" s="2" t="s">
        <v>127</v>
      </c>
    </row>
    <row r="28" s="5" customFormat="true" ht="16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1" sqref="M18:M23 M14"/>
    </sheetView>
  </sheetViews>
  <sheetFormatPr defaultColWidth="10.8203125" defaultRowHeight="16" zeroHeight="false" outlineLevelRow="0" outlineLevelCol="0"/>
  <cols>
    <col collapsed="false" customWidth="false" hidden="false" outlineLevel="0" max="5" min="1" style="6" width="10.83"/>
    <col collapsed="false" customWidth="true" hidden="false" outlineLevel="0" max="6" min="6" style="6" width="19.67"/>
    <col collapsed="false" customWidth="false" hidden="false" outlineLevel="0" max="8" min="7" style="6" width="10.83"/>
    <col collapsed="false" customWidth="true" hidden="false" outlineLevel="0" max="9" min="9" style="6" width="17"/>
    <col collapsed="false" customWidth="false" hidden="false" outlineLevel="0" max="16" min="10" style="6" width="10.83"/>
    <col collapsed="false" customWidth="true" hidden="false" outlineLevel="0" max="17" min="17" style="6" width="18.33"/>
    <col collapsed="false" customWidth="true" hidden="false" outlineLevel="0" max="18" min="18" style="6" width="16.16"/>
    <col collapsed="false" customWidth="false" hidden="false" outlineLevel="0" max="1024" min="19" style="6" width="10.83"/>
  </cols>
  <sheetData>
    <row r="1" customFormat="false" ht="16" hidden="false" customHeight="false" outlineLevel="0" collapsed="false">
      <c r="K1" s="5" t="s">
        <v>54</v>
      </c>
      <c r="O1" s="5" t="s">
        <v>55</v>
      </c>
    </row>
    <row r="2" customFormat="false" ht="16" hidden="false" customHeight="false" outlineLevel="0" collapsed="false">
      <c r="E2" s="5" t="s">
        <v>56</v>
      </c>
      <c r="F2" s="5" t="s">
        <v>57</v>
      </c>
      <c r="G2" s="17" t="s">
        <v>58</v>
      </c>
      <c r="H2" s="5" t="s">
        <v>59</v>
      </c>
      <c r="I2" s="5" t="s">
        <v>60</v>
      </c>
      <c r="J2" s="5" t="s">
        <v>61</v>
      </c>
      <c r="K2" s="5" t="s">
        <v>62</v>
      </c>
      <c r="L2" s="5" t="s">
        <v>63</v>
      </c>
      <c r="M2" s="5" t="s">
        <v>64</v>
      </c>
      <c r="N2" s="5" t="s">
        <v>65</v>
      </c>
      <c r="O2" s="5" t="s">
        <v>66</v>
      </c>
      <c r="P2" s="5" t="s">
        <v>67</v>
      </c>
      <c r="R2" s="5" t="s">
        <v>6</v>
      </c>
      <c r="S2" s="5" t="s">
        <v>68</v>
      </c>
    </row>
    <row r="3" customFormat="false" ht="16" hidden="false" customHeight="false" outlineLevel="0" collapsed="false">
      <c r="A3" s="6" t="s">
        <v>69</v>
      </c>
      <c r="B3" s="6" t="s">
        <v>128</v>
      </c>
      <c r="C3" s="6" t="s">
        <v>101</v>
      </c>
      <c r="D3" s="6" t="s">
        <v>129</v>
      </c>
      <c r="E3" s="7" t="s">
        <v>130</v>
      </c>
      <c r="G3" s="10" t="s">
        <v>131</v>
      </c>
      <c r="J3" s="26"/>
      <c r="M3" s="6" t="s">
        <v>131</v>
      </c>
      <c r="N3" s="6" t="s">
        <v>131</v>
      </c>
      <c r="O3" s="6" t="s">
        <v>131</v>
      </c>
      <c r="P3" s="6" t="s">
        <v>131</v>
      </c>
    </row>
    <row r="4" customFormat="false" ht="16" hidden="false" customHeight="false" outlineLevel="0" collapsed="false">
      <c r="A4" s="6" t="s">
        <v>132</v>
      </c>
      <c r="B4" s="6" t="s">
        <v>133</v>
      </c>
      <c r="C4" s="6" t="s">
        <v>133</v>
      </c>
      <c r="D4" s="6" t="s">
        <v>133</v>
      </c>
      <c r="E4" s="7" t="n">
        <v>0</v>
      </c>
      <c r="F4" s="6" t="s">
        <v>131</v>
      </c>
      <c r="G4" s="10" t="n">
        <v>0</v>
      </c>
      <c r="H4" s="7" t="s">
        <v>79</v>
      </c>
      <c r="J4" s="26"/>
      <c r="M4" s="6" t="n">
        <v>0</v>
      </c>
      <c r="N4" s="6" t="n">
        <v>0</v>
      </c>
      <c r="O4" s="6" t="s">
        <v>97</v>
      </c>
      <c r="R4" s="6" t="s">
        <v>134</v>
      </c>
      <c r="S4" s="6" t="s">
        <v>135</v>
      </c>
    </row>
    <row r="5" customFormat="false" ht="16" hidden="false" customHeight="false" outlineLevel="0" collapsed="false">
      <c r="A5" s="6" t="s">
        <v>92</v>
      </c>
      <c r="B5" s="6" t="s">
        <v>136</v>
      </c>
      <c r="C5" s="6" t="s">
        <v>108</v>
      </c>
      <c r="D5" s="6" t="s">
        <v>137</v>
      </c>
      <c r="E5" s="7" t="n">
        <v>0.02</v>
      </c>
      <c r="F5" s="6" t="s">
        <v>131</v>
      </c>
      <c r="G5" s="10" t="n">
        <v>0.02</v>
      </c>
      <c r="H5" s="7" t="s">
        <v>79</v>
      </c>
      <c r="I5" s="6" t="s">
        <v>80</v>
      </c>
      <c r="J5" s="27" t="n">
        <v>100</v>
      </c>
      <c r="M5" s="28" t="n">
        <v>-0.020985663587996</v>
      </c>
      <c r="N5" s="28" t="n">
        <v>0.047217743072991</v>
      </c>
      <c r="O5" s="9" t="n">
        <f aca="false">P5*SQRT(J5)</f>
        <v>0.173988282298436</v>
      </c>
      <c r="P5" s="29" t="n">
        <f aca="false">(N5-M5)/3.92</f>
        <v>0.0173988282298436</v>
      </c>
      <c r="R5" s="6" t="s">
        <v>134</v>
      </c>
    </row>
    <row r="6" customFormat="false" ht="16" hidden="false" customHeight="false" outlineLevel="0" collapsed="false">
      <c r="A6" s="6" t="s">
        <v>92</v>
      </c>
      <c r="B6" s="6" t="s">
        <v>136</v>
      </c>
      <c r="C6" s="6" t="s">
        <v>108</v>
      </c>
      <c r="D6" s="6" t="s">
        <v>138</v>
      </c>
      <c r="E6" s="7" t="n">
        <v>0.07</v>
      </c>
      <c r="F6" s="6" t="s">
        <v>131</v>
      </c>
      <c r="G6" s="10" t="n">
        <v>0.07</v>
      </c>
      <c r="H6" s="7" t="s">
        <v>79</v>
      </c>
      <c r="I6" s="6" t="s">
        <v>80</v>
      </c>
      <c r="J6" s="27" t="n">
        <v>100</v>
      </c>
      <c r="M6" s="28" t="n">
        <v>-0.0711251911239499</v>
      </c>
      <c r="N6" s="28" t="n">
        <v>0.208633893963586</v>
      </c>
      <c r="O6" s="9" t="n">
        <f aca="false">P6*SQRT(J6)</f>
        <v>0.713671135427388</v>
      </c>
      <c r="P6" s="29" t="n">
        <f aca="false">(N6-M6)/3.92</f>
        <v>0.0713671135427388</v>
      </c>
      <c r="R6" s="6" t="s">
        <v>134</v>
      </c>
      <c r="S6" s="6" t="s">
        <v>139</v>
      </c>
    </row>
    <row r="7" customFormat="false" ht="16" hidden="false" customHeight="false" outlineLevel="0" collapsed="false">
      <c r="A7" s="6" t="s">
        <v>92</v>
      </c>
      <c r="B7" s="6" t="s">
        <v>136</v>
      </c>
      <c r="C7" s="6" t="s">
        <v>104</v>
      </c>
      <c r="D7" s="6" t="s">
        <v>137</v>
      </c>
      <c r="E7" s="7" t="n">
        <v>0.07</v>
      </c>
      <c r="F7" s="6" t="s">
        <v>131</v>
      </c>
      <c r="G7" s="10" t="n">
        <v>0.07</v>
      </c>
      <c r="H7" s="7" t="s">
        <v>79</v>
      </c>
      <c r="I7" s="6" t="s">
        <v>80</v>
      </c>
      <c r="J7" s="27" t="n">
        <v>100</v>
      </c>
      <c r="M7" s="28" t="n">
        <v>0</v>
      </c>
      <c r="N7" s="28" t="n">
        <v>0.146899645115972</v>
      </c>
      <c r="O7" s="9" t="n">
        <f aca="false">P7*SQRT(J7)</f>
        <v>0.374743992642786</v>
      </c>
      <c r="P7" s="29" t="n">
        <f aca="false">(N7-M7)/3.92</f>
        <v>0.0374743992642786</v>
      </c>
      <c r="R7" s="6" t="s">
        <v>134</v>
      </c>
      <c r="S7" s="6" t="s">
        <v>140</v>
      </c>
    </row>
    <row r="8" customFormat="false" ht="16" hidden="false" customHeight="false" outlineLevel="0" collapsed="false">
      <c r="A8" s="6" t="s">
        <v>92</v>
      </c>
      <c r="B8" s="6" t="s">
        <v>136</v>
      </c>
      <c r="C8" s="6" t="s">
        <v>104</v>
      </c>
      <c r="D8" s="6" t="s">
        <v>138</v>
      </c>
      <c r="E8" s="7" t="n">
        <v>0.17</v>
      </c>
      <c r="F8" s="6" t="s">
        <v>131</v>
      </c>
      <c r="G8" s="10" t="n">
        <v>0.17</v>
      </c>
      <c r="H8" s="7" t="s">
        <v>79</v>
      </c>
      <c r="I8" s="6" t="s">
        <v>80</v>
      </c>
      <c r="J8" s="27" t="n">
        <v>100</v>
      </c>
      <c r="M8" s="28" t="n">
        <v>0.0237083970413166</v>
      </c>
      <c r="N8" s="28" t="n">
        <v>0.308209161537116</v>
      </c>
      <c r="O8" s="9" t="n">
        <f aca="false">P8*SQRT(J8)</f>
        <v>0.725767256366835</v>
      </c>
      <c r="P8" s="29" t="n">
        <f aca="false">(N8-M8)/3.92</f>
        <v>0.0725767256366835</v>
      </c>
      <c r="R8" s="6" t="s">
        <v>134</v>
      </c>
      <c r="S8" s="7" t="s">
        <v>141</v>
      </c>
    </row>
    <row r="9" customFormat="false" ht="16" hidden="false" customHeight="false" outlineLevel="0" collapsed="false">
      <c r="A9" s="6" t="s">
        <v>92</v>
      </c>
      <c r="B9" s="6" t="s">
        <v>142</v>
      </c>
      <c r="C9" s="6" t="s">
        <v>108</v>
      </c>
      <c r="D9" s="6" t="s">
        <v>137</v>
      </c>
      <c r="E9" s="7" t="n">
        <v>0.19</v>
      </c>
      <c r="F9" s="6" t="s">
        <v>131</v>
      </c>
      <c r="G9" s="10" t="n">
        <v>0.19</v>
      </c>
      <c r="H9" s="7" t="s">
        <v>79</v>
      </c>
      <c r="I9" s="6" t="s">
        <v>80</v>
      </c>
      <c r="J9" s="27" t="n">
        <v>100</v>
      </c>
      <c r="M9" s="28" t="n">
        <v>-0.134679334916865</v>
      </c>
      <c r="N9" s="28" t="n">
        <v>0.466888361045131</v>
      </c>
      <c r="O9" s="9" t="n">
        <f aca="false">P9*SQRT(J9)</f>
        <v>1.5346114692908</v>
      </c>
      <c r="P9" s="29" t="n">
        <f aca="false">(N9-M9)/3.92</f>
        <v>0.15346114692908</v>
      </c>
      <c r="R9" s="6" t="s">
        <v>134</v>
      </c>
    </row>
    <row r="10" customFormat="false" ht="16" hidden="false" customHeight="false" outlineLevel="0" collapsed="false">
      <c r="A10" s="6" t="s">
        <v>92</v>
      </c>
      <c r="B10" s="6" t="s">
        <v>142</v>
      </c>
      <c r="C10" s="6" t="s">
        <v>108</v>
      </c>
      <c r="D10" s="6" t="s">
        <v>138</v>
      </c>
      <c r="E10" s="7" t="n">
        <v>0.09</v>
      </c>
      <c r="F10" s="6" t="s">
        <v>131</v>
      </c>
      <c r="G10" s="10" t="n">
        <v>0.09</v>
      </c>
      <c r="H10" s="7" t="s">
        <v>79</v>
      </c>
      <c r="I10" s="6" t="s">
        <v>80</v>
      </c>
      <c r="J10" s="27" t="n">
        <v>100</v>
      </c>
      <c r="M10" s="28" t="n">
        <v>-0.0474167940826333</v>
      </c>
      <c r="N10" s="28" t="n">
        <v>0.218117252780113</v>
      </c>
      <c r="O10" s="9" t="n">
        <f aca="false">P10*SQRT(J10)</f>
        <v>0.677382772609046</v>
      </c>
      <c r="P10" s="29" t="n">
        <f aca="false">(N10-M10)/3.92</f>
        <v>0.0677382772609046</v>
      </c>
      <c r="R10" s="6" t="s">
        <v>134</v>
      </c>
    </row>
    <row r="11" customFormat="false" ht="16" hidden="false" customHeight="false" outlineLevel="0" collapsed="false">
      <c r="A11" s="6" t="s">
        <v>92</v>
      </c>
      <c r="B11" s="6" t="s">
        <v>142</v>
      </c>
      <c r="C11" s="6" t="s">
        <v>104</v>
      </c>
      <c r="D11" s="6" t="s">
        <v>137</v>
      </c>
      <c r="E11" s="7" t="n">
        <v>0.3</v>
      </c>
      <c r="F11" s="6" t="s">
        <v>131</v>
      </c>
      <c r="G11" s="10" t="n">
        <v>0.3</v>
      </c>
      <c r="H11" s="7" t="s">
        <v>79</v>
      </c>
      <c r="I11" s="6" t="s">
        <v>80</v>
      </c>
      <c r="J11" s="27" t="n">
        <v>100</v>
      </c>
      <c r="M11" s="28" t="n">
        <v>0.0269358669833729</v>
      </c>
      <c r="N11" s="28" t="n">
        <v>0.547695961995249</v>
      </c>
      <c r="O11" s="9" t="n">
        <f aca="false">P11*SQRT(J11)</f>
        <v>1.32846963013234</v>
      </c>
      <c r="P11" s="29" t="n">
        <f aca="false">(N11-M11)/3.92</f>
        <v>0.132846963013234</v>
      </c>
      <c r="R11" s="6" t="s">
        <v>134</v>
      </c>
    </row>
    <row r="12" customFormat="false" ht="16" hidden="false" customHeight="false" outlineLevel="0" collapsed="false">
      <c r="A12" s="6" t="s">
        <v>92</v>
      </c>
      <c r="B12" s="6" t="s">
        <v>142</v>
      </c>
      <c r="C12" s="6" t="s">
        <v>104</v>
      </c>
      <c r="D12" s="6" t="s">
        <v>138</v>
      </c>
      <c r="E12" s="7" t="n">
        <v>0.18</v>
      </c>
      <c r="F12" s="6" t="s">
        <v>131</v>
      </c>
      <c r="G12" s="10" t="n">
        <v>0.18</v>
      </c>
      <c r="H12" s="7" t="s">
        <v>79</v>
      </c>
      <c r="I12" s="6" t="s">
        <v>80</v>
      </c>
      <c r="J12" s="27" t="n">
        <v>100</v>
      </c>
      <c r="M12" s="28" t="n">
        <v>0.0883786482811539</v>
      </c>
      <c r="N12" s="28" t="n">
        <v>0.279865719556987</v>
      </c>
      <c r="O12" s="9" t="n">
        <f aca="false">P12*SQRT(J12)</f>
        <v>0.488487426724065</v>
      </c>
      <c r="P12" s="29" t="n">
        <f aca="false">(N12-M12)/3.92</f>
        <v>0.0488487426724065</v>
      </c>
      <c r="R12" s="6" t="s">
        <v>134</v>
      </c>
    </row>
    <row r="13" customFormat="false" ht="16" hidden="false" customHeight="false" outlineLevel="0" collapsed="false">
      <c r="A13" s="6" t="s">
        <v>75</v>
      </c>
      <c r="B13" s="6" t="s">
        <v>136</v>
      </c>
      <c r="C13" s="6" t="s">
        <v>108</v>
      </c>
      <c r="D13" s="6" t="s">
        <v>137</v>
      </c>
      <c r="E13" s="7" t="n">
        <v>0.02</v>
      </c>
      <c r="F13" s="6" t="s">
        <v>131</v>
      </c>
      <c r="G13" s="10" t="n">
        <v>0.02</v>
      </c>
      <c r="H13" s="7" t="s">
        <v>79</v>
      </c>
      <c r="I13" s="6" t="s">
        <v>80</v>
      </c>
      <c r="J13" s="30" t="n">
        <v>100</v>
      </c>
      <c r="M13" s="28" t="n">
        <v>-0.0233729216152019</v>
      </c>
      <c r="N13" s="28" t="n">
        <v>0.0525890736342043</v>
      </c>
      <c r="O13" s="9" t="n">
        <f aca="false">P13*SQRT(J13)</f>
        <v>0.193780600126036</v>
      </c>
      <c r="P13" s="29" t="n">
        <f aca="false">(N13-M13)/3.92</f>
        <v>0.0193780600126036</v>
      </c>
      <c r="R13" s="6" t="s">
        <v>134</v>
      </c>
      <c r="S13" s="6" t="s">
        <v>143</v>
      </c>
    </row>
    <row r="14" customFormat="false" ht="16" hidden="false" customHeight="false" outlineLevel="0" collapsed="false">
      <c r="A14" s="6" t="s">
        <v>75</v>
      </c>
      <c r="B14" s="6" t="s">
        <v>136</v>
      </c>
      <c r="C14" s="6" t="s">
        <v>108</v>
      </c>
      <c r="D14" s="6" t="s">
        <v>138</v>
      </c>
      <c r="E14" s="7" t="n">
        <v>0.08</v>
      </c>
      <c r="F14" s="6" t="s">
        <v>131</v>
      </c>
      <c r="G14" s="10" t="n">
        <v>0.08</v>
      </c>
      <c r="H14" s="7" t="s">
        <v>79</v>
      </c>
      <c r="I14" s="6" t="s">
        <v>80</v>
      </c>
      <c r="J14" s="30" t="n">
        <v>100</v>
      </c>
      <c r="M14" s="28" t="n">
        <v>-0.0792161520190024</v>
      </c>
      <c r="N14" s="28" t="n">
        <v>0.23236737925574</v>
      </c>
      <c r="O14" s="9" t="n">
        <f aca="false">P14*SQRT(J14)</f>
        <v>0.794855947129446</v>
      </c>
      <c r="P14" s="29" t="n">
        <f aca="false">(N14-M14)/3.92</f>
        <v>0.0794855947129446</v>
      </c>
      <c r="R14" s="6" t="s">
        <v>134</v>
      </c>
    </row>
    <row r="15" customFormat="false" ht="16" hidden="false" customHeight="false" outlineLevel="0" collapsed="false">
      <c r="A15" s="6" t="s">
        <v>75</v>
      </c>
      <c r="B15" s="6" t="s">
        <v>136</v>
      </c>
      <c r="C15" s="6" t="s">
        <v>104</v>
      </c>
      <c r="D15" s="6" t="s">
        <v>137</v>
      </c>
      <c r="E15" s="7" t="n">
        <v>0.08</v>
      </c>
      <c r="F15" s="6" t="s">
        <v>131</v>
      </c>
      <c r="G15" s="10" t="n">
        <v>0.08</v>
      </c>
      <c r="H15" s="7" t="s">
        <v>79</v>
      </c>
      <c r="I15" s="6" t="s">
        <v>80</v>
      </c>
      <c r="J15" s="30" t="n">
        <v>100</v>
      </c>
      <c r="M15" s="28" t="n">
        <v>0</v>
      </c>
      <c r="N15" s="28" t="n">
        <v>0.163610451306413</v>
      </c>
      <c r="O15" s="9" t="n">
        <f aca="false">P15*SQRT(J15)</f>
        <v>0.417373600271462</v>
      </c>
      <c r="P15" s="29" t="n">
        <f aca="false">(N15-M15)/3.92</f>
        <v>0.0417373600271462</v>
      </c>
      <c r="R15" s="6" t="s">
        <v>134</v>
      </c>
    </row>
    <row r="16" customFormat="false" ht="16" hidden="false" customHeight="false" outlineLevel="0" collapsed="false">
      <c r="A16" s="6" t="s">
        <v>75</v>
      </c>
      <c r="B16" s="6" t="s">
        <v>136</v>
      </c>
      <c r="C16" s="6" t="s">
        <v>104</v>
      </c>
      <c r="D16" s="6" t="s">
        <v>138</v>
      </c>
      <c r="E16" s="7" t="n">
        <v>0.18</v>
      </c>
      <c r="F16" s="6" t="s">
        <v>131</v>
      </c>
      <c r="G16" s="10" t="n">
        <v>0.18</v>
      </c>
      <c r="H16" s="7" t="s">
        <v>79</v>
      </c>
      <c r="I16" s="6" t="s">
        <v>80</v>
      </c>
      <c r="J16" s="30" t="n">
        <v>100</v>
      </c>
      <c r="M16" s="28" t="n">
        <v>0.0264053840063341</v>
      </c>
      <c r="N16" s="28" t="n">
        <v>0.343269992082344</v>
      </c>
      <c r="O16" s="9" t="n">
        <f aca="false">P16*SQRT(J16)</f>
        <v>0.808328081826555</v>
      </c>
      <c r="P16" s="29" t="n">
        <f aca="false">(N16-M16)/3.92</f>
        <v>0.0808328081826555</v>
      </c>
      <c r="R16" s="6" t="s">
        <v>134</v>
      </c>
    </row>
    <row r="17" customFormat="false" ht="16" hidden="false" customHeight="false" outlineLevel="0" collapsed="false">
      <c r="A17" s="6" t="s">
        <v>75</v>
      </c>
      <c r="B17" s="6" t="s">
        <v>142</v>
      </c>
      <c r="C17" s="6" t="s">
        <v>108</v>
      </c>
      <c r="D17" s="6" t="s">
        <v>137</v>
      </c>
      <c r="E17" s="7" t="n">
        <v>0.21</v>
      </c>
      <c r="F17" s="6" t="s">
        <v>131</v>
      </c>
      <c r="G17" s="10" t="n">
        <v>0.21</v>
      </c>
      <c r="H17" s="7" t="s">
        <v>79</v>
      </c>
      <c r="I17" s="6" t="s">
        <v>80</v>
      </c>
      <c r="J17" s="30" t="n">
        <v>100</v>
      </c>
      <c r="M17" s="28" t="n">
        <v>-0.15</v>
      </c>
      <c r="N17" s="28" t="n">
        <v>0.52</v>
      </c>
      <c r="O17" s="9" t="n">
        <f aca="false">P17*SQRT(J17)</f>
        <v>1.70918367346939</v>
      </c>
      <c r="P17" s="29" t="n">
        <f aca="false">(N17-M17)/3.92</f>
        <v>0.170918367346939</v>
      </c>
      <c r="R17" s="6" t="s">
        <v>134</v>
      </c>
    </row>
    <row r="18" customFormat="false" ht="16" hidden="false" customHeight="false" outlineLevel="0" collapsed="false">
      <c r="A18" s="6" t="s">
        <v>75</v>
      </c>
      <c r="B18" s="6" t="s">
        <v>142</v>
      </c>
      <c r="C18" s="6" t="s">
        <v>108</v>
      </c>
      <c r="D18" s="6" t="s">
        <v>138</v>
      </c>
      <c r="E18" s="7" t="n">
        <v>0.1</v>
      </c>
      <c r="F18" s="6" t="s">
        <v>131</v>
      </c>
      <c r="G18" s="10" t="n">
        <v>0.1</v>
      </c>
      <c r="H18" s="7" t="s">
        <v>79</v>
      </c>
      <c r="I18" s="6" t="s">
        <v>80</v>
      </c>
      <c r="J18" s="30" t="n">
        <v>100</v>
      </c>
      <c r="M18" s="28" t="n">
        <v>-0.0528107680126682</v>
      </c>
      <c r="N18" s="28" t="n">
        <v>0.242929532858274</v>
      </c>
      <c r="O18" s="9" t="n">
        <f aca="false">P18*SQRT(J18)</f>
        <v>0.754439543038118</v>
      </c>
      <c r="P18" s="29" t="n">
        <f aca="false">(N18-M18)/3.92</f>
        <v>0.0754439543038118</v>
      </c>
      <c r="R18" s="6" t="s">
        <v>134</v>
      </c>
    </row>
    <row r="19" customFormat="false" ht="16" hidden="false" customHeight="false" outlineLevel="0" collapsed="false">
      <c r="A19" s="6" t="s">
        <v>75</v>
      </c>
      <c r="B19" s="6" t="s">
        <v>142</v>
      </c>
      <c r="C19" s="6" t="s">
        <v>104</v>
      </c>
      <c r="D19" s="6" t="s">
        <v>137</v>
      </c>
      <c r="E19" s="7" t="n">
        <v>0.33</v>
      </c>
      <c r="F19" s="6" t="s">
        <v>131</v>
      </c>
      <c r="G19" s="10" t="n">
        <v>0.33</v>
      </c>
      <c r="H19" s="7" t="s">
        <v>79</v>
      </c>
      <c r="I19" s="6" t="s">
        <v>80</v>
      </c>
      <c r="J19" s="30" t="n">
        <v>100</v>
      </c>
      <c r="M19" s="28" t="n">
        <v>0.03</v>
      </c>
      <c r="N19" s="28" t="n">
        <v>0.61</v>
      </c>
      <c r="O19" s="9" t="n">
        <f aca="false">P19*SQRT(J19)</f>
        <v>1.47959183673469</v>
      </c>
      <c r="P19" s="29" t="n">
        <f aca="false">(N19-M19)/3.92</f>
        <v>0.147959183673469</v>
      </c>
      <c r="R19" s="6" t="s">
        <v>134</v>
      </c>
    </row>
    <row r="20" customFormat="false" ht="16" hidden="false" customHeight="false" outlineLevel="0" collapsed="false">
      <c r="A20" s="6" t="s">
        <v>75</v>
      </c>
      <c r="B20" s="6" t="s">
        <v>142</v>
      </c>
      <c r="C20" s="6" t="s">
        <v>104</v>
      </c>
      <c r="D20" s="6" t="s">
        <v>138</v>
      </c>
      <c r="E20" s="7" t="n">
        <v>0.21</v>
      </c>
      <c r="F20" s="6" t="s">
        <v>131</v>
      </c>
      <c r="G20" s="10" t="n">
        <v>0.21</v>
      </c>
      <c r="H20" s="7" t="s">
        <v>79</v>
      </c>
      <c r="I20" s="6" t="s">
        <v>80</v>
      </c>
      <c r="J20" s="30" t="n">
        <v>100</v>
      </c>
      <c r="M20" s="28" t="n">
        <v>0.0984323040380047</v>
      </c>
      <c r="N20" s="28" t="n">
        <v>0.311702296120348</v>
      </c>
      <c r="O20" s="9" t="n">
        <f aca="false">P20*SQRT(J20)</f>
        <v>0.544056102250877</v>
      </c>
      <c r="P20" s="29" t="n">
        <f aca="false">(N20-M20)/3.92</f>
        <v>0.0544056102250877</v>
      </c>
      <c r="R20" s="6" t="s">
        <v>134</v>
      </c>
    </row>
    <row r="25" s="5" customFormat="true" ht="16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1" sqref="M18:M23 B2"/>
    </sheetView>
  </sheetViews>
  <sheetFormatPr defaultColWidth="10.6015625" defaultRowHeight="15" zeroHeight="false" outlineLevelRow="0" outlineLevelCol="0"/>
  <cols>
    <col collapsed="false" customWidth="true" hidden="false" outlineLevel="0" max="2" min="2" style="2" width="24.73"/>
    <col collapsed="false" customWidth="true" hidden="false" outlineLevel="0" max="1024" min="1020" style="2" width="10.5"/>
  </cols>
  <sheetData>
    <row r="1" customFormat="false" ht="15" hidden="false" customHeight="false" outlineLevel="0" collapsed="false">
      <c r="A1" s="2" t="s">
        <v>101</v>
      </c>
      <c r="B1" s="2" t="s">
        <v>144</v>
      </c>
      <c r="C1" s="2" t="s">
        <v>145</v>
      </c>
      <c r="D1" s="2" t="s">
        <v>146</v>
      </c>
    </row>
    <row r="2" customFormat="false" ht="15" hidden="false" customHeight="false" outlineLevel="0" collapsed="false">
      <c r="A2" s="2" t="s">
        <v>108</v>
      </c>
      <c r="B2" s="2" t="n">
        <v>0.02</v>
      </c>
      <c r="C2" s="2" t="n">
        <v>0.045</v>
      </c>
      <c r="D2" s="3" t="s">
        <v>147</v>
      </c>
    </row>
    <row r="3" customFormat="false" ht="15" hidden="false" customHeight="false" outlineLevel="0" collapsed="false">
      <c r="A3" s="2" t="s">
        <v>104</v>
      </c>
      <c r="B3" s="2" t="n">
        <v>0.19</v>
      </c>
      <c r="C3" s="2" t="n">
        <v>0.044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Z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8" activeCellId="1" sqref="M18:M23 R28"/>
    </sheetView>
  </sheetViews>
  <sheetFormatPr defaultColWidth="10.6015625" defaultRowHeight="16" zeroHeight="false" outlineLevelRow="0" outlineLevelCol="0"/>
  <cols>
    <col collapsed="false" customWidth="true" hidden="false" outlineLevel="0" max="3" min="3" style="2" width="14.68"/>
    <col collapsed="false" customWidth="true" hidden="false" outlineLevel="0" max="4" min="4" style="2" width="17.67"/>
    <col collapsed="false" customWidth="true" hidden="false" outlineLevel="0" max="5" min="5" style="2" width="13.18"/>
    <col collapsed="false" customWidth="true" hidden="false" outlineLevel="0" max="7" min="7" style="2" width="14.82"/>
    <col collapsed="false" customWidth="true" hidden="false" outlineLevel="0" max="18" min="18" style="2" width="17.67"/>
    <col collapsed="false" customWidth="true" hidden="false" outlineLevel="0" max="19" min="19" style="2" width="13.16"/>
    <col collapsed="false" customWidth="true" hidden="false" outlineLevel="0" max="21" min="21" style="2" width="56.17"/>
  </cols>
  <sheetData>
    <row r="2" customFormat="false" ht="15" hidden="false" customHeight="false" outlineLevel="0" collapsed="false">
      <c r="A2" s="3" t="s">
        <v>148</v>
      </c>
      <c r="H2" s="2"/>
      <c r="I2" s="2"/>
      <c r="J2" s="31" t="s">
        <v>149</v>
      </c>
      <c r="K2" s="31" t="s">
        <v>149</v>
      </c>
      <c r="L2" s="31" t="s">
        <v>149</v>
      </c>
      <c r="M2" s="2"/>
      <c r="N2" s="2"/>
      <c r="O2" s="31" t="s">
        <v>149</v>
      </c>
      <c r="P2" s="31" t="s">
        <v>149</v>
      </c>
      <c r="Q2" s="31" t="s">
        <v>149</v>
      </c>
      <c r="T2" s="5" t="s">
        <v>6</v>
      </c>
      <c r="Y2" s="32"/>
      <c r="Z2" s="32"/>
    </row>
    <row r="3" customFormat="false" ht="15" hidden="false" customHeight="false" outlineLevel="0" collapsed="false">
      <c r="C3" s="1" t="s">
        <v>56</v>
      </c>
      <c r="D3" s="5" t="s">
        <v>57</v>
      </c>
      <c r="E3" s="1" t="s">
        <v>58</v>
      </c>
      <c r="F3" s="5" t="s">
        <v>59</v>
      </c>
      <c r="G3" s="5" t="s">
        <v>60</v>
      </c>
      <c r="H3" s="5" t="s">
        <v>61</v>
      </c>
      <c r="I3" s="5" t="s">
        <v>59</v>
      </c>
      <c r="J3" s="5" t="s">
        <v>58</v>
      </c>
      <c r="K3" s="5" t="s">
        <v>64</v>
      </c>
      <c r="L3" s="5" t="s">
        <v>65</v>
      </c>
      <c r="M3" s="5" t="s">
        <v>61</v>
      </c>
      <c r="N3" s="5" t="s">
        <v>59</v>
      </c>
      <c r="O3" s="5" t="s">
        <v>58</v>
      </c>
      <c r="P3" s="5" t="s">
        <v>64</v>
      </c>
      <c r="Q3" s="5" t="s">
        <v>65</v>
      </c>
      <c r="Y3" s="32"/>
      <c r="Z3" s="32"/>
    </row>
    <row r="4" customFormat="false" ht="15" hidden="false" customHeight="false" outlineLevel="0" collapsed="false">
      <c r="C4" s="33" t="s">
        <v>150</v>
      </c>
      <c r="D4" s="5"/>
      <c r="E4" s="2" t="s">
        <v>151</v>
      </c>
      <c r="F4" s="5"/>
      <c r="G4" s="5"/>
      <c r="H4" s="5"/>
      <c r="I4" s="5"/>
      <c r="J4" s="2" t="s">
        <v>151</v>
      </c>
      <c r="K4" s="5"/>
      <c r="L4" s="5"/>
      <c r="M4" s="5"/>
      <c r="N4" s="5"/>
      <c r="O4" s="2" t="s">
        <v>151</v>
      </c>
      <c r="P4" s="5"/>
      <c r="Q4" s="5"/>
      <c r="S4" s="5" t="s">
        <v>59</v>
      </c>
      <c r="Y4" s="32"/>
      <c r="Z4" s="32"/>
    </row>
    <row r="5" customFormat="false" ht="15" hidden="false" customHeight="false" outlineLevel="0" collapsed="false">
      <c r="B5" s="2" t="s">
        <v>101</v>
      </c>
      <c r="C5" s="2" t="s">
        <v>152</v>
      </c>
      <c r="E5" s="2" t="s">
        <v>152</v>
      </c>
      <c r="H5" s="2" t="s">
        <v>153</v>
      </c>
      <c r="I5" s="2" t="s">
        <v>153</v>
      </c>
      <c r="J5" s="2" t="s">
        <v>153</v>
      </c>
      <c r="K5" s="2" t="s">
        <v>153</v>
      </c>
      <c r="L5" s="2" t="s">
        <v>153</v>
      </c>
      <c r="M5" s="2" t="s">
        <v>154</v>
      </c>
      <c r="N5" s="2" t="s">
        <v>154</v>
      </c>
      <c r="O5" s="2" t="s">
        <v>154</v>
      </c>
      <c r="P5" s="2" t="s">
        <v>154</v>
      </c>
      <c r="Q5" s="2" t="s">
        <v>154</v>
      </c>
      <c r="R5" s="19" t="s">
        <v>155</v>
      </c>
      <c r="U5" s="2" t="s">
        <v>156</v>
      </c>
      <c r="Y5" s="32"/>
      <c r="Z5" s="32"/>
    </row>
    <row r="6" customFormat="false" ht="15" hidden="false" customHeight="false" outlineLevel="0" collapsed="false">
      <c r="A6" s="2" t="s">
        <v>103</v>
      </c>
      <c r="B6" s="2" t="s">
        <v>104</v>
      </c>
      <c r="C6" s="33" t="n">
        <v>0.00242</v>
      </c>
      <c r="D6" s="2" t="s">
        <v>151</v>
      </c>
      <c r="E6" s="2" t="n">
        <f aca="false">J6*O6</f>
        <v>0.00154</v>
      </c>
      <c r="G6" s="2" t="s">
        <v>157</v>
      </c>
      <c r="H6" s="2" t="n">
        <v>327</v>
      </c>
      <c r="I6" s="2" t="s">
        <v>158</v>
      </c>
      <c r="J6" s="2" t="n">
        <v>0.11</v>
      </c>
      <c r="K6" s="2" t="n">
        <v>0.02</v>
      </c>
      <c r="L6" s="2" t="n">
        <v>0.33</v>
      </c>
      <c r="M6" s="2" t="n">
        <v>254</v>
      </c>
      <c r="N6" s="2" t="s">
        <v>79</v>
      </c>
      <c r="O6" s="2" t="n">
        <v>0.014</v>
      </c>
      <c r="P6" s="2" t="n">
        <v>0.011</v>
      </c>
      <c r="Q6" s="2" t="n">
        <v>0.017</v>
      </c>
      <c r="R6" s="33" t="n">
        <v>0.58</v>
      </c>
      <c r="S6" s="2" t="s">
        <v>158</v>
      </c>
      <c r="T6" s="32" t="s">
        <v>159</v>
      </c>
    </row>
    <row r="7" customFormat="false" ht="15" hidden="false" customHeight="false" outlineLevel="0" collapsed="false">
      <c r="A7" s="2" t="s">
        <v>103</v>
      </c>
      <c r="B7" s="2" t="s">
        <v>108</v>
      </c>
      <c r="C7" s="33" t="n">
        <v>0.00086</v>
      </c>
      <c r="D7" s="2" t="s">
        <v>151</v>
      </c>
      <c r="E7" s="2" t="n">
        <f aca="false">J7*O7</f>
        <v>0.00055</v>
      </c>
      <c r="G7" s="2" t="s">
        <v>157</v>
      </c>
      <c r="H7" s="2" t="n">
        <v>327</v>
      </c>
      <c r="I7" s="2" t="s">
        <v>158</v>
      </c>
      <c r="J7" s="2" t="n">
        <v>0.11</v>
      </c>
      <c r="K7" s="2" t="n">
        <v>0.02</v>
      </c>
      <c r="L7" s="2" t="n">
        <v>0.33</v>
      </c>
      <c r="M7" s="2" t="n">
        <v>254</v>
      </c>
      <c r="N7" s="2" t="s">
        <v>79</v>
      </c>
      <c r="O7" s="2" t="n">
        <v>0.005</v>
      </c>
      <c r="P7" s="2" t="n">
        <v>0</v>
      </c>
      <c r="Q7" s="2" t="n">
        <v>0.011</v>
      </c>
      <c r="R7" s="33" t="n">
        <v>0.8</v>
      </c>
      <c r="S7" s="2" t="s">
        <v>158</v>
      </c>
      <c r="T7" s="32" t="s">
        <v>159</v>
      </c>
    </row>
    <row r="8" customFormat="false" ht="15" hidden="false" customHeight="false" outlineLevel="0" collapsed="false">
      <c r="A8" s="2" t="s">
        <v>110</v>
      </c>
      <c r="B8" s="2" t="s">
        <v>104</v>
      </c>
      <c r="C8" s="33" t="n">
        <v>0.00242</v>
      </c>
      <c r="D8" s="2" t="s">
        <v>151</v>
      </c>
      <c r="E8" s="2" t="n">
        <f aca="false">J8*O8</f>
        <v>0.00154</v>
      </c>
      <c r="G8" s="2" t="s">
        <v>157</v>
      </c>
      <c r="H8" s="2" t="n">
        <v>327</v>
      </c>
      <c r="I8" s="2" t="s">
        <v>158</v>
      </c>
      <c r="J8" s="2" t="n">
        <v>0.11</v>
      </c>
      <c r="K8" s="2" t="n">
        <v>0.02</v>
      </c>
      <c r="L8" s="2" t="n">
        <v>0.33</v>
      </c>
      <c r="M8" s="2" t="n">
        <v>254</v>
      </c>
      <c r="N8" s="2" t="s">
        <v>79</v>
      </c>
      <c r="O8" s="2" t="n">
        <v>0.014</v>
      </c>
      <c r="P8" s="2" t="n">
        <v>0.011</v>
      </c>
      <c r="Q8" s="2" t="n">
        <v>0.017</v>
      </c>
      <c r="R8" s="33" t="n">
        <v>0.58</v>
      </c>
      <c r="S8" s="2" t="s">
        <v>158</v>
      </c>
      <c r="T8" s="32" t="s">
        <v>159</v>
      </c>
    </row>
    <row r="9" customFormat="false" ht="15" hidden="false" customHeight="false" outlineLevel="0" collapsed="false">
      <c r="A9" s="2" t="s">
        <v>110</v>
      </c>
      <c r="B9" s="2" t="s">
        <v>108</v>
      </c>
      <c r="C9" s="33" t="n">
        <v>0.00086</v>
      </c>
      <c r="D9" s="2" t="s">
        <v>151</v>
      </c>
      <c r="E9" s="2" t="n">
        <f aca="false">J9*O9</f>
        <v>0.00055</v>
      </c>
      <c r="G9" s="2" t="s">
        <v>157</v>
      </c>
      <c r="H9" s="2" t="n">
        <v>327</v>
      </c>
      <c r="I9" s="2" t="s">
        <v>158</v>
      </c>
      <c r="J9" s="2" t="n">
        <v>0.11</v>
      </c>
      <c r="K9" s="2" t="n">
        <v>0.02</v>
      </c>
      <c r="L9" s="2" t="n">
        <v>0.33</v>
      </c>
      <c r="M9" s="2" t="n">
        <v>254</v>
      </c>
      <c r="N9" s="2" t="s">
        <v>79</v>
      </c>
      <c r="O9" s="2" t="n">
        <v>0.005</v>
      </c>
      <c r="P9" s="2" t="n">
        <v>0</v>
      </c>
      <c r="Q9" s="2" t="n">
        <v>0.011</v>
      </c>
      <c r="R9" s="33" t="n">
        <v>0.8</v>
      </c>
      <c r="S9" s="2" t="s">
        <v>158</v>
      </c>
      <c r="T9" s="32" t="s">
        <v>159</v>
      </c>
    </row>
    <row r="10" customFormat="false" ht="15" hidden="false" customHeight="false" outlineLevel="0" collapsed="false">
      <c r="A10" s="2" t="s">
        <v>111</v>
      </c>
      <c r="B10" s="2" t="s">
        <v>104</v>
      </c>
      <c r="C10" s="33" t="n">
        <v>0.00242</v>
      </c>
      <c r="D10" s="2" t="s">
        <v>151</v>
      </c>
      <c r="E10" s="2" t="n">
        <f aca="false">J10*O10</f>
        <v>0.00154</v>
      </c>
      <c r="G10" s="2" t="s">
        <v>157</v>
      </c>
      <c r="H10" s="2" t="n">
        <v>327</v>
      </c>
      <c r="I10" s="2" t="s">
        <v>158</v>
      </c>
      <c r="J10" s="2" t="n">
        <v>0.11</v>
      </c>
      <c r="K10" s="2" t="n">
        <v>0.02</v>
      </c>
      <c r="L10" s="2" t="n">
        <v>0.33</v>
      </c>
      <c r="M10" s="2" t="n">
        <v>254</v>
      </c>
      <c r="N10" s="2" t="s">
        <v>79</v>
      </c>
      <c r="O10" s="2" t="n">
        <v>0.014</v>
      </c>
      <c r="P10" s="2" t="n">
        <v>0.011</v>
      </c>
      <c r="Q10" s="2" t="n">
        <v>0.017</v>
      </c>
      <c r="R10" s="33" t="n">
        <v>0.58</v>
      </c>
      <c r="S10" s="2" t="s">
        <v>158</v>
      </c>
      <c r="T10" s="32" t="s">
        <v>159</v>
      </c>
    </row>
    <row r="11" customFormat="false" ht="15" hidden="false" customHeight="false" outlineLevel="0" collapsed="false">
      <c r="A11" s="2" t="s">
        <v>111</v>
      </c>
      <c r="B11" s="2" t="s">
        <v>108</v>
      </c>
      <c r="C11" s="33" t="n">
        <v>0.00086</v>
      </c>
      <c r="D11" s="2" t="s">
        <v>151</v>
      </c>
      <c r="E11" s="2" t="n">
        <f aca="false">J11*O11</f>
        <v>0.00055</v>
      </c>
      <c r="G11" s="2" t="s">
        <v>157</v>
      </c>
      <c r="H11" s="2" t="n">
        <v>327</v>
      </c>
      <c r="I11" s="2" t="s">
        <v>158</v>
      </c>
      <c r="J11" s="2" t="n">
        <v>0.11</v>
      </c>
      <c r="K11" s="2" t="n">
        <v>0.02</v>
      </c>
      <c r="L11" s="2" t="n">
        <v>0.33</v>
      </c>
      <c r="M11" s="2" t="n">
        <v>254</v>
      </c>
      <c r="N11" s="2" t="s">
        <v>79</v>
      </c>
      <c r="O11" s="2" t="n">
        <v>0.005</v>
      </c>
      <c r="P11" s="2" t="n">
        <v>0</v>
      </c>
      <c r="Q11" s="2" t="n">
        <v>0.011</v>
      </c>
      <c r="R11" s="33" t="n">
        <v>0.8</v>
      </c>
      <c r="S11" s="2" t="s">
        <v>158</v>
      </c>
      <c r="T11" s="32" t="s">
        <v>159</v>
      </c>
    </row>
    <row r="12" customFormat="false" ht="15" hidden="false" customHeight="false" outlineLevel="0" collapsed="false"/>
    <row r="13" customFormat="false" ht="15" hidden="false" customHeight="false" outlineLevel="0" collapsed="false">
      <c r="C13" s="34" t="s">
        <v>160</v>
      </c>
      <c r="D13" s="35"/>
      <c r="E13" s="35"/>
      <c r="F13" s="35"/>
      <c r="G13" s="35"/>
      <c r="H13" s="33"/>
      <c r="I13" s="33"/>
      <c r="J13" s="33"/>
      <c r="K13" s="33"/>
      <c r="L13" s="33"/>
    </row>
    <row r="14" customFormat="false" ht="15" hidden="false" customHeight="false" outlineLevel="0" collapsed="false">
      <c r="C14" s="33"/>
      <c r="D14" s="35"/>
      <c r="E14" s="35"/>
      <c r="F14" s="35"/>
      <c r="G14" s="35"/>
      <c r="H14" s="33"/>
      <c r="I14" s="33"/>
      <c r="J14" s="33"/>
      <c r="K14" s="33"/>
      <c r="L14" s="33"/>
      <c r="Y14" s="32"/>
      <c r="Z14" s="32"/>
    </row>
    <row r="15" customFormat="false" ht="15" hidden="false" customHeight="false" outlineLevel="0" collapsed="false">
      <c r="C15" s="35" t="s">
        <v>161</v>
      </c>
      <c r="D15" s="35"/>
      <c r="E15" s="35"/>
      <c r="F15" s="35"/>
      <c r="G15" s="35"/>
      <c r="H15" s="33"/>
      <c r="I15" s="33"/>
      <c r="J15" s="33"/>
      <c r="K15" s="33"/>
      <c r="L15" s="33"/>
      <c r="Y15" s="32"/>
      <c r="Z15" s="32"/>
    </row>
    <row r="16" customFormat="false" ht="15" hidden="false" customHeight="false" outlineLevel="0" collapsed="false">
      <c r="C16" s="35" t="s">
        <v>162</v>
      </c>
      <c r="D16" s="35"/>
      <c r="E16" s="35"/>
      <c r="F16" s="35"/>
      <c r="G16" s="35"/>
      <c r="H16" s="33"/>
      <c r="I16" s="33"/>
      <c r="J16" s="33"/>
      <c r="K16" s="33"/>
      <c r="L16" s="33"/>
    </row>
    <row r="17" customFormat="false" ht="15" hidden="false" customHeight="false" outlineLevel="0" collapsed="false">
      <c r="C17" s="35" t="s">
        <v>163</v>
      </c>
      <c r="D17" s="35"/>
      <c r="E17" s="35"/>
      <c r="F17" s="35"/>
      <c r="G17" s="35"/>
      <c r="H17" s="33"/>
      <c r="I17" s="33"/>
      <c r="J17" s="33"/>
      <c r="K17" s="33"/>
      <c r="L17" s="33"/>
    </row>
    <row r="18" customFormat="false" ht="15" hidden="false" customHeight="false" outlineLevel="0" collapsed="false">
      <c r="C18" s="35" t="s">
        <v>164</v>
      </c>
      <c r="D18" s="35"/>
      <c r="E18" s="35"/>
      <c r="F18" s="35"/>
      <c r="G18" s="35"/>
      <c r="H18" s="33"/>
      <c r="I18" s="33"/>
      <c r="J18" s="33"/>
      <c r="K18" s="33"/>
      <c r="L18" s="33"/>
    </row>
    <row r="19" customFormat="false" ht="15" hidden="false" customHeight="false" outlineLevel="0" collapsed="false">
      <c r="C19" s="35" t="s">
        <v>165</v>
      </c>
      <c r="D19" s="35"/>
      <c r="E19" s="35"/>
      <c r="F19" s="35"/>
      <c r="G19" s="35"/>
      <c r="H19" s="33"/>
      <c r="I19" s="33"/>
      <c r="J19" s="33"/>
      <c r="K19" s="33"/>
      <c r="L19" s="33"/>
    </row>
    <row r="20" customFormat="false" ht="15" hidden="false" customHeight="false" outlineLevel="0" collapsed="false">
      <c r="C20" s="35" t="s">
        <v>166</v>
      </c>
      <c r="D20" s="35"/>
      <c r="E20" s="35"/>
      <c r="F20" s="35"/>
      <c r="G20" s="35"/>
      <c r="H20" s="33"/>
      <c r="I20" s="33"/>
      <c r="J20" s="33"/>
      <c r="K20" s="33"/>
      <c r="L20" s="33"/>
    </row>
    <row r="21" customFormat="false" ht="15" hidden="false" customHeight="false" outlineLevel="0" collapsed="false">
      <c r="C21" s="35" t="s">
        <v>167</v>
      </c>
      <c r="D21" s="35"/>
      <c r="E21" s="35"/>
      <c r="F21" s="35"/>
      <c r="G21" s="35"/>
      <c r="H21" s="35"/>
      <c r="I21" s="35"/>
      <c r="J21" s="35"/>
      <c r="K21" s="35"/>
      <c r="L21" s="35"/>
    </row>
    <row r="22" customFormat="false" ht="15" hidden="false" customHeight="false" outlineLevel="0" collapsed="false">
      <c r="C22" s="35" t="s">
        <v>168</v>
      </c>
      <c r="D22" s="35"/>
      <c r="E22" s="35"/>
      <c r="F22" s="35"/>
      <c r="G22" s="35"/>
      <c r="H22" s="35"/>
      <c r="I22" s="35"/>
      <c r="J22" s="35"/>
      <c r="K22" s="35"/>
      <c r="L22" s="35"/>
    </row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>
      <c r="C25" s="1" t="s">
        <v>56</v>
      </c>
      <c r="D25" s="5" t="s">
        <v>57</v>
      </c>
      <c r="E25" s="1" t="s">
        <v>58</v>
      </c>
      <c r="F25" s="5" t="s">
        <v>59</v>
      </c>
      <c r="G25" s="5" t="s">
        <v>60</v>
      </c>
      <c r="H25" s="5" t="s">
        <v>61</v>
      </c>
      <c r="I25" s="5" t="s">
        <v>59</v>
      </c>
      <c r="J25" s="5" t="s">
        <v>58</v>
      </c>
      <c r="K25" s="5" t="s">
        <v>64</v>
      </c>
      <c r="L25" s="5" t="s">
        <v>65</v>
      </c>
      <c r="M25" s="5" t="s">
        <v>61</v>
      </c>
      <c r="N25" s="5" t="s">
        <v>59</v>
      </c>
      <c r="O25" s="5" t="s">
        <v>58</v>
      </c>
      <c r="P25" s="5" t="s">
        <v>64</v>
      </c>
      <c r="Q25" s="5" t="s">
        <v>65</v>
      </c>
      <c r="S25" s="5" t="s">
        <v>6</v>
      </c>
    </row>
    <row r="26" customFormat="false" ht="15" hidden="false" customHeight="false" outlineLevel="0" collapsed="false">
      <c r="C26" s="2" t="s">
        <v>169</v>
      </c>
      <c r="D26" s="5"/>
      <c r="E26" s="2" t="s">
        <v>151</v>
      </c>
      <c r="F26" s="5"/>
      <c r="G26" s="5"/>
      <c r="H26" s="5"/>
      <c r="I26" s="5"/>
      <c r="J26" s="2" t="s">
        <v>151</v>
      </c>
      <c r="K26" s="5"/>
      <c r="L26" s="5"/>
      <c r="M26" s="5"/>
      <c r="N26" s="5"/>
      <c r="O26" s="2" t="s">
        <v>151</v>
      </c>
      <c r="P26" s="5"/>
      <c r="Q26" s="5"/>
    </row>
    <row r="27" customFormat="false" ht="15" hidden="false" customHeight="false" outlineLevel="0" collapsed="false">
      <c r="B27" s="2" t="s">
        <v>101</v>
      </c>
      <c r="C27" s="2" t="s">
        <v>170</v>
      </c>
      <c r="H27" s="2" t="s">
        <v>171</v>
      </c>
      <c r="I27" s="2" t="s">
        <v>171</v>
      </c>
      <c r="J27" s="2" t="s">
        <v>171</v>
      </c>
      <c r="K27" s="2" t="s">
        <v>171</v>
      </c>
      <c r="L27" s="2" t="s">
        <v>171</v>
      </c>
      <c r="M27" s="2" t="s">
        <v>172</v>
      </c>
      <c r="N27" s="2" t="s">
        <v>172</v>
      </c>
      <c r="O27" s="2" t="s">
        <v>172</v>
      </c>
      <c r="P27" s="2" t="s">
        <v>172</v>
      </c>
      <c r="Q27" s="2" t="s">
        <v>172</v>
      </c>
      <c r="R27" s="19" t="s">
        <v>155</v>
      </c>
    </row>
    <row r="28" customFormat="false" ht="15" hidden="false" customHeight="false" outlineLevel="0" collapsed="false">
      <c r="A28" s="2" t="s">
        <v>103</v>
      </c>
      <c r="B28" s="2" t="s">
        <v>104</v>
      </c>
      <c r="C28" s="2" t="n">
        <v>0.00415</v>
      </c>
      <c r="D28" s="2" t="s">
        <v>151</v>
      </c>
      <c r="E28" s="2" t="n">
        <f aca="false">J28*O28</f>
        <v>0.00264</v>
      </c>
      <c r="G28" s="2" t="s">
        <v>157</v>
      </c>
      <c r="H28" s="2" t="n">
        <v>344</v>
      </c>
      <c r="I28" s="2" t="s">
        <v>158</v>
      </c>
      <c r="J28" s="2" t="n">
        <v>0.24</v>
      </c>
      <c r="K28" s="2" t="n">
        <v>0.01</v>
      </c>
      <c r="L28" s="2" t="n">
        <v>0.73</v>
      </c>
      <c r="M28" s="2"/>
      <c r="N28" s="2" t="s">
        <v>79</v>
      </c>
      <c r="O28" s="2" t="n">
        <v>0.011</v>
      </c>
      <c r="P28" s="2" t="n">
        <v>0</v>
      </c>
      <c r="Q28" s="2" t="n">
        <v>0.02</v>
      </c>
      <c r="R28" s="33" t="n">
        <v>0.748</v>
      </c>
      <c r="S28" s="32" t="s">
        <v>159</v>
      </c>
    </row>
    <row r="29" customFormat="false" ht="15" hidden="false" customHeight="false" outlineLevel="0" collapsed="false">
      <c r="A29" s="2" t="s">
        <v>103</v>
      </c>
      <c r="B29" s="2" t="s">
        <v>108</v>
      </c>
      <c r="C29" s="2" t="n">
        <v>0</v>
      </c>
      <c r="D29" s="2" t="s">
        <v>151</v>
      </c>
      <c r="E29" s="2" t="n">
        <f aca="false">J29*O29</f>
        <v>0</v>
      </c>
      <c r="G29" s="2" t="s">
        <v>157</v>
      </c>
      <c r="J29" s="2" t="n">
        <v>0</v>
      </c>
      <c r="K29" s="2"/>
      <c r="L29" s="2"/>
      <c r="M29" s="2"/>
      <c r="N29" s="2"/>
      <c r="O29" s="2"/>
      <c r="P29" s="2"/>
      <c r="Q29" s="2"/>
      <c r="R29" s="33" t="n">
        <v>0.8</v>
      </c>
      <c r="S29" s="32" t="s">
        <v>159</v>
      </c>
    </row>
    <row r="30" customFormat="false" ht="15" hidden="false" customHeight="false" outlineLevel="0" collapsed="false">
      <c r="A30" s="2" t="s">
        <v>110</v>
      </c>
      <c r="B30" s="2" t="s">
        <v>104</v>
      </c>
      <c r="C30" s="2" t="n">
        <v>0.00415</v>
      </c>
      <c r="D30" s="2" t="s">
        <v>151</v>
      </c>
      <c r="E30" s="2" t="n">
        <f aca="false">J30*O30</f>
        <v>0.00264</v>
      </c>
      <c r="G30" s="2" t="s">
        <v>157</v>
      </c>
      <c r="H30" s="2" t="n">
        <v>344</v>
      </c>
      <c r="I30" s="2" t="s">
        <v>158</v>
      </c>
      <c r="J30" s="2" t="n">
        <v>0.24</v>
      </c>
      <c r="K30" s="2" t="n">
        <v>0.01</v>
      </c>
      <c r="L30" s="2" t="n">
        <v>0.73</v>
      </c>
      <c r="M30" s="2"/>
      <c r="N30" s="2" t="s">
        <v>79</v>
      </c>
      <c r="O30" s="2" t="n">
        <v>0.011</v>
      </c>
      <c r="P30" s="2" t="n">
        <v>0</v>
      </c>
      <c r="Q30" s="2" t="n">
        <v>0.02</v>
      </c>
      <c r="R30" s="33" t="n">
        <v>0.58</v>
      </c>
      <c r="S30" s="32" t="s">
        <v>159</v>
      </c>
    </row>
    <row r="31" customFormat="false" ht="15" hidden="false" customHeight="false" outlineLevel="0" collapsed="false">
      <c r="A31" s="2" t="s">
        <v>110</v>
      </c>
      <c r="B31" s="2" t="s">
        <v>108</v>
      </c>
      <c r="C31" s="2" t="n">
        <v>0</v>
      </c>
      <c r="D31" s="2" t="s">
        <v>151</v>
      </c>
      <c r="E31" s="2" t="n">
        <f aca="false">J31*O31</f>
        <v>0</v>
      </c>
      <c r="G31" s="2" t="s">
        <v>157</v>
      </c>
      <c r="J31" s="2" t="n">
        <v>0</v>
      </c>
      <c r="K31" s="2"/>
      <c r="L31" s="2"/>
      <c r="M31" s="2"/>
      <c r="N31" s="2"/>
      <c r="O31" s="2"/>
      <c r="P31" s="2"/>
      <c r="Q31" s="2"/>
      <c r="R31" s="33" t="n">
        <v>0.8</v>
      </c>
      <c r="S31" s="32" t="s">
        <v>159</v>
      </c>
    </row>
    <row r="32" customFormat="false" ht="15" hidden="false" customHeight="false" outlineLevel="0" collapsed="false">
      <c r="A32" s="2" t="s">
        <v>111</v>
      </c>
      <c r="B32" s="2" t="s">
        <v>104</v>
      </c>
      <c r="C32" s="2" t="n">
        <v>0.00415</v>
      </c>
      <c r="D32" s="2" t="s">
        <v>151</v>
      </c>
      <c r="E32" s="2" t="n">
        <f aca="false">J32*O32</f>
        <v>0.00264</v>
      </c>
      <c r="G32" s="2" t="s">
        <v>157</v>
      </c>
      <c r="H32" s="2" t="n">
        <v>344</v>
      </c>
      <c r="I32" s="2" t="s">
        <v>158</v>
      </c>
      <c r="J32" s="2" t="n">
        <v>0.24</v>
      </c>
      <c r="K32" s="2" t="n">
        <v>0.01</v>
      </c>
      <c r="L32" s="2" t="n">
        <v>0.73</v>
      </c>
      <c r="M32" s="2"/>
      <c r="N32" s="2" t="s">
        <v>79</v>
      </c>
      <c r="O32" s="2" t="n">
        <v>0.011</v>
      </c>
      <c r="P32" s="2" t="n">
        <v>0</v>
      </c>
      <c r="Q32" s="2" t="n">
        <v>0.02</v>
      </c>
      <c r="R32" s="33" t="n">
        <v>0.58</v>
      </c>
      <c r="S32" s="32" t="s">
        <v>159</v>
      </c>
    </row>
    <row r="33" customFormat="false" ht="15" hidden="false" customHeight="false" outlineLevel="0" collapsed="false">
      <c r="A33" s="2" t="s">
        <v>111</v>
      </c>
      <c r="B33" s="2" t="s">
        <v>108</v>
      </c>
      <c r="C33" s="2" t="n">
        <v>0</v>
      </c>
      <c r="D33" s="2" t="s">
        <v>151</v>
      </c>
      <c r="E33" s="2" t="n">
        <f aca="false">J33*O33</f>
        <v>0</v>
      </c>
      <c r="G33" s="2" t="s">
        <v>157</v>
      </c>
      <c r="J33" s="2" t="n">
        <v>0</v>
      </c>
      <c r="K33" s="2"/>
      <c r="L33" s="2"/>
      <c r="M33" s="2"/>
      <c r="N33" s="2"/>
      <c r="O33" s="2"/>
      <c r="P33" s="2"/>
      <c r="Q33" s="2"/>
      <c r="R33" s="33" t="n">
        <v>0.8</v>
      </c>
    </row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7" activeCellId="1" sqref="M18:M23 O27"/>
    </sheetView>
  </sheetViews>
  <sheetFormatPr defaultColWidth="10.6015625" defaultRowHeight="16" zeroHeight="false" outlineLevelRow="0" outlineLevelCol="0"/>
  <cols>
    <col collapsed="false" customWidth="true" hidden="false" outlineLevel="0" max="4" min="4" style="2" width="15.83"/>
    <col collapsed="false" customWidth="true" hidden="false" outlineLevel="0" max="7" min="7" style="2" width="13.16"/>
    <col collapsed="false" customWidth="true" hidden="false" outlineLevel="0" max="20" min="20" style="2" width="16.84"/>
    <col collapsed="false" customWidth="true" hidden="false" outlineLevel="0" max="21" min="21" style="2" width="12.67"/>
    <col collapsed="false" customWidth="true" hidden="false" outlineLevel="0" max="22" min="22" style="32" width="10.83"/>
    <col collapsed="false" customWidth="true" hidden="false" outlineLevel="0" max="23" min="23" style="32" width="50.82"/>
  </cols>
  <sheetData>
    <row r="1" customFormat="false" ht="34" hidden="false" customHeight="false" outlineLevel="0" collapsed="false">
      <c r="A1" s="3" t="s">
        <v>173</v>
      </c>
      <c r="E1" s="31" t="s">
        <v>174</v>
      </c>
      <c r="H1" s="32"/>
      <c r="I1" s="31" t="s">
        <v>54</v>
      </c>
      <c r="L1" s="36"/>
      <c r="M1" s="36"/>
      <c r="N1" s="31" t="s">
        <v>55</v>
      </c>
      <c r="P1" s="36"/>
    </row>
    <row r="2" s="4" customFormat="true" ht="34" hidden="false" customHeight="false" outlineLevel="0" collapsed="false">
      <c r="C2" s="31" t="s">
        <v>175</v>
      </c>
      <c r="D2" s="31" t="s">
        <v>149</v>
      </c>
      <c r="E2" s="31" t="s">
        <v>149</v>
      </c>
      <c r="F2" s="31"/>
      <c r="G2" s="31"/>
      <c r="H2" s="31"/>
      <c r="J2" s="31"/>
      <c r="K2" s="31" t="s">
        <v>149</v>
      </c>
      <c r="L2" s="31" t="s">
        <v>149</v>
      </c>
      <c r="M2" s="31"/>
      <c r="N2" s="31"/>
      <c r="O2" s="31"/>
      <c r="P2" s="31" t="s">
        <v>149</v>
      </c>
      <c r="Q2" s="31" t="s">
        <v>149</v>
      </c>
      <c r="R2" s="31" t="s">
        <v>149</v>
      </c>
      <c r="S2" s="31" t="s">
        <v>149</v>
      </c>
      <c r="T2" s="31"/>
    </row>
    <row r="3" customFormat="false" ht="16" hidden="false" customHeight="false" outlineLevel="0" collapsed="false">
      <c r="C3" s="5" t="s">
        <v>56</v>
      </c>
      <c r="D3" s="5" t="s">
        <v>57</v>
      </c>
      <c r="E3" s="1" t="s">
        <v>58</v>
      </c>
      <c r="F3" s="5" t="s">
        <v>59</v>
      </c>
      <c r="G3" s="5" t="s">
        <v>60</v>
      </c>
      <c r="H3" s="5" t="s">
        <v>61</v>
      </c>
      <c r="I3" s="5"/>
      <c r="J3" s="5"/>
      <c r="K3" s="5" t="s">
        <v>64</v>
      </c>
      <c r="L3" s="5" t="s">
        <v>65</v>
      </c>
      <c r="M3" s="5" t="s">
        <v>176</v>
      </c>
      <c r="N3" s="5"/>
      <c r="O3" s="5"/>
      <c r="P3" s="5" t="s">
        <v>66</v>
      </c>
      <c r="Q3" s="5" t="s">
        <v>67</v>
      </c>
      <c r="T3" s="5" t="s">
        <v>6</v>
      </c>
      <c r="U3" s="5" t="s">
        <v>68</v>
      </c>
    </row>
    <row r="4" customFormat="false" ht="16" hidden="false" customHeight="false" outlineLevel="0" collapsed="false">
      <c r="C4" s="1"/>
      <c r="D4" s="5"/>
      <c r="F4" s="5"/>
      <c r="G4" s="5"/>
      <c r="K4" s="2" t="s">
        <v>177</v>
      </c>
      <c r="L4" s="2" t="s">
        <v>177</v>
      </c>
      <c r="P4" s="2" t="s">
        <v>177</v>
      </c>
      <c r="Q4" s="2" t="s">
        <v>177</v>
      </c>
      <c r="Y4" s="32"/>
      <c r="Z4" s="32"/>
    </row>
    <row r="5" customFormat="false" ht="16" hidden="false" customHeight="false" outlineLevel="0" collapsed="false">
      <c r="C5" s="2" t="s">
        <v>169</v>
      </c>
      <c r="D5" s="5"/>
      <c r="E5" s="2" t="s">
        <v>151</v>
      </c>
      <c r="F5" s="5"/>
      <c r="G5" s="5"/>
      <c r="H5" s="2"/>
      <c r="I5" s="2"/>
      <c r="J5" s="2"/>
      <c r="K5" s="2" t="s">
        <v>151</v>
      </c>
      <c r="L5" s="2" t="s">
        <v>151</v>
      </c>
      <c r="M5" s="2"/>
      <c r="N5" s="2"/>
      <c r="O5" s="2"/>
      <c r="P5" s="2" t="s">
        <v>151</v>
      </c>
      <c r="Q5" s="2" t="s">
        <v>151</v>
      </c>
      <c r="R5" s="2"/>
      <c r="Y5" s="32"/>
      <c r="Z5" s="32"/>
    </row>
    <row r="6" customFormat="false" ht="16" hidden="false" customHeight="false" outlineLevel="0" collapsed="false">
      <c r="B6" s="2" t="s">
        <v>101</v>
      </c>
      <c r="C6" s="2" t="s">
        <v>178</v>
      </c>
      <c r="E6" s="2" t="s">
        <v>178</v>
      </c>
      <c r="H6" s="2"/>
      <c r="I6" s="2"/>
      <c r="J6" s="2"/>
      <c r="K6" s="2" t="s">
        <v>178</v>
      </c>
      <c r="L6" s="2" t="s">
        <v>178</v>
      </c>
      <c r="M6" s="2"/>
      <c r="N6" s="2"/>
      <c r="O6" s="2"/>
      <c r="P6" s="2"/>
      <c r="Q6" s="2"/>
      <c r="R6" s="2"/>
      <c r="Y6" s="32"/>
      <c r="Z6" s="32"/>
    </row>
    <row r="7" customFormat="false" ht="15" hidden="false" customHeight="false" outlineLevel="0" collapsed="false">
      <c r="B7" s="2" t="s">
        <v>108</v>
      </c>
      <c r="C7" s="32" t="n">
        <f aca="false">E7*44/28</f>
        <v>0.00785714285714286</v>
      </c>
      <c r="D7" s="2" t="s">
        <v>151</v>
      </c>
      <c r="E7" s="2" t="n">
        <v>0.005</v>
      </c>
      <c r="F7" s="2" t="s">
        <v>158</v>
      </c>
      <c r="G7" s="2" t="s">
        <v>157</v>
      </c>
      <c r="H7" s="2" t="n">
        <v>163</v>
      </c>
      <c r="I7" s="2"/>
      <c r="J7" s="2"/>
      <c r="K7" s="2" t="n">
        <v>0</v>
      </c>
      <c r="L7" s="2" t="n">
        <v>0.011</v>
      </c>
      <c r="M7" s="2" t="n">
        <v>0.00268</v>
      </c>
      <c r="N7" s="2"/>
      <c r="O7" s="2"/>
      <c r="P7" s="36" t="n">
        <f aca="false">Q7*SQRT(H7)</f>
        <v>0.0358261731333777</v>
      </c>
      <c r="Q7" s="36" t="n">
        <f aca="false">(L7-K7)/3.92</f>
        <v>0.00280612244897959</v>
      </c>
      <c r="R7" s="2" t="s">
        <v>159</v>
      </c>
      <c r="T7" s="32" t="s">
        <v>159</v>
      </c>
      <c r="U7" s="2" t="s">
        <v>179</v>
      </c>
      <c r="Y7" s="32"/>
      <c r="Z7" s="32"/>
    </row>
    <row r="8" customFormat="false" ht="15" hidden="false" customHeight="false" outlineLevel="0" collapsed="false">
      <c r="B8" s="2" t="s">
        <v>104</v>
      </c>
      <c r="C8" s="32" t="n">
        <f aca="false">E8*44/28</f>
        <v>0.00942857142857143</v>
      </c>
      <c r="D8" s="2" t="s">
        <v>151</v>
      </c>
      <c r="E8" s="2" t="n">
        <v>0.006</v>
      </c>
      <c r="F8" s="2" t="s">
        <v>158</v>
      </c>
      <c r="G8" s="2" t="s">
        <v>157</v>
      </c>
      <c r="H8" s="2" t="n">
        <v>163</v>
      </c>
      <c r="I8" s="2"/>
      <c r="J8" s="2"/>
      <c r="K8" s="2" t="n">
        <v>0.001</v>
      </c>
      <c r="L8" s="2" t="n">
        <v>0.011</v>
      </c>
      <c r="M8" s="2" t="n">
        <v>0.00255102</v>
      </c>
      <c r="N8" s="2"/>
      <c r="O8" s="2"/>
      <c r="P8" s="36" t="n">
        <f aca="false">Q8*SQRT(H8)</f>
        <v>0.0325692483030707</v>
      </c>
      <c r="Q8" s="36" t="n">
        <f aca="false">(L8-K8)/3.92</f>
        <v>0.00255102040816327</v>
      </c>
      <c r="R8" s="2" t="s">
        <v>159</v>
      </c>
      <c r="T8" s="32" t="s">
        <v>159</v>
      </c>
      <c r="Y8" s="32"/>
      <c r="Z8" s="32"/>
    </row>
    <row r="9" customFormat="false" ht="16" hidden="false" customHeight="false" outlineLevel="0" collapsed="false">
      <c r="H9" s="2"/>
      <c r="I9" s="2"/>
      <c r="J9" s="2"/>
      <c r="K9" s="2"/>
      <c r="L9" s="2"/>
      <c r="M9" s="2"/>
      <c r="N9" s="2"/>
      <c r="O9" s="2"/>
      <c r="P9" s="2"/>
      <c r="Q9" s="2"/>
      <c r="R9" s="2"/>
      <c r="Y9" s="32"/>
      <c r="Z9" s="32"/>
    </row>
    <row r="10" customFormat="false" ht="17" hidden="false" customHeight="false" outlineLevel="0" collapsed="false">
      <c r="A10" s="3" t="s">
        <v>180</v>
      </c>
      <c r="H10" s="2"/>
      <c r="I10" s="2"/>
      <c r="J10" s="31" t="s">
        <v>149</v>
      </c>
      <c r="K10" s="31" t="s">
        <v>149</v>
      </c>
      <c r="L10" s="31" t="s">
        <v>149</v>
      </c>
      <c r="M10" s="2"/>
      <c r="N10" s="2"/>
      <c r="O10" s="31" t="s">
        <v>149</v>
      </c>
      <c r="P10" s="31" t="s">
        <v>149</v>
      </c>
      <c r="Q10" s="31" t="s">
        <v>149</v>
      </c>
      <c r="R10" s="2"/>
      <c r="Y10" s="32"/>
      <c r="Z10" s="32"/>
    </row>
    <row r="11" customFormat="false" ht="16" hidden="false" customHeight="false" outlineLevel="0" collapsed="false">
      <c r="C11" s="1" t="s">
        <v>56</v>
      </c>
      <c r="D11" s="5" t="s">
        <v>57</v>
      </c>
      <c r="E11" s="1" t="s">
        <v>58</v>
      </c>
      <c r="F11" s="5" t="s">
        <v>59</v>
      </c>
      <c r="G11" s="5" t="s">
        <v>60</v>
      </c>
      <c r="H11" s="5" t="s">
        <v>61</v>
      </c>
      <c r="I11" s="5" t="s">
        <v>59</v>
      </c>
      <c r="J11" s="5" t="s">
        <v>58</v>
      </c>
      <c r="K11" s="5" t="s">
        <v>64</v>
      </c>
      <c r="L11" s="5" t="s">
        <v>65</v>
      </c>
      <c r="M11" s="5" t="s">
        <v>61</v>
      </c>
      <c r="N11" s="5" t="s">
        <v>59</v>
      </c>
      <c r="O11" s="5" t="s">
        <v>58</v>
      </c>
      <c r="P11" s="5" t="s">
        <v>64</v>
      </c>
      <c r="Q11" s="5" t="s">
        <v>65</v>
      </c>
      <c r="R11" s="2"/>
      <c r="Y11" s="32"/>
      <c r="Z11" s="32"/>
    </row>
    <row r="12" customFormat="false" ht="16" hidden="false" customHeight="false" outlineLevel="0" collapsed="false">
      <c r="C12" s="2" t="s">
        <v>169</v>
      </c>
      <c r="D12" s="5"/>
      <c r="E12" s="2" t="s">
        <v>151</v>
      </c>
      <c r="F12" s="5"/>
      <c r="G12" s="5"/>
      <c r="H12" s="5"/>
      <c r="I12" s="5"/>
      <c r="J12" s="2" t="s">
        <v>151</v>
      </c>
      <c r="K12" s="5"/>
      <c r="L12" s="5"/>
      <c r="M12" s="5"/>
      <c r="N12" s="5"/>
      <c r="O12" s="2" t="s">
        <v>151</v>
      </c>
      <c r="P12" s="5"/>
      <c r="Q12" s="5"/>
      <c r="R12" s="2"/>
      <c r="Y12" s="32"/>
      <c r="Z12" s="32"/>
    </row>
    <row r="13" customFormat="false" ht="16" hidden="false" customHeight="false" outlineLevel="0" collapsed="false">
      <c r="B13" s="2" t="s">
        <v>101</v>
      </c>
      <c r="C13" s="2" t="s">
        <v>181</v>
      </c>
      <c r="E13" s="2" t="s">
        <v>181</v>
      </c>
      <c r="H13" s="2" t="s">
        <v>153</v>
      </c>
      <c r="I13" s="2" t="s">
        <v>153</v>
      </c>
      <c r="J13" s="2" t="s">
        <v>153</v>
      </c>
      <c r="K13" s="2" t="s">
        <v>153</v>
      </c>
      <c r="L13" s="2" t="s">
        <v>153</v>
      </c>
      <c r="M13" s="2" t="s">
        <v>154</v>
      </c>
      <c r="N13" s="2" t="s">
        <v>154</v>
      </c>
      <c r="O13" s="2" t="s">
        <v>154</v>
      </c>
      <c r="P13" s="2" t="s">
        <v>154</v>
      </c>
      <c r="Q13" s="2" t="s">
        <v>154</v>
      </c>
      <c r="R13" s="2"/>
      <c r="U13" s="2" t="s">
        <v>156</v>
      </c>
      <c r="Y13" s="32"/>
      <c r="Z13" s="32"/>
    </row>
    <row r="14" customFormat="false" ht="16" hidden="false" customHeight="false" outlineLevel="0" collapsed="false">
      <c r="B14" s="2" t="s">
        <v>108</v>
      </c>
      <c r="C14" s="2" t="n">
        <v>0</v>
      </c>
      <c r="D14" s="2" t="s">
        <v>151</v>
      </c>
      <c r="E14" s="2" t="n">
        <v>0</v>
      </c>
      <c r="F14" s="2" t="s">
        <v>79</v>
      </c>
      <c r="G14" s="2" t="s">
        <v>157</v>
      </c>
      <c r="H14" s="2" t="n">
        <v>254</v>
      </c>
      <c r="I14" s="2" t="s">
        <v>182</v>
      </c>
      <c r="J14" s="2" t="n">
        <v>0.21</v>
      </c>
      <c r="K14" s="2" t="n">
        <v>0</v>
      </c>
      <c r="L14" s="2" t="n">
        <v>0.31</v>
      </c>
      <c r="M14" s="2" t="n">
        <v>212</v>
      </c>
      <c r="N14" s="2" t="s">
        <v>79</v>
      </c>
      <c r="O14" s="2" t="n">
        <v>0.005</v>
      </c>
      <c r="P14" s="2" t="n">
        <v>0</v>
      </c>
      <c r="Q14" s="2" t="n">
        <v>0.011</v>
      </c>
      <c r="R14" s="2"/>
      <c r="T14" s="32" t="s">
        <v>159</v>
      </c>
      <c r="U14" s="2" t="s">
        <v>183</v>
      </c>
      <c r="Y14" s="32"/>
      <c r="Z14" s="32"/>
    </row>
    <row r="15" customFormat="false" ht="16" hidden="false" customHeight="false" outlineLevel="0" collapsed="false">
      <c r="B15" s="2" t="s">
        <v>104</v>
      </c>
      <c r="C15" s="2" t="n">
        <v>0</v>
      </c>
      <c r="D15" s="2" t="s">
        <v>151</v>
      </c>
      <c r="E15" s="2" t="n">
        <v>0</v>
      </c>
      <c r="F15" s="2" t="s">
        <v>79</v>
      </c>
      <c r="G15" s="2" t="s">
        <v>157</v>
      </c>
      <c r="H15" s="2" t="n">
        <v>254</v>
      </c>
      <c r="I15" s="2" t="s">
        <v>182</v>
      </c>
      <c r="J15" s="2" t="n">
        <v>0.21</v>
      </c>
      <c r="K15" s="2" t="n">
        <v>0</v>
      </c>
      <c r="L15" s="2" t="n">
        <v>0.31</v>
      </c>
      <c r="M15" s="2" t="n">
        <v>212</v>
      </c>
      <c r="N15" s="2" t="s">
        <v>79</v>
      </c>
      <c r="O15" s="2" t="n">
        <v>0.014</v>
      </c>
      <c r="P15" s="2" t="n">
        <v>0.011</v>
      </c>
      <c r="Q15" s="2" t="n">
        <v>0.017</v>
      </c>
      <c r="R15" s="2"/>
      <c r="T15" s="32" t="s">
        <v>159</v>
      </c>
      <c r="U15" s="2" t="s">
        <v>184</v>
      </c>
      <c r="Y15" s="32"/>
      <c r="Z15" s="32"/>
    </row>
    <row r="16" customFormat="false" ht="16" hidden="false" customHeight="false" outlineLevel="0" collapsed="false"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Y16" s="32"/>
      <c r="Z16" s="32"/>
    </row>
    <row r="17" customFormat="false" ht="17" hidden="false" customHeight="false" outlineLevel="0" collapsed="false">
      <c r="H17" s="2"/>
      <c r="I17" s="2"/>
      <c r="J17" s="31" t="s">
        <v>149</v>
      </c>
      <c r="K17" s="31" t="s">
        <v>149</v>
      </c>
      <c r="L17" s="31" t="s">
        <v>149</v>
      </c>
      <c r="M17" s="2"/>
      <c r="N17" s="2"/>
      <c r="O17" s="31" t="s">
        <v>149</v>
      </c>
      <c r="P17" s="31" t="s">
        <v>149</v>
      </c>
      <c r="Q17" s="31" t="s">
        <v>149</v>
      </c>
      <c r="R17" s="2"/>
      <c r="Y17" s="32"/>
      <c r="Z17" s="32"/>
    </row>
    <row r="18" customFormat="false" ht="16" hidden="false" customHeight="false" outlineLevel="0" collapsed="false">
      <c r="C18" s="1" t="s">
        <v>56</v>
      </c>
      <c r="D18" s="5" t="s">
        <v>57</v>
      </c>
      <c r="E18" s="1" t="s">
        <v>58</v>
      </c>
      <c r="F18" s="5" t="s">
        <v>59</v>
      </c>
      <c r="G18" s="5" t="s">
        <v>60</v>
      </c>
      <c r="H18" s="5" t="s">
        <v>61</v>
      </c>
      <c r="I18" s="5" t="s">
        <v>59</v>
      </c>
      <c r="J18" s="5" t="s">
        <v>58</v>
      </c>
      <c r="K18" s="5" t="s">
        <v>64</v>
      </c>
      <c r="L18" s="5" t="s">
        <v>65</v>
      </c>
      <c r="M18" s="5" t="s">
        <v>61</v>
      </c>
      <c r="N18" s="5" t="s">
        <v>59</v>
      </c>
      <c r="O18" s="5" t="s">
        <v>58</v>
      </c>
      <c r="P18" s="5" t="s">
        <v>64</v>
      </c>
      <c r="Q18" s="5" t="s">
        <v>65</v>
      </c>
      <c r="R18" s="2"/>
      <c r="Y18" s="32"/>
      <c r="Z18" s="32"/>
    </row>
    <row r="19" customFormat="false" ht="16" hidden="false" customHeight="false" outlineLevel="0" collapsed="false">
      <c r="C19" s="2" t="s">
        <v>169</v>
      </c>
      <c r="D19" s="5"/>
      <c r="E19" s="2" t="s">
        <v>151</v>
      </c>
      <c r="F19" s="5"/>
      <c r="G19" s="5"/>
      <c r="H19" s="5"/>
      <c r="I19" s="5"/>
      <c r="J19" s="2" t="s">
        <v>151</v>
      </c>
      <c r="K19" s="5"/>
      <c r="L19" s="5"/>
      <c r="M19" s="5"/>
      <c r="N19" s="5"/>
      <c r="O19" s="2" t="s">
        <v>151</v>
      </c>
      <c r="P19" s="5"/>
      <c r="Q19" s="5"/>
      <c r="R19" s="2"/>
      <c r="Y19" s="32"/>
      <c r="Z19" s="32"/>
    </row>
    <row r="20" customFormat="false" ht="16" hidden="false" customHeight="false" outlineLevel="0" collapsed="false">
      <c r="B20" s="2" t="s">
        <v>101</v>
      </c>
      <c r="C20" s="2" t="s">
        <v>185</v>
      </c>
      <c r="E20" s="2" t="s">
        <v>185</v>
      </c>
      <c r="H20" s="2" t="s">
        <v>186</v>
      </c>
      <c r="I20" s="2" t="s">
        <v>186</v>
      </c>
      <c r="J20" s="2" t="s">
        <v>186</v>
      </c>
      <c r="K20" s="2" t="s">
        <v>186</v>
      </c>
      <c r="L20" s="2" t="s">
        <v>186</v>
      </c>
      <c r="M20" s="2" t="s">
        <v>187</v>
      </c>
      <c r="N20" s="2" t="s">
        <v>187</v>
      </c>
      <c r="O20" s="2" t="s">
        <v>187</v>
      </c>
      <c r="P20" s="2" t="s">
        <v>187</v>
      </c>
      <c r="Q20" s="2" t="s">
        <v>187</v>
      </c>
      <c r="R20" s="2"/>
      <c r="U20" s="2" t="s">
        <v>188</v>
      </c>
      <c r="Y20" s="32"/>
      <c r="Z20" s="32"/>
    </row>
    <row r="21" customFormat="false" ht="16" hidden="false" customHeight="false" outlineLevel="0" collapsed="false">
      <c r="B21" s="2" t="s">
        <v>108</v>
      </c>
      <c r="C21" s="2" t="n">
        <v>0</v>
      </c>
      <c r="D21" s="2" t="s">
        <v>151</v>
      </c>
      <c r="E21" s="2" t="n">
        <v>0</v>
      </c>
      <c r="F21" s="2" t="s">
        <v>79</v>
      </c>
      <c r="G21" s="2" t="s">
        <v>157</v>
      </c>
      <c r="H21" s="2"/>
      <c r="I21" s="2"/>
      <c r="J21" s="2" t="n">
        <v>0</v>
      </c>
      <c r="K21" s="2" t="n">
        <v>0</v>
      </c>
      <c r="L21" s="2" t="n">
        <v>0</v>
      </c>
      <c r="M21" s="2"/>
      <c r="N21" s="2"/>
      <c r="O21" s="2"/>
      <c r="P21" s="2"/>
      <c r="Q21" s="2"/>
      <c r="R21" s="2"/>
      <c r="T21" s="32" t="s">
        <v>159</v>
      </c>
      <c r="U21" s="2" t="s">
        <v>189</v>
      </c>
      <c r="Y21" s="32"/>
      <c r="Z21" s="32"/>
    </row>
    <row r="22" customFormat="false" ht="16" hidden="false" customHeight="false" outlineLevel="0" collapsed="false">
      <c r="B22" s="2" t="s">
        <v>104</v>
      </c>
      <c r="C22" s="2" t="n">
        <v>0.00415</v>
      </c>
      <c r="D22" s="2" t="s">
        <v>151</v>
      </c>
      <c r="E22" s="2" t="n">
        <f aca="false">J22*O22</f>
        <v>0.00264</v>
      </c>
      <c r="F22" s="2" t="s">
        <v>182</v>
      </c>
      <c r="G22" s="2" t="s">
        <v>157</v>
      </c>
      <c r="H22" s="2" t="n">
        <v>355</v>
      </c>
      <c r="I22" s="2" t="s">
        <v>182</v>
      </c>
      <c r="J22" s="2" t="n">
        <v>0.24</v>
      </c>
      <c r="K22" s="2" t="n">
        <v>0.01</v>
      </c>
      <c r="L22" s="2" t="n">
        <v>0.73</v>
      </c>
      <c r="M22" s="2" t="n">
        <v>648</v>
      </c>
      <c r="N22" s="2" t="s">
        <v>79</v>
      </c>
      <c r="O22" s="2" t="n">
        <v>0.011</v>
      </c>
      <c r="P22" s="2" t="n">
        <v>0</v>
      </c>
      <c r="Q22" s="2" t="n">
        <v>0.02</v>
      </c>
      <c r="R22" s="2"/>
      <c r="T22" s="32" t="s">
        <v>159</v>
      </c>
      <c r="U22" s="2" t="s">
        <v>190</v>
      </c>
      <c r="X22" s="32"/>
    </row>
    <row r="23" customFormat="false" ht="16" hidden="false" customHeight="false" outlineLevel="0" collapsed="false"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X23" s="32"/>
    </row>
    <row r="24" customFormat="false" ht="16" hidden="false" customHeight="false" outlineLevel="0" collapsed="false"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X24" s="32"/>
    </row>
    <row r="25" customFormat="false" ht="16" hidden="false" customHeight="false" outlineLevel="0" collapsed="false"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X25" s="32"/>
    </row>
    <row r="26" customFormat="false" ht="15" hidden="false" customHeight="false" outlineLevel="0" collapsed="false">
      <c r="B26" s="37"/>
      <c r="C26" s="38" t="s">
        <v>191</v>
      </c>
      <c r="D26" s="37"/>
      <c r="E26" s="37"/>
      <c r="F26" s="37"/>
      <c r="G26" s="37"/>
      <c r="H26" s="37"/>
      <c r="I26" s="37"/>
      <c r="J26" s="37"/>
      <c r="K26" s="37"/>
    </row>
    <row r="27" customFormat="false" ht="15" hidden="false" customHeight="false" outlineLevel="0" collapsed="false">
      <c r="B27" s="37" t="s">
        <v>101</v>
      </c>
      <c r="C27" s="37" t="s">
        <v>192</v>
      </c>
      <c r="D27" s="37" t="s">
        <v>193</v>
      </c>
      <c r="E27" s="37" t="s">
        <v>194</v>
      </c>
      <c r="F27" s="37"/>
      <c r="G27" s="37"/>
      <c r="H27" s="37"/>
      <c r="I27" s="37"/>
      <c r="J27" s="37"/>
      <c r="K27" s="37"/>
    </row>
    <row r="28" customFormat="false" ht="15" hidden="false" customHeight="false" outlineLevel="0" collapsed="false">
      <c r="B28" s="37" t="s">
        <v>108</v>
      </c>
      <c r="C28" s="37" t="n">
        <v>0.006</v>
      </c>
      <c r="D28" s="37" t="n">
        <v>0.31</v>
      </c>
      <c r="E28" s="37" t="s">
        <v>158</v>
      </c>
      <c r="F28" s="37"/>
      <c r="G28" s="37"/>
      <c r="H28" s="37"/>
      <c r="I28" s="37"/>
      <c r="J28" s="37"/>
      <c r="K28" s="37"/>
    </row>
    <row r="29" customFormat="false" ht="15" hidden="false" customHeight="false" outlineLevel="0" collapsed="false">
      <c r="B29" s="37" t="s">
        <v>104</v>
      </c>
      <c r="C29" s="37" t="n">
        <v>0.005</v>
      </c>
      <c r="D29" s="37" t="n">
        <v>0.4</v>
      </c>
      <c r="E29" s="37" t="s">
        <v>158</v>
      </c>
      <c r="F29" s="37"/>
      <c r="G29" s="37"/>
      <c r="H29" s="37"/>
      <c r="I29" s="37"/>
      <c r="J29" s="37"/>
      <c r="K29" s="3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3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L18" activeCellId="1" sqref="M18:M23 L18"/>
    </sheetView>
  </sheetViews>
  <sheetFormatPr defaultColWidth="10.6015625" defaultRowHeight="16" zeroHeight="false" outlineLevelRow="0" outlineLevelCol="0"/>
  <cols>
    <col collapsed="false" customWidth="true" hidden="false" outlineLevel="0" max="1" min="1" style="2" width="13"/>
    <col collapsed="false" customWidth="true" hidden="false" outlineLevel="0" max="4" min="4" style="2" width="24"/>
    <col collapsed="false" customWidth="true" hidden="false" outlineLevel="0" max="7" min="7" style="2" width="15.33"/>
    <col collapsed="false" customWidth="true" hidden="false" outlineLevel="0" max="9" min="8" style="32" width="10.83"/>
    <col collapsed="false" customWidth="true" hidden="false" outlineLevel="0" max="12" min="12" style="36" width="10.83"/>
    <col collapsed="false" customWidth="true" hidden="false" outlineLevel="0" max="15" min="15" style="36" width="17.5"/>
    <col collapsed="false" customWidth="true" hidden="false" outlineLevel="0" max="16" min="16" style="0" width="51.42"/>
  </cols>
  <sheetData>
    <row r="1" customFormat="false" ht="34" hidden="false" customHeight="false" outlineLevel="0" collapsed="false">
      <c r="E1" s="31" t="s">
        <v>174</v>
      </c>
      <c r="I1" s="31" t="s">
        <v>54</v>
      </c>
      <c r="M1" s="31" t="s">
        <v>55</v>
      </c>
    </row>
    <row r="2" s="4" customFormat="true" ht="34" hidden="false" customHeight="false" outlineLevel="0" collapsed="false">
      <c r="C2" s="31" t="s">
        <v>175</v>
      </c>
      <c r="D2" s="31" t="s">
        <v>149</v>
      </c>
      <c r="E2" s="31" t="s">
        <v>149</v>
      </c>
      <c r="F2" s="31"/>
      <c r="G2" s="31"/>
      <c r="H2" s="31"/>
      <c r="J2" s="31"/>
      <c r="K2" s="31" t="s">
        <v>149</v>
      </c>
      <c r="L2" s="31" t="s">
        <v>149</v>
      </c>
      <c r="M2" s="31" t="s">
        <v>149</v>
      </c>
      <c r="N2" s="31" t="s">
        <v>149</v>
      </c>
      <c r="O2" s="31"/>
    </row>
    <row r="3" customFormat="false" ht="16" hidden="false" customHeight="false" outlineLevel="0" collapsed="false">
      <c r="C3" s="5" t="s">
        <v>56</v>
      </c>
      <c r="D3" s="5" t="s">
        <v>57</v>
      </c>
      <c r="E3" s="5" t="s">
        <v>58</v>
      </c>
      <c r="F3" s="5" t="s">
        <v>59</v>
      </c>
      <c r="G3" s="5" t="s">
        <v>60</v>
      </c>
      <c r="H3" s="5" t="s">
        <v>61</v>
      </c>
      <c r="I3" s="5" t="s">
        <v>62</v>
      </c>
      <c r="J3" s="5" t="s">
        <v>63</v>
      </c>
      <c r="K3" s="5" t="s">
        <v>64</v>
      </c>
      <c r="L3" s="5" t="s">
        <v>65</v>
      </c>
      <c r="M3" s="5" t="s">
        <v>66</v>
      </c>
      <c r="N3" s="5" t="s">
        <v>67</v>
      </c>
      <c r="O3" s="5" t="s">
        <v>6</v>
      </c>
      <c r="P3" s="5" t="s">
        <v>68</v>
      </c>
    </row>
    <row r="4" s="39" customFormat="true" ht="51" hidden="false" customHeight="false" outlineLevel="0" collapsed="false">
      <c r="C4" s="40" t="s">
        <v>195</v>
      </c>
      <c r="D4" s="41"/>
      <c r="E4" s="39" t="s">
        <v>196</v>
      </c>
      <c r="H4" s="42"/>
      <c r="I4" s="42"/>
      <c r="K4" s="39" t="s">
        <v>196</v>
      </c>
      <c r="L4" s="39" t="s">
        <v>196</v>
      </c>
      <c r="M4" s="39" t="s">
        <v>196</v>
      </c>
      <c r="N4" s="39" t="s">
        <v>196</v>
      </c>
      <c r="O4" s="41"/>
    </row>
    <row r="5" customFormat="false" ht="16" hidden="false" customHeight="false" outlineLevel="0" collapsed="false">
      <c r="A5" s="2" t="s">
        <v>100</v>
      </c>
      <c r="B5" s="2" t="s">
        <v>197</v>
      </c>
      <c r="C5" s="2" t="s">
        <v>37</v>
      </c>
      <c r="D5" s="36"/>
      <c r="E5" s="2" t="s">
        <v>37</v>
      </c>
      <c r="P5" s="3" t="s">
        <v>198</v>
      </c>
    </row>
    <row r="6" customFormat="false" ht="15" hidden="false" customHeight="false" outlineLevel="0" collapsed="false">
      <c r="A6" s="2" t="s">
        <v>103</v>
      </c>
      <c r="B6" s="2" t="s">
        <v>199</v>
      </c>
      <c r="C6" s="2" t="s">
        <v>200</v>
      </c>
      <c r="D6" s="3" t="s">
        <v>196</v>
      </c>
      <c r="E6" s="2" t="s">
        <v>201</v>
      </c>
      <c r="F6" s="2" t="s">
        <v>79</v>
      </c>
      <c r="G6" s="2" t="s">
        <v>202</v>
      </c>
      <c r="H6" s="32" t="n">
        <v>395</v>
      </c>
      <c r="K6" s="36" t="s">
        <v>203</v>
      </c>
      <c r="L6" s="36" t="s">
        <v>200</v>
      </c>
      <c r="M6" s="36"/>
      <c r="N6" s="43" t="s">
        <v>204</v>
      </c>
      <c r="O6" s="36" t="s">
        <v>205</v>
      </c>
      <c r="P6" s="44" t="s">
        <v>206</v>
      </c>
      <c r="Q6" s="2" t="s">
        <v>207</v>
      </c>
    </row>
    <row r="7" customFormat="false" ht="15" hidden="false" customHeight="false" outlineLevel="0" collapsed="false">
      <c r="A7" s="2" t="s">
        <v>103</v>
      </c>
      <c r="B7" s="2" t="s">
        <v>108</v>
      </c>
      <c r="C7" s="2" t="n">
        <v>0.0079</v>
      </c>
      <c r="D7" s="3" t="s">
        <v>196</v>
      </c>
      <c r="E7" s="2" t="n">
        <v>0.005</v>
      </c>
      <c r="F7" s="2" t="s">
        <v>79</v>
      </c>
      <c r="G7" s="2" t="s">
        <v>202</v>
      </c>
      <c r="H7" s="32" t="n">
        <v>207</v>
      </c>
      <c r="K7" s="36" t="n">
        <v>0</v>
      </c>
      <c r="L7" s="36" t="n">
        <v>0.011</v>
      </c>
      <c r="M7" s="36" t="n">
        <f aca="false">N7*SQRT(H7)</f>
        <v>0.038846235338833</v>
      </c>
      <c r="N7" s="45" t="n">
        <v>0.0027</v>
      </c>
      <c r="O7" s="36" t="s">
        <v>159</v>
      </c>
      <c r="P7" s="2" t="n">
        <f aca="false">44/28</f>
        <v>1.57142857142857</v>
      </c>
    </row>
    <row r="8" customFormat="false" ht="16" hidden="false" customHeight="false" outlineLevel="0" collapsed="false">
      <c r="A8" s="2" t="s">
        <v>110</v>
      </c>
      <c r="B8" s="2" t="s">
        <v>199</v>
      </c>
      <c r="C8" s="2" t="n">
        <v>0.0251</v>
      </c>
      <c r="D8" s="3" t="s">
        <v>196</v>
      </c>
      <c r="E8" s="2" t="n">
        <v>0.016</v>
      </c>
      <c r="F8" s="2" t="s">
        <v>79</v>
      </c>
      <c r="G8" s="2" t="s">
        <v>202</v>
      </c>
      <c r="H8" s="32" t="n">
        <v>648</v>
      </c>
      <c r="K8" s="36" t="n">
        <v>0.013</v>
      </c>
      <c r="L8" s="36" t="n">
        <v>0.019</v>
      </c>
      <c r="M8" s="36" t="n">
        <f aca="false">N8*SQRT(H8)</f>
        <v>0.0389630267184424</v>
      </c>
      <c r="N8" s="45" t="n">
        <f aca="false">(L8-K8)/3.92</f>
        <v>0.00153061224489796</v>
      </c>
      <c r="O8" s="36" t="s">
        <v>159</v>
      </c>
      <c r="P8" s="2" t="n">
        <f aca="false">44/28</f>
        <v>1.57142857142857</v>
      </c>
    </row>
    <row r="9" customFormat="false" ht="16" hidden="false" customHeight="false" outlineLevel="0" collapsed="false">
      <c r="A9" s="2" t="s">
        <v>110</v>
      </c>
      <c r="B9" s="2" t="s">
        <v>108</v>
      </c>
      <c r="C9" s="2" t="n">
        <v>0.0079</v>
      </c>
      <c r="D9" s="3" t="s">
        <v>196</v>
      </c>
      <c r="E9" s="2" t="n">
        <v>0.005</v>
      </c>
      <c r="F9" s="2" t="s">
        <v>79</v>
      </c>
      <c r="G9" s="2" t="s">
        <v>202</v>
      </c>
      <c r="H9" s="32" t="n">
        <v>207</v>
      </c>
      <c r="K9" s="36" t="n">
        <v>0</v>
      </c>
      <c r="L9" s="36" t="n">
        <v>0.011</v>
      </c>
      <c r="M9" s="36" t="n">
        <f aca="false">N9*SQRT(H9)</f>
        <v>0.038846235338833</v>
      </c>
      <c r="N9" s="45" t="n">
        <v>0.0027</v>
      </c>
      <c r="O9" s="36" t="s">
        <v>159</v>
      </c>
      <c r="P9" s="2" t="n">
        <f aca="false">44/28</f>
        <v>1.57142857142857</v>
      </c>
    </row>
    <row r="10" customFormat="false" ht="16" hidden="false" customHeight="false" outlineLevel="0" collapsed="false">
      <c r="A10" s="2" t="s">
        <v>111</v>
      </c>
      <c r="B10" s="2" t="s">
        <v>199</v>
      </c>
      <c r="C10" s="2" t="n">
        <v>0.0251</v>
      </c>
      <c r="D10" s="3" t="s">
        <v>196</v>
      </c>
      <c r="E10" s="2" t="n">
        <v>0.016</v>
      </c>
      <c r="F10" s="2" t="s">
        <v>79</v>
      </c>
      <c r="G10" s="2" t="s">
        <v>202</v>
      </c>
      <c r="H10" s="32" t="n">
        <v>648</v>
      </c>
      <c r="K10" s="36" t="n">
        <v>0.013</v>
      </c>
      <c r="L10" s="36" t="n">
        <v>0.019</v>
      </c>
      <c r="M10" s="36" t="n">
        <f aca="false">N10*SQRT(H10)</f>
        <v>0.0389630267184424</v>
      </c>
      <c r="N10" s="45" t="n">
        <f aca="false">(L10-K10)/3.92</f>
        <v>0.00153061224489796</v>
      </c>
      <c r="O10" s="36" t="s">
        <v>159</v>
      </c>
      <c r="P10" s="2" t="n">
        <f aca="false">44/28</f>
        <v>1.57142857142857</v>
      </c>
    </row>
    <row r="11" customFormat="false" ht="15" hidden="false" customHeight="false" outlineLevel="0" collapsed="false">
      <c r="A11" s="2" t="s">
        <v>111</v>
      </c>
      <c r="B11" s="2" t="s">
        <v>108</v>
      </c>
      <c r="C11" s="2" t="n">
        <v>0.0079</v>
      </c>
      <c r="D11" s="3" t="s">
        <v>196</v>
      </c>
      <c r="E11" s="2" t="n">
        <v>0.005</v>
      </c>
      <c r="F11" s="2" t="s">
        <v>79</v>
      </c>
      <c r="G11" s="2" t="s">
        <v>202</v>
      </c>
      <c r="H11" s="32" t="n">
        <v>207</v>
      </c>
      <c r="K11" s="36" t="n">
        <v>0</v>
      </c>
      <c r="L11" s="36" t="n">
        <v>0.011</v>
      </c>
      <c r="M11" s="36" t="n">
        <f aca="false">N11*SQRT(H11)</f>
        <v>0.038846235338833</v>
      </c>
      <c r="N11" s="45" t="n">
        <v>0.0027</v>
      </c>
      <c r="O11" s="36" t="s">
        <v>159</v>
      </c>
      <c r="P11" s="2" t="n">
        <f aca="false">44/28</f>
        <v>1.57142857142857</v>
      </c>
    </row>
    <row r="13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5" activeCellId="1" sqref="M18:M23 N5"/>
    </sheetView>
  </sheetViews>
  <sheetFormatPr defaultColWidth="10.6015625" defaultRowHeight="16" zeroHeight="false" outlineLevelRow="0" outlineLevelCol="0"/>
  <cols>
    <col collapsed="false" customWidth="true" hidden="false" outlineLevel="0" max="3" min="3" style="2" width="15.16"/>
    <col collapsed="false" customWidth="true" hidden="false" outlineLevel="0" max="4" min="4" style="2" width="45.15"/>
    <col collapsed="false" customWidth="true" hidden="false" outlineLevel="0" max="5" min="5" style="2" width="15.66"/>
    <col collapsed="false" customWidth="true" hidden="false" outlineLevel="0" max="7" min="7" style="2" width="16.66"/>
    <col collapsed="false" customWidth="true" hidden="false" outlineLevel="0" max="15" min="15" style="2" width="16.16"/>
    <col collapsed="false" customWidth="true" hidden="false" outlineLevel="0" max="23" min="23" style="2" width="13.33"/>
    <col collapsed="false" customWidth="true" hidden="false" outlineLevel="0" max="25" min="25" style="2" width="12.18"/>
  </cols>
  <sheetData>
    <row r="1" s="4" customFormat="true" ht="153" hidden="false" customHeight="false" outlineLevel="0" collapsed="false">
      <c r="C1" s="4" t="s">
        <v>208</v>
      </c>
      <c r="E1" s="4" t="s">
        <v>208</v>
      </c>
      <c r="I1" s="4" t="s">
        <v>208</v>
      </c>
      <c r="J1" s="4" t="s">
        <v>208</v>
      </c>
      <c r="R1" s="46" t="s">
        <v>68</v>
      </c>
      <c r="S1" s="46" t="s">
        <v>68</v>
      </c>
      <c r="T1" s="46" t="s">
        <v>68</v>
      </c>
      <c r="U1" s="31" t="s">
        <v>209</v>
      </c>
      <c r="W1" s="4" t="s">
        <v>210</v>
      </c>
      <c r="Y1" s="4" t="s">
        <v>210</v>
      </c>
    </row>
    <row r="2" customFormat="false" ht="16" hidden="false" customHeight="false" outlineLevel="0" collapsed="false">
      <c r="C2" s="6"/>
      <c r="D2" s="6"/>
      <c r="E2" s="6"/>
      <c r="F2" s="6"/>
      <c r="G2" s="6"/>
      <c r="H2" s="6"/>
      <c r="I2" s="5" t="s">
        <v>54</v>
      </c>
      <c r="J2" s="6"/>
      <c r="K2" s="6"/>
      <c r="L2" s="6"/>
      <c r="M2" s="5" t="s">
        <v>55</v>
      </c>
      <c r="N2" s="6"/>
      <c r="O2" s="6"/>
      <c r="P2" s="6"/>
      <c r="Q2" s="6"/>
      <c r="R2" s="2" t="s">
        <v>58</v>
      </c>
      <c r="S2" s="2" t="s">
        <v>62</v>
      </c>
      <c r="T2" s="2" t="s">
        <v>63</v>
      </c>
      <c r="U2" s="2" t="s">
        <v>211</v>
      </c>
      <c r="W2" s="2" t="s">
        <v>212</v>
      </c>
      <c r="Y2" s="2" t="s">
        <v>213</v>
      </c>
    </row>
    <row r="3" customFormat="false" ht="16" hidden="false" customHeight="false" outlineLevel="0" collapsed="false">
      <c r="C3" s="5" t="s">
        <v>56</v>
      </c>
      <c r="D3" s="5" t="s">
        <v>57</v>
      </c>
      <c r="E3" s="5" t="s">
        <v>58</v>
      </c>
      <c r="F3" s="5" t="s">
        <v>59</v>
      </c>
      <c r="G3" s="5" t="s">
        <v>60</v>
      </c>
      <c r="H3" s="5" t="s">
        <v>61</v>
      </c>
      <c r="I3" s="5" t="s">
        <v>62</v>
      </c>
      <c r="J3" s="5" t="s">
        <v>63</v>
      </c>
      <c r="K3" s="5" t="s">
        <v>64</v>
      </c>
      <c r="L3" s="5" t="s">
        <v>65</v>
      </c>
      <c r="M3" s="5" t="s">
        <v>66</v>
      </c>
      <c r="N3" s="5" t="s">
        <v>67</v>
      </c>
      <c r="O3" s="5" t="s">
        <v>6</v>
      </c>
      <c r="P3" s="5" t="s">
        <v>68</v>
      </c>
      <c r="Q3" s="5"/>
    </row>
    <row r="4" customFormat="false" ht="16" hidden="false" customHeight="false" outlineLevel="0" collapsed="false">
      <c r="A4" s="2" t="s">
        <v>214</v>
      </c>
      <c r="B4" s="2" t="s">
        <v>215</v>
      </c>
      <c r="C4" s="2" t="s">
        <v>216</v>
      </c>
      <c r="E4" s="2" t="s">
        <v>216</v>
      </c>
      <c r="F4" s="2"/>
      <c r="M4" s="2"/>
      <c r="U4" s="2" t="n">
        <v>0.33</v>
      </c>
      <c r="W4" s="2" t="n">
        <v>-0.143690478667693</v>
      </c>
      <c r="Y4" s="2" t="n">
        <v>-0.472182596291013</v>
      </c>
    </row>
    <row r="5" customFormat="false" ht="15" hidden="false" customHeight="false" outlineLevel="0" collapsed="false">
      <c r="A5" s="2" t="s">
        <v>217</v>
      </c>
      <c r="B5" s="2" t="s">
        <v>133</v>
      </c>
      <c r="C5" s="2" t="n">
        <v>0.54</v>
      </c>
      <c r="D5" s="2" t="s">
        <v>218</v>
      </c>
      <c r="E5" s="47" t="n">
        <f aca="false">AVERAGE($U4:$U12)</f>
        <v>0.54</v>
      </c>
      <c r="F5" s="2" t="s">
        <v>79</v>
      </c>
      <c r="G5" s="2" t="s">
        <v>80</v>
      </c>
      <c r="H5" s="2" t="n">
        <v>9</v>
      </c>
      <c r="I5" s="47" t="n">
        <f aca="false">MIN($U4:$U12)</f>
        <v>0.13</v>
      </c>
      <c r="J5" s="47" t="n">
        <f aca="false">MAX($U4:$U12)</f>
        <v>0.94</v>
      </c>
      <c r="M5" s="47" t="n">
        <f aca="false">STDEV($U4:$U12)</f>
        <v>0.277488738510232</v>
      </c>
      <c r="N5" s="0" t="n">
        <f aca="false">M5/SQRT(H5)</f>
        <v>0.0924962461700773</v>
      </c>
      <c r="O5" s="2" t="s">
        <v>211</v>
      </c>
      <c r="R5" s="47" t="n">
        <f aca="false">AVERAGE($U4:$U12)</f>
        <v>0.54</v>
      </c>
      <c r="S5" s="47"/>
      <c r="T5" s="47"/>
      <c r="U5" s="2" t="n">
        <v>0.69</v>
      </c>
      <c r="W5" s="2" t="n">
        <v>-0.603840228459775</v>
      </c>
      <c r="Y5" s="2" t="n">
        <v>-0.425287356321839</v>
      </c>
    </row>
    <row r="6" customFormat="false" ht="15" hidden="false" customHeight="false" outlineLevel="0" collapsed="false">
      <c r="A6" s="2" t="s">
        <v>219</v>
      </c>
      <c r="B6" s="2" t="s">
        <v>133</v>
      </c>
      <c r="C6" s="2" t="n">
        <v>0.4</v>
      </c>
      <c r="D6" s="2" t="s">
        <v>218</v>
      </c>
      <c r="E6" s="47" t="n">
        <f aca="false">-R6</f>
        <v>0.312322142138905</v>
      </c>
      <c r="F6" s="2" t="s">
        <v>79</v>
      </c>
      <c r="G6" s="2" t="s">
        <v>80</v>
      </c>
      <c r="H6" s="2" t="n">
        <v>8</v>
      </c>
      <c r="I6" s="47" t="n">
        <f aca="false">-T6</f>
        <v>-0.347275195552393</v>
      </c>
      <c r="J6" s="47" t="n">
        <f aca="false">-S6</f>
        <v>0.716535433070866</v>
      </c>
      <c r="M6" s="47" t="n">
        <f aca="false">STDEV($W4:$W11)</f>
        <v>0.335995776744148</v>
      </c>
      <c r="N6" s="0" t="n">
        <f aca="false">M6/SQRT(H6)</f>
        <v>0.118792446092914</v>
      </c>
      <c r="O6" s="2" t="s">
        <v>212</v>
      </c>
      <c r="R6" s="47" t="n">
        <f aca="false">AVERAGE($W4:$W11)</f>
        <v>-0.312322142138905</v>
      </c>
      <c r="S6" s="47" t="n">
        <f aca="false">MIN($W4:$W11)</f>
        <v>-0.716535433070866</v>
      </c>
      <c r="T6" s="47" t="n">
        <f aca="false">MAX($W4:$W11)</f>
        <v>0.347275195552393</v>
      </c>
      <c r="U6" s="2" t="n">
        <v>0.61</v>
      </c>
      <c r="W6" s="2" t="n">
        <v>-0.473778489214117</v>
      </c>
      <c r="Y6" s="2" t="n">
        <v>-0.410328638497653</v>
      </c>
    </row>
    <row r="7" customFormat="false" ht="15" hidden="false" customHeight="false" outlineLevel="0" collapsed="false">
      <c r="A7" s="2" t="s">
        <v>220</v>
      </c>
      <c r="B7" s="2" t="s">
        <v>132</v>
      </c>
      <c r="C7" s="2" t="n">
        <v>0</v>
      </c>
      <c r="E7" s="47" t="n">
        <v>0</v>
      </c>
      <c r="F7" s="2" t="s">
        <v>79</v>
      </c>
      <c r="I7" s="47"/>
      <c r="J7" s="47"/>
      <c r="M7" s="2"/>
      <c r="R7" s="47"/>
      <c r="S7" s="47"/>
      <c r="T7" s="47"/>
      <c r="U7" s="2" t="n">
        <v>0.47</v>
      </c>
      <c r="W7" s="2" t="n">
        <v>-0.120223304551292</v>
      </c>
      <c r="Y7" s="2" t="n">
        <v>-0.457079152731327</v>
      </c>
    </row>
    <row r="8" customFormat="false" ht="15" hidden="false" customHeight="false" outlineLevel="0" collapsed="false">
      <c r="A8" s="2" t="s">
        <v>220</v>
      </c>
      <c r="B8" s="2" t="s">
        <v>221</v>
      </c>
      <c r="C8" s="2" t="n">
        <v>0.25</v>
      </c>
      <c r="D8" s="2" t="s">
        <v>218</v>
      </c>
      <c r="E8" s="47" t="n">
        <f aca="false">-R8</f>
        <v>0.398705965140984</v>
      </c>
      <c r="F8" s="2" t="s">
        <v>79</v>
      </c>
      <c r="G8" s="2" t="s">
        <v>80</v>
      </c>
      <c r="H8" s="2" t="n">
        <v>5</v>
      </c>
      <c r="I8" s="47" t="n">
        <f aca="false">-T8</f>
        <v>0.228652081863091</v>
      </c>
      <c r="J8" s="47" t="n">
        <f aca="false">-S8</f>
        <v>0.472182596291013</v>
      </c>
      <c r="M8" s="47" t="n">
        <f aca="false">STDEV($Y4:$Y8)</f>
        <v>0.0981914258802307</v>
      </c>
      <c r="N8" s="0" t="n">
        <f aca="false">M8/SQRT(H8)</f>
        <v>0.0439125406151656</v>
      </c>
      <c r="O8" s="2" t="s">
        <v>213</v>
      </c>
      <c r="R8" s="47" t="n">
        <f aca="false">AVERAGE($Y4:$Y8)</f>
        <v>-0.398705965140984</v>
      </c>
      <c r="S8" s="47" t="n">
        <f aca="false">MIN($Y4:$Y8)</f>
        <v>-0.472182596291013</v>
      </c>
      <c r="T8" s="47" t="n">
        <f aca="false">MAX($Y4:$Y8)</f>
        <v>-0.228652081863091</v>
      </c>
      <c r="U8" s="2" t="n">
        <v>0.94</v>
      </c>
      <c r="W8" s="2" t="n">
        <v>0.347275195552393</v>
      </c>
      <c r="Y8" s="2" t="n">
        <v>-0.228652081863091</v>
      </c>
    </row>
    <row r="9" customFormat="false" ht="15" hidden="false" customHeight="false" outlineLevel="0" collapsed="false">
      <c r="A9" s="2" t="s">
        <v>220</v>
      </c>
      <c r="B9" s="2" t="s">
        <v>92</v>
      </c>
      <c r="C9" s="2" t="n">
        <v>0.125</v>
      </c>
      <c r="D9" s="2" t="s">
        <v>218</v>
      </c>
      <c r="E9" s="47" t="n">
        <f aca="false">E8/2</f>
        <v>0.199352982570492</v>
      </c>
      <c r="F9" s="2" t="s">
        <v>79</v>
      </c>
      <c r="G9" s="2" t="s">
        <v>80</v>
      </c>
      <c r="H9" s="2" t="n">
        <v>5</v>
      </c>
      <c r="I9" s="47" t="n">
        <f aca="false">I8/2</f>
        <v>0.114326040931545</v>
      </c>
      <c r="J9" s="47" t="n">
        <f aca="false">J8/2</f>
        <v>0.236091298145506</v>
      </c>
      <c r="M9" s="47" t="n">
        <f aca="false">M8</f>
        <v>0.0981914258802307</v>
      </c>
      <c r="N9" s="0" t="n">
        <f aca="false">M9/SQRT(H9)</f>
        <v>0.0439125406151656</v>
      </c>
      <c r="O9" s="2" t="s">
        <v>213</v>
      </c>
      <c r="R9" s="47"/>
      <c r="S9" s="47"/>
      <c r="T9" s="47"/>
      <c r="U9" s="2" t="n">
        <v>0.19</v>
      </c>
      <c r="W9" s="2" t="n">
        <v>-0.36150234741784</v>
      </c>
    </row>
    <row r="10" customFormat="false" ht="16" hidden="false" customHeight="false" outlineLevel="0" collapsed="false">
      <c r="U10" s="2" t="n">
        <v>0.77</v>
      </c>
      <c r="W10" s="2" t="n">
        <v>-0.716535433070866</v>
      </c>
    </row>
    <row r="11" customFormat="false" ht="16" hidden="false" customHeight="false" outlineLevel="0" collapsed="false">
      <c r="U11" s="2" t="n">
        <v>0.73</v>
      </c>
      <c r="W11" s="2" t="n">
        <v>-0.426282051282051</v>
      </c>
    </row>
    <row r="12" customFormat="false" ht="16" hidden="false" customHeight="false" outlineLevel="0" collapsed="false">
      <c r="U12" s="2" t="n">
        <v>0.13</v>
      </c>
    </row>
    <row r="13" s="5" customFormat="true" ht="16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LibreOfficeDev/7.2.0.0.alpha0$Linux_X86_64 LibreOffice_project/60b4c9f1921ec4f7086d71ba8b41749d432a0961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2020-10-29T01:52:43Z</dcterms:created>
  <dc:creator>Christina Tonitto</dc:creator>
  <dc:description/>
  <dc:language>en-US</dc:language>
  <cp:lastModifiedBy>Dominic Woolf</cp:lastModifiedBy>
  <dcterms:modified xsi:type="dcterms:W3CDTF">2021-04-06T11:29:32Z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