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last version_model\"/>
    </mc:Choice>
  </mc:AlternateContent>
  <xr:revisionPtr revIDLastSave="0" documentId="13_ncr:1_{8B62BA0B-54CB-4CEA-AF00-51DA9C2F7437}" xr6:coauthVersionLast="47" xr6:coauthVersionMax="47" xr10:uidLastSave="{00000000-0000-0000-0000-000000000000}"/>
  <bookViews>
    <workbookView xWindow="-120" yWindow="-120" windowWidth="20730" windowHeight="11160" tabRatio="598" activeTab="4" xr2:uid="{6C05BF09-2788-476D-A41B-F5618A13F6D0}"/>
  </bookViews>
  <sheets>
    <sheet name="Variable&amp;Parameters list" sheetId="1" r:id="rId1"/>
    <sheet name="R_ON" sheetId="2" r:id="rId2"/>
    <sheet name="RPD" sheetId="5" r:id="rId3"/>
    <sheet name="results" sheetId="4" r:id="rId4"/>
    <sheet name="measured values" sheetId="3" r:id="rId5"/>
  </sheets>
  <definedNames>
    <definedName name="Amax">R_ON!$B$1</definedName>
    <definedName name="BCF">'Variable&amp;Parameters list'!$B$11</definedName>
    <definedName name="CGR">'Variable&amp;Parameters list'!#REF!</definedName>
    <definedName name="CQYmax">R_ON!$B$6</definedName>
    <definedName name="CQYmin">R_ON!$B$5</definedName>
    <definedName name="CUEmax">R_ON!$B$3</definedName>
    <definedName name="CUEmin">R_ON!$B$2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R_ON!$B$7</definedName>
    <definedName name="OPF">'Variable&amp;Parameters list'!$B$17</definedName>
    <definedName name="pw">'Variable&amp;Parameters list'!$B$19</definedName>
    <definedName name="solver_adj" localSheetId="1" hidden="1">R_ON!$B$2:$B$3,R_ON!$B$5:$B$6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R_ON!$B$2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R_ON!$I$39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R_ON!$B$9</definedName>
    <definedName name="tE">R_ON!$B$8</definedName>
    <definedName name="tM">R_ON!#REF!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6" i="2" l="1"/>
  <c r="J42" i="2"/>
  <c r="AH43" i="2" l="1"/>
  <c r="F37" i="2" l="1"/>
  <c r="G37" i="2" s="1"/>
  <c r="E37" i="2"/>
  <c r="F36" i="2"/>
  <c r="G36" i="2" s="1"/>
  <c r="E36" i="2"/>
  <c r="F35" i="2"/>
  <c r="G35" i="2" s="1"/>
  <c r="E35" i="2"/>
  <c r="F34" i="2"/>
  <c r="G34" i="2" s="1"/>
  <c r="E34" i="2"/>
  <c r="AD34" i="2" s="1"/>
  <c r="F33" i="2"/>
  <c r="G33" i="2" s="1"/>
  <c r="E33" i="2"/>
  <c r="F32" i="2"/>
  <c r="G32" i="2" s="1"/>
  <c r="E32" i="2"/>
  <c r="F31" i="2"/>
  <c r="G31" i="2" s="1"/>
  <c r="E31" i="2"/>
  <c r="F30" i="2"/>
  <c r="G30" i="2" s="1"/>
  <c r="E30" i="2"/>
  <c r="AD30" i="2" s="1"/>
  <c r="F29" i="2"/>
  <c r="G29" i="2" s="1"/>
  <c r="E29" i="2"/>
  <c r="F28" i="2"/>
  <c r="G28" i="2" s="1"/>
  <c r="E28" i="2"/>
  <c r="F27" i="2"/>
  <c r="G27" i="2" s="1"/>
  <c r="E27" i="2"/>
  <c r="F26" i="2"/>
  <c r="G26" i="2" s="1"/>
  <c r="E26" i="2"/>
  <c r="AD26" i="2" s="1"/>
  <c r="F25" i="2"/>
  <c r="G25" i="2" s="1"/>
  <c r="E25" i="2"/>
  <c r="F24" i="2"/>
  <c r="G24" i="2" s="1"/>
  <c r="E24" i="2"/>
  <c r="F23" i="2"/>
  <c r="G23" i="2" s="1"/>
  <c r="E23" i="2"/>
  <c r="AD23" i="2" s="1"/>
  <c r="F22" i="2"/>
  <c r="G22" i="2" s="1"/>
  <c r="E22" i="2"/>
  <c r="AD22" i="2" s="1"/>
  <c r="F21" i="2"/>
  <c r="G21" i="2" s="1"/>
  <c r="E21" i="2"/>
  <c r="F20" i="2"/>
  <c r="G20" i="2" s="1"/>
  <c r="E20" i="2"/>
  <c r="F19" i="2"/>
  <c r="G19" i="2" s="1"/>
  <c r="E19" i="2"/>
  <c r="F18" i="2"/>
  <c r="G18" i="2" s="1"/>
  <c r="E18" i="2"/>
  <c r="AD18" i="2" s="1"/>
  <c r="F17" i="2"/>
  <c r="G17" i="2" s="1"/>
  <c r="E17" i="2"/>
  <c r="F16" i="2"/>
  <c r="G16" i="2" s="1"/>
  <c r="E16" i="2"/>
  <c r="F15" i="2"/>
  <c r="G15" i="2" s="1"/>
  <c r="E15" i="2"/>
  <c r="AE15" i="2" l="1"/>
  <c r="AE27" i="2"/>
  <c r="AE31" i="2"/>
  <c r="AE35" i="2"/>
  <c r="AE36" i="2"/>
  <c r="AE17" i="2"/>
  <c r="AE21" i="2"/>
  <c r="AE25" i="2"/>
  <c r="AE29" i="2"/>
  <c r="AE33" i="2"/>
  <c r="AE37" i="2"/>
  <c r="AF39" i="2" s="1"/>
  <c r="AF41" i="2" s="1"/>
  <c r="AE18" i="2"/>
  <c r="AE28" i="2"/>
  <c r="AE32" i="2"/>
  <c r="AE22" i="2"/>
  <c r="AE34" i="2"/>
  <c r="AE19" i="2"/>
  <c r="AD35" i="2"/>
  <c r="AD15" i="2"/>
  <c r="AE16" i="2"/>
  <c r="AE20" i="2"/>
  <c r="AE24" i="2"/>
  <c r="AD36" i="2"/>
  <c r="AE26" i="2"/>
  <c r="AD19" i="2"/>
  <c r="AD27" i="2"/>
  <c r="AE23" i="2"/>
  <c r="AD16" i="2"/>
  <c r="AD20" i="2"/>
  <c r="AD24" i="2"/>
  <c r="AD28" i="2"/>
  <c r="AD32" i="2"/>
  <c r="AD31" i="2"/>
  <c r="AD17" i="2"/>
  <c r="AD21" i="2"/>
  <c r="AD25" i="2"/>
  <c r="AD29" i="2"/>
  <c r="AD33" i="2"/>
  <c r="AD37" i="2"/>
  <c r="AE30" i="2"/>
  <c r="K15" i="2"/>
  <c r="AE42" i="2" l="1"/>
  <c r="AE41" i="2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16" i="2" l="1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15" i="2"/>
  <c r="AS3" i="3"/>
  <c r="Y35" i="2" l="1"/>
  <c r="X35" i="2"/>
  <c r="Y31" i="2"/>
  <c r="X31" i="2"/>
  <c r="Y27" i="2"/>
  <c r="X27" i="2"/>
  <c r="Y23" i="2"/>
  <c r="X23" i="2"/>
  <c r="Y19" i="2"/>
  <c r="X19" i="2"/>
  <c r="Y15" i="2"/>
  <c r="X15" i="2"/>
  <c r="Y34" i="2"/>
  <c r="X34" i="2"/>
  <c r="Y30" i="2"/>
  <c r="X30" i="2"/>
  <c r="Y26" i="2"/>
  <c r="X26" i="2"/>
  <c r="Y22" i="2"/>
  <c r="X22" i="2"/>
  <c r="Y18" i="2"/>
  <c r="X18" i="2"/>
  <c r="Y37" i="2"/>
  <c r="X37" i="2"/>
  <c r="Y33" i="2"/>
  <c r="X33" i="2"/>
  <c r="Y29" i="2"/>
  <c r="X29" i="2"/>
  <c r="Y25" i="2"/>
  <c r="X25" i="2"/>
  <c r="Y21" i="2"/>
  <c r="X21" i="2"/>
  <c r="Y17" i="2"/>
  <c r="X17" i="2"/>
  <c r="Y36" i="2"/>
  <c r="X36" i="2"/>
  <c r="Y32" i="2"/>
  <c r="X32" i="2"/>
  <c r="Y28" i="2"/>
  <c r="X28" i="2"/>
  <c r="Y24" i="2"/>
  <c r="X24" i="2"/>
  <c r="Y20" i="2"/>
  <c r="X20" i="2"/>
  <c r="Y16" i="2"/>
  <c r="X16" i="2"/>
  <c r="AV4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H15" i="2" l="1"/>
  <c r="H37" i="2" l="1"/>
  <c r="H16" i="2"/>
  <c r="H24" i="2"/>
  <c r="H17" i="2" l="1"/>
  <c r="S15" i="2"/>
  <c r="I16" i="2" l="1" a="1"/>
  <c r="I16" i="2" s="1"/>
  <c r="I17" i="2" l="1"/>
  <c r="K17" i="2" s="1"/>
  <c r="K16" i="2"/>
  <c r="Z34" i="2" l="1"/>
  <c r="AC34" i="2" s="1"/>
  <c r="AG34" i="2" s="1"/>
  <c r="AI34" i="2" s="1"/>
  <c r="Z37" i="2" l="1"/>
  <c r="AA39" i="2" s="1"/>
  <c r="AA41" i="2" s="1"/>
  <c r="Z36" i="2" l="1"/>
  <c r="Z35" i="2"/>
  <c r="Z31" i="2"/>
  <c r="AC31" i="2" s="1"/>
  <c r="AG31" i="2" s="1"/>
  <c r="AI31" i="2" s="1"/>
  <c r="Z30" i="2"/>
  <c r="Z29" i="2"/>
  <c r="Z28" i="2"/>
  <c r="Z26" i="2"/>
  <c r="Z25" i="2"/>
  <c r="Z24" i="2"/>
  <c r="Z23" i="2"/>
  <c r="Z22" i="2"/>
  <c r="Z21" i="2"/>
  <c r="Z20" i="2"/>
  <c r="Z19" i="2"/>
  <c r="Z18" i="2"/>
  <c r="Z16" i="2"/>
  <c r="Z17" i="2" l="1"/>
  <c r="AC17" i="2" s="1"/>
  <c r="AG17" i="2" s="1"/>
  <c r="AI17" i="2" s="1"/>
  <c r="Z32" i="2"/>
  <c r="AC32" i="2" s="1"/>
  <c r="AG32" i="2" s="1"/>
  <c r="AI32" i="2" s="1"/>
  <c r="Z15" i="2"/>
  <c r="Z33" i="2"/>
  <c r="AC33" i="2" s="1"/>
  <c r="AG33" i="2" s="1"/>
  <c r="AI33" i="2" s="1"/>
  <c r="Z27" i="2"/>
  <c r="AC27" i="2" s="1"/>
  <c r="AG27" i="2" s="1"/>
  <c r="AI27" i="2" s="1"/>
  <c r="AC35" i="2"/>
  <c r="AG35" i="2" s="1"/>
  <c r="AI35" i="2" s="1"/>
  <c r="AC26" i="2"/>
  <c r="AG26" i="2" s="1"/>
  <c r="AI26" i="2" s="1"/>
  <c r="AC22" i="2"/>
  <c r="AG22" i="2" s="1"/>
  <c r="AI22" i="2" s="1"/>
  <c r="AC29" i="2"/>
  <c r="AG29" i="2" s="1"/>
  <c r="AI29" i="2" s="1"/>
  <c r="AC25" i="2"/>
  <c r="AG25" i="2" s="1"/>
  <c r="AI25" i="2" s="1"/>
  <c r="AC28" i="2"/>
  <c r="AG28" i="2" s="1"/>
  <c r="AI28" i="2" s="1"/>
  <c r="AC36" i="2"/>
  <c r="AG36" i="2" s="1"/>
  <c r="AI36" i="2" s="1"/>
  <c r="AC16" i="2"/>
  <c r="AG16" i="2" s="1"/>
  <c r="AI16" i="2" s="1"/>
  <c r="AC18" i="2"/>
  <c r="AG18" i="2" s="1"/>
  <c r="AI18" i="2" s="1"/>
  <c r="AC20" i="2"/>
  <c r="AG20" i="2" s="1"/>
  <c r="AI20" i="2" s="1"/>
  <c r="AC21" i="2"/>
  <c r="AG21" i="2" s="1"/>
  <c r="AI21" i="2" s="1"/>
  <c r="AC23" i="2"/>
  <c r="AG23" i="2" s="1"/>
  <c r="AI23" i="2" s="1"/>
  <c r="H21" i="2"/>
  <c r="S20" i="2"/>
  <c r="S16" i="2"/>
  <c r="S17" i="2"/>
  <c r="AC24" i="2"/>
  <c r="AG24" i="2" s="1"/>
  <c r="AI24" i="2" s="1"/>
  <c r="S24" i="2"/>
  <c r="S28" i="2"/>
  <c r="S32" i="2"/>
  <c r="S36" i="2"/>
  <c r="S27" i="2"/>
  <c r="S31" i="2"/>
  <c r="S35" i="2"/>
  <c r="S23" i="2"/>
  <c r="S22" i="2"/>
  <c r="S34" i="2"/>
  <c r="S26" i="2"/>
  <c r="AC30" i="2"/>
  <c r="AG30" i="2" s="1"/>
  <c r="AI30" i="2" s="1"/>
  <c r="S30" i="2"/>
  <c r="AC19" i="2"/>
  <c r="AG19" i="2" s="1"/>
  <c r="AI19" i="2" s="1"/>
  <c r="S19" i="2"/>
  <c r="S18" i="2"/>
  <c r="S25" i="2"/>
  <c r="S29" i="2"/>
  <c r="S33" i="2"/>
  <c r="S37" i="2"/>
  <c r="Z42" i="2" l="1"/>
  <c r="Z41" i="2"/>
  <c r="AC15" i="2"/>
  <c r="AG15" i="2" s="1"/>
  <c r="AG46" i="2" s="1"/>
  <c r="AG47" i="2" s="1"/>
  <c r="AI48" i="2" s="1"/>
  <c r="S21" i="2"/>
  <c r="AC37" i="2"/>
  <c r="AG37" i="2" s="1"/>
  <c r="AI37" i="2" s="1"/>
  <c r="H20" i="2"/>
  <c r="H34" i="2"/>
  <c r="H33" i="2"/>
  <c r="H19" i="2"/>
  <c r="H36" i="2"/>
  <c r="H32" i="2"/>
  <c r="H35" i="2"/>
  <c r="H30" i="2"/>
  <c r="H28" i="2"/>
  <c r="H23" i="2"/>
  <c r="H31" i="2"/>
  <c r="H27" i="2"/>
  <c r="H22" i="2"/>
  <c r="H26" i="2"/>
  <c r="H29" i="2"/>
  <c r="H18" i="2"/>
  <c r="H25" i="2"/>
  <c r="AI40" i="2" l="1"/>
  <c r="AI15" i="2"/>
  <c r="AI39" i="2" s="1"/>
  <c r="AH45" i="2" s="1"/>
  <c r="AI41" i="2"/>
  <c r="I18" i="2"/>
  <c r="I19" i="2" l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K40" i="2" s="1"/>
  <c r="K18" i="2"/>
  <c r="I42" i="2" l="1"/>
  <c r="I43" i="2" s="1"/>
  <c r="K44" i="2" s="1"/>
  <c r="K19" i="2"/>
  <c r="K41" i="2"/>
  <c r="K20" i="2"/>
  <c r="K21" i="2" l="1"/>
  <c r="K22" i="2" l="1"/>
  <c r="K23" i="2" l="1"/>
  <c r="K24" i="2" l="1"/>
  <c r="K25" i="2" l="1"/>
  <c r="K26" i="2" l="1"/>
  <c r="K27" i="2" l="1"/>
  <c r="K28" i="2" l="1"/>
  <c r="K29" i="2" l="1"/>
  <c r="K30" i="2" l="1"/>
  <c r="K31" i="2" l="1"/>
  <c r="K32" i="2" l="1"/>
  <c r="K33" i="2" l="1"/>
  <c r="K34" i="2" l="1"/>
  <c r="K35" i="2" l="1"/>
  <c r="K37" i="2" l="1"/>
  <c r="K36" i="2"/>
  <c r="K39" i="2" l="1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7" authorId="0" shapeId="0" xr:uid="{C66B1087-F2AD-484E-9289-AD3F1C3D7AA3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9" authorId="0" shapeId="0" xr:uid="{5815BDB4-D62D-47AF-954A-A1BE86446F6B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<sst xmlns="http://schemas.openxmlformats.org/spreadsheetml/2006/main" count="269" uniqueCount="164">
  <si>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</si>
  <si>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</si>
  <si>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</si>
  <si>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</si>
  <si>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</si>
  <si>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</si>
  <si>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</si>
  <si>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</si>
  <si>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</si>
  <si>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</si>
  <si>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</si>
  <si>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</si>
  <si>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</si>
  <si>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</si>
  <si>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</si>
  <si>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</si>
  <si>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</si>
  <si>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</si>
  <si>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</si>
  <si>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</si>
  <si>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</si>
  <si>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</si>
  <si>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</si>
  <si>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</si>
  <si>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</si>
  <si>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</si>
  <si>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</si>
  <si>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</si>
  <si>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</si>
  <si>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</si>
  <si>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</si>
  <si>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</si>
  <si>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</si>
  <si>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</si>
  <si>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</si>
  <si>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</si>
  <si>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</si>
  <si>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</si>
  <si>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</si>
  <si>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</si>
  <si>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</si>
  <si>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</si>
  <si>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</si>
  <si>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</si>
  <si>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</si>
  <si>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</si>
  <si>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</si>
  <si>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</si>
  <si>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</si>
  <si>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</si>
  <si>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</si>
  <si>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</si>
  <si>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</si>
  <si>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</si>
  <si>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</si>
  <si>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</si>
  <si>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</si>
  <si>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</si>
  <si>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</si>
  <si>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</si>
  <si>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</si>
  <si>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</si>
  <si>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</si>
  <si>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</si>
  <si>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</si>
  <si>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</si>
  <si>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</si>
  <si>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</si>
  <si>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</si>
  <si>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</si>
  <si>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</si>
  <si>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</si>
  <si>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</si>
  <si>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</si>
  <si>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</si>
  <si>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</si>
  <si>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</si>
  <si>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</si>
  <si>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</si>
  <si>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</si>
  <si>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</si>
  <si>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</si>
  <si>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</si>
  <si>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</si>
  <si>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</si>
  <si>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</si>
  <si>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</si>
  <si>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</si>
  <si>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</si>
  <si>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</si>
  <si>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</si>
  <si>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</si>
  <si>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</si>
  <si>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</si>
  <si>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</si>
  <si>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</si>
  <si>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</si>
  <si>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</si>
  <si>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REALI finali</t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</si>
  <si>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</si>
  <si>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</si>
  <si>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</si>
  <si>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</si>
  <si>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>biomassa (gm^2)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</si>
  <si>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</si>
  <si>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</si>
  <si>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</si>
  <si>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</si>
  <si>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</si>
  <si>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Model_green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</si>
  <si>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</si>
  <si>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</si>
  <si>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</si>
  <si>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</si>
  <si>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</si>
  <si>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</si>
  <si>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Model_red</t>
  </si>
  <si>
    <t>Model_offN_green</t>
  </si>
  <si>
    <t>Model_offN_red</t>
  </si>
  <si>
    <t>Exp_green</t>
  </si>
  <si>
    <t>Exp_red</t>
  </si>
  <si>
    <t>Exp_offN_green</t>
  </si>
  <si>
    <t>Exp_offN_red</t>
  </si>
  <si>
    <t>Exp-G-ON</t>
  </si>
  <si>
    <t>MEC G-N</t>
  </si>
  <si>
    <t>Exp G-N</t>
  </si>
  <si>
    <t>MEC R-N</t>
  </si>
  <si>
    <t>Exp R-N</t>
  </si>
  <si>
    <t>MEC G-ON</t>
  </si>
  <si>
    <t>MEC R-ON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</si>
  <si>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</si>
  <si>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</si>
  <si>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</si>
  <si>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</si>
  <si>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</si>
  <si>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days after transplanting</t>
  </si>
  <si>
    <t>MWw</t>
  </si>
  <si>
    <t>A_CQY_CUE_min</t>
  </si>
  <si>
    <t>(A_CQY_CUE)min</t>
  </si>
  <si>
    <t>A_CQY_CUE_max</t>
  </si>
  <si>
    <t>(A_CQY_CUE)max</t>
  </si>
  <si>
    <t>A_CQY_min</t>
  </si>
  <si>
    <t>(A_CQY)min</t>
  </si>
  <si>
    <t>A_CQY_max</t>
  </si>
  <si>
    <t>(A_CQY)max</t>
  </si>
  <si>
    <t>A_CQY</t>
  </si>
  <si>
    <t>A_CQY_CUE</t>
  </si>
  <si>
    <t>Obiettivo</t>
  </si>
  <si>
    <t>Corr</t>
  </si>
  <si>
    <t>DTR measured</t>
  </si>
  <si>
    <t>TEB measured</t>
  </si>
  <si>
    <t>BIAS</t>
  </si>
  <si>
    <t>dev.st</t>
  </si>
  <si>
    <t>e.st</t>
  </si>
  <si>
    <t>RPD</t>
  </si>
  <si>
    <t>G-N</t>
  </si>
  <si>
    <t>G-ON</t>
  </si>
  <si>
    <t>R-N</t>
  </si>
  <si>
    <t>R-ON</t>
  </si>
  <si>
    <t>chamber dimensions</t>
  </si>
  <si>
    <t>gSmeasured</t>
  </si>
  <si>
    <t>PN Measured</t>
  </si>
  <si>
    <t>FW (g) per plant</t>
  </si>
  <si>
    <t>DW per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</si>
</sst>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2" fontId="0" fillId="0" borderId="0" xfId="0" applyNumberFormat="1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0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164" fontId="4" fillId="0" borderId="0" xfId="0" applyNumberFormat="1" applyFont="1"/>
    <xf numFmtId="166" fontId="6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Red</a:t>
            </a:r>
            <a:r>
              <a:rPr lang="it-IT" baseline="0"/>
              <a:t> Off </a:t>
            </a:r>
            <a:r>
              <a:rPr lang="it-IT"/>
              <a:t>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R_ON!$I$14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R_ON!$I$15:$I$37</c:f>
              <c:numCache>
                <c:formatCode>0.00</c:formatCode>
                <c:ptCount val="23"/>
                <c:pt idx="0">
                  <c:v>8.5299999999999994</c:v>
                </c:pt>
                <c:pt idx="1">
                  <c:v>9.6456699879705443</c:v>
                </c:pt>
                <c:pt idx="2">
                  <c:v>10.761339975941089</c:v>
                </c:pt>
                <c:pt idx="3">
                  <c:v>11.877009963911634</c:v>
                </c:pt>
                <c:pt idx="4">
                  <c:v>12.992679951882179</c:v>
                </c:pt>
                <c:pt idx="5">
                  <c:v>14.108349939852724</c:v>
                </c:pt>
                <c:pt idx="6">
                  <c:v>15.224019927823269</c:v>
                </c:pt>
                <c:pt idx="7">
                  <c:v>17.878845731862853</c:v>
                </c:pt>
                <c:pt idx="8">
                  <c:v>20.753550938198014</c:v>
                </c:pt>
                <c:pt idx="9">
                  <c:v>23.84813554682875</c:v>
                </c:pt>
                <c:pt idx="10">
                  <c:v>27.162599557755065</c:v>
                </c:pt>
                <c:pt idx="11">
                  <c:v>30.696942970976956</c:v>
                </c:pt>
                <c:pt idx="12">
                  <c:v>34.451165786494428</c:v>
                </c:pt>
                <c:pt idx="13">
                  <c:v>38.425268004307476</c:v>
                </c:pt>
                <c:pt idx="14">
                  <c:v>42.619249624416099</c:v>
                </c:pt>
                <c:pt idx="15">
                  <c:v>47.033110646820298</c:v>
                </c:pt>
                <c:pt idx="16">
                  <c:v>51.446971669224496</c:v>
                </c:pt>
                <c:pt idx="17">
                  <c:v>55.860832691628694</c:v>
                </c:pt>
                <c:pt idx="18">
                  <c:v>60.274693714032892</c:v>
                </c:pt>
                <c:pt idx="19">
                  <c:v>64.688554736437098</c:v>
                </c:pt>
                <c:pt idx="20">
                  <c:v>69.102415758841303</c:v>
                </c:pt>
                <c:pt idx="21">
                  <c:v>73.516276781245509</c:v>
                </c:pt>
                <c:pt idx="22">
                  <c:v>77.930137803649714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R_ON!$J$14</c:f>
              <c:strCache>
                <c:ptCount val="1"/>
                <c:pt idx="0">
                  <c:v>TEB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R_ON!$J$15:$J$37</c:f>
              <c:numCache>
                <c:formatCode>0.00</c:formatCode>
                <c:ptCount val="23"/>
                <c:pt idx="0">
                  <c:v>8.2409939999999988</c:v>
                </c:pt>
                <c:pt idx="1">
                  <c:v>8.5573259999999998</c:v>
                </c:pt>
                <c:pt idx="2">
                  <c:v>8.8954740000000001</c:v>
                </c:pt>
                <c:pt idx="3">
                  <c:v>9.1681740000000005</c:v>
                </c:pt>
                <c:pt idx="4">
                  <c:v>10.040814000000001</c:v>
                </c:pt>
                <c:pt idx="5">
                  <c:v>10.586214000000002</c:v>
                </c:pt>
                <c:pt idx="6">
                  <c:v>11.186154</c:v>
                </c:pt>
                <c:pt idx="7">
                  <c:v>13.967694</c:v>
                </c:pt>
                <c:pt idx="8">
                  <c:v>22.421393999999999</c:v>
                </c:pt>
                <c:pt idx="9">
                  <c:v>23.675814000000003</c:v>
                </c:pt>
                <c:pt idx="10">
                  <c:v>25.284743999999996</c:v>
                </c:pt>
                <c:pt idx="11">
                  <c:v>31.229604000000002</c:v>
                </c:pt>
                <c:pt idx="12">
                  <c:v>33.983874</c:v>
                </c:pt>
                <c:pt idx="13">
                  <c:v>38.237993999999993</c:v>
                </c:pt>
                <c:pt idx="14">
                  <c:v>50.727653999999994</c:v>
                </c:pt>
                <c:pt idx="15">
                  <c:v>51.627563999999985</c:v>
                </c:pt>
                <c:pt idx="16">
                  <c:v>56.372543999999991</c:v>
                </c:pt>
                <c:pt idx="17">
                  <c:v>59.454053999999999</c:v>
                </c:pt>
                <c:pt idx="18">
                  <c:v>64.962593999999996</c:v>
                </c:pt>
                <c:pt idx="19">
                  <c:v>65.126213999999976</c:v>
                </c:pt>
                <c:pt idx="20">
                  <c:v>66.244283999999993</c:v>
                </c:pt>
                <c:pt idx="21">
                  <c:v>66.571523999999982</c:v>
                </c:pt>
                <c:pt idx="22">
                  <c:v>72.980574000000004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</a:t>
            </a:r>
            <a:r>
              <a:rPr lang="it-IT" sz="1400" b="0" i="0" u="none" strike="noStrike" baseline="0">
                <a:effectLst/>
              </a:rPr>
              <a:t>Red Off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R_ON!$AG$14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R_ON!$AG$15:$AG$37</c:f>
              <c:numCache>
                <c:formatCode>0.00</c:formatCode>
                <c:ptCount val="23"/>
                <c:pt idx="0">
                  <c:v>1.2218048412886255</c:v>
                </c:pt>
                <c:pt idx="1">
                  <c:v>0.94050398722302964</c:v>
                </c:pt>
                <c:pt idx="2">
                  <c:v>0.48793915228958334</c:v>
                </c:pt>
                <c:pt idx="3">
                  <c:v>0.45849498862512017</c:v>
                </c:pt>
                <c:pt idx="4">
                  <c:v>0.6487582844256462</c:v>
                </c:pt>
                <c:pt idx="5">
                  <c:v>0.77470409284185793</c:v>
                </c:pt>
                <c:pt idx="6">
                  <c:v>0.79327150720736783</c:v>
                </c:pt>
                <c:pt idx="7">
                  <c:v>1.0552812840015031</c:v>
                </c:pt>
                <c:pt idx="8">
                  <c:v>1.1773916955291215</c:v>
                </c:pt>
                <c:pt idx="9">
                  <c:v>1.2350006757949841</c:v>
                </c:pt>
                <c:pt idx="10">
                  <c:v>1.2259553915283561</c:v>
                </c:pt>
                <c:pt idx="11">
                  <c:v>1.2260394558136747</c:v>
                </c:pt>
                <c:pt idx="12">
                  <c:v>1.3055665557254403</c:v>
                </c:pt>
                <c:pt idx="13">
                  <c:v>1.3631036890694808</c:v>
                </c:pt>
                <c:pt idx="14">
                  <c:v>1.4527511213548452</c:v>
                </c:pt>
                <c:pt idx="15">
                  <c:v>1.5281377282825195</c:v>
                </c:pt>
                <c:pt idx="16">
                  <c:v>1.5411548079504154</c:v>
                </c:pt>
                <c:pt idx="17">
                  <c:v>1.5348229762123375</c:v>
                </c:pt>
                <c:pt idx="18">
                  <c:v>1.4625573467022721</c:v>
                </c:pt>
                <c:pt idx="19">
                  <c:v>1.5596915196863512</c:v>
                </c:pt>
                <c:pt idx="20">
                  <c:v>1.6422118985996279</c:v>
                </c:pt>
                <c:pt idx="21">
                  <c:v>1.5472439226275192</c:v>
                </c:pt>
                <c:pt idx="22">
                  <c:v>1.5472439226275192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R_ON!$AH$14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xVal>
          <c:yVal>
            <c:numRef>
              <c:f>R_ON!$AH$15:$AH$37</c:f>
              <c:numCache>
                <c:formatCode>0.00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56609100333047"/>
          <c:y val="5.586787182148855E-2"/>
          <c:w val="0.55598147290412225"/>
          <c:h val="0.84101982429045241"/>
        </c:manualLayout>
      </c:layout>
      <c:lineChart>
        <c:grouping val="standard"/>
        <c:varyColors val="0"/>
        <c:ser>
          <c:idx val="0"/>
          <c:order val="0"/>
          <c:tx>
            <c:strRef>
              <c:f>results!$A$3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results!$A$4:$A$26</c:f>
              <c:numCache>
                <c:formatCode>General</c:formatCode>
                <c:ptCount val="23"/>
                <c:pt idx="0">
                  <c:v>4.0138662317554884E-2</c:v>
                </c:pt>
                <c:pt idx="1">
                  <c:v>0.22705856249999998</c:v>
                </c:pt>
                <c:pt idx="2">
                  <c:v>0.62569982233669863</c:v>
                </c:pt>
                <c:pt idx="3">
                  <c:v>1.2844371941617563</c:v>
                </c:pt>
                <c:pt idx="4">
                  <c:v>2.2438194366990487</c:v>
                </c:pt>
                <c:pt idx="5">
                  <c:v>3.5394926988919808</c:v>
                </c:pt>
                <c:pt idx="6">
                  <c:v>5.2036490041014352</c:v>
                </c:pt>
                <c:pt idx="7">
                  <c:v>7.2658739999999993</c:v>
                </c:pt>
                <c:pt idx="8">
                  <c:v>7.2658739999999993</c:v>
                </c:pt>
                <c:pt idx="9">
                  <c:v>7.2658739999999993</c:v>
                </c:pt>
                <c:pt idx="10">
                  <c:v>7.2658739999999993</c:v>
                </c:pt>
                <c:pt idx="11">
                  <c:v>7.2658739999999993</c:v>
                </c:pt>
                <c:pt idx="12">
                  <c:v>7.2658739999999993</c:v>
                </c:pt>
                <c:pt idx="13">
                  <c:v>7.2658739999999993</c:v>
                </c:pt>
                <c:pt idx="14">
                  <c:v>7.2658739999999993</c:v>
                </c:pt>
                <c:pt idx="15">
                  <c:v>7.2658739999999993</c:v>
                </c:pt>
                <c:pt idx="16">
                  <c:v>7.2658739999999993</c:v>
                </c:pt>
                <c:pt idx="17">
                  <c:v>7.2658739999999993</c:v>
                </c:pt>
                <c:pt idx="18">
                  <c:v>7.2658739999999993</c:v>
                </c:pt>
                <c:pt idx="19">
                  <c:v>7.2658739999999993</c:v>
                </c:pt>
                <c:pt idx="20">
                  <c:v>7.2658739999999993</c:v>
                </c:pt>
                <c:pt idx="21">
                  <c:v>7.2658739999999993</c:v>
                </c:pt>
                <c:pt idx="22">
                  <c:v>7.2658739999999993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F-432F-8F6A-0C12A987311B}"/>
            </c:ext>
          </c:extLst>
        </c:ser>
        <c:ser>
          <c:idx val="1"/>
          <c:order val="1"/>
          <c:tx>
            <c:strRef>
              <c:f>results!$A$30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results!$A$31:$A$53</c:f>
              <c:numCache>
                <c:formatCode>General</c:formatCode>
                <c:ptCount val="23"/>
                <c:pt idx="0">
                  <c:v>4.1785911316561036E-2</c:v>
                </c:pt>
                <c:pt idx="1">
                  <c:v>0.23637680999999999</c:v>
                </c:pt>
                <c:pt idx="2">
                  <c:v>0.65137789296765936</c:v>
                </c:pt>
                <c:pt idx="3">
                  <c:v>1.3371491621299532</c:v>
                </c:pt>
                <c:pt idx="4">
                  <c:v>2.3359034551402047</c:v>
                </c:pt>
                <c:pt idx="5">
                  <c:v>3.6847498018594962</c:v>
                </c:pt>
                <c:pt idx="6">
                  <c:v>5.4172013528411833</c:v>
                </c:pt>
                <c:pt idx="7">
                  <c:v>7.5640579199999998</c:v>
                </c:pt>
                <c:pt idx="8">
                  <c:v>7.5640579199999998</c:v>
                </c:pt>
                <c:pt idx="9">
                  <c:v>7.5640579199999998</c:v>
                </c:pt>
                <c:pt idx="10">
                  <c:v>7.5640579199999998</c:v>
                </c:pt>
                <c:pt idx="11">
                  <c:v>7.5640579199999998</c:v>
                </c:pt>
                <c:pt idx="12">
                  <c:v>7.5640579199999998</c:v>
                </c:pt>
                <c:pt idx="13">
                  <c:v>7.5640579199999998</c:v>
                </c:pt>
                <c:pt idx="14">
                  <c:v>7.5640579199999998</c:v>
                </c:pt>
                <c:pt idx="15">
                  <c:v>7.5640579199999998</c:v>
                </c:pt>
                <c:pt idx="16">
                  <c:v>7.5640579199999998</c:v>
                </c:pt>
                <c:pt idx="17">
                  <c:v>7.5640579199999998</c:v>
                </c:pt>
                <c:pt idx="18">
                  <c:v>7.5640579199999998</c:v>
                </c:pt>
                <c:pt idx="19">
                  <c:v>7.5640579199999998</c:v>
                </c:pt>
                <c:pt idx="20">
                  <c:v>7.5640579199999998</c:v>
                </c:pt>
                <c:pt idx="21">
                  <c:v>7.5640579199999998</c:v>
                </c:pt>
                <c:pt idx="22">
                  <c:v>7.5640579199999998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F-432F-8F6A-0C12A987311B}"/>
            </c:ext>
          </c:extLst>
        </c:ser>
        <c:ser>
          <c:idx val="2"/>
          <c:order val="2"/>
          <c:tx>
            <c:strRef>
              <c:f>results!$A$57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results!$A$58:$A$80</c:f>
              <c:numCache>
                <c:formatCode>General</c:formatCode>
                <c:ptCount val="23"/>
                <c:pt idx="0">
                  <c:v>3.1902417322524142E-2</c:v>
                </c:pt>
                <c:pt idx="1">
                  <c:v>0.18046732499999998</c:v>
                </c:pt>
                <c:pt idx="2">
                  <c:v>0.49730946918189561</c:v>
                </c:pt>
                <c:pt idx="3">
                  <c:v>1.0208773543207725</c:v>
                </c:pt>
                <c:pt idx="4">
                  <c:v>1.7833993444932699</c:v>
                </c:pt>
                <c:pt idx="5">
                  <c:v>2.8132071840544057</c:v>
                </c:pt>
                <c:pt idx="6">
                  <c:v>4.1358872604026997</c:v>
                </c:pt>
                <c:pt idx="7">
                  <c:v>5.7749543999999995</c:v>
                </c:pt>
                <c:pt idx="8">
                  <c:v>5.7749543999999995</c:v>
                </c:pt>
                <c:pt idx="9">
                  <c:v>5.7749543999999995</c:v>
                </c:pt>
                <c:pt idx="10">
                  <c:v>5.7749543999999995</c:v>
                </c:pt>
                <c:pt idx="11">
                  <c:v>5.7749543999999995</c:v>
                </c:pt>
                <c:pt idx="12">
                  <c:v>5.7749543999999995</c:v>
                </c:pt>
                <c:pt idx="13">
                  <c:v>5.7749543999999995</c:v>
                </c:pt>
                <c:pt idx="14">
                  <c:v>5.7749543999999995</c:v>
                </c:pt>
                <c:pt idx="15">
                  <c:v>5.7749543999999995</c:v>
                </c:pt>
                <c:pt idx="16">
                  <c:v>5.7749543999999995</c:v>
                </c:pt>
                <c:pt idx="17">
                  <c:v>5.7749543999999995</c:v>
                </c:pt>
                <c:pt idx="18">
                  <c:v>5.7749543999999995</c:v>
                </c:pt>
                <c:pt idx="19">
                  <c:v>5.7749543999999995</c:v>
                </c:pt>
                <c:pt idx="20">
                  <c:v>5.7749543999999995</c:v>
                </c:pt>
                <c:pt idx="21">
                  <c:v>5.7749543999999995</c:v>
                </c:pt>
                <c:pt idx="22">
                  <c:v>5.7749543999999995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B8F-432F-8F6A-0C12A987311B}"/>
            </c:ext>
          </c:extLst>
        </c:ser>
        <c:ser>
          <c:idx val="3"/>
          <c:order val="3"/>
          <c:tx>
            <c:strRef>
              <c:f>results!$A$84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results!$A$85:$A$107</c:f>
              <c:numCache>
                <c:formatCode>General</c:formatCode>
                <c:ptCount val="23"/>
                <c:pt idx="0">
                  <c:v>3.2851149340939079E-2</c:v>
                </c:pt>
                <c:pt idx="1">
                  <c:v>0.18583416375</c:v>
                </c:pt>
                <c:pt idx="2">
                  <c:v>0.51209873770985381</c:v>
                </c:pt>
                <c:pt idx="3">
                  <c:v>1.0512367789100505</c:v>
                </c:pt>
                <c:pt idx="4">
                  <c:v>1.836435076633429</c:v>
                </c:pt>
                <c:pt idx="5">
                  <c:v>2.8968679205736705</c:v>
                </c:pt>
                <c:pt idx="6">
                  <c:v>4.2588826004996427</c:v>
                </c:pt>
                <c:pt idx="7">
                  <c:v>5.9466932400000001</c:v>
                </c:pt>
                <c:pt idx="8">
                  <c:v>5.9466932400000001</c:v>
                </c:pt>
                <c:pt idx="9">
                  <c:v>5.9466932400000001</c:v>
                </c:pt>
                <c:pt idx="10">
                  <c:v>5.9466932400000001</c:v>
                </c:pt>
                <c:pt idx="11">
                  <c:v>5.9466932400000001</c:v>
                </c:pt>
                <c:pt idx="12">
                  <c:v>5.9466932400000001</c:v>
                </c:pt>
                <c:pt idx="13">
                  <c:v>5.9466932400000001</c:v>
                </c:pt>
                <c:pt idx="14">
                  <c:v>5.9466932400000001</c:v>
                </c:pt>
                <c:pt idx="15">
                  <c:v>5.9466932400000001</c:v>
                </c:pt>
                <c:pt idx="16">
                  <c:v>5.9466932400000001</c:v>
                </c:pt>
                <c:pt idx="17">
                  <c:v>5.9466932400000001</c:v>
                </c:pt>
                <c:pt idx="18">
                  <c:v>5.9466932400000001</c:v>
                </c:pt>
                <c:pt idx="19">
                  <c:v>5.9466932400000001</c:v>
                </c:pt>
                <c:pt idx="20">
                  <c:v>5.9466932400000001</c:v>
                </c:pt>
                <c:pt idx="21">
                  <c:v>5.9466932400000001</c:v>
                </c:pt>
                <c:pt idx="22">
                  <c:v>5.9466932400000001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B8F-432F-8F6A-0C12A987311B}"/>
            </c:ext>
          </c:extLst>
        </c:ser>
        <c:ser>
          <c:idx val="4"/>
          <c:order val="4"/>
          <c:tx>
            <c:strRef>
              <c:f>results!$B$3</c:f>
              <c:strCache>
                <c:ptCount val="1"/>
                <c:pt idx="0">
                  <c:v>Exp_green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results!$B$4:$B$26</c:f>
              <c:numCache>
                <c:formatCode>General</c:formatCode>
                <c:ptCount val="23"/>
                <c:pt idx="22">
                  <c:v>7.3055555555555598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F-432F-8F6A-0C12A987311B}"/>
            </c:ext>
          </c:extLst>
        </c:ser>
        <c:ser>
          <c:idx val="5"/>
          <c:order val="5"/>
          <c:tx>
            <c:strRef>
              <c:f>results!$B$30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results!$B$31:$B$53</c:f>
              <c:numCache>
                <c:formatCode>General</c:formatCode>
                <c:ptCount val="23"/>
                <c:pt idx="22">
                  <c:v>7.8933333333333344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8F-432F-8F6A-0C12A987311B}"/>
            </c:ext>
          </c:extLst>
        </c:ser>
        <c:ser>
          <c:idx val="6"/>
          <c:order val="6"/>
          <c:tx>
            <c:strRef>
              <c:f>results!$B$57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results!$B$58:$B$80</c:f>
              <c:numCache>
                <c:formatCode>General</c:formatCode>
                <c:ptCount val="23"/>
                <c:pt idx="22">
                  <c:v>5.8987499999999997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8F-432F-8F6A-0C12A987311B}"/>
            </c:ext>
          </c:extLst>
        </c:ser>
        <c:ser>
          <c:idx val="7"/>
          <c:order val="7"/>
          <c:tx>
            <c:strRef>
              <c:f>results!$B$84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results!$B$85:$B$107</c:f>
              <c:numCache>
                <c:formatCode>General</c:formatCode>
                <c:ptCount val="23"/>
                <c:pt idx="22">
                  <c:v>6.5044444444444434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8F-432F-8F6A-0C12A9873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P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N</a:t>
                </a:r>
                <a:r>
                  <a:rPr lang="it-IT" sz="1800" b="0" i="0" baseline="-2500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(µmol Co</a:t>
                </a:r>
                <a:r>
                  <a:rPr lang="it-IT" sz="1400" b="0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4360704911886049E-3"/>
              <c:y val="0.2454667443096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65826330532224"/>
          <c:y val="4.7599564523887888E-2"/>
          <c:w val="0.25501594653609477"/>
          <c:h val="0.87626334489539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MEC 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results!$AB$4:$AB$26</c:f>
              <c:numCache>
                <c:formatCode>General</c:formatCode>
                <c:ptCount val="23"/>
                <c:pt idx="0">
                  <c:v>8.5299999999999994</c:v>
                </c:pt>
                <c:pt idx="1">
                  <c:v>8.7618474339999999</c:v>
                </c:pt>
                <c:pt idx="2">
                  <c:v>9.4007438344078</c:v>
                </c:pt>
                <c:pt idx="3">
                  <c:v>10.712270976664605</c:v>
                </c:pt>
                <c:pt idx="4">
                  <c:v>13.003414605119488</c:v>
                </c:pt>
                <c:pt idx="5">
                  <c:v>16.617558422751735</c:v>
                </c:pt>
                <c:pt idx="6">
                  <c:v>21.930957114939673</c:v>
                </c:pt>
                <c:pt idx="7">
                  <c:v>29.350075002939672</c:v>
                </c:pt>
                <c:pt idx="8">
                  <c:v>36.769192890939671</c:v>
                </c:pt>
                <c:pt idx="9">
                  <c:v>44.188310778939673</c:v>
                </c:pt>
                <c:pt idx="10">
                  <c:v>51.607428666939676</c:v>
                </c:pt>
                <c:pt idx="11">
                  <c:v>59.026546554939678</c:v>
                </c:pt>
                <c:pt idx="12">
                  <c:v>66.445664442939673</c:v>
                </c:pt>
                <c:pt idx="13">
                  <c:v>73.864782330939676</c:v>
                </c:pt>
                <c:pt idx="14">
                  <c:v>81.283900218939678</c:v>
                </c:pt>
                <c:pt idx="15">
                  <c:v>88.70301810693968</c:v>
                </c:pt>
                <c:pt idx="16">
                  <c:v>96.122135994939683</c:v>
                </c:pt>
                <c:pt idx="17">
                  <c:v>103.54125388293969</c:v>
                </c:pt>
                <c:pt idx="18">
                  <c:v>110.96037177093969</c:v>
                </c:pt>
                <c:pt idx="19">
                  <c:v>118.37948965893969</c:v>
                </c:pt>
                <c:pt idx="20">
                  <c:v>125.79860754693969</c:v>
                </c:pt>
                <c:pt idx="21">
                  <c:v>133.21772543493969</c:v>
                </c:pt>
                <c:pt idx="22">
                  <c:v>140.63684332293968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MEC 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6.3896299999999995</c:v>
                </c:pt>
                <c:pt idx="1">
                  <c:v>6.5109040423999991</c:v>
                </c:pt>
                <c:pt idx="2">
                  <c:v>6.845096005690233</c:v>
                </c:pt>
                <c:pt idx="3">
                  <c:v>7.5311255877937926</c:v>
                </c:pt>
                <c:pt idx="4">
                  <c:v>8.7295699472932711</c:v>
                </c:pt>
                <c:pt idx="5">
                  <c:v>10.620045174977832</c:v>
                </c:pt>
                <c:pt idx="6">
                  <c:v>13.399361413968446</c:v>
                </c:pt>
                <c:pt idx="7">
                  <c:v>17.280130770768444</c:v>
                </c:pt>
                <c:pt idx="8">
                  <c:v>21.160900127568446</c:v>
                </c:pt>
                <c:pt idx="9">
                  <c:v>25.041669484368448</c:v>
                </c:pt>
                <c:pt idx="10">
                  <c:v>28.92243884116845</c:v>
                </c:pt>
                <c:pt idx="11">
                  <c:v>32.803208197968452</c:v>
                </c:pt>
                <c:pt idx="12">
                  <c:v>36.683977554768454</c:v>
                </c:pt>
                <c:pt idx="13">
                  <c:v>40.564746911568456</c:v>
                </c:pt>
                <c:pt idx="14">
                  <c:v>44.445516268368458</c:v>
                </c:pt>
                <c:pt idx="15">
                  <c:v>48.32628562516846</c:v>
                </c:pt>
                <c:pt idx="16">
                  <c:v>52.207054981968462</c:v>
                </c:pt>
                <c:pt idx="17">
                  <c:v>56.087824338768463</c:v>
                </c:pt>
                <c:pt idx="18">
                  <c:v>59.968593695568465</c:v>
                </c:pt>
                <c:pt idx="19">
                  <c:v>63.849363052368467</c:v>
                </c:pt>
                <c:pt idx="20">
                  <c:v>67.730132409168462</c:v>
                </c:pt>
                <c:pt idx="21">
                  <c:v>71.610901765968464</c:v>
                </c:pt>
                <c:pt idx="22">
                  <c:v>75.491671122768466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 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General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6.3896299999999995</c:v>
                </c:pt>
                <c:pt idx="1">
                  <c:v>12.792356999999999</c:v>
                </c:pt>
                <c:pt idx="2">
                  <c:v>13.010516999999998</c:v>
                </c:pt>
                <c:pt idx="3">
                  <c:v>13.146867</c:v>
                </c:pt>
                <c:pt idx="4">
                  <c:v>13.801346999999998</c:v>
                </c:pt>
                <c:pt idx="5">
                  <c:v>16.201106999999997</c:v>
                </c:pt>
                <c:pt idx="6">
                  <c:v>19.855286999999997</c:v>
                </c:pt>
                <c:pt idx="7">
                  <c:v>22.364126999999996</c:v>
                </c:pt>
                <c:pt idx="8">
                  <c:v>24.082136999999999</c:v>
                </c:pt>
                <c:pt idx="9">
                  <c:v>24.845697000000001</c:v>
                </c:pt>
                <c:pt idx="10">
                  <c:v>26.863676999999996</c:v>
                </c:pt>
                <c:pt idx="11">
                  <c:v>34.035686999999996</c:v>
                </c:pt>
                <c:pt idx="12">
                  <c:v>37.689866999999992</c:v>
                </c:pt>
                <c:pt idx="13">
                  <c:v>43.634726999999998</c:v>
                </c:pt>
                <c:pt idx="14">
                  <c:v>49.797746999999994</c:v>
                </c:pt>
                <c:pt idx="15">
                  <c:v>55.851686999999991</c:v>
                </c:pt>
                <c:pt idx="16">
                  <c:v>58.033286999999994</c:v>
                </c:pt>
                <c:pt idx="17">
                  <c:v>60.051266999999982</c:v>
                </c:pt>
                <c:pt idx="18">
                  <c:v>63.596366999999987</c:v>
                </c:pt>
                <c:pt idx="19">
                  <c:v>65.232566999999989</c:v>
                </c:pt>
                <c:pt idx="20">
                  <c:v>65.914316999999983</c:v>
                </c:pt>
                <c:pt idx="21">
                  <c:v>68.668586999999988</c:v>
                </c:pt>
                <c:pt idx="22">
                  <c:v>72.431846999999991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6.9651372355200003</c:v>
                      </c:pt>
                      <c:pt idx="2">
                        <c:v>7.642507836743567</c:v>
                      </c:pt>
                      <c:pt idx="3">
                        <c:v>9.0330148552593528</c:v>
                      </c:pt>
                      <c:pt idx="4">
                        <c:v>11.462130649471739</c:v>
                      </c:pt>
                      <c:pt idx="5">
                        <c:v>15.293917413484479</c:v>
                      </c:pt>
                      <c:pt idx="6">
                        <c:v>20.927287807136043</c:v>
                      </c:pt>
                      <c:pt idx="7">
                        <c:v>28.793183343776043</c:v>
                      </c:pt>
                      <c:pt idx="8">
                        <c:v>36.659078880416047</c:v>
                      </c:pt>
                      <c:pt idx="9">
                        <c:v>44.52497441705605</c:v>
                      </c:pt>
                      <c:pt idx="10">
                        <c:v>52.390869953696054</c:v>
                      </c:pt>
                      <c:pt idx="11">
                        <c:v>60.256765490336058</c:v>
                      </c:pt>
                      <c:pt idx="12">
                        <c:v>68.122661026976061</c:v>
                      </c:pt>
                      <c:pt idx="13">
                        <c:v>75.988556563616058</c:v>
                      </c:pt>
                      <c:pt idx="14">
                        <c:v>83.854452100256054</c:v>
                      </c:pt>
                      <c:pt idx="15">
                        <c:v>91.720347636896051</c:v>
                      </c:pt>
                      <c:pt idx="16">
                        <c:v>99.586243173536047</c:v>
                      </c:pt>
                      <c:pt idx="17">
                        <c:v>107.45213871017604</c:v>
                      </c:pt>
                      <c:pt idx="18">
                        <c:v>115.31803424681604</c:v>
                      </c:pt>
                      <c:pt idx="19">
                        <c:v>123.18392978345604</c:v>
                      </c:pt>
                      <c:pt idx="20">
                        <c:v>131.04982532009603</c:v>
                      </c:pt>
                      <c:pt idx="21">
                        <c:v>138.91572085673604</c:v>
                      </c:pt>
                      <c:pt idx="22">
                        <c:v>146.78161639337605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8.2409940000000006</c:v>
                      </c:pt>
                      <c:pt idx="1">
                        <c:v>8.3123316720000009</c:v>
                      </c:pt>
                      <c:pt idx="2">
                        <c:v>8.5089151798177856</c:v>
                      </c:pt>
                      <c:pt idx="3">
                        <c:v>8.9124619928198801</c:v>
                      </c:pt>
                      <c:pt idx="4">
                        <c:v>9.6174292631136904</c:v>
                      </c:pt>
                      <c:pt idx="5">
                        <c:v>10.729473514692843</c:v>
                      </c:pt>
                      <c:pt idx="6">
                        <c:v>12.364365419981441</c:v>
                      </c:pt>
                      <c:pt idx="7">
                        <c:v>14.647170923981442</c:v>
                      </c:pt>
                      <c:pt idx="8">
                        <c:v>18.810029818061441</c:v>
                      </c:pt>
                      <c:pt idx="9">
                        <c:v>22.97288871214144</c:v>
                      </c:pt>
                      <c:pt idx="10">
                        <c:v>27.13574760622144</c:v>
                      </c:pt>
                      <c:pt idx="11">
                        <c:v>31.298606500301439</c:v>
                      </c:pt>
                      <c:pt idx="12">
                        <c:v>35.461465394381442</c:v>
                      </c:pt>
                      <c:pt idx="13">
                        <c:v>39.624324288461445</c:v>
                      </c:pt>
                      <c:pt idx="14">
                        <c:v>43.787183182541447</c:v>
                      </c:pt>
                      <c:pt idx="15">
                        <c:v>47.95004207662145</c:v>
                      </c:pt>
                      <c:pt idx="16">
                        <c:v>52.112900970701453</c:v>
                      </c:pt>
                      <c:pt idx="17">
                        <c:v>56.275759864781456</c:v>
                      </c:pt>
                      <c:pt idx="18">
                        <c:v>60.438618758861459</c:v>
                      </c:pt>
                      <c:pt idx="19">
                        <c:v>64.601477652941455</c:v>
                      </c:pt>
                      <c:pt idx="20">
                        <c:v>68.764336547021458</c:v>
                      </c:pt>
                      <c:pt idx="21">
                        <c:v>72.92719544110146</c:v>
                      </c:pt>
                      <c:pt idx="22">
                        <c:v>77.090054335181463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8.2409939999999988</c:v>
                      </c:pt>
                      <c:pt idx="1">
                        <c:v>8.5573259999999998</c:v>
                      </c:pt>
                      <c:pt idx="2">
                        <c:v>8.8954740000000001</c:v>
                      </c:pt>
                      <c:pt idx="3">
                        <c:v>9.1681740000000005</c:v>
                      </c:pt>
                      <c:pt idx="4">
                        <c:v>10.040814000000001</c:v>
                      </c:pt>
                      <c:pt idx="5">
                        <c:v>10.586214000000002</c:v>
                      </c:pt>
                      <c:pt idx="6">
                        <c:v>11.186154</c:v>
                      </c:pt>
                      <c:pt idx="7">
                        <c:v>13.967694</c:v>
                      </c:pt>
                      <c:pt idx="8">
                        <c:v>22.421393999999999</c:v>
                      </c:pt>
                      <c:pt idx="9">
                        <c:v>23.675814000000003</c:v>
                      </c:pt>
                      <c:pt idx="10">
                        <c:v>25.284743999999996</c:v>
                      </c:pt>
                      <c:pt idx="11">
                        <c:v>31.229604000000002</c:v>
                      </c:pt>
                      <c:pt idx="12">
                        <c:v>33.983874</c:v>
                      </c:pt>
                      <c:pt idx="13">
                        <c:v>38.237993999999993</c:v>
                      </c:pt>
                      <c:pt idx="14">
                        <c:v>50.727653999999994</c:v>
                      </c:pt>
                      <c:pt idx="15">
                        <c:v>51.627563999999985</c:v>
                      </c:pt>
                      <c:pt idx="16">
                        <c:v>56.372543999999991</c:v>
                      </c:pt>
                      <c:pt idx="17">
                        <c:v>59.454053999999999</c:v>
                      </c:pt>
                      <c:pt idx="18">
                        <c:v>64.962593999999996</c:v>
                      </c:pt>
                      <c:pt idx="19">
                        <c:v>65.126213999999976</c:v>
                      </c:pt>
                      <c:pt idx="20">
                        <c:v>66.244283999999993</c:v>
                      </c:pt>
                      <c:pt idx="21">
                        <c:v>66.571523999999982</c:v>
                      </c:pt>
                      <c:pt idx="22">
                        <c:v>72.980574000000004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MEC 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General</c:formatCode>
                <c:ptCount val="23"/>
                <c:pt idx="0">
                  <c:v>6.719328</c:v>
                </c:pt>
                <c:pt idx="1">
                  <c:v>6.9651372355200003</c:v>
                </c:pt>
                <c:pt idx="2">
                  <c:v>7.642507836743567</c:v>
                </c:pt>
                <c:pt idx="3">
                  <c:v>9.0330148552593528</c:v>
                </c:pt>
                <c:pt idx="4">
                  <c:v>11.462130649471739</c:v>
                </c:pt>
                <c:pt idx="5">
                  <c:v>15.293917413484479</c:v>
                </c:pt>
                <c:pt idx="6">
                  <c:v>20.927287807136043</c:v>
                </c:pt>
                <c:pt idx="7">
                  <c:v>28.793183343776043</c:v>
                </c:pt>
                <c:pt idx="8">
                  <c:v>36.659078880416047</c:v>
                </c:pt>
                <c:pt idx="9">
                  <c:v>44.52497441705605</c:v>
                </c:pt>
                <c:pt idx="10">
                  <c:v>52.390869953696054</c:v>
                </c:pt>
                <c:pt idx="11">
                  <c:v>60.256765490336058</c:v>
                </c:pt>
                <c:pt idx="12">
                  <c:v>68.122661026976061</c:v>
                </c:pt>
                <c:pt idx="13">
                  <c:v>75.988556563616058</c:v>
                </c:pt>
                <c:pt idx="14">
                  <c:v>83.854452100256054</c:v>
                </c:pt>
                <c:pt idx="15">
                  <c:v>91.720347636896051</c:v>
                </c:pt>
                <c:pt idx="16">
                  <c:v>99.586243173536047</c:v>
                </c:pt>
                <c:pt idx="17">
                  <c:v>107.45213871017604</c:v>
                </c:pt>
                <c:pt idx="18">
                  <c:v>115.31803424681604</c:v>
                </c:pt>
                <c:pt idx="19">
                  <c:v>123.18392978345604</c:v>
                </c:pt>
                <c:pt idx="20">
                  <c:v>131.04982532009603</c:v>
                </c:pt>
                <c:pt idx="21">
                  <c:v>138.91572085673604</c:v>
                </c:pt>
                <c:pt idx="22">
                  <c:v>146.78161639337605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MEC 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8.2409940000000006</c:v>
                </c:pt>
                <c:pt idx="1">
                  <c:v>8.3123316720000009</c:v>
                </c:pt>
                <c:pt idx="2">
                  <c:v>8.5089151798177856</c:v>
                </c:pt>
                <c:pt idx="3">
                  <c:v>8.9124619928198801</c:v>
                </c:pt>
                <c:pt idx="4">
                  <c:v>9.6174292631136904</c:v>
                </c:pt>
                <c:pt idx="5">
                  <c:v>10.729473514692843</c:v>
                </c:pt>
                <c:pt idx="6">
                  <c:v>12.364365419981441</c:v>
                </c:pt>
                <c:pt idx="7">
                  <c:v>14.647170923981442</c:v>
                </c:pt>
                <c:pt idx="8">
                  <c:v>18.810029818061441</c:v>
                </c:pt>
                <c:pt idx="9">
                  <c:v>22.97288871214144</c:v>
                </c:pt>
                <c:pt idx="10">
                  <c:v>27.13574760622144</c:v>
                </c:pt>
                <c:pt idx="11">
                  <c:v>31.298606500301439</c:v>
                </c:pt>
                <c:pt idx="12">
                  <c:v>35.461465394381442</c:v>
                </c:pt>
                <c:pt idx="13">
                  <c:v>39.624324288461445</c:v>
                </c:pt>
                <c:pt idx="14">
                  <c:v>43.787183182541447</c:v>
                </c:pt>
                <c:pt idx="15">
                  <c:v>47.95004207662145</c:v>
                </c:pt>
                <c:pt idx="16">
                  <c:v>52.112900970701453</c:v>
                </c:pt>
                <c:pt idx="17">
                  <c:v>56.275759864781456</c:v>
                </c:pt>
                <c:pt idx="18">
                  <c:v>60.438618758861459</c:v>
                </c:pt>
                <c:pt idx="19">
                  <c:v>64.601477652941455</c:v>
                </c:pt>
                <c:pt idx="20">
                  <c:v>68.764336547021458</c:v>
                </c:pt>
                <c:pt idx="21">
                  <c:v>72.92719544110146</c:v>
                </c:pt>
                <c:pt idx="22">
                  <c:v>77.090054335181463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 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General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8.2409939999999988</c:v>
                </c:pt>
                <c:pt idx="1">
                  <c:v>8.5573259999999998</c:v>
                </c:pt>
                <c:pt idx="2">
                  <c:v>8.8954740000000001</c:v>
                </c:pt>
                <c:pt idx="3">
                  <c:v>9.1681740000000005</c:v>
                </c:pt>
                <c:pt idx="4">
                  <c:v>10.040814000000001</c:v>
                </c:pt>
                <c:pt idx="5">
                  <c:v>10.586214000000002</c:v>
                </c:pt>
                <c:pt idx="6">
                  <c:v>11.186154</c:v>
                </c:pt>
                <c:pt idx="7">
                  <c:v>13.967694</c:v>
                </c:pt>
                <c:pt idx="8">
                  <c:v>22.421393999999999</c:v>
                </c:pt>
                <c:pt idx="9">
                  <c:v>23.675814000000003</c:v>
                </c:pt>
                <c:pt idx="10">
                  <c:v>25.284743999999996</c:v>
                </c:pt>
                <c:pt idx="11">
                  <c:v>31.229604000000002</c:v>
                </c:pt>
                <c:pt idx="12">
                  <c:v>33.983874</c:v>
                </c:pt>
                <c:pt idx="13">
                  <c:v>38.237993999999993</c:v>
                </c:pt>
                <c:pt idx="14">
                  <c:v>50.727653999999994</c:v>
                </c:pt>
                <c:pt idx="15">
                  <c:v>51.627563999999985</c:v>
                </c:pt>
                <c:pt idx="16">
                  <c:v>56.372543999999991</c:v>
                </c:pt>
                <c:pt idx="17">
                  <c:v>59.454053999999999</c:v>
                </c:pt>
                <c:pt idx="18">
                  <c:v>64.962593999999996</c:v>
                </c:pt>
                <c:pt idx="19">
                  <c:v>65.126213999999976</c:v>
                </c:pt>
                <c:pt idx="20">
                  <c:v>66.244283999999993</c:v>
                </c:pt>
                <c:pt idx="21">
                  <c:v>66.571523999999982</c:v>
                </c:pt>
                <c:pt idx="22">
                  <c:v>72.980574000000004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2.6482405472792272E-3</c:v>
                </c:pt>
                <c:pt idx="1">
                  <c:v>2.0482871922531416E-2</c:v>
                </c:pt>
                <c:pt idx="2">
                  <c:v>5.7912733852794204E-2</c:v>
                </c:pt>
                <c:pt idx="3">
                  <c:v>0.11517681817649685</c:v>
                </c:pt>
                <c:pt idx="4">
                  <c:v>0.20755235974574915</c:v>
                </c:pt>
                <c:pt idx="5">
                  <c:v>0.31835733145867062</c:v>
                </c:pt>
                <c:pt idx="6">
                  <c:v>0.47282550886249769</c:v>
                </c:pt>
                <c:pt idx="7">
                  <c:v>0.63660034292697421</c:v>
                </c:pt>
                <c:pt idx="8">
                  <c:v>0.65358581061155485</c:v>
                </c:pt>
                <c:pt idx="9">
                  <c:v>0.64402659162947251</c:v>
                </c:pt>
                <c:pt idx="10">
                  <c:v>0.59743637119048987</c:v>
                </c:pt>
                <c:pt idx="11">
                  <c:v>0.66608842639127386</c:v>
                </c:pt>
                <c:pt idx="12">
                  <c:v>0.65788146446920293</c:v>
                </c:pt>
                <c:pt idx="13">
                  <c:v>0.6447091236749396</c:v>
                </c:pt>
                <c:pt idx="14">
                  <c:v>0.63454040023920422</c:v>
                </c:pt>
                <c:pt idx="15">
                  <c:v>0.63194552894031919</c:v>
                </c:pt>
                <c:pt idx="16">
                  <c:v>0.62728222371255482</c:v>
                </c:pt>
                <c:pt idx="17">
                  <c:v>0.61886745088089401</c:v>
                </c:pt>
                <c:pt idx="18">
                  <c:v>0.61938585914860311</c:v>
                </c:pt>
                <c:pt idx="19">
                  <c:v>0.66453338803011741</c:v>
                </c:pt>
                <c:pt idx="20">
                  <c:v>0.63596117330469493</c:v>
                </c:pt>
                <c:pt idx="21">
                  <c:v>0.63596117330469493</c:v>
                </c:pt>
                <c:pt idx="22">
                  <c:v>0.63596117330469493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Model_red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Model_offN_green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Model_offN_red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Exp_offN_green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Exp_offN_red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4921808407389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00893760828914"/>
          <c:y val="0.89155125705749805"/>
          <c:w val="0.53917707141271121"/>
          <c:h val="8.2725270273691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48517845237191004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General</c:formatCode>
                <c:ptCount val="23"/>
                <c:pt idx="0">
                  <c:v>2.8974388282997777E-3</c:v>
                </c:pt>
                <c:pt idx="1">
                  <c:v>1.8446936194797387E-2</c:v>
                </c:pt>
                <c:pt idx="2">
                  <c:v>3.7605192857240774E-2</c:v>
                </c:pt>
                <c:pt idx="3">
                  <c:v>7.2162440359259269E-2</c:v>
                </c:pt>
                <c:pt idx="4">
                  <c:v>0.29321322683010959</c:v>
                </c:pt>
                <c:pt idx="5">
                  <c:v>0.34438343884210187</c:v>
                </c:pt>
                <c:pt idx="6">
                  <c:v>0.51635245699461574</c:v>
                </c:pt>
                <c:pt idx="7">
                  <c:v>0.74079632280626151</c:v>
                </c:pt>
                <c:pt idx="8">
                  <c:v>0.73209426290734037</c:v>
                </c:pt>
                <c:pt idx="9">
                  <c:v>0.73209426290734037</c:v>
                </c:pt>
                <c:pt idx="10">
                  <c:v>0.73209426290734037</c:v>
                </c:pt>
                <c:pt idx="11">
                  <c:v>0.74655044417607308</c:v>
                </c:pt>
                <c:pt idx="12">
                  <c:v>0.76835941625045834</c:v>
                </c:pt>
                <c:pt idx="13">
                  <c:v>0.73296602720014792</c:v>
                </c:pt>
                <c:pt idx="14">
                  <c:v>0.80229369958743157</c:v>
                </c:pt>
                <c:pt idx="15">
                  <c:v>0.77711414149966107</c:v>
                </c:pt>
                <c:pt idx="16">
                  <c:v>0.78415951886965185</c:v>
                </c:pt>
                <c:pt idx="17">
                  <c:v>0.78073166958877938</c:v>
                </c:pt>
                <c:pt idx="18">
                  <c:v>0.83752426505835309</c:v>
                </c:pt>
                <c:pt idx="19">
                  <c:v>0.84228585517673304</c:v>
                </c:pt>
                <c:pt idx="20">
                  <c:v>0.8390872328020863</c:v>
                </c:pt>
                <c:pt idx="21">
                  <c:v>0.82869419546780487</c:v>
                </c:pt>
                <c:pt idx="22">
                  <c:v>0.82869419546780487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General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</a:p>
              <a:p>
                <a:pPr>
                  <a:defRPr sz="1400">
                    <a:solidFill>
                      <a:sysClr val="windowText" lastClr="000000"/>
                    </a:solidFill>
                  </a:defRPr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it-IT" sz="2000" baseline="-25000">
              <a:solidFill>
                <a:sysClr val="windowText" lastClr="000000"/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it-IT"/>
          </a:p>
        </c:rich>
      </c:tx>
      <c:layout>
        <c:manualLayout>
          <c:xMode val="edge"/>
          <c:yMode val="edge"/>
          <c:x val="0.464819352454589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930369443891716"/>
          <c:y val="6.444236271109198E-2"/>
          <c:w val="0.56585159707022181"/>
          <c:h val="0.83673257884565078"/>
        </c:manualLayout>
      </c:layout>
      <c:lineChart>
        <c:grouping val="standard"/>
        <c:varyColors val="0"/>
        <c:ser>
          <c:idx val="0"/>
          <c:order val="0"/>
          <c:tx>
            <c:strRef>
              <c:f>results!$Q$3</c:f>
              <c:strCache>
                <c:ptCount val="1"/>
                <c:pt idx="0">
                  <c:v>Model_green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R_ON!$A$15:$A$37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 formatCode="0.00">
                  <c:v>22</c:v>
                </c:pt>
                <c:pt idx="22" formatCode="0.00">
                  <c:v>23</c:v>
                </c:pt>
              </c:numCache>
            </c:numRef>
          </c:cat>
          <c:val>
            <c:numRef>
              <c:f>results!$Q$4:$Q$26</c:f>
              <c:numCache>
                <c:formatCode>General</c:formatCode>
                <c:ptCount val="23"/>
                <c:pt idx="0">
                  <c:v>1.0297919574760726E-3</c:v>
                </c:pt>
                <c:pt idx="1">
                  <c:v>6.3541673740856496E-3</c:v>
                </c:pt>
                <c:pt idx="2">
                  <c:v>1.7105008508085436E-2</c:v>
                </c:pt>
                <c:pt idx="3">
                  <c:v>3.5793806851493908E-2</c:v>
                </c:pt>
                <c:pt idx="4">
                  <c:v>6.0465129278723849E-2</c:v>
                </c:pt>
                <c:pt idx="5">
                  <c:v>9.6561311673623071E-2</c:v>
                </c:pt>
                <c:pt idx="6">
                  <c:v>0.13861811793101333</c:v>
                </c:pt>
                <c:pt idx="7">
                  <c:v>0.19625339307867162</c:v>
                </c:pt>
                <c:pt idx="8">
                  <c:v>0.19165299467859295</c:v>
                </c:pt>
                <c:pt idx="9">
                  <c:v>0.19428913864368713</c:v>
                </c:pt>
                <c:pt idx="10">
                  <c:v>0.20566609069096045</c:v>
                </c:pt>
                <c:pt idx="11">
                  <c:v>0.18799090461360787</c:v>
                </c:pt>
                <c:pt idx="12">
                  <c:v>0.19042431321613887</c:v>
                </c:pt>
                <c:pt idx="13">
                  <c:v>0.19410509933761338</c:v>
                </c:pt>
                <c:pt idx="14">
                  <c:v>0.19678644978304918</c:v>
                </c:pt>
                <c:pt idx="15">
                  <c:v>0.19745103616609341</c:v>
                </c:pt>
                <c:pt idx="16">
                  <c:v>0.19862684284378662</c:v>
                </c:pt>
                <c:pt idx="17">
                  <c:v>0.20069217283417018</c:v>
                </c:pt>
                <c:pt idx="18">
                  <c:v>0.20056692386198077</c:v>
                </c:pt>
                <c:pt idx="19">
                  <c:v>0.18846122728468556</c:v>
                </c:pt>
                <c:pt idx="20">
                  <c:v>0.19641932058002004</c:v>
                </c:pt>
                <c:pt idx="21">
                  <c:v>0.19641932058002004</c:v>
                </c:pt>
                <c:pt idx="22">
                  <c:v>0.19641932058002004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8-429C-8EA3-9DA22C334C72}"/>
            </c:ext>
          </c:extLst>
        </c:ser>
        <c:ser>
          <c:idx val="1"/>
          <c:order val="1"/>
          <c:tx>
            <c:strRef>
              <c:f>results!$Q$30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results!$Q$31:$Q$53</c:f>
              <c:numCache>
                <c:formatCode>General</c:formatCode>
                <c:ptCount val="23"/>
                <c:pt idx="0">
                  <c:v>1.1191671966820243E-3</c:v>
                </c:pt>
                <c:pt idx="1">
                  <c:v>6.8917564891856336E-3</c:v>
                </c:pt>
                <c:pt idx="2">
                  <c:v>1.8561914875871253E-2</c:v>
                </c:pt>
                <c:pt idx="3">
                  <c:v>3.8825742948230414E-2</c:v>
                </c:pt>
                <c:pt idx="4">
                  <c:v>6.563676855494037E-2</c:v>
                </c:pt>
                <c:pt idx="5">
                  <c:v>0.10479075969736037</c:v>
                </c:pt>
                <c:pt idx="6">
                  <c:v>0.15051442899310877</c:v>
                </c:pt>
                <c:pt idx="7">
                  <c:v>0.21302770671332552</c:v>
                </c:pt>
                <c:pt idx="8">
                  <c:v>0.20814885406384531</c:v>
                </c:pt>
                <c:pt idx="9">
                  <c:v>0.21094455931587106</c:v>
                </c:pt>
                <c:pt idx="10">
                  <c:v>0.22301013881826806</c:v>
                </c:pt>
                <c:pt idx="11">
                  <c:v>0.20426510394866351</c:v>
                </c:pt>
                <c:pt idx="12">
                  <c:v>0.20684580261326685</c:v>
                </c:pt>
                <c:pt idx="13">
                  <c:v>0.21074938042527086</c:v>
                </c:pt>
                <c:pt idx="14">
                  <c:v>0.21359302842859937</c:v>
                </c:pt>
                <c:pt idx="15">
                  <c:v>0.21429784108910035</c:v>
                </c:pt>
                <c:pt idx="16">
                  <c:v>0.2155448173346016</c:v>
                </c:pt>
                <c:pt idx="17">
                  <c:v>0.21773515821800454</c:v>
                </c:pt>
                <c:pt idx="18">
                  <c:v>0.21760232813967906</c:v>
                </c:pt>
                <c:pt idx="19">
                  <c:v>0.20476389444686438</c:v>
                </c:pt>
                <c:pt idx="20">
                  <c:v>0.21320367752262792</c:v>
                </c:pt>
                <c:pt idx="21">
                  <c:v>0.21320367752262792</c:v>
                </c:pt>
                <c:pt idx="22">
                  <c:v>0.21320367752262792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8-429C-8EA3-9DA22C334C72}"/>
            </c:ext>
          </c:extLst>
        </c:ser>
        <c:ser>
          <c:idx val="2"/>
          <c:order val="2"/>
          <c:tx>
            <c:strRef>
              <c:f>results!$Q$57</c:f>
              <c:strCache>
                <c:ptCount val="1"/>
                <c:pt idx="0">
                  <c:v>Model_offN_green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results!$Q$58:$Q$80</c:f>
              <c:numCache>
                <c:formatCode>General</c:formatCode>
                <c:ptCount val="23"/>
                <c:pt idx="0">
                  <c:v>2.1243409531179966E-4</c:v>
                </c:pt>
                <c:pt idx="1">
                  <c:v>1.3805770283048719E-3</c:v>
                </c:pt>
                <c:pt idx="2">
                  <c:v>2.6926354758210246E-3</c:v>
                </c:pt>
                <c:pt idx="3">
                  <c:v>5.1332695743024443E-3</c:v>
                </c:pt>
                <c:pt idx="4">
                  <c:v>2.5725883911056624E-2</c:v>
                </c:pt>
                <c:pt idx="5">
                  <c:v>2.7151896399187449E-2</c:v>
                </c:pt>
                <c:pt idx="6">
                  <c:v>4.1212065576591024E-2</c:v>
                </c:pt>
                <c:pt idx="7">
                  <c:v>6.0149438805126777E-2</c:v>
                </c:pt>
                <c:pt idx="8">
                  <c:v>5.9212698741436899E-2</c:v>
                </c:pt>
                <c:pt idx="9">
                  <c:v>5.9212698741436899E-2</c:v>
                </c:pt>
                <c:pt idx="10">
                  <c:v>5.9212698741436899E-2</c:v>
                </c:pt>
                <c:pt idx="11">
                  <c:v>6.0774084039567182E-2</c:v>
                </c:pt>
                <c:pt idx="12">
                  <c:v>6.3181043593670341E-2</c:v>
                </c:pt>
                <c:pt idx="13">
                  <c:v>5.9306117119083339E-2</c:v>
                </c:pt>
                <c:pt idx="14">
                  <c:v>6.7059913331122406E-2</c:v>
                </c:pt>
                <c:pt idx="15">
                  <c:v>6.4165593821373643E-2</c:v>
                </c:pt>
                <c:pt idx="16">
                  <c:v>6.4965888890782017E-2</c:v>
                </c:pt>
                <c:pt idx="17">
                  <c:v>6.4575612168113306E-2</c:v>
                </c:pt>
                <c:pt idx="18">
                  <c:v>7.1280281473318621E-2</c:v>
                </c:pt>
                <c:pt idx="19">
                  <c:v>7.1867358199014159E-2</c:v>
                </c:pt>
                <c:pt idx="20">
                  <c:v>7.1472525716953117E-2</c:v>
                </c:pt>
                <c:pt idx="21">
                  <c:v>7.0202481232989819E-2</c:v>
                </c:pt>
                <c:pt idx="22">
                  <c:v>7.0202481232989819E-2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4D8-429C-8EA3-9DA22C334C72}"/>
            </c:ext>
          </c:extLst>
        </c:ser>
        <c:ser>
          <c:idx val="3"/>
          <c:order val="3"/>
          <c:tx>
            <c:strRef>
              <c:f>results!$Q$84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results!$Q$85:$Q$107</c:f>
              <c:numCache>
                <c:formatCode>General</c:formatCode>
                <c:ptCount val="23"/>
                <c:pt idx="0">
                  <c:v>7.0323318414025377E-4</c:v>
                </c:pt>
                <c:pt idx="1">
                  <c:v>2.4338159542787044E-3</c:v>
                </c:pt>
                <c:pt idx="2">
                  <c:v>2.9312887470990408E-3</c:v>
                </c:pt>
                <c:pt idx="3">
                  <c:v>5.6065411192204795E-3</c:v>
                </c:pt>
                <c:pt idx="4">
                  <c:v>1.4702155607753732E-2</c:v>
                </c:pt>
                <c:pt idx="5">
                  <c:v>2.9005007620648039E-2</c:v>
                </c:pt>
                <c:pt idx="6">
                  <c:v>4.3991072679587434E-2</c:v>
                </c:pt>
                <c:pt idx="7">
                  <c:v>5.90751448802724E-2</c:v>
                </c:pt>
                <c:pt idx="8">
                  <c:v>6.5088530894951119E-2</c:v>
                </c:pt>
                <c:pt idx="9">
                  <c:v>6.6162378088255369E-2</c:v>
                </c:pt>
                <c:pt idx="10">
                  <c:v>6.2464186575082951E-2</c:v>
                </c:pt>
                <c:pt idx="11">
                  <c:v>5.9726153200850993E-2</c:v>
                </c:pt>
                <c:pt idx="12">
                  <c:v>6.2234698228687754E-2</c:v>
                </c:pt>
                <c:pt idx="13">
                  <c:v>6.3260801294753199E-2</c:v>
                </c:pt>
                <c:pt idx="14">
                  <c:v>6.6277275253683723E-2</c:v>
                </c:pt>
                <c:pt idx="15">
                  <c:v>6.8325371697956744E-2</c:v>
                </c:pt>
                <c:pt idx="16">
                  <c:v>6.9159443136234289E-2</c:v>
                </c:pt>
                <c:pt idx="17">
                  <c:v>6.8752694825710267E-2</c:v>
                </c:pt>
                <c:pt idx="18">
                  <c:v>6.4243208678673405E-2</c:v>
                </c:pt>
                <c:pt idx="19">
                  <c:v>7.0361751047579996E-2</c:v>
                </c:pt>
                <c:pt idx="20">
                  <c:v>7.5940691882357386E-2</c:v>
                </c:pt>
                <c:pt idx="21">
                  <c:v>6.9552474901899752E-2</c:v>
                </c:pt>
                <c:pt idx="22">
                  <c:v>6.9552474901899752E-2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4D8-429C-8EA3-9DA22C334C72}"/>
            </c:ext>
          </c:extLst>
        </c:ser>
        <c:ser>
          <c:idx val="4"/>
          <c:order val="4"/>
          <c:tx>
            <c:strRef>
              <c:f>results!$R$3</c:f>
              <c:strCache>
                <c:ptCount val="1"/>
                <c:pt idx="0">
                  <c:v>Exp_green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results!$R$4:$R$26</c:f>
              <c:numCache>
                <c:formatCode>General</c:formatCode>
                <c:ptCount val="23"/>
                <c:pt idx="22">
                  <c:v>0.18999999000000001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D8-429C-8EA3-9DA22C334C72}"/>
            </c:ext>
          </c:extLst>
        </c:ser>
        <c:ser>
          <c:idx val="5"/>
          <c:order val="5"/>
          <c:tx>
            <c:strRef>
              <c:f>results!$R$30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results!$R$31:$R$53</c:f>
              <c:numCache>
                <c:formatCode>General</c:formatCode>
                <c:ptCount val="23"/>
                <c:pt idx="22">
                  <c:v>0.21111111111111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D8-429C-8EA3-9DA22C334C72}"/>
            </c:ext>
          </c:extLst>
        </c:ser>
        <c:ser>
          <c:idx val="6"/>
          <c:order val="6"/>
          <c:tx>
            <c:strRef>
              <c:f>results!$R$57</c:f>
              <c:strCache>
                <c:ptCount val="1"/>
                <c:pt idx="0">
                  <c:v>Exp_offN_green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results!$R$58:$R$80</c:f>
              <c:numCache>
                <c:formatCode>General</c:formatCode>
                <c:ptCount val="23"/>
                <c:pt idx="22">
                  <c:v>7.5000000000000011E-2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D8-429C-8EA3-9DA22C334C72}"/>
            </c:ext>
          </c:extLst>
        </c:ser>
        <c:ser>
          <c:idx val="7"/>
          <c:order val="7"/>
          <c:tx>
            <c:strRef>
              <c:f>results!$R$84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results!$R$85:$R$107</c:f>
              <c:numCache>
                <c:formatCode>General</c:formatCode>
                <c:ptCount val="23"/>
                <c:pt idx="22">
                  <c:v>8.7499999999999994E-2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D8-429C-8EA3-9DA22C33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200" b="0" i="0" baseline="0">
                    <a:solidFill>
                      <a:sysClr val="windowText" lastClr="000000"/>
                    </a:solidFill>
                    <a:effectLst/>
                  </a:rPr>
                  <a:t>g</a:t>
                </a:r>
                <a:r>
                  <a:rPr lang="it-IT" sz="2200" b="0" i="0" baseline="-25000">
                    <a:solidFill>
                      <a:sysClr val="windowText" lastClr="000000"/>
                    </a:solidFill>
                    <a:effectLst/>
                  </a:rPr>
                  <a:t>s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(mol 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s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-1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1.3227588428702729E-4"/>
              <c:y val="0.35144745170519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00173398902748"/>
          <c:y val="6.903579174789648E-2"/>
          <c:w val="0.23899826601097249"/>
          <c:h val="0.87197609945059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Model_red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4.4092534703629692E-3</c:v>
                </c:pt>
                <c:pt idx="1">
                  <c:v>2.2626858221316697E-2</c:v>
                </c:pt>
                <c:pt idx="2">
                  <c:v>6.3984904458209452E-2</c:v>
                </c:pt>
                <c:pt idx="3">
                  <c:v>0.12711982304487976</c:v>
                </c:pt>
                <c:pt idx="4">
                  <c:v>0.22905978601216923</c:v>
                </c:pt>
                <c:pt idx="5">
                  <c:v>0.35084533154736058</c:v>
                </c:pt>
                <c:pt idx="6">
                  <c:v>0.52066774957481787</c:v>
                </c:pt>
                <c:pt idx="7">
                  <c:v>0.6995963526129092</c:v>
                </c:pt>
                <c:pt idx="8">
                  <c:v>0.71872515118522662</c:v>
                </c:pt>
                <c:pt idx="9">
                  <c:v>0.70794976880194738</c:v>
                </c:pt>
                <c:pt idx="10">
                  <c:v>0.65574318912168572</c:v>
                </c:pt>
                <c:pt idx="11">
                  <c:v>0.73286340296994001</c:v>
                </c:pt>
                <c:pt idx="12">
                  <c:v>0.72357658095202559</c:v>
                </c:pt>
                <c:pt idx="13">
                  <c:v>0.70871825490624363</c:v>
                </c:pt>
                <c:pt idx="14">
                  <c:v>0.69728171731482569</c:v>
                </c:pt>
                <c:pt idx="15">
                  <c:v>0.69436747190620929</c:v>
                </c:pt>
                <c:pt idx="16">
                  <c:v>0.68913413368929644</c:v>
                </c:pt>
                <c:pt idx="17">
                  <c:v>0.67970270112661157</c:v>
                </c:pt>
                <c:pt idx="18">
                  <c:v>0.68028332053483842</c:v>
                </c:pt>
                <c:pt idx="19">
                  <c:v>0.7311018177321893</c:v>
                </c:pt>
                <c:pt idx="20">
                  <c:v>0.69887804411610421</c:v>
                </c:pt>
                <c:pt idx="21">
                  <c:v>0.69887804411610421</c:v>
                </c:pt>
                <c:pt idx="22">
                  <c:v>0.69887804411610421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6.9306493259839279E-3</c:v>
                      </c:pt>
                      <c:pt idx="1">
                        <c:v>2.9499489372503358E-2</c:v>
                      </c:pt>
                      <c:pt idx="2">
                        <c:v>4.1429870674559929E-2</c:v>
                      </c:pt>
                      <c:pt idx="3">
                        <c:v>7.9754692249693365E-2</c:v>
                      </c:pt>
                      <c:pt idx="4">
                        <c:v>0.19769532023248967</c:v>
                      </c:pt>
                      <c:pt idx="5">
                        <c:v>0.37206846544805894</c:v>
                      </c:pt>
                      <c:pt idx="6">
                        <c:v>0.55723434348634149</c:v>
                      </c:pt>
                      <c:pt idx="7">
                        <c:v>0.75013435746208013</c:v>
                      </c:pt>
                      <c:pt idx="8">
                        <c:v>0.806998237482904</c:v>
                      </c:pt>
                      <c:pt idx="9">
                        <c:v>0.81678349354702318</c:v>
                      </c:pt>
                      <c:pt idx="10">
                        <c:v>0.78261404013312019</c:v>
                      </c:pt>
                      <c:pt idx="11">
                        <c:v>0.7564602440838466</c:v>
                      </c:pt>
                      <c:pt idx="12">
                        <c:v>0.780449956065285</c:v>
                      </c:pt>
                      <c:pt idx="13">
                        <c:v>0.79008644986701082</c:v>
                      </c:pt>
                      <c:pt idx="14">
                        <c:v>0.81782386649850014</c:v>
                      </c:pt>
                      <c:pt idx="15">
                        <c:v>0.83615493123667795</c:v>
                      </c:pt>
                      <c:pt idx="16">
                        <c:v>0.84350408336145999</c:v>
                      </c:pt>
                      <c:pt idx="17">
                        <c:v>0.83992853294780423</c:v>
                      </c:pt>
                      <c:pt idx="18">
                        <c:v>0.79921681966704372</c:v>
                      </c:pt>
                      <c:pt idx="19">
                        <c:v>0.85397984415184069</c:v>
                      </c:pt>
                      <c:pt idx="20">
                        <c:v>0.90077161786177029</c:v>
                      </c:pt>
                      <c:pt idx="21">
                        <c:v>0.84694390695407973</c:v>
                      </c:pt>
                      <c:pt idx="22">
                        <c:v>0.84694390695407973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  <a:r>
                  <a:rPr lang="it-IT" sz="1800" b="0" i="0" baseline="0">
                    <a:effectLst/>
                  </a:rPr>
                  <a:t> </a:t>
                </a:r>
              </a:p>
              <a:p>
                <a:pPr>
                  <a:defRPr/>
                </a:pP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9.9531000410307061E-3"/>
              <c:y val="0.40233705513498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Model_offN_red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6.9306493259839279E-3</c:v>
                </c:pt>
                <c:pt idx="1">
                  <c:v>2.9499489372503358E-2</c:v>
                </c:pt>
                <c:pt idx="2">
                  <c:v>4.1429870674559929E-2</c:v>
                </c:pt>
                <c:pt idx="3">
                  <c:v>7.9754692249693365E-2</c:v>
                </c:pt>
                <c:pt idx="4">
                  <c:v>0.19769532023248967</c:v>
                </c:pt>
                <c:pt idx="5">
                  <c:v>0.37206846544805894</c:v>
                </c:pt>
                <c:pt idx="6">
                  <c:v>0.55723434348634149</c:v>
                </c:pt>
                <c:pt idx="7">
                  <c:v>0.75013435746208013</c:v>
                </c:pt>
                <c:pt idx="8">
                  <c:v>0.806998237482904</c:v>
                </c:pt>
                <c:pt idx="9">
                  <c:v>0.81678349354702318</c:v>
                </c:pt>
                <c:pt idx="10">
                  <c:v>0.78261404013312019</c:v>
                </c:pt>
                <c:pt idx="11">
                  <c:v>0.7564602440838466</c:v>
                </c:pt>
                <c:pt idx="12">
                  <c:v>0.780449956065285</c:v>
                </c:pt>
                <c:pt idx="13">
                  <c:v>0.79008644986701082</c:v>
                </c:pt>
                <c:pt idx="14">
                  <c:v>0.81782386649850014</c:v>
                </c:pt>
                <c:pt idx="15">
                  <c:v>0.83615493123667795</c:v>
                </c:pt>
                <c:pt idx="16">
                  <c:v>0.84350408336145999</c:v>
                </c:pt>
                <c:pt idx="17">
                  <c:v>0.83992853294780423</c:v>
                </c:pt>
                <c:pt idx="18">
                  <c:v>0.79921681966704372</c:v>
                </c:pt>
                <c:pt idx="19">
                  <c:v>0.85397984415184069</c:v>
                </c:pt>
                <c:pt idx="20">
                  <c:v>0.90077161786177029</c:v>
                </c:pt>
                <c:pt idx="21">
                  <c:v>0.84694390695407973</c:v>
                </c:pt>
                <c:pt idx="22">
                  <c:v>0.84694390695407973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Exp_offN_red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R_ON!$A$15:$A$37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 formatCode="0.00">
                        <c:v>22</c:v>
                      </c:pt>
                      <c:pt idx="22" formatCode="0.00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2.6482405472792272E-3</c:v>
                      </c:pt>
                      <c:pt idx="1">
                        <c:v>2.0482871922531416E-2</c:v>
                      </c:pt>
                      <c:pt idx="2">
                        <c:v>5.7912733852794204E-2</c:v>
                      </c:pt>
                      <c:pt idx="3">
                        <c:v>0.11517681817649685</c:v>
                      </c:pt>
                      <c:pt idx="4">
                        <c:v>0.20755235974574915</c:v>
                      </c:pt>
                      <c:pt idx="5">
                        <c:v>0.31835733145867062</c:v>
                      </c:pt>
                      <c:pt idx="6">
                        <c:v>0.47282550886249769</c:v>
                      </c:pt>
                      <c:pt idx="7">
                        <c:v>0.63660034292697421</c:v>
                      </c:pt>
                      <c:pt idx="8">
                        <c:v>0.65358581061155485</c:v>
                      </c:pt>
                      <c:pt idx="9">
                        <c:v>0.64402659162947251</c:v>
                      </c:pt>
                      <c:pt idx="10">
                        <c:v>0.59743637119048987</c:v>
                      </c:pt>
                      <c:pt idx="11">
                        <c:v>0.66608842639127386</c:v>
                      </c:pt>
                      <c:pt idx="12">
                        <c:v>0.65788146446920293</c:v>
                      </c:pt>
                      <c:pt idx="13">
                        <c:v>0.6447091236749396</c:v>
                      </c:pt>
                      <c:pt idx="14">
                        <c:v>0.63454040023920422</c:v>
                      </c:pt>
                      <c:pt idx="15">
                        <c:v>0.63194552894031919</c:v>
                      </c:pt>
                      <c:pt idx="16">
                        <c:v>0.62728222371255482</c:v>
                      </c:pt>
                      <c:pt idx="17">
                        <c:v>0.61886745088089401</c:v>
                      </c:pt>
                      <c:pt idx="18">
                        <c:v>0.61938585914860311</c:v>
                      </c:pt>
                      <c:pt idx="19">
                        <c:v>0.66453338803011741</c:v>
                      </c:pt>
                      <c:pt idx="20">
                        <c:v>0.63596117330469493</c:v>
                      </c:pt>
                      <c:pt idx="21">
                        <c:v>0.63596117330469493</c:v>
                      </c:pt>
                      <c:pt idx="22">
                        <c:v>0.63596117330469493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4.4092534703629692E-3</c:v>
                      </c:pt>
                      <c:pt idx="1">
                        <c:v>2.2626858221316697E-2</c:v>
                      </c:pt>
                      <c:pt idx="2">
                        <c:v>6.3984904458209452E-2</c:v>
                      </c:pt>
                      <c:pt idx="3">
                        <c:v>0.12711982304487976</c:v>
                      </c:pt>
                      <c:pt idx="4">
                        <c:v>0.22905978601216923</c:v>
                      </c:pt>
                      <c:pt idx="5">
                        <c:v>0.35084533154736058</c:v>
                      </c:pt>
                      <c:pt idx="6">
                        <c:v>0.52066774957481787</c:v>
                      </c:pt>
                      <c:pt idx="7">
                        <c:v>0.6995963526129092</c:v>
                      </c:pt>
                      <c:pt idx="8">
                        <c:v>0.71872515118522662</c:v>
                      </c:pt>
                      <c:pt idx="9">
                        <c:v>0.70794976880194738</c:v>
                      </c:pt>
                      <c:pt idx="10">
                        <c:v>0.65574318912168572</c:v>
                      </c:pt>
                      <c:pt idx="11">
                        <c:v>0.73286340296994001</c:v>
                      </c:pt>
                      <c:pt idx="12">
                        <c:v>0.72357658095202559</c:v>
                      </c:pt>
                      <c:pt idx="13">
                        <c:v>0.70871825490624363</c:v>
                      </c:pt>
                      <c:pt idx="14">
                        <c:v>0.69728171731482569</c:v>
                      </c:pt>
                      <c:pt idx="15">
                        <c:v>0.69436747190620929</c:v>
                      </c:pt>
                      <c:pt idx="16">
                        <c:v>0.68913413368929644</c:v>
                      </c:pt>
                      <c:pt idx="17">
                        <c:v>0.67970270112661157</c:v>
                      </c:pt>
                      <c:pt idx="18">
                        <c:v>0.68028332053483842</c:v>
                      </c:pt>
                      <c:pt idx="19">
                        <c:v>0.7311018177321893</c:v>
                      </c:pt>
                      <c:pt idx="20">
                        <c:v>0.69887804411610421</c:v>
                      </c:pt>
                      <c:pt idx="21">
                        <c:v>0.69887804411610421</c:v>
                      </c:pt>
                      <c:pt idx="22">
                        <c:v>0.69887804411610421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2.8974388282997777E-3</c:v>
                      </c:pt>
                      <c:pt idx="1">
                        <c:v>1.8446936194797387E-2</c:v>
                      </c:pt>
                      <c:pt idx="2">
                        <c:v>3.7605192857240774E-2</c:v>
                      </c:pt>
                      <c:pt idx="3">
                        <c:v>7.2162440359259269E-2</c:v>
                      </c:pt>
                      <c:pt idx="4">
                        <c:v>0.29321322683010959</c:v>
                      </c:pt>
                      <c:pt idx="5">
                        <c:v>0.34438343884210187</c:v>
                      </c:pt>
                      <c:pt idx="6">
                        <c:v>0.51635245699461574</c:v>
                      </c:pt>
                      <c:pt idx="7">
                        <c:v>0.74079632280626151</c:v>
                      </c:pt>
                      <c:pt idx="8">
                        <c:v>0.73209426290734037</c:v>
                      </c:pt>
                      <c:pt idx="9">
                        <c:v>0.73209426290734037</c:v>
                      </c:pt>
                      <c:pt idx="10">
                        <c:v>0.73209426290734037</c:v>
                      </c:pt>
                      <c:pt idx="11">
                        <c:v>0.74655044417607308</c:v>
                      </c:pt>
                      <c:pt idx="12">
                        <c:v>0.76835941625045834</c:v>
                      </c:pt>
                      <c:pt idx="13">
                        <c:v>0.73296602720014792</c:v>
                      </c:pt>
                      <c:pt idx="14">
                        <c:v>0.80229369958743157</c:v>
                      </c:pt>
                      <c:pt idx="15">
                        <c:v>0.77711414149966107</c:v>
                      </c:pt>
                      <c:pt idx="16">
                        <c:v>0.78415951886965185</c:v>
                      </c:pt>
                      <c:pt idx="17">
                        <c:v>0.78073166958877938</c:v>
                      </c:pt>
                      <c:pt idx="18">
                        <c:v>0.83752426505835309</c:v>
                      </c:pt>
                      <c:pt idx="19">
                        <c:v>0.84228585517673304</c:v>
                      </c:pt>
                      <c:pt idx="20">
                        <c:v>0.8390872328020863</c:v>
                      </c:pt>
                      <c:pt idx="21">
                        <c:v>0.82869419546780487</c:v>
                      </c:pt>
                      <c:pt idx="22">
                        <c:v>0.82869419546780487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glow>
                <a:schemeClr val="accent1">
                  <a:alpha val="40000"/>
                </a:schemeClr>
              </a:glo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100" b="0" i="0" baseline="0">
                    <a:solidFill>
                      <a:sysClr val="windowText" lastClr="000000"/>
                    </a:solidFill>
                    <a:effectLst/>
                  </a:rPr>
                  <a:t>DTR</a:t>
                </a:r>
              </a:p>
              <a:p>
                <a:pPr>
                  <a:defRPr/>
                </a:pPr>
                <a:r>
                  <a:rPr lang="it-IT" sz="1800" b="0" i="0" baseline="0">
                    <a:effectLst/>
                  </a:rPr>
                  <a:t> 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(Lm</a:t>
                </a:r>
                <a:r>
                  <a:rPr lang="it-IT" sz="1400" b="0" i="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it-IT" sz="1400" b="0" i="0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it-IT" sz="14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14620636482939631"/>
          <c:w val="0.19327018030792129"/>
          <c:h val="0.721922508882531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1197787</xdr:colOff>
      <xdr:row>12</xdr:row>
      <xdr:rowOff>85652</xdr:rowOff>
    </xdr:from>
    <xdr:to>
      <xdr:col>17</xdr:col>
      <xdr:colOff>12346</xdr:colOff>
      <xdr:row>27</xdr:row>
      <xdr:rowOff>60574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414759</xdr:colOff>
      <xdr:row>29</xdr:row>
      <xdr:rowOff>5402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0</xdr:row>
      <xdr:rowOff>161925</xdr:rowOff>
    </xdr:from>
    <xdr:to>
      <xdr:col>11</xdr:col>
      <xdr:colOff>390524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7615389-4BF7-4793-8816-9106C78A7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552450</xdr:colOff>
      <xdr:row>2</xdr:row>
      <xdr:rowOff>180975</xdr:rowOff>
    </xdr:from>
    <xdr:to>
      <xdr:col>25</xdr:col>
      <xdr:colOff>247650</xdr:colOff>
      <xdr:row>18</xdr:row>
      <xdr:rowOff>95250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4189A152-3861-49A4-9C41-31FBBEF98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60</xdr:col>
      <xdr:colOff>314325</xdr:colOff>
      <xdr:row>18</xdr:row>
      <xdr:rowOff>133350</xdr:rowOff>
    </xdr:from>
    <xdr:to>
      <xdr:col>68</xdr:col>
      <xdr:colOff>409575</xdr:colOff>
      <xdr:row>34</xdr:row>
      <xdr:rowOff>47625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topLeftCell="A16" workbookViewId="0">
      <selection activeCell="A31" sqref="A31"/>
    </sheetView>
  </sheetViews>
  <sheetFormatPr defaultRowHeight="15" x14ac:dyDescent="0.25"/>
  <cols>
    <col min="1" max="1" width="24.42578125" bestFit="1" customWidth="1"/>
    <col min="2" max="2" width="8" bestFit="1" customWidth="1"/>
    <col min="3" max="3" width="22.7109375" bestFit="1" customWidth="1"/>
    <col min="4" max="4" width="29.42578125" bestFit="1" customWidth="1"/>
    <col min="7" max="7" width="17" customWidth="1"/>
    <col min="8" max="8" width="14.5703125" bestFit="1" customWidth="1"/>
    <col min="9" max="9" width="16" bestFit="1" customWidth="1"/>
  </cols>
  <sheetData>
    <row r="1" spans="1:10" x14ac:dyDescent="0.2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25">
      <c r="A2" t="s">
        <v>0</v>
      </c>
      <c r="C2" t="s">
        <v>2</v>
      </c>
      <c r="D2" t="s">
        <v>1</v>
      </c>
    </row>
    <row r="3" spans="1:10" x14ac:dyDescent="0.25">
      <c r="A3" t="s">
        <v>6</v>
      </c>
      <c r="C3" t="s">
        <v>8</v>
      </c>
      <c r="D3" t="s">
        <v>7</v>
      </c>
    </row>
    <row r="4" spans="1:10" x14ac:dyDescent="0.25">
      <c r="A4" t="s">
        <v>12</v>
      </c>
      <c r="C4" t="s">
        <v>14</v>
      </c>
      <c r="D4" t="s">
        <v>13</v>
      </c>
    </row>
    <row r="5" spans="1:10" ht="13.5" customHeight="1" x14ac:dyDescent="0.25">
      <c r="A5" t="s">
        <v>15</v>
      </c>
      <c r="D5" t="s">
        <v>16</v>
      </c>
    </row>
    <row r="6" spans="1:10" x14ac:dyDescent="0.25">
      <c r="A6" t="s">
        <v>9</v>
      </c>
      <c r="C6" t="s">
        <v>11</v>
      </c>
      <c r="D6" t="s">
        <v>10</v>
      </c>
    </row>
    <row r="7" spans="1:10" x14ac:dyDescent="0.25">
      <c r="C7" t="s">
        <v>11</v>
      </c>
      <c r="D7" t="s">
        <v>19</v>
      </c>
    </row>
    <row r="8" spans="1:10" x14ac:dyDescent="0.25">
      <c r="A8" t="s">
        <v>20</v>
      </c>
      <c r="C8" t="s">
        <v>21</v>
      </c>
      <c r="D8" t="s">
        <v>135</v>
      </c>
    </row>
    <row r="9" spans="1:10" x14ac:dyDescent="0.25">
      <c r="A9" t="s">
        <v>22</v>
      </c>
      <c r="C9" t="s">
        <v>24</v>
      </c>
      <c r="D9" t="s">
        <v>23</v>
      </c>
    </row>
    <row r="10" spans="1:10" s="3" customFormat="1" x14ac:dyDescent="0.25">
      <c r="A10" s="3" t="s">
        <v>25</v>
      </c>
      <c r="B10" s="3">
        <v>12</v>
      </c>
      <c r="C10" s="3" t="s">
        <v>26</v>
      </c>
      <c r="D10" s="3" t="s">
        <v>27</v>
      </c>
    </row>
    <row r="11" spans="1:10" s="3" customFormat="1" x14ac:dyDescent="0.25">
      <c r="A11" s="3" t="s">
        <v>28</v>
      </c>
      <c r="B11" s="3">
        <v>0.4</v>
      </c>
      <c r="C11" s="3" t="s">
        <v>11</v>
      </c>
      <c r="D11" s="3" t="s">
        <v>29</v>
      </c>
      <c r="E11" s="3" t="s">
        <v>30</v>
      </c>
    </row>
    <row r="12" spans="1:10" s="3" customFormat="1" x14ac:dyDescent="0.25">
      <c r="A12" s="3" t="s">
        <v>31</v>
      </c>
      <c r="C12" s="3" t="s">
        <v>33</v>
      </c>
      <c r="D12" s="3" t="s">
        <v>32</v>
      </c>
    </row>
    <row r="13" spans="1:10" x14ac:dyDescent="0.25">
      <c r="A13" t="s">
        <v>34</v>
      </c>
      <c r="B13" s="3"/>
      <c r="C13" t="s">
        <v>33</v>
      </c>
      <c r="D13" t="s">
        <v>35</v>
      </c>
      <c r="H13" t="s">
        <v>102</v>
      </c>
      <c r="I13" t="s">
        <v>103</v>
      </c>
    </row>
    <row r="14" spans="1:10" x14ac:dyDescent="0.25">
      <c r="A14" t="s">
        <v>36</v>
      </c>
      <c r="B14">
        <v>0.95</v>
      </c>
      <c r="C14" t="s">
        <v>11</v>
      </c>
      <c r="D14" t="s">
        <v>37</v>
      </c>
      <c r="H14">
        <f>347</f>
        <v>347</v>
      </c>
      <c r="I14">
        <v>789</v>
      </c>
      <c r="J14">
        <f>H14/I14</f>
        <v>0.43979721166032953</v>
      </c>
    </row>
    <row r="15" spans="1:10" x14ac:dyDescent="0.25">
      <c r="A15" t="s">
        <v>38</v>
      </c>
      <c r="C15" t="s">
        <v>40</v>
      </c>
      <c r="D15" t="s">
        <v>39</v>
      </c>
      <c r="H15">
        <v>238</v>
      </c>
      <c r="I15">
        <v>563</v>
      </c>
    </row>
    <row r="16" spans="1:10" x14ac:dyDescent="0.25">
      <c r="A16" t="s">
        <v>41</v>
      </c>
      <c r="D16" t="s">
        <v>42</v>
      </c>
      <c r="H16">
        <v>172</v>
      </c>
      <c r="I16">
        <v>438</v>
      </c>
    </row>
    <row r="17" spans="1:10" x14ac:dyDescent="0.25">
      <c r="A17" t="s">
        <v>43</v>
      </c>
      <c r="B17">
        <v>1.08</v>
      </c>
      <c r="C17" t="s">
        <v>45</v>
      </c>
      <c r="D17" t="s">
        <v>44</v>
      </c>
    </row>
    <row r="18" spans="1:10" x14ac:dyDescent="0.25">
      <c r="A18" t="s">
        <v>136</v>
      </c>
      <c r="B18">
        <v>18</v>
      </c>
      <c r="C18" t="s">
        <v>26</v>
      </c>
      <c r="D18" t="s">
        <v>50</v>
      </c>
      <c r="H18">
        <v>89</v>
      </c>
      <c r="I18">
        <v>233</v>
      </c>
      <c r="J18">
        <f>H18/I18</f>
        <v>0.38197424892703863</v>
      </c>
    </row>
    <row r="19" spans="1:10" x14ac:dyDescent="0.25">
      <c r="A19" t="s">
        <v>46</v>
      </c>
      <c r="B19">
        <v>1000</v>
      </c>
      <c r="C19" t="s">
        <v>51</v>
      </c>
      <c r="D19" t="s">
        <v>52</v>
      </c>
      <c r="H19">
        <v>80</v>
      </c>
      <c r="I19">
        <v>226</v>
      </c>
    </row>
    <row r="20" spans="1:10" x14ac:dyDescent="0.25">
      <c r="A20" t="s">
        <v>47</v>
      </c>
      <c r="C20" t="s">
        <v>54</v>
      </c>
      <c r="D20" t="s">
        <v>53</v>
      </c>
      <c r="E20" t="s">
        <v>63</v>
      </c>
      <c r="H20">
        <v>73</v>
      </c>
      <c r="I20">
        <v>216</v>
      </c>
    </row>
    <row r="21" spans="1:10" x14ac:dyDescent="0.25">
      <c r="A21" t="s">
        <v>48</v>
      </c>
      <c r="C21" t="s">
        <v>55</v>
      </c>
      <c r="D21" t="s">
        <v>56</v>
      </c>
    </row>
    <row r="22" spans="1:10" x14ac:dyDescent="0.25">
      <c r="A22" t="s">
        <v>49</v>
      </c>
      <c r="B22">
        <v>101.325</v>
      </c>
      <c r="C22" t="s">
        <v>55</v>
      </c>
      <c r="D22" t="s">
        <v>57</v>
      </c>
    </row>
    <row r="23" spans="1:10" x14ac:dyDescent="0.25">
      <c r="A23" t="s">
        <v>58</v>
      </c>
      <c r="C23" t="s">
        <v>59</v>
      </c>
      <c r="D23" t="s">
        <v>60</v>
      </c>
    </row>
    <row r="24" spans="1:10" x14ac:dyDescent="0.25">
      <c r="A24" t="s">
        <v>61</v>
      </c>
      <c r="D24" t="s">
        <v>62</v>
      </c>
    </row>
    <row r="25" spans="1:10" x14ac:dyDescent="0.25">
      <c r="A25" t="s">
        <v>66</v>
      </c>
      <c r="D25" t="s">
        <v>67</v>
      </c>
    </row>
    <row r="26" spans="1:10" x14ac:dyDescent="0.25">
      <c r="A26" t="s">
        <v>68</v>
      </c>
      <c r="B26">
        <v>2.5</v>
      </c>
      <c r="C26" t="s">
        <v>54</v>
      </c>
      <c r="D26" t="s">
        <v>69</v>
      </c>
    </row>
    <row r="27" spans="1:10" x14ac:dyDescent="0.25">
      <c r="A27" t="s">
        <v>71</v>
      </c>
      <c r="C27" t="s">
        <v>72</v>
      </c>
      <c r="D27" t="s">
        <v>73</v>
      </c>
    </row>
    <row r="28" spans="1:10" x14ac:dyDescent="0.25">
      <c r="A28" t="s">
        <v>70</v>
      </c>
      <c r="C28" t="s">
        <v>72</v>
      </c>
      <c r="D28" t="s">
        <v>74</v>
      </c>
    </row>
    <row r="31" spans="1:10" ht="17.25" x14ac:dyDescent="0.25">
      <c r="A31" t="s">
        <v>159</v>
      </c>
      <c r="C31" t="s">
        <v>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M48"/>
  <sheetViews>
    <sheetView topLeftCell="U27" zoomScale="80" zoomScaleNormal="80" workbookViewId="0">
      <selection activeCell="AF14" sqref="AF14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55.42578125" style="3" bestFit="1" customWidth="1"/>
    <col min="4" max="4" width="22.28515625" style="3" bestFit="1" customWidth="1"/>
    <col min="5" max="5" width="11.85546875" style="3" bestFit="1" customWidth="1"/>
    <col min="6" max="6" width="11.85546875" bestFit="1" customWidth="1"/>
    <col min="7" max="7" width="14.7109375" bestFit="1" customWidth="1"/>
    <col min="8" max="8" width="12.28515625" bestFit="1" customWidth="1"/>
    <col min="9" max="9" width="13.85546875" bestFit="1" customWidth="1"/>
    <col min="10" max="10" width="19.42578125" bestFit="1" customWidth="1"/>
    <col min="11" max="11" width="20.140625" customWidth="1"/>
    <col min="12" max="12" width="13.7109375" bestFit="1" customWidth="1"/>
    <col min="19" max="19" width="11.85546875" bestFit="1" customWidth="1"/>
    <col min="20" max="20" width="17" bestFit="1" customWidth="1"/>
    <col min="21" max="22" width="13.28515625" bestFit="1" customWidth="1"/>
    <col min="23" max="23" width="11" bestFit="1" customWidth="1"/>
    <col min="24" max="24" width="12.140625" bestFit="1" customWidth="1"/>
    <col min="25" max="25" width="11.7109375" bestFit="1" customWidth="1"/>
    <col min="26" max="26" width="9.7109375" customWidth="1"/>
    <col min="27" max="28" width="16.140625" style="3" customWidth="1"/>
    <col min="29" max="29" width="11.42578125" style="3" customWidth="1"/>
    <col min="30" max="30" width="13.7109375" bestFit="1" customWidth="1"/>
    <col min="31" max="32" width="22.7109375" style="3" customWidth="1"/>
    <col min="33" max="33" width="16.7109375" style="3" bestFit="1" customWidth="1"/>
    <col min="34" max="34" width="13" customWidth="1"/>
    <col min="35" max="35" width="13.28515625" bestFit="1" customWidth="1"/>
    <col min="36" max="36" width="12.140625" bestFit="1" customWidth="1"/>
  </cols>
  <sheetData>
    <row r="1" spans="1:39" x14ac:dyDescent="0.25">
      <c r="A1" s="8"/>
      <c r="B1" s="17"/>
    </row>
    <row r="2" spans="1:39" x14ac:dyDescent="0.25">
      <c r="A2" s="7" t="s">
        <v>137</v>
      </c>
      <c r="B2" s="11">
        <v>2.7368743949879029E-3</v>
      </c>
      <c r="C2" s="7" t="s">
        <v>138</v>
      </c>
    </row>
    <row r="3" spans="1:39" x14ac:dyDescent="0.25">
      <c r="A3" s="7" t="s">
        <v>139</v>
      </c>
      <c r="B3" s="11">
        <v>1.0827738798663557E-2</v>
      </c>
      <c r="C3" s="7" t="s">
        <v>140</v>
      </c>
    </row>
    <row r="4" spans="1:39" x14ac:dyDescent="0.25">
      <c r="A4" s="7"/>
      <c r="B4" s="11"/>
      <c r="C4"/>
    </row>
    <row r="5" spans="1:39" x14ac:dyDescent="0.25">
      <c r="A5" s="7" t="s">
        <v>141</v>
      </c>
      <c r="B5" s="20">
        <v>3.6103459176783134E-2</v>
      </c>
      <c r="C5" s="7" t="s">
        <v>142</v>
      </c>
    </row>
    <row r="6" spans="1:39" x14ac:dyDescent="0.25">
      <c r="A6" s="7" t="s">
        <v>143</v>
      </c>
      <c r="B6" s="20">
        <v>5.9875770597414391E-2</v>
      </c>
      <c r="C6" s="7" t="s">
        <v>144</v>
      </c>
    </row>
    <row r="7" spans="1:39" x14ac:dyDescent="0.25">
      <c r="A7" t="s">
        <v>18</v>
      </c>
      <c r="B7">
        <v>0</v>
      </c>
      <c r="C7"/>
    </row>
    <row r="8" spans="1:39" x14ac:dyDescent="0.25">
      <c r="A8" s="7" t="s">
        <v>75</v>
      </c>
      <c r="B8" s="7">
        <v>1</v>
      </c>
      <c r="C8" s="7"/>
    </row>
    <row r="9" spans="1:39" x14ac:dyDescent="0.25">
      <c r="A9" t="s">
        <v>86</v>
      </c>
      <c r="B9">
        <v>7</v>
      </c>
      <c r="C9"/>
    </row>
    <row r="12" spans="1:39" x14ac:dyDescent="0.25">
      <c r="A12" s="1" t="s">
        <v>78</v>
      </c>
    </row>
    <row r="13" spans="1:39" ht="17.25" x14ac:dyDescent="0.25">
      <c r="A13" t="s">
        <v>21</v>
      </c>
      <c r="B13" t="s">
        <v>92</v>
      </c>
      <c r="D13" s="3" t="s">
        <v>89</v>
      </c>
      <c r="E13" s="3" t="s">
        <v>90</v>
      </c>
      <c r="G13" t="s">
        <v>91</v>
      </c>
      <c r="H13" t="s">
        <v>88</v>
      </c>
      <c r="I13" t="s">
        <v>87</v>
      </c>
      <c r="J13" t="s">
        <v>87</v>
      </c>
      <c r="K13" t="s">
        <v>134</v>
      </c>
      <c r="S13" t="s">
        <v>93</v>
      </c>
      <c r="T13" t="s">
        <v>59</v>
      </c>
      <c r="V13" t="s">
        <v>55</v>
      </c>
      <c r="X13" t="s">
        <v>55</v>
      </c>
      <c r="Y13" t="s">
        <v>55</v>
      </c>
      <c r="Z13" s="3" t="s">
        <v>94</v>
      </c>
      <c r="AC13" s="3" t="s">
        <v>94</v>
      </c>
      <c r="AD13" s="3" t="s">
        <v>95</v>
      </c>
      <c r="AE13" s="3" t="s">
        <v>95</v>
      </c>
      <c r="AG13" s="3" t="s">
        <v>101</v>
      </c>
    </row>
    <row r="14" spans="1:39" x14ac:dyDescent="0.25">
      <c r="A14" s="1" t="s">
        <v>20</v>
      </c>
      <c r="B14" s="1" t="s">
        <v>6</v>
      </c>
      <c r="C14" s="5"/>
      <c r="D14" s="2" t="s">
        <v>12</v>
      </c>
      <c r="E14" s="1" t="s">
        <v>145</v>
      </c>
      <c r="F14" s="1" t="s">
        <v>146</v>
      </c>
      <c r="G14" s="1" t="s">
        <v>0</v>
      </c>
      <c r="H14" s="1" t="s">
        <v>22</v>
      </c>
      <c r="I14" s="13" t="s">
        <v>34</v>
      </c>
      <c r="J14" s="14" t="s">
        <v>150</v>
      </c>
      <c r="K14" s="14" t="s">
        <v>132</v>
      </c>
      <c r="L14" s="14"/>
      <c r="M14" s="14"/>
      <c r="N14" s="14"/>
      <c r="O14" s="14"/>
      <c r="P14" s="14"/>
      <c r="Q14" s="14"/>
      <c r="R14" s="14"/>
      <c r="S14" s="1" t="s">
        <v>38</v>
      </c>
      <c r="T14" s="2" t="s">
        <v>77</v>
      </c>
      <c r="U14" s="2" t="s">
        <v>76</v>
      </c>
      <c r="V14" s="2" t="s">
        <v>64</v>
      </c>
      <c r="W14" s="2" t="s">
        <v>61</v>
      </c>
      <c r="X14" s="1" t="s">
        <v>65</v>
      </c>
      <c r="Y14" s="4" t="s">
        <v>48</v>
      </c>
      <c r="Z14" s="14" t="s">
        <v>66</v>
      </c>
      <c r="AA14" s="14" t="s">
        <v>160</v>
      </c>
      <c r="AB14" s="14"/>
      <c r="AC14" s="4" t="s">
        <v>47</v>
      </c>
      <c r="AD14" s="4" t="s">
        <v>71</v>
      </c>
      <c r="AE14" s="14" t="s">
        <v>70</v>
      </c>
      <c r="AF14" s="14" t="s">
        <v>161</v>
      </c>
      <c r="AG14" s="14" t="s">
        <v>43</v>
      </c>
      <c r="AH14" s="14" t="s">
        <v>149</v>
      </c>
      <c r="AI14" s="14" t="s">
        <v>132</v>
      </c>
    </row>
    <row r="15" spans="1:39" x14ac:dyDescent="0.25">
      <c r="A15">
        <v>1</v>
      </c>
      <c r="B15">
        <v>12</v>
      </c>
      <c r="C15" s="16"/>
      <c r="D15" s="3">
        <v>314.54000000000002</v>
      </c>
      <c r="E15" s="6">
        <f t="shared" ref="E15:E37" si="0">IF(A15&lt;=7,CQYmin,IF(A15&lt;=16,CQYmin+(CQYmax-CQYmin)/(16-1)*(A15-1),CQYmax))</f>
        <v>3.6103459176783134E-2</v>
      </c>
      <c r="F15" s="6">
        <f t="shared" ref="F15:F37" si="1">IF(A15&lt;=7,CUEmin,IF(A15&lt;=16,CUEmin+(CUEmax-CUEmin)/(16-1)*(A15-1),CUEmax))</f>
        <v>2.7368743949879029E-3</v>
      </c>
      <c r="G15" s="6">
        <f>0.0036*B15*F15*D15</f>
        <v>3.718899959901819E-2</v>
      </c>
      <c r="H15" s="6">
        <f>MWc*G15/BCF</f>
        <v>1.1156699879705456</v>
      </c>
      <c r="I15" s="6">
        <v>8.5299999999999994</v>
      </c>
      <c r="J15" s="6">
        <v>8.2409939999999988</v>
      </c>
      <c r="K15" s="6">
        <f>(I15-J15)^2</f>
        <v>8.3524468036000318E-2</v>
      </c>
      <c r="S15" s="6">
        <f t="shared" ref="S15:S37" si="2">OPF*G15</f>
        <v>4.0164119566939646E-2</v>
      </c>
      <c r="T15" s="10">
        <v>25.19230769230769</v>
      </c>
      <c r="U15" s="10">
        <v>24</v>
      </c>
      <c r="V15" s="6">
        <f>0.611*EXP(17.4*U15/(U15+239))</f>
        <v>2.9897039819500981</v>
      </c>
      <c r="W15">
        <v>0.57705769230769199</v>
      </c>
      <c r="X15">
        <f>W15*V15</f>
        <v>1.7252316805072412</v>
      </c>
      <c r="Y15">
        <f>V15*(1-W15)</f>
        <v>1.2644723014428569</v>
      </c>
      <c r="Z15" s="10">
        <f>((1.717*U15)-19.96-(10.54*Y15))*(AE15/370)</f>
        <v>0.13076081698930447</v>
      </c>
      <c r="AC15" s="6">
        <f>gA*Z15/(gA+Z15)</f>
        <v>0.12426140771222767</v>
      </c>
      <c r="AD15" s="6">
        <f>E15*D15</f>
        <v>11.355982049465368</v>
      </c>
      <c r="AE15" s="6">
        <f>(E15*(24-B15)/24+B15*F15/24)*D15</f>
        <v>6.1084192608324317</v>
      </c>
      <c r="AF15" s="10"/>
      <c r="AG15" s="6">
        <f>3600*B15*(MWw/pw)*AC15*(Y15/100)</f>
        <v>1.2218048412886255</v>
      </c>
      <c r="AH15" s="6">
        <v>0.31577690000000003</v>
      </c>
      <c r="AI15" s="6">
        <f>(AG15-AH15)^2</f>
        <v>0.82088663039570509</v>
      </c>
      <c r="AM15" t="s">
        <v>133</v>
      </c>
    </row>
    <row r="16" spans="1:39" x14ac:dyDescent="0.25">
      <c r="A16">
        <v>2</v>
      </c>
      <c r="B16">
        <v>12</v>
      </c>
      <c r="C16" s="16"/>
      <c r="D16" s="3">
        <v>314.54000000000002</v>
      </c>
      <c r="E16" s="6">
        <f t="shared" si="0"/>
        <v>3.6103459176783134E-2</v>
      </c>
      <c r="F16" s="6">
        <f t="shared" si="1"/>
        <v>2.7368743949879029E-3</v>
      </c>
      <c r="G16" s="6">
        <f t="shared" ref="G16:G37" si="3">0.0036*B16*F16*D16</f>
        <v>3.718899959901819E-2</v>
      </c>
      <c r="H16" s="6">
        <f>MWc*G16/BCF</f>
        <v>1.1156699879705456</v>
      </c>
      <c r="I16" s="6" cm="1">
        <f t="array" ref="I16">IF(A16&gt;tE,I15+H16,I15)</f>
        <v>9.6456699879705443</v>
      </c>
      <c r="J16" s="6">
        <v>8.5573259999999998</v>
      </c>
      <c r="K16" s="6">
        <f t="shared" ref="K16:K37" si="4">(I16-J16)^2</f>
        <v>1.1844926361516288</v>
      </c>
      <c r="S16" s="6">
        <f t="shared" si="2"/>
        <v>4.0164119566939646E-2</v>
      </c>
      <c r="T16" s="6">
        <v>24.302604166666672</v>
      </c>
      <c r="U16" s="10">
        <v>24</v>
      </c>
      <c r="V16" s="6">
        <f t="shared" ref="V16:V37" si="5">0.611*EXP(17.4*U16/(U16+239))</f>
        <v>2.9897039819500981</v>
      </c>
      <c r="W16">
        <v>0.47948437500000002</v>
      </c>
      <c r="X16">
        <f>W16*V16</f>
        <v>1.4335163452203541</v>
      </c>
      <c r="Y16">
        <f>V16*(1-W16)</f>
        <v>1.5561876367297443</v>
      </c>
      <c r="Z16" s="10">
        <f t="shared" ref="Z16:Z36" si="6">((1.717*U16)-19.96-(10.54*Y16))*(AE16/370)</f>
        <v>8.0000189160252311E-2</v>
      </c>
      <c r="AC16" s="6">
        <f t="shared" ref="AC16:AC37" si="7">gA*Z16/(gA+Z16)</f>
        <v>7.751955745620609E-2</v>
      </c>
      <c r="AD16" s="6">
        <f t="shared" ref="AD16:AD37" si="8">E16*D16</f>
        <v>11.355982049465368</v>
      </c>
      <c r="AE16" s="6">
        <f>(E16*(24-B16)/24+B16*F16/24)*D16</f>
        <v>6.1084192608324317</v>
      </c>
      <c r="AF16" s="10"/>
      <c r="AG16" s="6">
        <f t="shared" ref="AG16:AG37" si="9">3600*B16*(18.015/998.23)*AC16*(Y16/100)</f>
        <v>0.94050398722302964</v>
      </c>
      <c r="AH16" s="6">
        <v>0.49362790587290745</v>
      </c>
      <c r="AI16" s="6">
        <f t="shared" ref="AI16:AI37" si="10">(AG16-AH16)^2</f>
        <v>0.19969823208284102</v>
      </c>
    </row>
    <row r="17" spans="1:35" x14ac:dyDescent="0.25">
      <c r="A17">
        <v>3</v>
      </c>
      <c r="B17">
        <v>12</v>
      </c>
      <c r="C17" s="16"/>
      <c r="D17" s="3">
        <v>314.54000000000002</v>
      </c>
      <c r="E17" s="6">
        <f t="shared" si="0"/>
        <v>3.6103459176783134E-2</v>
      </c>
      <c r="F17" s="6">
        <f t="shared" si="1"/>
        <v>2.7368743949879029E-3</v>
      </c>
      <c r="G17" s="6">
        <f t="shared" si="3"/>
        <v>3.718899959901819E-2</v>
      </c>
      <c r="H17" s="6">
        <f>MWc*G17/BCF</f>
        <v>1.1156699879705456</v>
      </c>
      <c r="I17" s="6">
        <f t="shared" ref="I17:I37" si="11">IF(A17&gt;tE,I16+H17,I16)</f>
        <v>10.761339975941089</v>
      </c>
      <c r="J17" s="6">
        <v>8.8954740000000001</v>
      </c>
      <c r="K17" s="6">
        <f t="shared" si="4"/>
        <v>3.481455840174593</v>
      </c>
      <c r="S17" s="6">
        <f t="shared" si="2"/>
        <v>4.0164119566939646E-2</v>
      </c>
      <c r="T17" s="6">
        <v>25.449479166666656</v>
      </c>
      <c r="U17" s="10">
        <v>24</v>
      </c>
      <c r="V17" s="6">
        <f t="shared" si="5"/>
        <v>2.9897039819500981</v>
      </c>
      <c r="W17">
        <v>0.39291666666667002</v>
      </c>
      <c r="X17">
        <f t="shared" ref="X17:X18" si="12">W17*V17</f>
        <v>1.1747045229079027</v>
      </c>
      <c r="Y17">
        <f t="shared" ref="Y17:Y18" si="13">V17*(1-W17)</f>
        <v>1.8149994590421954</v>
      </c>
      <c r="Z17" s="10">
        <f>((1.717*U17)-19.96-(10.54*Y17))*(AE17/370)</f>
        <v>3.496501616449231E-2</v>
      </c>
      <c r="AC17" s="6">
        <f t="shared" si="7"/>
        <v>3.4482740335205729E-2</v>
      </c>
      <c r="AD17" s="6">
        <f t="shared" si="8"/>
        <v>11.355982049465368</v>
      </c>
      <c r="AE17" s="6">
        <f t="shared" ref="AE17:AE37" si="14">(E17*(24-B17)/24+B17*F17/24)*D17</f>
        <v>6.1084192608324317</v>
      </c>
      <c r="AF17" s="10"/>
      <c r="AG17" s="6">
        <f t="shared" si="9"/>
        <v>0.48793915228958334</v>
      </c>
      <c r="AH17" s="6">
        <v>0.69544475851361764</v>
      </c>
      <c r="AI17" s="6">
        <f t="shared" si="10"/>
        <v>4.305857661440398E-2</v>
      </c>
    </row>
    <row r="18" spans="1:35" x14ac:dyDescent="0.25">
      <c r="A18">
        <v>4</v>
      </c>
      <c r="B18">
        <v>12</v>
      </c>
      <c r="C18" s="16"/>
      <c r="D18" s="3">
        <v>314.54000000000002</v>
      </c>
      <c r="E18" s="6">
        <f t="shared" si="0"/>
        <v>3.6103459176783134E-2</v>
      </c>
      <c r="F18" s="6">
        <f t="shared" si="1"/>
        <v>2.7368743949879029E-3</v>
      </c>
      <c r="G18" s="6">
        <f t="shared" si="3"/>
        <v>3.718899959901819E-2</v>
      </c>
      <c r="H18" s="6">
        <f t="shared" ref="H18:H36" si="15">MWc*G18/BCF</f>
        <v>1.1156699879705456</v>
      </c>
      <c r="I18" s="6">
        <f t="shared" si="11"/>
        <v>11.877009963911634</v>
      </c>
      <c r="J18" s="6">
        <v>9.1681740000000005</v>
      </c>
      <c r="K18" s="6">
        <f t="shared" si="4"/>
        <v>7.3377922793810697</v>
      </c>
      <c r="S18" s="6">
        <f t="shared" si="2"/>
        <v>4.0164119566939646E-2</v>
      </c>
      <c r="T18" s="6">
        <v>25.120833333333334</v>
      </c>
      <c r="U18" s="10">
        <v>24</v>
      </c>
      <c r="V18" s="6">
        <f t="shared" si="5"/>
        <v>2.9897039819500981</v>
      </c>
      <c r="W18">
        <v>0.38832812500000002</v>
      </c>
      <c r="X18">
        <f t="shared" si="12"/>
        <v>1.1609861416157155</v>
      </c>
      <c r="Y18">
        <f t="shared" si="13"/>
        <v>1.8287178403343827</v>
      </c>
      <c r="Z18" s="10">
        <f>((1.717*U18)-19.96-(10.54*Y18))*(AE18/370)</f>
        <v>3.2577916266213279E-2</v>
      </c>
      <c r="AC18" s="6">
        <f t="shared" si="7"/>
        <v>3.2158848950877485E-2</v>
      </c>
      <c r="AD18" s="6">
        <f t="shared" si="8"/>
        <v>11.355982049465368</v>
      </c>
      <c r="AE18" s="6">
        <f t="shared" si="14"/>
        <v>6.1084192608324317</v>
      </c>
      <c r="AF18" s="10"/>
      <c r="AG18" s="6">
        <f t="shared" si="9"/>
        <v>0.45849498862512017</v>
      </c>
      <c r="AH18" s="6">
        <v>0.76878177546753668</v>
      </c>
      <c r="AI18" s="6">
        <f t="shared" si="10"/>
        <v>9.6277890088991222E-2</v>
      </c>
    </row>
    <row r="19" spans="1:35" x14ac:dyDescent="0.25">
      <c r="A19">
        <v>5</v>
      </c>
      <c r="B19">
        <v>12</v>
      </c>
      <c r="C19" s="16"/>
      <c r="D19" s="3">
        <v>314.54000000000002</v>
      </c>
      <c r="E19" s="6">
        <f t="shared" si="0"/>
        <v>3.6103459176783134E-2</v>
      </c>
      <c r="F19" s="6">
        <f t="shared" si="1"/>
        <v>2.7368743949879029E-3</v>
      </c>
      <c r="G19" s="6">
        <f t="shared" si="3"/>
        <v>3.718899959901819E-2</v>
      </c>
      <c r="H19" s="6">
        <f t="shared" si="15"/>
        <v>1.1156699879705456</v>
      </c>
      <c r="I19" s="6">
        <f t="shared" si="11"/>
        <v>12.992679951882179</v>
      </c>
      <c r="J19" s="6">
        <v>10.040814000000001</v>
      </c>
      <c r="K19" s="6">
        <f t="shared" si="4"/>
        <v>8.7135125978812784</v>
      </c>
      <c r="S19" s="6">
        <f t="shared" si="2"/>
        <v>4.0164119566939646E-2</v>
      </c>
      <c r="T19" s="6">
        <v>24.738020833333337</v>
      </c>
      <c r="U19" s="10">
        <v>24</v>
      </c>
      <c r="V19" s="6">
        <f t="shared" si="5"/>
        <v>2.9897039819500981</v>
      </c>
      <c r="W19" s="21">
        <v>0.41970833333333302</v>
      </c>
      <c r="X19">
        <f>W19*V19</f>
        <v>1.2548036754243048</v>
      </c>
      <c r="Y19">
        <f>V19*(1-W19)</f>
        <v>1.7349003065257933</v>
      </c>
      <c r="Z19" s="10">
        <f>((1.717*U19)-19.96-(10.54*Y19))*(AE19/370)</f>
        <v>4.8902861654545063E-2</v>
      </c>
      <c r="AC19" s="6">
        <f t="shared" si="7"/>
        <v>4.7964618807404463E-2</v>
      </c>
      <c r="AD19" s="6">
        <f t="shared" si="8"/>
        <v>11.355982049465368</v>
      </c>
      <c r="AE19" s="6">
        <f t="shared" si="14"/>
        <v>6.1084192608324317</v>
      </c>
      <c r="AF19" s="10"/>
      <c r="AG19" s="6">
        <f t="shared" si="9"/>
        <v>0.6487582844256462</v>
      </c>
      <c r="AH19" s="6">
        <v>0.84130312210263603</v>
      </c>
      <c r="AI19" s="6">
        <f t="shared" si="10"/>
        <v>3.7073514516058358E-2</v>
      </c>
    </row>
    <row r="20" spans="1:35" x14ac:dyDescent="0.25">
      <c r="A20">
        <v>6</v>
      </c>
      <c r="B20">
        <v>12</v>
      </c>
      <c r="C20" s="16"/>
      <c r="D20" s="3">
        <v>314.54000000000002</v>
      </c>
      <c r="E20" s="6">
        <f t="shared" si="0"/>
        <v>3.6103459176783134E-2</v>
      </c>
      <c r="F20" s="6">
        <f t="shared" si="1"/>
        <v>2.7368743949879029E-3</v>
      </c>
      <c r="G20" s="6">
        <f t="shared" si="3"/>
        <v>3.718899959901819E-2</v>
      </c>
      <c r="H20" s="6">
        <f t="shared" si="15"/>
        <v>1.1156699879705456</v>
      </c>
      <c r="I20" s="6">
        <f t="shared" si="11"/>
        <v>14.108349939852724</v>
      </c>
      <c r="J20" s="6">
        <v>10.586214000000002</v>
      </c>
      <c r="K20" s="6">
        <f t="shared" si="4"/>
        <v>12.40544157880222</v>
      </c>
      <c r="S20" s="6">
        <f t="shared" si="2"/>
        <v>4.0164119566939646E-2</v>
      </c>
      <c r="T20" s="6">
        <v>24.821875000000006</v>
      </c>
      <c r="U20" s="10">
        <v>24</v>
      </c>
      <c r="V20" s="6">
        <f t="shared" si="5"/>
        <v>2.9897039819500981</v>
      </c>
      <c r="W20" s="21">
        <v>0.443270833333333</v>
      </c>
      <c r="X20">
        <f t="shared" ref="X20:X22" si="16">W20*V20</f>
        <v>1.325248575499004</v>
      </c>
      <c r="Y20">
        <f t="shared" ref="Y20:Y22" si="17">V20*(1-W20)</f>
        <v>1.6644554064510939</v>
      </c>
      <c r="Z20" s="10">
        <f t="shared" si="6"/>
        <v>6.1160795751941568E-2</v>
      </c>
      <c r="AC20" s="6">
        <f t="shared" si="7"/>
        <v>5.9700269359684144E-2</v>
      </c>
      <c r="AD20" s="6">
        <f t="shared" si="8"/>
        <v>11.355982049465368</v>
      </c>
      <c r="AE20" s="6">
        <f t="shared" si="14"/>
        <v>6.1084192608324317</v>
      </c>
      <c r="AF20" s="10"/>
      <c r="AG20" s="6">
        <f t="shared" si="9"/>
        <v>0.77470409284185793</v>
      </c>
      <c r="AH20" s="6">
        <v>0.97184580942573306</v>
      </c>
      <c r="AI20" s="6">
        <f t="shared" si="10"/>
        <v>3.8864856417636949E-2</v>
      </c>
    </row>
    <row r="21" spans="1:35" x14ac:dyDescent="0.25">
      <c r="A21">
        <v>7</v>
      </c>
      <c r="B21">
        <v>12</v>
      </c>
      <c r="C21" s="16"/>
      <c r="D21" s="3">
        <v>314.54000000000002</v>
      </c>
      <c r="E21" s="6">
        <f t="shared" si="0"/>
        <v>3.6103459176783134E-2</v>
      </c>
      <c r="F21" s="6">
        <f t="shared" si="1"/>
        <v>2.7368743949879029E-3</v>
      </c>
      <c r="G21" s="6">
        <f t="shared" si="3"/>
        <v>3.718899959901819E-2</v>
      </c>
      <c r="H21" s="6">
        <f t="shared" si="15"/>
        <v>1.1156699879705456</v>
      </c>
      <c r="I21" s="6">
        <f t="shared" si="11"/>
        <v>15.224019927823269</v>
      </c>
      <c r="J21" s="6">
        <v>11.186154</v>
      </c>
      <c r="K21" s="6">
        <f t="shared" si="4"/>
        <v>16.304361251076067</v>
      </c>
      <c r="S21" s="6">
        <f t="shared" si="2"/>
        <v>4.0164119566939646E-2</v>
      </c>
      <c r="T21" s="6">
        <v>24.778124999999982</v>
      </c>
      <c r="U21" s="10">
        <v>24</v>
      </c>
      <c r="V21" s="6">
        <f t="shared" si="5"/>
        <v>2.9897039819500981</v>
      </c>
      <c r="W21" s="21">
        <v>0.446989583333333</v>
      </c>
      <c r="X21">
        <f t="shared" si="16"/>
        <v>1.3363665371818809</v>
      </c>
      <c r="Y21">
        <f t="shared" si="17"/>
        <v>1.653337444768217</v>
      </c>
      <c r="Z21" s="10">
        <f t="shared" si="6"/>
        <v>6.3095403388002777E-2</v>
      </c>
      <c r="AC21" s="6">
        <f t="shared" si="7"/>
        <v>6.1542191625603107E-2</v>
      </c>
      <c r="AD21" s="6">
        <f t="shared" si="8"/>
        <v>11.355982049465368</v>
      </c>
      <c r="AE21" s="6">
        <f t="shared" si="14"/>
        <v>6.1084192608324317</v>
      </c>
      <c r="AF21" s="10"/>
      <c r="AG21" s="6">
        <f t="shared" si="9"/>
        <v>0.79327150720736783</v>
      </c>
      <c r="AH21" s="6">
        <v>1.1595370769845901</v>
      </c>
      <c r="AI21" s="6">
        <f t="shared" si="10"/>
        <v>0.13415046760423327</v>
      </c>
    </row>
    <row r="22" spans="1:35" x14ac:dyDescent="0.25">
      <c r="A22">
        <v>8</v>
      </c>
      <c r="B22">
        <v>12</v>
      </c>
      <c r="C22" s="16"/>
      <c r="D22" s="3">
        <v>314.54000000000002</v>
      </c>
      <c r="E22" s="6">
        <f t="shared" si="0"/>
        <v>4.7197204506411058E-2</v>
      </c>
      <c r="F22" s="6">
        <f t="shared" si="1"/>
        <v>6.5126111167032085E-3</v>
      </c>
      <c r="G22" s="6">
        <f t="shared" si="3"/>
        <v>8.8494193467986149E-2</v>
      </c>
      <c r="H22" s="6">
        <f t="shared" si="15"/>
        <v>2.6548258040395845</v>
      </c>
      <c r="I22" s="6">
        <f t="shared" si="11"/>
        <v>17.878845731862853</v>
      </c>
      <c r="J22" s="6">
        <v>13.967694</v>
      </c>
      <c r="K22" s="6">
        <f t="shared" si="4"/>
        <v>15.297107869653797</v>
      </c>
      <c r="S22" s="6">
        <f t="shared" si="2"/>
        <v>9.557372894542504E-2</v>
      </c>
      <c r="T22" s="6">
        <v>24.881770833333338</v>
      </c>
      <c r="U22" s="10">
        <v>24</v>
      </c>
      <c r="V22" s="6">
        <f t="shared" si="5"/>
        <v>2.9897039819500981</v>
      </c>
      <c r="W22">
        <v>0.44235000000000002</v>
      </c>
      <c r="X22">
        <f t="shared" si="16"/>
        <v>1.322495556415626</v>
      </c>
      <c r="Y22">
        <f t="shared" si="17"/>
        <v>1.6672084255344721</v>
      </c>
      <c r="Z22" s="10">
        <f t="shared" si="6"/>
        <v>8.3912914932513322E-2</v>
      </c>
      <c r="AC22" s="6">
        <f t="shared" si="7"/>
        <v>8.1187831880457306E-2</v>
      </c>
      <c r="AD22" s="6">
        <f t="shared" si="8"/>
        <v>14.845408705446536</v>
      </c>
      <c r="AE22" s="6">
        <f t="shared" si="14"/>
        <v>8.4469427030471813</v>
      </c>
      <c r="AF22" s="10"/>
      <c r="AG22" s="6">
        <f t="shared" si="9"/>
        <v>1.0552812840015031</v>
      </c>
      <c r="AH22" s="6">
        <v>1.5082482584810299</v>
      </c>
      <c r="AI22" s="6">
        <f t="shared" si="10"/>
        <v>0.20517907996913631</v>
      </c>
    </row>
    <row r="23" spans="1:35" x14ac:dyDescent="0.25">
      <c r="A23">
        <v>9</v>
      </c>
      <c r="B23">
        <v>12</v>
      </c>
      <c r="C23" s="16"/>
      <c r="D23" s="3">
        <v>314.54000000000002</v>
      </c>
      <c r="E23" s="6">
        <f t="shared" si="0"/>
        <v>4.8782025267786473E-2</v>
      </c>
      <c r="F23" s="6">
        <f t="shared" si="1"/>
        <v>7.0520020769482524E-3</v>
      </c>
      <c r="G23" s="6">
        <f t="shared" si="3"/>
        <v>9.5823506877838721E-2</v>
      </c>
      <c r="H23" s="6">
        <f t="shared" si="15"/>
        <v>2.8747052063351619</v>
      </c>
      <c r="I23" s="6">
        <f t="shared" si="11"/>
        <v>20.753550938198014</v>
      </c>
      <c r="J23" s="6">
        <v>22.421393999999999</v>
      </c>
      <c r="K23" s="6">
        <f t="shared" si="4"/>
        <v>2.7817004788010209</v>
      </c>
      <c r="S23" s="6">
        <f t="shared" si="2"/>
        <v>0.10348938742806582</v>
      </c>
      <c r="T23" s="6">
        <v>24.55052083333333</v>
      </c>
      <c r="U23" s="10">
        <v>24</v>
      </c>
      <c r="V23" s="6">
        <f t="shared" si="5"/>
        <v>2.9897039819500981</v>
      </c>
      <c r="W23">
        <v>0.45422343749999999</v>
      </c>
      <c r="X23">
        <f>W23*V23</f>
        <v>1.3579936197888116</v>
      </c>
      <c r="Y23">
        <f>V23*(1-W23)</f>
        <v>1.6317103621612865</v>
      </c>
      <c r="Z23" s="10">
        <f t="shared" si="6"/>
        <v>9.6111150264924144E-2</v>
      </c>
      <c r="AC23" s="6">
        <f t="shared" si="7"/>
        <v>9.2553000143229938E-2</v>
      </c>
      <c r="AD23" s="6">
        <f t="shared" si="8"/>
        <v>15.343898227729559</v>
      </c>
      <c r="AE23" s="6">
        <f t="shared" si="14"/>
        <v>8.7810174805064314</v>
      </c>
      <c r="AF23" s="10"/>
      <c r="AG23" s="6">
        <f t="shared" si="9"/>
        <v>1.1773916955291215</v>
      </c>
      <c r="AH23" s="6">
        <v>1.6653343635424043</v>
      </c>
      <c r="AI23" s="6">
        <f t="shared" si="10"/>
        <v>0.23808804726792071</v>
      </c>
    </row>
    <row r="24" spans="1:35" x14ac:dyDescent="0.25">
      <c r="A24">
        <v>10</v>
      </c>
      <c r="B24">
        <v>12</v>
      </c>
      <c r="C24" s="16"/>
      <c r="D24" s="3">
        <v>314.54000000000002</v>
      </c>
      <c r="E24" s="6">
        <f t="shared" si="0"/>
        <v>5.0366846029161888E-2</v>
      </c>
      <c r="F24" s="6">
        <f t="shared" si="1"/>
        <v>7.5913930371932963E-3</v>
      </c>
      <c r="G24" s="6">
        <f t="shared" si="3"/>
        <v>0.10315282028769128</v>
      </c>
      <c r="H24" s="6">
        <f>MWc*G24/BCF</f>
        <v>3.094584608630738</v>
      </c>
      <c r="I24" s="6">
        <f t="shared" si="11"/>
        <v>23.84813554682875</v>
      </c>
      <c r="J24" s="6">
        <v>23.675814000000003</v>
      </c>
      <c r="K24" s="6">
        <f t="shared" si="4"/>
        <v>2.9694715501452317E-2</v>
      </c>
      <c r="S24" s="6">
        <f t="shared" si="2"/>
        <v>0.11140504591070659</v>
      </c>
      <c r="T24" s="6">
        <v>24.901041666666671</v>
      </c>
      <c r="U24" s="10">
        <v>24</v>
      </c>
      <c r="V24" s="6">
        <f t="shared" si="5"/>
        <v>2.9897039819500981</v>
      </c>
      <c r="W24">
        <v>0.45634374999999999</v>
      </c>
      <c r="X24">
        <f t="shared" ref="X24:X37" si="18">W24*V24</f>
        <v>1.3643327265130401</v>
      </c>
      <c r="Y24">
        <f t="shared" ref="Y24:Y26" si="19">V24*(1-W24)</f>
        <v>1.6253712554370578</v>
      </c>
      <c r="Z24" s="10">
        <f t="shared" si="6"/>
        <v>0.10141370269855299</v>
      </c>
      <c r="AC24" s="6">
        <f t="shared" si="7"/>
        <v>9.7460183470003639E-2</v>
      </c>
      <c r="AD24" s="6">
        <f t="shared" si="8"/>
        <v>15.84238775001258</v>
      </c>
      <c r="AE24" s="6">
        <f t="shared" si="14"/>
        <v>9.1150922579656815</v>
      </c>
      <c r="AF24" s="10"/>
      <c r="AG24" s="6">
        <f t="shared" si="9"/>
        <v>1.2350006757949841</v>
      </c>
      <c r="AH24" s="6">
        <v>1.6723510231292051</v>
      </c>
      <c r="AI24" s="6">
        <f t="shared" si="10"/>
        <v>0.1912753263133638</v>
      </c>
    </row>
    <row r="25" spans="1:35" x14ac:dyDescent="0.25">
      <c r="A25">
        <v>11</v>
      </c>
      <c r="B25">
        <v>12</v>
      </c>
      <c r="C25" s="16"/>
      <c r="D25" s="3">
        <v>314.54000000000002</v>
      </c>
      <c r="E25" s="6">
        <f t="shared" si="0"/>
        <v>5.195166679053731E-2</v>
      </c>
      <c r="F25" s="6">
        <f t="shared" si="1"/>
        <v>8.1307839974383393E-3</v>
      </c>
      <c r="G25" s="6">
        <f t="shared" si="3"/>
        <v>0.11048213369754384</v>
      </c>
      <c r="H25" s="6">
        <f t="shared" si="15"/>
        <v>3.314464010926315</v>
      </c>
      <c r="I25" s="6">
        <f t="shared" si="11"/>
        <v>27.162599557755065</v>
      </c>
      <c r="J25" s="6">
        <v>25.284743999999996</v>
      </c>
      <c r="K25" s="6">
        <f t="shared" si="4"/>
        <v>3.5263414957916015</v>
      </c>
      <c r="S25" s="6">
        <f t="shared" si="2"/>
        <v>0.11932070439334735</v>
      </c>
      <c r="T25" s="6">
        <v>24.877083333333339</v>
      </c>
      <c r="U25" s="10">
        <v>24</v>
      </c>
      <c r="V25" s="6">
        <f t="shared" si="5"/>
        <v>2.9897039819500981</v>
      </c>
      <c r="W25">
        <v>0.44904166666666701</v>
      </c>
      <c r="X25">
        <f t="shared" si="18"/>
        <v>1.3425016588948431</v>
      </c>
      <c r="Y25">
        <f t="shared" si="19"/>
        <v>1.647202323055255</v>
      </c>
      <c r="Z25" s="10">
        <f t="shared" si="6"/>
        <v>9.9254242460286454E-2</v>
      </c>
      <c r="AC25" s="6">
        <f t="shared" si="7"/>
        <v>9.5464153562695359E-2</v>
      </c>
      <c r="AD25" s="6">
        <f t="shared" si="8"/>
        <v>16.340877272295607</v>
      </c>
      <c r="AE25" s="6">
        <f t="shared" si="14"/>
        <v>9.4491670354249315</v>
      </c>
      <c r="AF25" s="10"/>
      <c r="AG25" s="6">
        <f t="shared" si="9"/>
        <v>1.2259553915283561</v>
      </c>
      <c r="AH25" s="6">
        <v>1.5083403505815001</v>
      </c>
      <c r="AI25" s="6">
        <f t="shared" si="10"/>
        <v>7.9741265099445804E-2</v>
      </c>
    </row>
    <row r="26" spans="1:35" x14ac:dyDescent="0.25">
      <c r="A26">
        <v>12</v>
      </c>
      <c r="B26">
        <v>12</v>
      </c>
      <c r="C26" s="16"/>
      <c r="D26" s="3">
        <v>314.54000000000002</v>
      </c>
      <c r="E26" s="6">
        <f t="shared" si="0"/>
        <v>5.3536487551912725E-2</v>
      </c>
      <c r="F26" s="6">
        <f t="shared" si="1"/>
        <v>8.6701749576833832E-3</v>
      </c>
      <c r="G26" s="6">
        <f t="shared" si="3"/>
        <v>0.11781144710739641</v>
      </c>
      <c r="H26" s="6">
        <f t="shared" si="15"/>
        <v>3.534343413221892</v>
      </c>
      <c r="I26" s="6">
        <f t="shared" si="11"/>
        <v>30.696942970976956</v>
      </c>
      <c r="J26" s="6">
        <v>31.229604000000002</v>
      </c>
      <c r="K26" s="6">
        <f t="shared" si="4"/>
        <v>0.28372777183989051</v>
      </c>
      <c r="S26" s="6">
        <f t="shared" si="2"/>
        <v>0.12723636287598813</v>
      </c>
      <c r="T26" s="6">
        <v>25.129166666666663</v>
      </c>
      <c r="U26" s="10">
        <v>24</v>
      </c>
      <c r="V26" s="6">
        <f t="shared" si="5"/>
        <v>2.9897039819500981</v>
      </c>
      <c r="W26">
        <v>0.443635416666667</v>
      </c>
      <c r="X26">
        <f t="shared" si="18"/>
        <v>1.3263385717424252</v>
      </c>
      <c r="Y26">
        <f t="shared" si="19"/>
        <v>1.6633654102076729</v>
      </c>
      <c r="Z26" s="10">
        <f t="shared" si="6"/>
        <v>9.8258876948105686E-2</v>
      </c>
      <c r="AC26" s="6">
        <f t="shared" si="7"/>
        <v>9.4543001295852191E-2</v>
      </c>
      <c r="AD26" s="6">
        <f t="shared" si="8"/>
        <v>16.839366794578631</v>
      </c>
      <c r="AE26" s="6">
        <f t="shared" si="14"/>
        <v>9.7832418128841816</v>
      </c>
      <c r="AF26" s="10"/>
      <c r="AG26" s="6">
        <f t="shared" si="9"/>
        <v>1.2260394558136747</v>
      </c>
      <c r="AH26" s="6">
        <v>1.41935626156299</v>
      </c>
      <c r="AI26" s="6">
        <f t="shared" si="10"/>
        <v>3.7371387385118512E-2</v>
      </c>
    </row>
    <row r="27" spans="1:35" x14ac:dyDescent="0.25">
      <c r="A27">
        <v>13</v>
      </c>
      <c r="B27">
        <v>12</v>
      </c>
      <c r="C27" s="16"/>
      <c r="D27" s="3">
        <v>314.54000000000002</v>
      </c>
      <c r="E27" s="6">
        <f t="shared" si="0"/>
        <v>5.5121308313288139E-2</v>
      </c>
      <c r="F27" s="6">
        <f t="shared" si="1"/>
        <v>9.2095659179284271E-3</v>
      </c>
      <c r="G27" s="6">
        <f t="shared" si="3"/>
        <v>0.12514076051724898</v>
      </c>
      <c r="H27" s="6">
        <f t="shared" si="15"/>
        <v>3.7542228155174695</v>
      </c>
      <c r="I27" s="6">
        <f t="shared" si="11"/>
        <v>34.451165786494428</v>
      </c>
      <c r="J27" s="6">
        <v>33.983874</v>
      </c>
      <c r="K27" s="6">
        <f t="shared" si="4"/>
        <v>0.21836161372515422</v>
      </c>
      <c r="S27" s="6">
        <f t="shared" si="2"/>
        <v>0.13515202135862892</v>
      </c>
      <c r="T27" s="6">
        <v>24.971354166666664</v>
      </c>
      <c r="U27" s="10">
        <v>24</v>
      </c>
      <c r="V27" s="6">
        <f t="shared" si="5"/>
        <v>2.9897039819500981</v>
      </c>
      <c r="W27">
        <v>0.44858854166666701</v>
      </c>
      <c r="X27">
        <f t="shared" si="18"/>
        <v>1.3411469492780219</v>
      </c>
      <c r="Y27">
        <f>V27*(1-W27)</f>
        <v>1.6485570326720762</v>
      </c>
      <c r="Z27" s="10">
        <f t="shared" si="6"/>
        <v>0.10588206242905501</v>
      </c>
      <c r="AC27" s="6">
        <f t="shared" si="7"/>
        <v>0.10157986805661284</v>
      </c>
      <c r="AD27" s="6">
        <f t="shared" si="8"/>
        <v>17.337856316861654</v>
      </c>
      <c r="AE27" s="6">
        <f t="shared" si="14"/>
        <v>10.117316590343428</v>
      </c>
      <c r="AF27" s="10"/>
      <c r="AG27" s="6">
        <f t="shared" si="9"/>
        <v>1.3055665557254403</v>
      </c>
      <c r="AH27" s="6">
        <v>1.5100973900529258</v>
      </c>
      <c r="AI27" s="6">
        <f t="shared" si="10"/>
        <v>4.183286219069729E-2</v>
      </c>
    </row>
    <row r="28" spans="1:35" x14ac:dyDescent="0.25">
      <c r="A28">
        <v>14</v>
      </c>
      <c r="B28">
        <v>12</v>
      </c>
      <c r="C28" s="16"/>
      <c r="D28" s="3">
        <v>314.54000000000002</v>
      </c>
      <c r="E28" s="6">
        <f t="shared" si="0"/>
        <v>5.6706129074663561E-2</v>
      </c>
      <c r="F28" s="6">
        <f t="shared" si="1"/>
        <v>9.748956878173471E-3</v>
      </c>
      <c r="G28" s="6">
        <f t="shared" si="3"/>
        <v>0.13247007392710156</v>
      </c>
      <c r="H28" s="6">
        <f t="shared" si="15"/>
        <v>3.974102217813047</v>
      </c>
      <c r="I28" s="6">
        <f t="shared" si="11"/>
        <v>38.425268004307476</v>
      </c>
      <c r="J28" s="6">
        <v>38.237993999999993</v>
      </c>
      <c r="K28" s="6">
        <f t="shared" si="4"/>
        <v>3.5071552689359069E-2</v>
      </c>
      <c r="S28" s="6">
        <f t="shared" si="2"/>
        <v>0.1430676798412697</v>
      </c>
      <c r="T28" s="6">
        <v>25.003124999999994</v>
      </c>
      <c r="U28" s="10">
        <v>24</v>
      </c>
      <c r="V28" s="6">
        <f t="shared" si="5"/>
        <v>2.9897039819500981</v>
      </c>
      <c r="W28">
        <v>0.45061458333333299</v>
      </c>
      <c r="X28">
        <f t="shared" si="18"/>
        <v>1.34720421411645</v>
      </c>
      <c r="Y28">
        <f t="shared" ref="Y28:Y37" si="20">V28*(1-W28)</f>
        <v>1.6424997678336479</v>
      </c>
      <c r="Z28" s="10">
        <f t="shared" si="6"/>
        <v>0.11118168802200806</v>
      </c>
      <c r="AC28" s="6">
        <f t="shared" si="7"/>
        <v>0.10644767513882682</v>
      </c>
      <c r="AD28" s="6">
        <f t="shared" si="8"/>
        <v>17.836345839144677</v>
      </c>
      <c r="AE28" s="6">
        <f t="shared" si="14"/>
        <v>10.451391367802682</v>
      </c>
      <c r="AF28" s="10"/>
      <c r="AG28" s="6">
        <f t="shared" si="9"/>
        <v>1.3631036890694808</v>
      </c>
      <c r="AH28" s="6">
        <v>1.5468966301787399</v>
      </c>
      <c r="AI28" s="6">
        <f t="shared" si="10"/>
        <v>3.37798452015916E-2</v>
      </c>
    </row>
    <row r="29" spans="1:35" x14ac:dyDescent="0.25">
      <c r="A29">
        <v>15</v>
      </c>
      <c r="B29">
        <v>12</v>
      </c>
      <c r="C29" s="16"/>
      <c r="D29" s="3">
        <v>314.54000000000002</v>
      </c>
      <c r="E29" s="6">
        <f t="shared" si="0"/>
        <v>5.8290949836038976E-2</v>
      </c>
      <c r="F29" s="6">
        <f t="shared" si="1"/>
        <v>1.0288347838418515E-2</v>
      </c>
      <c r="G29" s="6">
        <f t="shared" si="3"/>
        <v>0.13979938733695413</v>
      </c>
      <c r="H29" s="6">
        <f t="shared" si="15"/>
        <v>4.193981620108624</v>
      </c>
      <c r="I29" s="6">
        <f t="shared" si="11"/>
        <v>42.619249624416099</v>
      </c>
      <c r="J29" s="6">
        <v>50.727653999999994</v>
      </c>
      <c r="K29" s="6">
        <f t="shared" si="4"/>
        <v>65.746221517988047</v>
      </c>
      <c r="S29" s="6">
        <f t="shared" si="2"/>
        <v>0.15098333832391048</v>
      </c>
      <c r="T29" s="6">
        <v>24.825520833333321</v>
      </c>
      <c r="U29" s="10">
        <v>24</v>
      </c>
      <c r="V29" s="6">
        <f t="shared" si="5"/>
        <v>2.9897039819500981</v>
      </c>
      <c r="W29">
        <v>0.45657061458333298</v>
      </c>
      <c r="X29">
        <f t="shared" si="18"/>
        <v>1.3650109844611942</v>
      </c>
      <c r="Y29">
        <f t="shared" si="20"/>
        <v>1.6246929974889037</v>
      </c>
      <c r="Z29" s="10">
        <f t="shared" si="6"/>
        <v>0.12020652143960467</v>
      </c>
      <c r="AC29" s="6">
        <f t="shared" si="7"/>
        <v>0.11469183865472586</v>
      </c>
      <c r="AD29" s="6">
        <f t="shared" si="8"/>
        <v>18.3348353614277</v>
      </c>
      <c r="AE29" s="6">
        <f t="shared" si="14"/>
        <v>10.78546614526193</v>
      </c>
      <c r="AF29" s="10"/>
      <c r="AG29" s="6">
        <f t="shared" si="9"/>
        <v>1.4527511213548452</v>
      </c>
      <c r="AH29" s="6">
        <v>1.5959712685287999</v>
      </c>
      <c r="AI29" s="6">
        <f t="shared" si="10"/>
        <v>2.0512010556529247E-2</v>
      </c>
    </row>
    <row r="30" spans="1:35" x14ac:dyDescent="0.25">
      <c r="A30">
        <v>16</v>
      </c>
      <c r="B30">
        <v>12</v>
      </c>
      <c r="C30" s="16"/>
      <c r="D30" s="3">
        <v>314.54000000000002</v>
      </c>
      <c r="E30" s="6">
        <f t="shared" si="0"/>
        <v>5.9875770597414391E-2</v>
      </c>
      <c r="F30" s="6">
        <f t="shared" si="1"/>
        <v>1.0827738798663559E-2</v>
      </c>
      <c r="G30" s="6">
        <f t="shared" si="3"/>
        <v>0.14712870074680667</v>
      </c>
      <c r="H30" s="6">
        <f t="shared" si="15"/>
        <v>4.4138610224042001</v>
      </c>
      <c r="I30" s="6">
        <f t="shared" si="11"/>
        <v>47.033110646820298</v>
      </c>
      <c r="J30" s="6">
        <v>51.627563999999985</v>
      </c>
      <c r="K30" s="6">
        <f t="shared" si="4"/>
        <v>21.109001614544077</v>
      </c>
      <c r="S30" s="6">
        <f t="shared" si="2"/>
        <v>0.15889899680655123</v>
      </c>
      <c r="T30" s="6">
        <v>24.56197916666666</v>
      </c>
      <c r="U30" s="10">
        <v>24</v>
      </c>
      <c r="V30" s="6">
        <f t="shared" si="5"/>
        <v>2.9897039819500981</v>
      </c>
      <c r="W30">
        <v>0.46061458333333299</v>
      </c>
      <c r="X30">
        <f t="shared" si="18"/>
        <v>1.3771012539359511</v>
      </c>
      <c r="Y30">
        <f t="shared" si="20"/>
        <v>1.6126027280141471</v>
      </c>
      <c r="Z30" s="10">
        <f t="shared" si="6"/>
        <v>0.12775953559285425</v>
      </c>
      <c r="AC30" s="6">
        <f t="shared" si="7"/>
        <v>0.12154797067840356</v>
      </c>
      <c r="AD30" s="6">
        <f t="shared" si="8"/>
        <v>18.833324883710723</v>
      </c>
      <c r="AE30" s="6">
        <f t="shared" si="14"/>
        <v>11.11954092272118</v>
      </c>
      <c r="AF30" s="10"/>
      <c r="AG30" s="6">
        <f t="shared" si="9"/>
        <v>1.5281377282825195</v>
      </c>
      <c r="AH30" s="6">
        <v>1.24385141954851</v>
      </c>
      <c r="AI30" s="6">
        <f t="shared" si="10"/>
        <v>8.0818705333608576E-2</v>
      </c>
    </row>
    <row r="31" spans="1:35" x14ac:dyDescent="0.25">
      <c r="A31">
        <v>17</v>
      </c>
      <c r="B31">
        <v>12</v>
      </c>
      <c r="C31" s="16"/>
      <c r="D31" s="3">
        <v>314.54000000000002</v>
      </c>
      <c r="E31" s="6">
        <f t="shared" si="0"/>
        <v>5.9875770597414391E-2</v>
      </c>
      <c r="F31" s="6">
        <f t="shared" si="1"/>
        <v>1.0827738798663557E-2</v>
      </c>
      <c r="G31" s="6">
        <f t="shared" si="3"/>
        <v>0.14712870074680667</v>
      </c>
      <c r="H31" s="6">
        <f t="shared" si="15"/>
        <v>4.4138610224042001</v>
      </c>
      <c r="I31" s="6">
        <f t="shared" si="11"/>
        <v>51.446971669224496</v>
      </c>
      <c r="J31" s="6">
        <v>56.372543999999991</v>
      </c>
      <c r="K31" s="6">
        <f t="shared" si="4"/>
        <v>24.261262785701142</v>
      </c>
      <c r="S31" s="6">
        <f t="shared" si="2"/>
        <v>0.15889899680655123</v>
      </c>
      <c r="T31" s="6">
        <v>24.471875000000004</v>
      </c>
      <c r="U31" s="10">
        <v>24</v>
      </c>
      <c r="V31" s="6">
        <f t="shared" si="5"/>
        <v>2.9897039819500981</v>
      </c>
      <c r="W31">
        <v>0.46226145833333299</v>
      </c>
      <c r="X31">
        <f t="shared" si="18"/>
        <v>1.3820249226812249</v>
      </c>
      <c r="Y31">
        <f t="shared" si="20"/>
        <v>1.6076790592688732</v>
      </c>
      <c r="Z31" s="10">
        <f t="shared" si="6"/>
        <v>0.12931914042130171</v>
      </c>
      <c r="AC31" s="6">
        <f>gA*Z31/(gA+Z31)</f>
        <v>0.12295877137282449</v>
      </c>
      <c r="AD31" s="6">
        <f t="shared" si="8"/>
        <v>18.833324883710723</v>
      </c>
      <c r="AE31" s="6">
        <f t="shared" si="14"/>
        <v>11.11954092272118</v>
      </c>
      <c r="AF31" s="10"/>
      <c r="AG31" s="6">
        <f t="shared" si="9"/>
        <v>1.5411548079504154</v>
      </c>
      <c r="AH31" s="6">
        <v>1.1175107133754203</v>
      </c>
      <c r="AI31" s="6">
        <f t="shared" si="10"/>
        <v>0.17947431886826737</v>
      </c>
    </row>
    <row r="32" spans="1:35" x14ac:dyDescent="0.25">
      <c r="A32">
        <v>18</v>
      </c>
      <c r="B32">
        <v>12</v>
      </c>
      <c r="C32" s="16"/>
      <c r="D32" s="3">
        <v>314.54000000000002</v>
      </c>
      <c r="E32" s="6">
        <f t="shared" si="0"/>
        <v>5.9875770597414391E-2</v>
      </c>
      <c r="F32" s="6">
        <f t="shared" si="1"/>
        <v>1.0827738798663557E-2</v>
      </c>
      <c r="G32" s="6">
        <f t="shared" si="3"/>
        <v>0.14712870074680667</v>
      </c>
      <c r="H32" s="6">
        <f t="shared" si="15"/>
        <v>4.4138610224042001</v>
      </c>
      <c r="I32" s="6">
        <f t="shared" si="11"/>
        <v>55.860832691628694</v>
      </c>
      <c r="J32" s="6">
        <v>59.454053999999999</v>
      </c>
      <c r="K32" s="6">
        <f t="shared" si="4"/>
        <v>12.911239370933593</v>
      </c>
      <c r="S32" s="6">
        <f t="shared" si="2"/>
        <v>0.15889899680655123</v>
      </c>
      <c r="T32" s="6">
        <v>24.423437499999999</v>
      </c>
      <c r="U32" s="10">
        <v>24</v>
      </c>
      <c r="V32" s="6">
        <f t="shared" si="5"/>
        <v>2.9897039819500981</v>
      </c>
      <c r="W32">
        <v>0.4614583333333</v>
      </c>
      <c r="X32">
        <f t="shared" si="18"/>
        <v>1.3796238166706227</v>
      </c>
      <c r="Y32">
        <f t="shared" si="20"/>
        <v>1.6100801652794754</v>
      </c>
      <c r="Z32" s="10">
        <f t="shared" si="6"/>
        <v>0.12855857411973148</v>
      </c>
      <c r="AC32" s="6">
        <f t="shared" si="7"/>
        <v>0.12227098093370814</v>
      </c>
      <c r="AD32" s="6">
        <f t="shared" si="8"/>
        <v>18.833324883710723</v>
      </c>
      <c r="AE32" s="6">
        <f t="shared" si="14"/>
        <v>11.11954092272118</v>
      </c>
      <c r="AF32" s="10"/>
      <c r="AG32" s="6">
        <f t="shared" si="9"/>
        <v>1.5348229762123375</v>
      </c>
      <c r="AH32" s="6">
        <v>1.154914476806955</v>
      </c>
      <c r="AI32" s="6">
        <f t="shared" si="10"/>
        <v>0.14433046792044954</v>
      </c>
    </row>
    <row r="33" spans="1:36" x14ac:dyDescent="0.25">
      <c r="A33">
        <v>19</v>
      </c>
      <c r="B33">
        <v>12</v>
      </c>
      <c r="C33" s="16"/>
      <c r="D33" s="3">
        <v>314.54000000000002</v>
      </c>
      <c r="E33" s="6">
        <f t="shared" si="0"/>
        <v>5.9875770597414391E-2</v>
      </c>
      <c r="F33" s="6">
        <f t="shared" si="1"/>
        <v>1.0827738798663557E-2</v>
      </c>
      <c r="G33" s="6">
        <f t="shared" si="3"/>
        <v>0.14712870074680667</v>
      </c>
      <c r="H33" s="6">
        <f t="shared" si="15"/>
        <v>4.4138610224042001</v>
      </c>
      <c r="I33" s="6">
        <f t="shared" si="11"/>
        <v>60.274693714032892</v>
      </c>
      <c r="J33" s="6">
        <v>64.962593999999996</v>
      </c>
      <c r="K33" s="6">
        <f t="shared" si="4"/>
        <v>21.976409091170449</v>
      </c>
      <c r="S33" s="6">
        <f t="shared" si="2"/>
        <v>0.15889899680655123</v>
      </c>
      <c r="T33" s="6">
        <v>24.563043478260859</v>
      </c>
      <c r="U33" s="10">
        <v>24</v>
      </c>
      <c r="V33" s="6">
        <f t="shared" si="5"/>
        <v>2.9897039819500981</v>
      </c>
      <c r="W33">
        <v>0.45255434782609</v>
      </c>
      <c r="X33">
        <f t="shared" si="18"/>
        <v>1.3530035357444909</v>
      </c>
      <c r="Y33">
        <f t="shared" si="20"/>
        <v>1.636700446205607</v>
      </c>
      <c r="Z33" s="10">
        <f t="shared" si="6"/>
        <v>0.12012642305212057</v>
      </c>
      <c r="AC33" s="6">
        <f t="shared" si="7"/>
        <v>0.11461891876212245</v>
      </c>
      <c r="AD33" s="6">
        <f t="shared" si="8"/>
        <v>18.833324883710723</v>
      </c>
      <c r="AE33" s="6">
        <f t="shared" si="14"/>
        <v>11.11954092272118</v>
      </c>
      <c r="AF33" s="10"/>
      <c r="AG33" s="6">
        <f t="shared" si="9"/>
        <v>1.4625573467022721</v>
      </c>
      <c r="AH33" s="6">
        <v>1.1550103669217944</v>
      </c>
      <c r="AI33" s="6">
        <f t="shared" si="10"/>
        <v>9.458514477209358E-2</v>
      </c>
    </row>
    <row r="34" spans="1:36" x14ac:dyDescent="0.25">
      <c r="A34">
        <v>20</v>
      </c>
      <c r="B34">
        <v>12</v>
      </c>
      <c r="C34" s="16"/>
      <c r="D34" s="3">
        <v>314.54000000000002</v>
      </c>
      <c r="E34" s="6">
        <f t="shared" si="0"/>
        <v>5.9875770597414391E-2</v>
      </c>
      <c r="F34" s="6">
        <f t="shared" si="1"/>
        <v>1.0827738798663557E-2</v>
      </c>
      <c r="G34" s="6">
        <f t="shared" si="3"/>
        <v>0.14712870074680667</v>
      </c>
      <c r="H34" s="6">
        <f t="shared" si="15"/>
        <v>4.4138610224042001</v>
      </c>
      <c r="I34" s="6">
        <f t="shared" si="11"/>
        <v>64.688554736437098</v>
      </c>
      <c r="J34" s="6">
        <v>65.126213999999976</v>
      </c>
      <c r="K34" s="6">
        <f t="shared" si="4"/>
        <v>0.19154563098240091</v>
      </c>
      <c r="S34" s="6">
        <f t="shared" si="2"/>
        <v>0.15889899680655123</v>
      </c>
      <c r="T34" s="6">
        <v>24.041666666666657</v>
      </c>
      <c r="U34" s="10">
        <v>24</v>
      </c>
      <c r="V34" s="6">
        <f t="shared" si="5"/>
        <v>2.9897039819500981</v>
      </c>
      <c r="W34">
        <v>0.46463541666667002</v>
      </c>
      <c r="X34">
        <f t="shared" si="18"/>
        <v>1.3891223553633862</v>
      </c>
      <c r="Y34">
        <f t="shared" si="20"/>
        <v>1.6005816265867119</v>
      </c>
      <c r="Z34" s="10">
        <f>((1.717*U34)-19.96-(10.54*Y34))*(AE34/370)</f>
        <v>0.13156729943713824</v>
      </c>
      <c r="AC34" s="6">
        <f>gA*Z34/(gA+Z34)</f>
        <v>0.12498948769548755</v>
      </c>
      <c r="AD34" s="6">
        <f t="shared" si="8"/>
        <v>18.833324883710723</v>
      </c>
      <c r="AE34" s="6">
        <f t="shared" si="14"/>
        <v>11.11954092272118</v>
      </c>
      <c r="AF34" s="10"/>
      <c r="AG34" s="6">
        <f t="shared" si="9"/>
        <v>1.5596915196863512</v>
      </c>
      <c r="AH34" s="6">
        <v>1.2684311018440522</v>
      </c>
      <c r="AI34" s="6">
        <f t="shared" si="10"/>
        <v>8.4832631001670641E-2</v>
      </c>
    </row>
    <row r="35" spans="1:36" x14ac:dyDescent="0.25">
      <c r="A35">
        <v>21</v>
      </c>
      <c r="B35">
        <v>12</v>
      </c>
      <c r="C35" s="16"/>
      <c r="D35" s="3">
        <v>314.54000000000002</v>
      </c>
      <c r="E35" s="6">
        <f t="shared" si="0"/>
        <v>5.9875770597414391E-2</v>
      </c>
      <c r="F35" s="6">
        <f t="shared" si="1"/>
        <v>1.0827738798663557E-2</v>
      </c>
      <c r="G35" s="6">
        <f t="shared" si="3"/>
        <v>0.14712870074680667</v>
      </c>
      <c r="H35" s="6">
        <f t="shared" si="15"/>
        <v>4.4138610224042001</v>
      </c>
      <c r="I35" s="6">
        <f t="shared" si="11"/>
        <v>69.102415758841303</v>
      </c>
      <c r="J35" s="6">
        <v>66.244283999999993</v>
      </c>
      <c r="K35" s="6">
        <f t="shared" si="4"/>
        <v>8.16891715089732</v>
      </c>
      <c r="S35" s="6">
        <f t="shared" si="2"/>
        <v>0.15889899680655123</v>
      </c>
      <c r="T35" s="6">
        <v>24.223958333333346</v>
      </c>
      <c r="U35" s="10">
        <v>24</v>
      </c>
      <c r="V35" s="6">
        <f t="shared" si="5"/>
        <v>2.9897039819500981</v>
      </c>
      <c r="W35">
        <v>0.475651041666667</v>
      </c>
      <c r="X35">
        <f t="shared" si="18"/>
        <v>1.4220558132895464</v>
      </c>
      <c r="Y35">
        <f t="shared" si="20"/>
        <v>1.5676481686605517</v>
      </c>
      <c r="Z35" s="10">
        <f t="shared" si="6"/>
        <v>0.14199919131622019</v>
      </c>
      <c r="AC35" s="6">
        <f t="shared" si="7"/>
        <v>0.13436717901253167</v>
      </c>
      <c r="AD35" s="6">
        <f t="shared" si="8"/>
        <v>18.833324883710723</v>
      </c>
      <c r="AE35" s="6">
        <f t="shared" si="14"/>
        <v>11.11954092272118</v>
      </c>
      <c r="AF35" s="10"/>
      <c r="AG35" s="6">
        <f t="shared" si="9"/>
        <v>1.6422118985996279</v>
      </c>
      <c r="AH35" s="6">
        <v>1.5540155708440513</v>
      </c>
      <c r="AI35" s="6">
        <f t="shared" si="10"/>
        <v>7.7785922295690946E-3</v>
      </c>
    </row>
    <row r="36" spans="1:36" x14ac:dyDescent="0.25">
      <c r="A36" s="6">
        <v>22</v>
      </c>
      <c r="B36" s="6">
        <v>12</v>
      </c>
      <c r="C36" s="10"/>
      <c r="D36" s="10">
        <v>314.54000000000002</v>
      </c>
      <c r="E36" s="6">
        <f t="shared" si="0"/>
        <v>5.9875770597414391E-2</v>
      </c>
      <c r="F36" s="6">
        <f t="shared" si="1"/>
        <v>1.0827738798663557E-2</v>
      </c>
      <c r="G36" s="6">
        <f t="shared" si="3"/>
        <v>0.14712870074680667</v>
      </c>
      <c r="H36" s="6">
        <f t="shared" si="15"/>
        <v>4.4138610224042001</v>
      </c>
      <c r="I36" s="6">
        <f t="shared" si="11"/>
        <v>73.516276781245509</v>
      </c>
      <c r="J36" s="6">
        <v>66.571523999999982</v>
      </c>
      <c r="K36" s="6">
        <f t="shared" si="4"/>
        <v>48.22959119261747</v>
      </c>
      <c r="L36" s="6"/>
      <c r="M36" s="6"/>
      <c r="N36" s="6"/>
      <c r="O36" s="6"/>
      <c r="P36" s="6"/>
      <c r="Q36" s="6"/>
      <c r="R36" s="6"/>
      <c r="S36" s="6">
        <f t="shared" si="2"/>
        <v>0.15889899680655123</v>
      </c>
      <c r="T36" s="6">
        <v>22.677499999999988</v>
      </c>
      <c r="U36" s="10">
        <v>24</v>
      </c>
      <c r="V36" s="6">
        <f t="shared" si="5"/>
        <v>2.9897039819500981</v>
      </c>
      <c r="W36">
        <v>0.46303749999999999</v>
      </c>
      <c r="X36">
        <f t="shared" si="18"/>
        <v>1.3843450575422185</v>
      </c>
      <c r="Y36">
        <f t="shared" si="20"/>
        <v>1.6053589244078796</v>
      </c>
      <c r="Z36" s="10">
        <f t="shared" si="6"/>
        <v>0.13005405857259456</v>
      </c>
      <c r="AA36" s="10"/>
      <c r="AB36" s="10"/>
      <c r="AC36" s="6">
        <f t="shared" si="7"/>
        <v>0.12362298994262745</v>
      </c>
      <c r="AD36" s="6">
        <f t="shared" si="8"/>
        <v>18.833324883710723</v>
      </c>
      <c r="AE36" s="6">
        <f t="shared" si="14"/>
        <v>11.11954092272118</v>
      </c>
      <c r="AF36" s="10"/>
      <c r="AG36" s="6">
        <f t="shared" si="9"/>
        <v>1.5472439226275192</v>
      </c>
      <c r="AH36" s="6">
        <v>1.7114006965583386</v>
      </c>
      <c r="AI36" s="6">
        <f t="shared" si="10"/>
        <v>2.6947446427374146E-2</v>
      </c>
      <c r="AJ36" s="6"/>
    </row>
    <row r="37" spans="1:36" x14ac:dyDescent="0.25">
      <c r="A37" s="6">
        <v>23</v>
      </c>
      <c r="B37" s="6">
        <v>12</v>
      </c>
      <c r="C37" s="10"/>
      <c r="D37" s="10">
        <v>314.54000000000002</v>
      </c>
      <c r="E37" s="6">
        <f t="shared" si="0"/>
        <v>5.9875770597414391E-2</v>
      </c>
      <c r="F37" s="6">
        <f t="shared" si="1"/>
        <v>1.0827738798663557E-2</v>
      </c>
      <c r="G37" s="6">
        <f t="shared" si="3"/>
        <v>0.14712870074680667</v>
      </c>
      <c r="H37" s="6">
        <f>MWc*G37/BCF</f>
        <v>4.4138610224042001</v>
      </c>
      <c r="I37" s="6">
        <f t="shared" si="11"/>
        <v>77.930137803649714</v>
      </c>
      <c r="J37" s="6">
        <v>72.980574000000004</v>
      </c>
      <c r="K37" s="6">
        <f t="shared" si="4"/>
        <v>24.498181846399383</v>
      </c>
      <c r="L37" s="6"/>
      <c r="M37" s="6"/>
      <c r="N37" s="6"/>
      <c r="O37" s="6"/>
      <c r="P37" s="6"/>
      <c r="Q37" s="6"/>
      <c r="R37" s="6"/>
      <c r="S37" s="6">
        <f t="shared" si="2"/>
        <v>0.15889899680655123</v>
      </c>
      <c r="T37" s="6">
        <v>22.677499999999988</v>
      </c>
      <c r="U37" s="10">
        <v>24</v>
      </c>
      <c r="V37" s="6">
        <f t="shared" si="5"/>
        <v>2.9897039819500981</v>
      </c>
      <c r="W37">
        <v>0.46303749999999999</v>
      </c>
      <c r="X37">
        <f t="shared" si="18"/>
        <v>1.3843450575422185</v>
      </c>
      <c r="Y37">
        <f t="shared" si="20"/>
        <v>1.6053589244078796</v>
      </c>
      <c r="Z37" s="10">
        <f>((1.717*U37)-19.96-(10.54*Y37))*(AE37/370)</f>
        <v>0.13005405857259456</v>
      </c>
      <c r="AA37">
        <v>8.7499999999999994E-2</v>
      </c>
      <c r="AB37" s="10"/>
      <c r="AC37" s="6">
        <f t="shared" si="7"/>
        <v>0.12362298994262745</v>
      </c>
      <c r="AD37" s="6">
        <f t="shared" si="8"/>
        <v>18.833324883710723</v>
      </c>
      <c r="AE37" s="6">
        <f t="shared" si="14"/>
        <v>11.11954092272118</v>
      </c>
      <c r="AF37">
        <v>6.5044444444444434</v>
      </c>
      <c r="AG37" s="6">
        <f t="shared" si="9"/>
        <v>1.5472439226275192</v>
      </c>
      <c r="AH37" s="6">
        <v>1.6958979257142863</v>
      </c>
      <c r="AI37" s="6">
        <f t="shared" si="10"/>
        <v>2.2098012633720569E-2</v>
      </c>
      <c r="AJ37" s="6"/>
    </row>
    <row r="38" spans="1:36" x14ac:dyDescent="0.25">
      <c r="A38" s="6"/>
      <c r="B38" s="6"/>
      <c r="C38" s="10"/>
      <c r="D38" s="10"/>
      <c r="E38" s="1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0"/>
      <c r="W38" s="6"/>
      <c r="X38" s="6"/>
      <c r="Y38" s="6"/>
      <c r="Z38" s="6"/>
      <c r="AA38" s="10"/>
      <c r="AB38" s="10"/>
      <c r="AC38" s="10"/>
      <c r="AD38" s="6"/>
      <c r="AE38" s="10"/>
      <c r="AF38" s="10"/>
      <c r="AG38" s="10"/>
      <c r="AH38" s="6"/>
      <c r="AI38" s="6"/>
      <c r="AJ38" s="6"/>
    </row>
    <row r="39" spans="1:36" x14ac:dyDescent="0.25">
      <c r="A39" s="6"/>
      <c r="B39" s="6"/>
      <c r="C39" s="10"/>
      <c r="D39" s="10"/>
      <c r="E39" s="10"/>
      <c r="F39" s="6"/>
      <c r="G39" s="6"/>
      <c r="H39" t="s">
        <v>147</v>
      </c>
      <c r="I39" s="6">
        <f>SUM(K39+AI39*1000)</f>
        <v>356.15115746875307</v>
      </c>
      <c r="J39" s="6" t="s">
        <v>131</v>
      </c>
      <c r="K39" s="6">
        <f>AVERAGE(K15:K37)^0.5</f>
        <v>3.6041941531374793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 t="s">
        <v>151</v>
      </c>
      <c r="AA39" s="18">
        <f>-(AA37-Z37)</f>
        <v>4.2554058572594561E-2</v>
      </c>
      <c r="AB39" s="6"/>
      <c r="AC39" s="6"/>
      <c r="AD39" s="6"/>
      <c r="AE39" s="18" t="s">
        <v>151</v>
      </c>
      <c r="AF39" s="18">
        <f>-(AF37-AE37)</f>
        <v>4.6150964782767367</v>
      </c>
      <c r="AG39" s="6"/>
      <c r="AH39" s="6" t="s">
        <v>131</v>
      </c>
      <c r="AI39" s="6">
        <f>AVERAGE(AI15:AI37)^0.5</f>
        <v>0.35254696331561558</v>
      </c>
    </row>
    <row r="40" spans="1:36" x14ac:dyDescent="0.25">
      <c r="J40" t="s">
        <v>151</v>
      </c>
      <c r="K40" s="6">
        <f>(AVERAGE(I15:I37)-AVERAGE(J15:J37))</f>
        <v>0.40367598739570809</v>
      </c>
      <c r="AA40"/>
      <c r="AB40"/>
      <c r="AC40"/>
      <c r="AE40"/>
      <c r="AF40"/>
      <c r="AG40"/>
      <c r="AH40" t="s">
        <v>151</v>
      </c>
      <c r="AI40" s="6">
        <f>(AVERAGE(AG15:AG37)-AVERAGE(AH15:AH37))</f>
        <v>-3.6709318288296933E-2</v>
      </c>
    </row>
    <row r="41" spans="1:36" x14ac:dyDescent="0.25">
      <c r="J41" t="s">
        <v>148</v>
      </c>
      <c r="K41" s="19">
        <f>CORREL(I15:I37,J15:J37)</f>
        <v>0.98806219657308869</v>
      </c>
      <c r="Z41" s="6">
        <f>MIN(Z15:Z37)</f>
        <v>3.2577916266213279E-2</v>
      </c>
      <c r="AA41">
        <f>AA39/AA37</f>
        <v>0.48633209797250931</v>
      </c>
      <c r="AB41"/>
      <c r="AC41"/>
      <c r="AE41" s="6">
        <f>MIN(AE15:AE37)</f>
        <v>6.1084192608324317</v>
      </c>
      <c r="AF41">
        <f>AF39/AF37</f>
        <v>0.70952969430288071</v>
      </c>
      <c r="AG41"/>
      <c r="AH41" t="s">
        <v>148</v>
      </c>
      <c r="AI41" s="11">
        <f>CORREL(AG15:AG37,AH15:AH37)</f>
        <v>0.56384600157142362</v>
      </c>
    </row>
    <row r="42" spans="1:36" x14ac:dyDescent="0.25">
      <c r="H42" t="s">
        <v>152</v>
      </c>
      <c r="I42">
        <f>STDEV(I15:I37)</f>
        <v>22.76351044727685</v>
      </c>
      <c r="J42">
        <f>STDEV(J15:J37)</f>
        <v>23.54645105701519</v>
      </c>
      <c r="Z42" s="6">
        <f>MAX(Z15:Z37)</f>
        <v>0.14199919131622019</v>
      </c>
      <c r="AE42" s="6">
        <f>MAX(AE15:AE37)</f>
        <v>11.11954092272118</v>
      </c>
    </row>
    <row r="43" spans="1:36" x14ac:dyDescent="0.25">
      <c r="H43" t="s">
        <v>153</v>
      </c>
      <c r="I43">
        <f>I42/SQRT(23)</f>
        <v>4.7465200427960328</v>
      </c>
      <c r="AH43" s="6">
        <f>AVERAGE(AH15:AH37)</f>
        <v>1.2423454420016531</v>
      </c>
    </row>
    <row r="44" spans="1:36" x14ac:dyDescent="0.25">
      <c r="J44" t="s">
        <v>154</v>
      </c>
      <c r="K44">
        <f>J42/I43</f>
        <v>4.9607819717842547</v>
      </c>
    </row>
    <row r="45" spans="1:36" x14ac:dyDescent="0.25">
      <c r="AH45">
        <f>AI39/AH43</f>
        <v>0.28377531030950287</v>
      </c>
    </row>
    <row r="46" spans="1:36" x14ac:dyDescent="0.25">
      <c r="AF46" t="s">
        <v>152</v>
      </c>
      <c r="AG46">
        <f>STDEV(AG15:AG37)</f>
        <v>0.36124575572436701</v>
      </c>
      <c r="AH46">
        <f>STDEV(AH15:AH37)</f>
        <v>0.40248319746934441</v>
      </c>
    </row>
    <row r="47" spans="1:36" x14ac:dyDescent="0.25">
      <c r="AF47" t="s">
        <v>153</v>
      </c>
      <c r="AG47">
        <f>AG46/SQRT(23)</f>
        <v>7.532494708547155E-2</v>
      </c>
    </row>
    <row r="48" spans="1:36" x14ac:dyDescent="0.25">
      <c r="AF48"/>
      <c r="AG48"/>
      <c r="AH48" t="s">
        <v>154</v>
      </c>
      <c r="AI48">
        <f>AH46/AG47</f>
        <v>5.3432921368354229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D886-4413-4588-A213-7E5903A3D0B4}">
  <dimension ref="D3:H5"/>
  <sheetViews>
    <sheetView workbookViewId="0">
      <selection activeCell="E4" sqref="E4"/>
    </sheetView>
  </sheetViews>
  <sheetFormatPr defaultRowHeight="15" x14ac:dyDescent="0.25"/>
  <cols>
    <col min="5" max="8" width="9.5703125" bestFit="1" customWidth="1"/>
  </cols>
  <sheetData>
    <row r="3" spans="4:8" x14ac:dyDescent="0.25">
      <c r="E3" t="s">
        <v>155</v>
      </c>
      <c r="F3" t="s">
        <v>156</v>
      </c>
      <c r="G3" t="s">
        <v>157</v>
      </c>
      <c r="H3" t="s">
        <v>158</v>
      </c>
    </row>
    <row r="4" spans="4:8" x14ac:dyDescent="0.25">
      <c r="D4" t="s">
        <v>34</v>
      </c>
      <c r="E4" s="6">
        <v>4.8743317822604242</v>
      </c>
      <c r="F4" s="6">
        <v>4.8801064829226659</v>
      </c>
      <c r="G4" s="6">
        <v>4.9995484107511281</v>
      </c>
      <c r="H4" s="6">
        <v>4.9607819717842547</v>
      </c>
    </row>
    <row r="5" spans="4:8" x14ac:dyDescent="0.25">
      <c r="D5" t="s">
        <v>43</v>
      </c>
      <c r="E5" s="6">
        <v>5.1032997225601449</v>
      </c>
      <c r="F5" s="6">
        <v>5.2533051904065582</v>
      </c>
      <c r="G5" s="6">
        <v>6.4000090332571684</v>
      </c>
      <c r="H5" s="6">
        <v>5.3432921368354229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dimension ref="A1:AX107"/>
  <sheetViews>
    <sheetView topLeftCell="A55" zoomScale="60" zoomScaleNormal="60" workbookViewId="0">
      <selection activeCell="R107" sqref="R107"/>
    </sheetView>
  </sheetViews>
  <sheetFormatPr defaultRowHeight="15" x14ac:dyDescent="0.25"/>
  <cols>
    <col min="1" max="1" width="20.5703125" bestFit="1" customWidth="1"/>
    <col min="2" max="2" width="15.140625" bestFit="1" customWidth="1"/>
    <col min="17" max="17" width="17.42578125" style="3" bestFit="1" customWidth="1"/>
    <col min="18" max="18" width="19.7109375" bestFit="1" customWidth="1"/>
    <col min="28" max="28" width="12.85546875" bestFit="1" customWidth="1"/>
    <col min="29" max="29" width="14.85546875" bestFit="1" customWidth="1"/>
    <col min="49" max="49" width="18.140625" bestFit="1" customWidth="1"/>
    <col min="50" max="50" width="19.85546875" bestFit="1" customWidth="1"/>
  </cols>
  <sheetData>
    <row r="1" spans="1:50" x14ac:dyDescent="0.25">
      <c r="A1" t="s">
        <v>113</v>
      </c>
      <c r="B1" t="s">
        <v>114</v>
      </c>
      <c r="Q1" t="s">
        <v>115</v>
      </c>
      <c r="R1" t="s">
        <v>114</v>
      </c>
      <c r="AB1" t="s">
        <v>113</v>
      </c>
      <c r="AC1" t="s">
        <v>114</v>
      </c>
      <c r="AW1" t="s">
        <v>113</v>
      </c>
      <c r="AX1" t="s">
        <v>114</v>
      </c>
    </row>
    <row r="2" spans="1:50" x14ac:dyDescent="0.25">
      <c r="A2" t="s">
        <v>110</v>
      </c>
      <c r="B2" s="15"/>
      <c r="Q2" s="3" t="s">
        <v>111</v>
      </c>
      <c r="R2" s="15"/>
      <c r="AB2" t="s">
        <v>112</v>
      </c>
      <c r="AC2" t="s">
        <v>105</v>
      </c>
      <c r="AW2" t="s">
        <v>108</v>
      </c>
      <c r="AX2" t="s">
        <v>107</v>
      </c>
    </row>
    <row r="3" spans="1:50" x14ac:dyDescent="0.25">
      <c r="A3" t="s">
        <v>109</v>
      </c>
      <c r="B3" t="s">
        <v>119</v>
      </c>
      <c r="Q3" t="s">
        <v>109</v>
      </c>
      <c r="R3" t="s">
        <v>119</v>
      </c>
      <c r="AB3" t="s">
        <v>124</v>
      </c>
      <c r="AC3" t="s">
        <v>125</v>
      </c>
      <c r="AW3" t="s">
        <v>109</v>
      </c>
      <c r="AX3" t="s">
        <v>119</v>
      </c>
    </row>
    <row r="4" spans="1:50" x14ac:dyDescent="0.25">
      <c r="A4">
        <v>4.0138662317554884E-2</v>
      </c>
      <c r="Q4">
        <v>1.0297919574760726E-3</v>
      </c>
      <c r="AB4">
        <v>8.5299999999999994</v>
      </c>
      <c r="AC4">
        <v>8.5355100000000004</v>
      </c>
      <c r="AV4">
        <f>3600*AB4*(MWw/pw)*AS4*(AQ4/100)</f>
        <v>0</v>
      </c>
      <c r="AW4">
        <v>2.6482405472792272E-3</v>
      </c>
      <c r="AX4">
        <v>0.21667165999999899</v>
      </c>
    </row>
    <row r="5" spans="1:50" x14ac:dyDescent="0.25">
      <c r="A5">
        <v>0.22705856249999998</v>
      </c>
      <c r="Q5">
        <v>6.3541673740856496E-3</v>
      </c>
      <c r="AB5">
        <v>8.7618474339999999</v>
      </c>
      <c r="AC5">
        <v>10.608029999999999</v>
      </c>
      <c r="AV5">
        <f t="shared" ref="AV5:AV26" si="0">3600*AB5*(18.015/998.23)*AS5*(AQ5/100)</f>
        <v>0</v>
      </c>
      <c r="AW5">
        <v>2.0482871922531416E-2</v>
      </c>
      <c r="AX5">
        <v>0.24396708372524753</v>
      </c>
    </row>
    <row r="6" spans="1:50" x14ac:dyDescent="0.25">
      <c r="A6">
        <v>0.62569982233669863</v>
      </c>
      <c r="Q6">
        <v>1.7105008508085436E-2</v>
      </c>
      <c r="AB6">
        <v>9.4007438344078</v>
      </c>
      <c r="AC6">
        <v>13.44411</v>
      </c>
      <c r="AV6">
        <f t="shared" si="0"/>
        <v>0</v>
      </c>
      <c r="AW6">
        <v>5.7912733852794204E-2</v>
      </c>
      <c r="AX6">
        <v>0.11010212049717268</v>
      </c>
    </row>
    <row r="7" spans="1:50" x14ac:dyDescent="0.25">
      <c r="A7">
        <v>1.2844371941617563</v>
      </c>
      <c r="Q7">
        <v>3.5793806851493908E-2</v>
      </c>
      <c r="AB7">
        <v>10.712270976664605</v>
      </c>
      <c r="AC7">
        <v>14.834879999999998</v>
      </c>
      <c r="AV7">
        <f t="shared" si="0"/>
        <v>0</v>
      </c>
      <c r="AW7">
        <v>0.11517681817649685</v>
      </c>
      <c r="AX7">
        <v>0.17715052756768032</v>
      </c>
    </row>
    <row r="8" spans="1:50" x14ac:dyDescent="0.25">
      <c r="A8">
        <v>2.2438194366990487</v>
      </c>
      <c r="Q8">
        <v>6.0465129278723849E-2</v>
      </c>
      <c r="AB8">
        <v>13.003414605119488</v>
      </c>
      <c r="AC8">
        <v>17.207369999999997</v>
      </c>
      <c r="AV8">
        <f t="shared" si="0"/>
        <v>0</v>
      </c>
      <c r="AW8">
        <v>0.20755235974574915</v>
      </c>
      <c r="AX8">
        <v>0.28430573375270429</v>
      </c>
    </row>
    <row r="9" spans="1:50" x14ac:dyDescent="0.25">
      <c r="A9">
        <v>3.5394926988919808</v>
      </c>
      <c r="Q9">
        <v>9.6561311673623071E-2</v>
      </c>
      <c r="AB9">
        <v>16.617558422751735</v>
      </c>
      <c r="AC9">
        <v>24.379379999999998</v>
      </c>
      <c r="AV9">
        <f t="shared" si="0"/>
        <v>0</v>
      </c>
      <c r="AW9">
        <v>0.31835733145867062</v>
      </c>
      <c r="AX9">
        <v>0.36436441630564753</v>
      </c>
    </row>
    <row r="10" spans="1:50" x14ac:dyDescent="0.25">
      <c r="A10">
        <v>5.2036490041014352</v>
      </c>
      <c r="Q10">
        <v>0.13861811793101333</v>
      </c>
      <c r="AB10">
        <v>21.930957114939673</v>
      </c>
      <c r="AC10">
        <v>27.324540000000002</v>
      </c>
      <c r="AV10">
        <f t="shared" si="0"/>
        <v>0</v>
      </c>
      <c r="AW10">
        <v>0.47282550886249769</v>
      </c>
      <c r="AX10">
        <v>0.34191337145474787</v>
      </c>
    </row>
    <row r="11" spans="1:50" x14ac:dyDescent="0.25">
      <c r="A11">
        <v>7.2658739999999993</v>
      </c>
      <c r="Q11">
        <v>0.19625339307867162</v>
      </c>
      <c r="AB11">
        <v>29.350075002939672</v>
      </c>
      <c r="AC11">
        <v>28.442610000000002</v>
      </c>
      <c r="AV11">
        <f>3600*AB11*(18.015/998.23)*AS11*(AQ11/100)</f>
        <v>0</v>
      </c>
      <c r="AW11">
        <v>0.63660034292697421</v>
      </c>
      <c r="AX11">
        <v>0.34240131937091428</v>
      </c>
    </row>
    <row r="12" spans="1:50" x14ac:dyDescent="0.25">
      <c r="A12">
        <v>7.2658739999999993</v>
      </c>
      <c r="Q12">
        <v>0.19165299467859295</v>
      </c>
      <c r="AB12">
        <v>36.769192890939671</v>
      </c>
      <c r="AC12">
        <v>41.832180000000001</v>
      </c>
      <c r="AV12">
        <f t="shared" si="0"/>
        <v>0</v>
      </c>
      <c r="AW12">
        <v>0.65358581061155485</v>
      </c>
      <c r="AX12">
        <v>0.41554447854243987</v>
      </c>
    </row>
    <row r="13" spans="1:50" x14ac:dyDescent="0.25">
      <c r="A13">
        <v>7.2658739999999993</v>
      </c>
      <c r="Q13">
        <v>0.19428913864368713</v>
      </c>
      <c r="AB13">
        <v>44.188310778939673</v>
      </c>
      <c r="AC13">
        <v>54.976320000000001</v>
      </c>
      <c r="AV13">
        <f t="shared" si="0"/>
        <v>0</v>
      </c>
      <c r="AW13">
        <v>0.64402659162947251</v>
      </c>
      <c r="AX13">
        <v>0.55141679620200101</v>
      </c>
    </row>
    <row r="14" spans="1:50" x14ac:dyDescent="0.25">
      <c r="A14">
        <v>7.2658739999999993</v>
      </c>
      <c r="Q14">
        <v>0.20566609069096045</v>
      </c>
      <c r="AB14">
        <v>51.607428666939676</v>
      </c>
      <c r="AC14">
        <v>58.521419999999999</v>
      </c>
      <c r="AV14">
        <f t="shared" si="0"/>
        <v>0</v>
      </c>
      <c r="AW14">
        <v>0.59743637119048987</v>
      </c>
      <c r="AX14">
        <v>0.66049051289871319</v>
      </c>
    </row>
    <row r="15" spans="1:50" x14ac:dyDescent="0.25">
      <c r="A15">
        <v>7.2658739999999993</v>
      </c>
      <c r="Q15">
        <v>0.18799090461360787</v>
      </c>
      <c r="AB15">
        <v>59.026546554939678</v>
      </c>
      <c r="AC15">
        <v>58.257109999999997</v>
      </c>
      <c r="AV15">
        <f t="shared" si="0"/>
        <v>0</v>
      </c>
      <c r="AW15">
        <v>0.66608842639127386</v>
      </c>
      <c r="AX15">
        <v>0.72870398834997696</v>
      </c>
    </row>
    <row r="16" spans="1:50" x14ac:dyDescent="0.25">
      <c r="A16">
        <v>7.2658739999999993</v>
      </c>
      <c r="Q16">
        <v>0.19042431321613887</v>
      </c>
      <c r="AB16">
        <v>66.445664442939673</v>
      </c>
      <c r="AC16">
        <v>65.993399999999994</v>
      </c>
      <c r="AV16">
        <f t="shared" si="0"/>
        <v>0</v>
      </c>
      <c r="AW16">
        <v>0.65788146446920293</v>
      </c>
      <c r="AX16">
        <v>0.90699711485302936</v>
      </c>
    </row>
    <row r="17" spans="1:50" x14ac:dyDescent="0.25">
      <c r="A17">
        <v>7.2658739999999993</v>
      </c>
      <c r="Q17">
        <v>0.19410509933761338</v>
      </c>
      <c r="AB17">
        <v>73.864782330939676</v>
      </c>
      <c r="AC17">
        <v>72.374580000000009</v>
      </c>
      <c r="AV17">
        <f t="shared" si="0"/>
        <v>0</v>
      </c>
      <c r="AW17">
        <v>0.6447091236749396</v>
      </c>
      <c r="AX17">
        <v>0.84316048160243096</v>
      </c>
    </row>
    <row r="18" spans="1:50" x14ac:dyDescent="0.25">
      <c r="A18">
        <v>7.2658739999999993</v>
      </c>
      <c r="Q18">
        <v>0.19678644978304918</v>
      </c>
      <c r="AB18">
        <v>81.283900218939678</v>
      </c>
      <c r="AC18">
        <v>78.755760000000009</v>
      </c>
      <c r="AV18">
        <f t="shared" si="0"/>
        <v>0</v>
      </c>
      <c r="AW18">
        <v>0.63454040023920422</v>
      </c>
      <c r="AX18">
        <v>0.82692059515782901</v>
      </c>
    </row>
    <row r="19" spans="1:50" x14ac:dyDescent="0.25">
      <c r="A19">
        <v>7.2658739999999993</v>
      </c>
      <c r="Q19">
        <v>0.19745103616609341</v>
      </c>
      <c r="AB19">
        <v>88.70301810693968</v>
      </c>
      <c r="AC19">
        <v>83.228039999999993</v>
      </c>
      <c r="AV19">
        <f t="shared" si="0"/>
        <v>0</v>
      </c>
      <c r="AW19">
        <v>0.63194552894031919</v>
      </c>
      <c r="AX19">
        <v>0.79641445176807313</v>
      </c>
    </row>
    <row r="20" spans="1:50" x14ac:dyDescent="0.25">
      <c r="A20">
        <v>7.2658739999999993</v>
      </c>
      <c r="Q20">
        <v>0.19862684284378662</v>
      </c>
      <c r="AB20">
        <v>96.122135994939683</v>
      </c>
      <c r="AC20">
        <v>97.981109999999987</v>
      </c>
      <c r="AV20">
        <f t="shared" si="0"/>
        <v>0</v>
      </c>
      <c r="AW20">
        <v>0.62728222371255482</v>
      </c>
      <c r="AX20">
        <v>0.80796578724955048</v>
      </c>
    </row>
    <row r="21" spans="1:50" x14ac:dyDescent="0.25">
      <c r="A21">
        <v>7.2658739999999993</v>
      </c>
      <c r="Q21">
        <v>0.20069217283417018</v>
      </c>
      <c r="AB21">
        <v>103.54125388293969</v>
      </c>
      <c r="AC21">
        <v>102.88970999999999</v>
      </c>
      <c r="AV21">
        <f t="shared" si="0"/>
        <v>0</v>
      </c>
      <c r="AW21">
        <v>0.61886745088089401</v>
      </c>
      <c r="AX21">
        <v>0.81549828469142993</v>
      </c>
    </row>
    <row r="22" spans="1:50" x14ac:dyDescent="0.25">
      <c r="A22">
        <v>7.2658739999999993</v>
      </c>
      <c r="Q22">
        <v>0.20056692386198077</v>
      </c>
      <c r="AB22">
        <v>110.96037177093969</v>
      </c>
      <c r="AC22">
        <v>109.54358999999999</v>
      </c>
      <c r="AV22">
        <f t="shared" si="0"/>
        <v>0</v>
      </c>
      <c r="AW22">
        <v>0.61938585914860311</v>
      </c>
      <c r="AX22">
        <v>0.82364203832008109</v>
      </c>
    </row>
    <row r="23" spans="1:50" x14ac:dyDescent="0.25">
      <c r="A23">
        <v>7.2658739999999993</v>
      </c>
      <c r="Q23">
        <v>0.18846122728468556</v>
      </c>
      <c r="AB23">
        <v>118.37948965893969</v>
      </c>
      <c r="AC23">
        <v>112.62510000000002</v>
      </c>
      <c r="AV23">
        <f t="shared" si="0"/>
        <v>0</v>
      </c>
      <c r="AW23">
        <v>0.66453338803011741</v>
      </c>
      <c r="AX23">
        <v>0.72469457130629278</v>
      </c>
    </row>
    <row r="24" spans="1:50" x14ac:dyDescent="0.25">
      <c r="A24">
        <v>7.2658739999999993</v>
      </c>
      <c r="Q24">
        <v>0.19641932058002004</v>
      </c>
      <c r="AB24">
        <v>125.79860754693969</v>
      </c>
      <c r="AC24">
        <v>113.93406000000002</v>
      </c>
      <c r="AV24">
        <f t="shared" si="0"/>
        <v>0</v>
      </c>
      <c r="AW24">
        <v>0.63596117330469493</v>
      </c>
      <c r="AX24">
        <v>0.72273520787815815</v>
      </c>
    </row>
    <row r="25" spans="1:50" x14ac:dyDescent="0.25">
      <c r="A25">
        <v>7.2658739999999993</v>
      </c>
      <c r="Q25">
        <v>0.19641932058002004</v>
      </c>
      <c r="AB25">
        <v>133.21772543493969</v>
      </c>
      <c r="AC25">
        <v>116.77014000000001</v>
      </c>
      <c r="AV25">
        <f t="shared" si="0"/>
        <v>0</v>
      </c>
      <c r="AW25">
        <v>0.63596117330469493</v>
      </c>
      <c r="AX25">
        <v>0.87955668008968224</v>
      </c>
    </row>
    <row r="26" spans="1:50" x14ac:dyDescent="0.25">
      <c r="A26">
        <v>7.2658739999999993</v>
      </c>
      <c r="B26">
        <v>7.3055555555555598</v>
      </c>
      <c r="Q26">
        <v>0.19641932058002004</v>
      </c>
      <c r="R26">
        <v>0.18999999000000001</v>
      </c>
      <c r="AB26">
        <v>140.63684332293968</v>
      </c>
      <c r="AC26">
        <v>132.28677000000002</v>
      </c>
      <c r="AV26">
        <f t="shared" si="0"/>
        <v>0</v>
      </c>
      <c r="AW26">
        <v>0.63596117330469493</v>
      </c>
      <c r="AX26">
        <v>0.93796983000000089</v>
      </c>
    </row>
    <row r="28" spans="1:50" x14ac:dyDescent="0.25">
      <c r="AW28" s="3"/>
    </row>
    <row r="29" spans="1:50" x14ac:dyDescent="0.25">
      <c r="Q29" s="3" t="s">
        <v>104</v>
      </c>
      <c r="AB29" t="s">
        <v>33</v>
      </c>
      <c r="AW29" s="5"/>
    </row>
    <row r="30" spans="1:50" x14ac:dyDescent="0.25">
      <c r="A30" t="s">
        <v>116</v>
      </c>
      <c r="B30" t="s">
        <v>120</v>
      </c>
      <c r="Q30" t="s">
        <v>116</v>
      </c>
      <c r="R30" t="s">
        <v>120</v>
      </c>
      <c r="AB30" t="s">
        <v>126</v>
      </c>
      <c r="AC30" t="s">
        <v>127</v>
      </c>
      <c r="AW30" t="s">
        <v>116</v>
      </c>
      <c r="AX30" t="s">
        <v>120</v>
      </c>
    </row>
    <row r="31" spans="1:50" x14ac:dyDescent="0.25">
      <c r="A31">
        <v>4.1785911316561036E-2</v>
      </c>
      <c r="Q31">
        <v>1.1191671966820243E-3</v>
      </c>
      <c r="AB31">
        <v>6.719328</v>
      </c>
      <c r="AC31">
        <v>6.719328</v>
      </c>
      <c r="AW31">
        <v>4.4092534703629692E-3</v>
      </c>
      <c r="AX31">
        <v>0.28342044</v>
      </c>
    </row>
    <row r="32" spans="1:50" x14ac:dyDescent="0.25">
      <c r="A32">
        <v>0.23637680999999999</v>
      </c>
      <c r="Q32">
        <v>6.8917564891856336E-3</v>
      </c>
      <c r="AB32">
        <v>6.9651372355200003</v>
      </c>
      <c r="AC32">
        <v>6.9102179999999986</v>
      </c>
      <c r="AW32">
        <v>2.2626858221316697E-2</v>
      </c>
      <c r="AX32">
        <v>0.265082522747562</v>
      </c>
    </row>
    <row r="33" spans="1:50" x14ac:dyDescent="0.25">
      <c r="A33">
        <v>0.65137789296765936</v>
      </c>
      <c r="Q33">
        <v>1.8561914875871253E-2</v>
      </c>
      <c r="AB33">
        <v>7.642507836743567</v>
      </c>
      <c r="AC33">
        <v>8.3282579999999999</v>
      </c>
      <c r="AW33">
        <v>6.3984904458209452E-2</v>
      </c>
      <c r="AX33">
        <v>0.30455447789464951</v>
      </c>
    </row>
    <row r="34" spans="1:50" x14ac:dyDescent="0.25">
      <c r="A34">
        <v>1.3371491621299532</v>
      </c>
      <c r="Q34">
        <v>3.8825742948230414E-2</v>
      </c>
      <c r="AB34">
        <v>9.0330148552593528</v>
      </c>
      <c r="AC34">
        <v>11.709737999999998</v>
      </c>
      <c r="AW34">
        <v>0.12711982304487976</v>
      </c>
      <c r="AX34">
        <v>0.39055320274791633</v>
      </c>
    </row>
    <row r="35" spans="1:50" x14ac:dyDescent="0.25">
      <c r="A35">
        <v>2.3359034551402047</v>
      </c>
      <c r="Q35">
        <v>6.563676855494037E-2</v>
      </c>
      <c r="AB35">
        <v>11.462130649471739</v>
      </c>
      <c r="AC35">
        <v>12.446027999999998</v>
      </c>
      <c r="AW35">
        <v>0.22905978601216923</v>
      </c>
      <c r="AX35">
        <v>0.50018670798179132</v>
      </c>
    </row>
    <row r="36" spans="1:50" x14ac:dyDescent="0.25">
      <c r="A36">
        <v>3.6847498018594962</v>
      </c>
      <c r="Q36">
        <v>0.10479075969736037</v>
      </c>
      <c r="AB36">
        <v>15.293917413484479</v>
      </c>
      <c r="AC36">
        <v>13.727717999999999</v>
      </c>
      <c r="AW36">
        <v>0.35084533154736058</v>
      </c>
      <c r="AX36">
        <v>0.51932121458109304</v>
      </c>
    </row>
    <row r="37" spans="1:50" x14ac:dyDescent="0.25">
      <c r="A37">
        <v>5.4172013528411833</v>
      </c>
      <c r="Q37">
        <v>0.15051442899310877</v>
      </c>
      <c r="AB37">
        <v>20.927287807136043</v>
      </c>
      <c r="AC37">
        <v>19.127178000000001</v>
      </c>
      <c r="AW37">
        <v>0.52066774957481787</v>
      </c>
      <c r="AX37">
        <v>0.61694167324257654</v>
      </c>
    </row>
    <row r="38" spans="1:50" x14ac:dyDescent="0.25">
      <c r="A38">
        <v>7.5640579199999998</v>
      </c>
      <c r="Q38">
        <v>0.21302770671332552</v>
      </c>
      <c r="AB38">
        <v>28.793183343776043</v>
      </c>
      <c r="AC38">
        <v>20.954267999999999</v>
      </c>
      <c r="AW38">
        <v>0.6995963526129092</v>
      </c>
      <c r="AX38">
        <v>0.6402037524450821</v>
      </c>
    </row>
    <row r="39" spans="1:50" x14ac:dyDescent="0.25">
      <c r="A39">
        <v>7.5640579199999998</v>
      </c>
      <c r="Q39">
        <v>0.20814885406384531</v>
      </c>
      <c r="AB39">
        <v>36.659078880416047</v>
      </c>
      <c r="AC39">
        <v>36.007308000000002</v>
      </c>
      <c r="AW39">
        <v>0.71872515118522662</v>
      </c>
      <c r="AX39">
        <v>0.62374892881502342</v>
      </c>
    </row>
    <row r="40" spans="1:50" x14ac:dyDescent="0.25">
      <c r="A40">
        <v>7.5640579199999998</v>
      </c>
      <c r="Q40">
        <v>0.21094455931587106</v>
      </c>
      <c r="AB40">
        <v>44.52497441705605</v>
      </c>
      <c r="AC40">
        <v>42.088518000000001</v>
      </c>
      <c r="AW40">
        <v>0.70794976880194738</v>
      </c>
      <c r="AX40">
        <v>0.56606073628844134</v>
      </c>
    </row>
    <row r="41" spans="1:50" x14ac:dyDescent="0.25">
      <c r="A41">
        <v>7.5640579199999998</v>
      </c>
      <c r="Q41">
        <v>0.22301013881826806</v>
      </c>
      <c r="AB41">
        <v>52.390869953696054</v>
      </c>
      <c r="AC41">
        <v>46.778958000000003</v>
      </c>
      <c r="AW41">
        <v>0.65574318912168572</v>
      </c>
      <c r="AX41">
        <v>0.47364196708314749</v>
      </c>
    </row>
    <row r="42" spans="1:50" x14ac:dyDescent="0.25">
      <c r="A42">
        <v>7.5640579199999998</v>
      </c>
      <c r="Q42">
        <v>0.20426510394866351</v>
      </c>
      <c r="AB42">
        <v>60.256765490336058</v>
      </c>
      <c r="AC42">
        <v>60.986627999999996</v>
      </c>
      <c r="AW42">
        <v>0.73286340296994001</v>
      </c>
      <c r="AX42">
        <v>0.4086356992000037</v>
      </c>
    </row>
    <row r="43" spans="1:50" x14ac:dyDescent="0.25">
      <c r="A43">
        <v>7.5640579199999998</v>
      </c>
      <c r="Q43">
        <v>0.20684580261326685</v>
      </c>
      <c r="AB43">
        <v>68.122661026976061</v>
      </c>
      <c r="AC43">
        <v>71.076527999999996</v>
      </c>
      <c r="AW43">
        <v>0.72357658095202559</v>
      </c>
      <c r="AX43">
        <v>0.592452942098596</v>
      </c>
    </row>
    <row r="44" spans="1:50" x14ac:dyDescent="0.25">
      <c r="A44">
        <v>7.5640579199999998</v>
      </c>
      <c r="Q44">
        <v>0.21074938042527086</v>
      </c>
      <c r="AB44">
        <v>75.988556563616058</v>
      </c>
      <c r="AC44">
        <v>85.475088</v>
      </c>
      <c r="AW44">
        <v>0.70871825490624363</v>
      </c>
      <c r="AX44">
        <v>0.70488258983948515</v>
      </c>
    </row>
    <row r="45" spans="1:50" x14ac:dyDescent="0.25">
      <c r="A45">
        <v>7.5640579199999998</v>
      </c>
      <c r="Q45">
        <v>0.21359302842859937</v>
      </c>
      <c r="AB45">
        <v>83.854452100256054</v>
      </c>
      <c r="AC45">
        <v>90.738198000000011</v>
      </c>
      <c r="AW45">
        <v>0.69728171731482569</v>
      </c>
      <c r="AX45">
        <v>0.56177252482741113</v>
      </c>
    </row>
    <row r="46" spans="1:50" x14ac:dyDescent="0.25">
      <c r="A46">
        <v>7.5640579199999998</v>
      </c>
      <c r="Q46">
        <v>0.21429784108910035</v>
      </c>
      <c r="AB46">
        <v>91.720347636896051</v>
      </c>
      <c r="AC46">
        <v>98.101098000000007</v>
      </c>
      <c r="AW46">
        <v>0.69436747190620929</v>
      </c>
      <c r="AX46">
        <v>0.63992046933156943</v>
      </c>
    </row>
    <row r="47" spans="1:50" x14ac:dyDescent="0.25">
      <c r="A47">
        <v>7.5640579199999998</v>
      </c>
      <c r="Q47">
        <v>0.2155448173346016</v>
      </c>
      <c r="AB47">
        <v>99.586243173536047</v>
      </c>
      <c r="AC47">
        <v>100.419048</v>
      </c>
      <c r="AW47">
        <v>0.68913413368929644</v>
      </c>
      <c r="AX47">
        <v>0.70857704529069554</v>
      </c>
    </row>
    <row r="48" spans="1:50" x14ac:dyDescent="0.25">
      <c r="A48">
        <v>7.5640579199999998</v>
      </c>
      <c r="Q48">
        <v>0.21773515821800454</v>
      </c>
      <c r="AB48">
        <v>107.45213871017604</v>
      </c>
      <c r="AC48">
        <v>108.30007800000001</v>
      </c>
      <c r="AW48">
        <v>0.67970270112661157</v>
      </c>
      <c r="AX48">
        <v>0.63845427183485615</v>
      </c>
    </row>
    <row r="49" spans="1:50" x14ac:dyDescent="0.25">
      <c r="A49">
        <v>7.5640579199999998</v>
      </c>
      <c r="Q49">
        <v>0.21760232813967906</v>
      </c>
      <c r="AB49">
        <v>115.31803424681604</v>
      </c>
      <c r="AC49">
        <v>118.417248</v>
      </c>
      <c r="AW49">
        <v>0.68028332053483842</v>
      </c>
      <c r="AX49">
        <v>0.73853103117650143</v>
      </c>
    </row>
    <row r="50" spans="1:50" x14ac:dyDescent="0.25">
      <c r="A50">
        <v>7.5640579199999998</v>
      </c>
      <c r="Q50">
        <v>0.20476389444686438</v>
      </c>
      <c r="AB50">
        <v>123.18392978345604</v>
      </c>
      <c r="AC50">
        <v>127.661778</v>
      </c>
      <c r="AW50">
        <v>0.7311018177321893</v>
      </c>
      <c r="AX50">
        <v>0.67526793554628151</v>
      </c>
    </row>
    <row r="51" spans="1:50" x14ac:dyDescent="0.25">
      <c r="A51">
        <v>7.5640579199999998</v>
      </c>
      <c r="Q51">
        <v>0.21320367752262792</v>
      </c>
      <c r="AB51">
        <v>131.04982532009603</v>
      </c>
      <c r="AC51">
        <v>128.53441800000002</v>
      </c>
      <c r="AW51">
        <v>0.69887804411610421</v>
      </c>
      <c r="AX51">
        <v>0.64097832783216524</v>
      </c>
    </row>
    <row r="52" spans="1:50" x14ac:dyDescent="0.25">
      <c r="A52">
        <v>7.5640579199999998</v>
      </c>
      <c r="Q52">
        <v>0.21320367752262792</v>
      </c>
      <c r="AB52">
        <v>138.91572085673604</v>
      </c>
      <c r="AC52">
        <v>128.69803800000003</v>
      </c>
      <c r="AW52">
        <v>0.69887804411610421</v>
      </c>
      <c r="AX52">
        <v>0.80012371212156597</v>
      </c>
    </row>
    <row r="53" spans="1:50" x14ac:dyDescent="0.25">
      <c r="A53">
        <v>7.5640579199999998</v>
      </c>
      <c r="B53">
        <v>7.8933333333333344</v>
      </c>
      <c r="Q53">
        <v>0.21320367752262792</v>
      </c>
      <c r="R53">
        <v>0.21111111111111</v>
      </c>
      <c r="AB53">
        <v>146.78161639337605</v>
      </c>
      <c r="AC53">
        <v>139.68522820000001</v>
      </c>
      <c r="AW53" s="1">
        <v>0.69887804411610421</v>
      </c>
      <c r="AX53">
        <v>0.81700919999999977</v>
      </c>
    </row>
    <row r="54" spans="1:50" x14ac:dyDescent="0.25">
      <c r="Q54" s="2"/>
    </row>
    <row r="55" spans="1:50" x14ac:dyDescent="0.25">
      <c r="Q55"/>
      <c r="AB55" t="s">
        <v>33</v>
      </c>
      <c r="AW55" s="3"/>
    </row>
    <row r="56" spans="1:50" x14ac:dyDescent="0.25">
      <c r="Q56" s="3" t="s">
        <v>104</v>
      </c>
      <c r="AB56" t="s">
        <v>128</v>
      </c>
      <c r="AC56" t="s">
        <v>123</v>
      </c>
      <c r="AW56" s="5"/>
    </row>
    <row r="57" spans="1:50" x14ac:dyDescent="0.25">
      <c r="A57" t="s">
        <v>117</v>
      </c>
      <c r="B57" t="s">
        <v>121</v>
      </c>
      <c r="Q57" t="s">
        <v>117</v>
      </c>
      <c r="R57" t="s">
        <v>121</v>
      </c>
      <c r="AB57">
        <v>6.3896299999999995</v>
      </c>
      <c r="AC57">
        <v>6.3896299999999995</v>
      </c>
      <c r="AW57" t="s">
        <v>117</v>
      </c>
      <c r="AX57" t="s">
        <v>121</v>
      </c>
    </row>
    <row r="58" spans="1:50" x14ac:dyDescent="0.25">
      <c r="A58">
        <v>3.1902417322524142E-2</v>
      </c>
      <c r="Q58">
        <v>2.1243409531179966E-4</v>
      </c>
      <c r="AB58">
        <v>6.5109040423999991</v>
      </c>
      <c r="AC58">
        <v>12.792356999999999</v>
      </c>
      <c r="AW58">
        <v>2.8974388282997777E-3</v>
      </c>
      <c r="AX58">
        <v>0.65344192000000001</v>
      </c>
    </row>
    <row r="59" spans="1:50" x14ac:dyDescent="0.25">
      <c r="A59">
        <v>0.18046732499999998</v>
      </c>
      <c r="Q59">
        <v>1.3805770283048719E-3</v>
      </c>
      <c r="AB59">
        <v>6.845096005690233</v>
      </c>
      <c r="AC59">
        <v>13.010516999999998</v>
      </c>
      <c r="AW59">
        <v>1.8446936194797387E-2</v>
      </c>
      <c r="AX59">
        <v>0.64036455686883453</v>
      </c>
    </row>
    <row r="60" spans="1:50" x14ac:dyDescent="0.25">
      <c r="A60">
        <v>0.49730946918189561</v>
      </c>
      <c r="Q60">
        <v>2.6926354758210246E-3</v>
      </c>
      <c r="AB60">
        <v>7.5311255877937926</v>
      </c>
      <c r="AC60">
        <v>13.146867</v>
      </c>
      <c r="AW60">
        <v>3.7605192857240774E-2</v>
      </c>
      <c r="AX60">
        <v>0.7932894879379141</v>
      </c>
    </row>
    <row r="61" spans="1:50" x14ac:dyDescent="0.25">
      <c r="A61">
        <v>1.0208773543207725</v>
      </c>
      <c r="Q61">
        <v>5.1332695743024443E-3</v>
      </c>
      <c r="AB61">
        <v>8.7295699472932711</v>
      </c>
      <c r="AC61">
        <v>13.801346999999998</v>
      </c>
      <c r="AW61">
        <v>7.2162440359259269E-2</v>
      </c>
      <c r="AX61">
        <v>0.82293179955777551</v>
      </c>
    </row>
    <row r="62" spans="1:50" x14ac:dyDescent="0.25">
      <c r="A62">
        <v>1.7833993444932699</v>
      </c>
      <c r="Q62">
        <v>2.5725883911056624E-2</v>
      </c>
      <c r="AB62">
        <v>10.620045174977832</v>
      </c>
      <c r="AC62">
        <v>16.201106999999997</v>
      </c>
      <c r="AW62">
        <v>0.29321322683010959</v>
      </c>
      <c r="AX62">
        <v>0.92074311955178001</v>
      </c>
    </row>
    <row r="63" spans="1:50" x14ac:dyDescent="0.25">
      <c r="A63">
        <v>2.8132071840544057</v>
      </c>
      <c r="Q63">
        <v>2.7151896399187449E-2</v>
      </c>
      <c r="AB63">
        <v>13.399361413968446</v>
      </c>
      <c r="AC63">
        <v>19.855286999999997</v>
      </c>
      <c r="AW63">
        <v>0.34438343884210187</v>
      </c>
      <c r="AX63">
        <v>0.90838052650279877</v>
      </c>
    </row>
    <row r="64" spans="1:50" x14ac:dyDescent="0.25">
      <c r="A64">
        <v>4.1358872604026997</v>
      </c>
      <c r="Q64">
        <v>4.1212065576591024E-2</v>
      </c>
      <c r="AB64">
        <v>17.280130770768444</v>
      </c>
      <c r="AC64">
        <v>22.364126999999996</v>
      </c>
      <c r="AW64">
        <v>0.51635245699461574</v>
      </c>
      <c r="AX64">
        <v>1.0929272816425069</v>
      </c>
    </row>
    <row r="65" spans="1:50" x14ac:dyDescent="0.25">
      <c r="A65">
        <v>5.7749543999999995</v>
      </c>
      <c r="Q65">
        <v>6.0149438805126777E-2</v>
      </c>
      <c r="AB65">
        <v>21.160900127568446</v>
      </c>
      <c r="AC65">
        <v>24.082136999999999</v>
      </c>
      <c r="AW65">
        <v>0.74079632280626151</v>
      </c>
      <c r="AX65">
        <v>1.2695042034321</v>
      </c>
    </row>
    <row r="66" spans="1:50" x14ac:dyDescent="0.25">
      <c r="A66">
        <v>5.7749543999999995</v>
      </c>
      <c r="Q66">
        <v>5.9212698741436899E-2</v>
      </c>
      <c r="AB66">
        <v>25.041669484368448</v>
      </c>
      <c r="AC66">
        <v>24.845697000000001</v>
      </c>
      <c r="AW66">
        <v>0.73209426290734037</v>
      </c>
      <c r="AX66">
        <v>1.4691599777452999</v>
      </c>
    </row>
    <row r="67" spans="1:50" x14ac:dyDescent="0.25">
      <c r="A67">
        <v>5.7749543999999995</v>
      </c>
      <c r="Q67">
        <v>5.9212698741436899E-2</v>
      </c>
      <c r="AB67">
        <v>28.92243884116845</v>
      </c>
      <c r="AC67">
        <v>26.863676999999996</v>
      </c>
      <c r="AW67">
        <v>0.73209426290734037</v>
      </c>
      <c r="AX67">
        <v>1.7144410320459029</v>
      </c>
    </row>
    <row r="68" spans="1:50" x14ac:dyDescent="0.25">
      <c r="A68">
        <v>5.7749543999999995</v>
      </c>
      <c r="Q68">
        <v>5.9212698741436899E-2</v>
      </c>
      <c r="AB68">
        <v>32.803208197968452</v>
      </c>
      <c r="AC68">
        <v>34.035686999999996</v>
      </c>
      <c r="AW68">
        <v>0.73209426290734037</v>
      </c>
      <c r="AX68">
        <v>1.5740064605333901</v>
      </c>
    </row>
    <row r="69" spans="1:50" x14ac:dyDescent="0.25">
      <c r="A69">
        <v>5.7749543999999995</v>
      </c>
      <c r="Q69">
        <v>6.0774084039567182E-2</v>
      </c>
      <c r="AB69">
        <v>36.683977554768454</v>
      </c>
      <c r="AC69">
        <v>37.689866999999992</v>
      </c>
      <c r="AW69">
        <v>0.74655044417607308</v>
      </c>
      <c r="AX69">
        <v>1.3759656046377</v>
      </c>
    </row>
    <row r="70" spans="1:50" x14ac:dyDescent="0.25">
      <c r="A70">
        <v>5.7749543999999995</v>
      </c>
      <c r="Q70">
        <v>6.3181043593670341E-2</v>
      </c>
      <c r="AB70">
        <v>40.564746911568456</v>
      </c>
      <c r="AC70">
        <v>43.634726999999998</v>
      </c>
      <c r="AW70">
        <v>0.76835941625045834</v>
      </c>
      <c r="AX70">
        <v>1.291948830207698</v>
      </c>
    </row>
    <row r="71" spans="1:50" x14ac:dyDescent="0.25">
      <c r="A71">
        <v>5.7749543999999995</v>
      </c>
      <c r="Q71">
        <v>5.9306117119083339E-2</v>
      </c>
      <c r="AB71">
        <v>44.445516268368458</v>
      </c>
      <c r="AC71">
        <v>49.797746999999994</v>
      </c>
      <c r="AW71">
        <v>0.73296602720014792</v>
      </c>
      <c r="AX71">
        <v>1.2500835476657397</v>
      </c>
    </row>
    <row r="72" spans="1:50" x14ac:dyDescent="0.25">
      <c r="A72">
        <v>5.7749543999999995</v>
      </c>
      <c r="Q72">
        <v>6.7059913331122406E-2</v>
      </c>
      <c r="AB72">
        <v>48.32628562516846</v>
      </c>
      <c r="AC72">
        <v>55.851686999999991</v>
      </c>
      <c r="AW72">
        <v>0.80229369958743157</v>
      </c>
      <c r="AX72">
        <v>1.2043904056925545</v>
      </c>
    </row>
    <row r="73" spans="1:50" x14ac:dyDescent="0.25">
      <c r="A73">
        <v>5.7749543999999995</v>
      </c>
      <c r="Q73">
        <v>6.4165593821373643E-2</v>
      </c>
      <c r="AB73">
        <v>52.207054981968462</v>
      </c>
      <c r="AC73">
        <v>58.033286999999994</v>
      </c>
      <c r="AW73">
        <v>0.77711414149966107</v>
      </c>
      <c r="AX73">
        <v>1.3265052754811999</v>
      </c>
    </row>
    <row r="74" spans="1:50" x14ac:dyDescent="0.25">
      <c r="A74">
        <v>5.7749543999999995</v>
      </c>
      <c r="Q74">
        <v>6.4965888890782017E-2</v>
      </c>
      <c r="AB74">
        <v>56.087824338768463</v>
      </c>
      <c r="AC74">
        <v>60.051266999999982</v>
      </c>
      <c r="AW74">
        <v>0.78415951886965185</v>
      </c>
      <c r="AX74">
        <v>1.4232386317999555</v>
      </c>
    </row>
    <row r="75" spans="1:50" x14ac:dyDescent="0.25">
      <c r="A75">
        <v>5.7749543999999995</v>
      </c>
      <c r="Q75">
        <v>6.4575612168113306E-2</v>
      </c>
      <c r="AB75">
        <v>59.968593695568465</v>
      </c>
      <c r="AC75">
        <v>63.596366999999987</v>
      </c>
      <c r="AW75">
        <v>0.78073166958877938</v>
      </c>
      <c r="AX75">
        <v>1.3644806895192365</v>
      </c>
    </row>
    <row r="76" spans="1:50" x14ac:dyDescent="0.25">
      <c r="A76">
        <v>5.7749543999999995</v>
      </c>
      <c r="Q76">
        <v>7.1280281473318621E-2</v>
      </c>
      <c r="AB76">
        <v>63.849363052368467</v>
      </c>
      <c r="AC76">
        <v>65.232566999999989</v>
      </c>
      <c r="AW76">
        <v>0.83752426505835309</v>
      </c>
      <c r="AX76">
        <v>1.299018990205173</v>
      </c>
    </row>
    <row r="77" spans="1:50" x14ac:dyDescent="0.25">
      <c r="A77">
        <v>5.7749543999999995</v>
      </c>
      <c r="Q77">
        <v>7.1867358199014159E-2</v>
      </c>
      <c r="AB77">
        <v>67.730132409168462</v>
      </c>
      <c r="AC77">
        <v>65.914316999999983</v>
      </c>
      <c r="AW77">
        <v>0.84228585517673304</v>
      </c>
      <c r="AX77">
        <v>1.2704185386145077</v>
      </c>
    </row>
    <row r="78" spans="1:50" x14ac:dyDescent="0.25">
      <c r="A78">
        <v>5.7749543999999995</v>
      </c>
      <c r="Q78">
        <v>7.1472525716953117E-2</v>
      </c>
      <c r="AB78">
        <v>71.610901765968464</v>
      </c>
      <c r="AC78">
        <v>68.668586999999988</v>
      </c>
      <c r="AW78">
        <v>0.8390872328020863</v>
      </c>
      <c r="AX78">
        <v>1.3280400486145076</v>
      </c>
    </row>
    <row r="79" spans="1:50" x14ac:dyDescent="0.25">
      <c r="A79">
        <v>5.7749543999999995</v>
      </c>
      <c r="Q79">
        <v>7.0202481232989819E-2</v>
      </c>
      <c r="AB79">
        <v>75.491671122768466</v>
      </c>
      <c r="AC79">
        <v>72.431846999999991</v>
      </c>
      <c r="AW79">
        <v>0.82869419546780487</v>
      </c>
      <c r="AX79">
        <v>1.4857214607145075</v>
      </c>
    </row>
    <row r="80" spans="1:50" x14ac:dyDescent="0.25">
      <c r="A80">
        <v>5.7749543999999995</v>
      </c>
      <c r="B80">
        <v>5.8987499999999997</v>
      </c>
      <c r="Q80">
        <v>7.0202481232989819E-2</v>
      </c>
      <c r="R80">
        <v>7.5000000000000011E-2</v>
      </c>
      <c r="AW80">
        <v>0.82869419546780487</v>
      </c>
      <c r="AX80">
        <v>1.5454169579999983</v>
      </c>
    </row>
    <row r="81" spans="1:50" x14ac:dyDescent="0.25">
      <c r="Q81"/>
      <c r="AB81" t="s">
        <v>33</v>
      </c>
    </row>
    <row r="82" spans="1:50" x14ac:dyDescent="0.25">
      <c r="Q82"/>
      <c r="AB82" t="s">
        <v>129</v>
      </c>
      <c r="AC82" t="s">
        <v>130</v>
      </c>
    </row>
    <row r="83" spans="1:50" x14ac:dyDescent="0.25">
      <c r="Q83"/>
      <c r="AB83">
        <v>8.2409940000000006</v>
      </c>
      <c r="AC83">
        <v>8.2409939999999988</v>
      </c>
      <c r="AW83" s="5"/>
    </row>
    <row r="84" spans="1:50" x14ac:dyDescent="0.25">
      <c r="A84" t="s">
        <v>118</v>
      </c>
      <c r="B84" t="s">
        <v>122</v>
      </c>
      <c r="Q84" t="s">
        <v>118</v>
      </c>
      <c r="R84" t="s">
        <v>122</v>
      </c>
      <c r="AB84">
        <v>8.3123316720000009</v>
      </c>
      <c r="AC84">
        <v>8.5573259999999998</v>
      </c>
      <c r="AW84" t="s">
        <v>118</v>
      </c>
      <c r="AX84" t="s">
        <v>122</v>
      </c>
    </row>
    <row r="85" spans="1:50" x14ac:dyDescent="0.25">
      <c r="A85">
        <v>3.2851149340939079E-2</v>
      </c>
      <c r="Q85">
        <v>7.0323318414025377E-4</v>
      </c>
      <c r="AB85">
        <v>8.5089151798177856</v>
      </c>
      <c r="AC85">
        <v>8.8954740000000001</v>
      </c>
      <c r="AW85">
        <v>6.9306493259839279E-3</v>
      </c>
      <c r="AX85">
        <v>0.31577690000000003</v>
      </c>
    </row>
    <row r="86" spans="1:50" x14ac:dyDescent="0.25">
      <c r="A86">
        <v>0.18583416375</v>
      </c>
      <c r="Q86">
        <v>2.4338159542787044E-3</v>
      </c>
      <c r="AB86">
        <v>8.9124619928198801</v>
      </c>
      <c r="AC86">
        <v>9.1681740000000005</v>
      </c>
      <c r="AW86">
        <v>2.9499489372503358E-2</v>
      </c>
      <c r="AX86">
        <v>0.49362790587290745</v>
      </c>
    </row>
    <row r="87" spans="1:50" x14ac:dyDescent="0.25">
      <c r="A87">
        <v>0.51209873770985381</v>
      </c>
      <c r="Q87">
        <v>2.9312887470990408E-3</v>
      </c>
      <c r="AB87">
        <v>9.6174292631136904</v>
      </c>
      <c r="AC87">
        <v>10.040814000000001</v>
      </c>
      <c r="AW87">
        <v>4.1429870674559929E-2</v>
      </c>
      <c r="AX87">
        <v>0.69544475851361764</v>
      </c>
    </row>
    <row r="88" spans="1:50" x14ac:dyDescent="0.25">
      <c r="A88">
        <v>1.0512367789100505</v>
      </c>
      <c r="Q88">
        <v>5.6065411192204795E-3</v>
      </c>
      <c r="AB88">
        <v>10.729473514692843</v>
      </c>
      <c r="AC88">
        <v>10.586214000000002</v>
      </c>
      <c r="AW88">
        <v>7.9754692249693365E-2</v>
      </c>
      <c r="AX88">
        <v>0.76878177546753668</v>
      </c>
    </row>
    <row r="89" spans="1:50" x14ac:dyDescent="0.25">
      <c r="A89">
        <v>1.836435076633429</v>
      </c>
      <c r="Q89">
        <v>1.4702155607753732E-2</v>
      </c>
      <c r="AB89">
        <v>12.364365419981441</v>
      </c>
      <c r="AC89">
        <v>11.186154</v>
      </c>
      <c r="AW89">
        <v>0.19769532023248967</v>
      </c>
      <c r="AX89">
        <v>0.84130312210263603</v>
      </c>
    </row>
    <row r="90" spans="1:50" x14ac:dyDescent="0.25">
      <c r="A90">
        <v>2.8968679205736705</v>
      </c>
      <c r="Q90">
        <v>2.9005007620648039E-2</v>
      </c>
      <c r="AB90">
        <v>14.647170923981442</v>
      </c>
      <c r="AC90">
        <v>13.967694</v>
      </c>
      <c r="AW90">
        <v>0.37206846544805894</v>
      </c>
      <c r="AX90">
        <v>0.97184580942573306</v>
      </c>
    </row>
    <row r="91" spans="1:50" x14ac:dyDescent="0.25">
      <c r="A91">
        <v>4.2588826004996427</v>
      </c>
      <c r="Q91">
        <v>4.3991072679587434E-2</v>
      </c>
      <c r="AB91">
        <v>18.810029818061441</v>
      </c>
      <c r="AC91">
        <v>22.421393999999999</v>
      </c>
      <c r="AW91">
        <v>0.55723434348634149</v>
      </c>
      <c r="AX91">
        <v>1.1595370769845901</v>
      </c>
    </row>
    <row r="92" spans="1:50" x14ac:dyDescent="0.25">
      <c r="A92">
        <v>5.9466932400000001</v>
      </c>
      <c r="Q92">
        <v>5.90751448802724E-2</v>
      </c>
      <c r="AB92">
        <v>22.97288871214144</v>
      </c>
      <c r="AC92">
        <v>23.675814000000003</v>
      </c>
      <c r="AW92">
        <v>0.75013435746208013</v>
      </c>
      <c r="AX92">
        <v>1.5082482584810299</v>
      </c>
    </row>
    <row r="93" spans="1:50" x14ac:dyDescent="0.25">
      <c r="A93">
        <v>5.9466932400000001</v>
      </c>
      <c r="Q93">
        <v>6.5088530894951119E-2</v>
      </c>
      <c r="AB93">
        <v>27.13574760622144</v>
      </c>
      <c r="AC93">
        <v>25.284743999999996</v>
      </c>
      <c r="AW93">
        <v>0.806998237482904</v>
      </c>
      <c r="AX93">
        <v>1.6653343635424043</v>
      </c>
    </row>
    <row r="94" spans="1:50" x14ac:dyDescent="0.25">
      <c r="A94">
        <v>5.9466932400000001</v>
      </c>
      <c r="Q94">
        <v>6.6162378088255369E-2</v>
      </c>
      <c r="AB94">
        <v>31.298606500301439</v>
      </c>
      <c r="AC94">
        <v>31.229604000000002</v>
      </c>
      <c r="AW94">
        <v>0.81678349354702318</v>
      </c>
      <c r="AX94">
        <v>1.6723510231292051</v>
      </c>
    </row>
    <row r="95" spans="1:50" x14ac:dyDescent="0.25">
      <c r="A95">
        <v>5.9466932400000001</v>
      </c>
      <c r="Q95">
        <v>6.2464186575082951E-2</v>
      </c>
      <c r="AB95">
        <v>35.461465394381442</v>
      </c>
      <c r="AC95">
        <v>33.983874</v>
      </c>
      <c r="AW95">
        <v>0.78261404013312019</v>
      </c>
      <c r="AX95">
        <v>1.5083403505815001</v>
      </c>
    </row>
    <row r="96" spans="1:50" x14ac:dyDescent="0.25">
      <c r="A96">
        <v>5.9466932400000001</v>
      </c>
      <c r="Q96">
        <v>5.9726153200850993E-2</v>
      </c>
      <c r="AB96">
        <v>39.624324288461445</v>
      </c>
      <c r="AC96">
        <v>38.237993999999993</v>
      </c>
      <c r="AW96">
        <v>0.7564602440838466</v>
      </c>
      <c r="AX96">
        <v>1.41935626156299</v>
      </c>
    </row>
    <row r="97" spans="1:50" x14ac:dyDescent="0.25">
      <c r="A97">
        <v>5.9466932400000001</v>
      </c>
      <c r="Q97">
        <v>6.2234698228687754E-2</v>
      </c>
      <c r="AB97">
        <v>43.787183182541447</v>
      </c>
      <c r="AC97">
        <v>50.727653999999994</v>
      </c>
      <c r="AW97">
        <v>0.780449956065285</v>
      </c>
      <c r="AX97">
        <v>1.5100973900529258</v>
      </c>
    </row>
    <row r="98" spans="1:50" x14ac:dyDescent="0.25">
      <c r="A98">
        <v>5.9466932400000001</v>
      </c>
      <c r="Q98">
        <v>6.3260801294753199E-2</v>
      </c>
      <c r="AB98">
        <v>47.95004207662145</v>
      </c>
      <c r="AC98">
        <v>51.627563999999985</v>
      </c>
      <c r="AW98">
        <v>0.79008644986701082</v>
      </c>
      <c r="AX98">
        <v>1.5468966301787399</v>
      </c>
    </row>
    <row r="99" spans="1:50" x14ac:dyDescent="0.25">
      <c r="A99">
        <v>5.9466932400000001</v>
      </c>
      <c r="Q99">
        <v>6.6277275253683723E-2</v>
      </c>
      <c r="AB99">
        <v>52.112900970701453</v>
      </c>
      <c r="AC99">
        <v>56.372543999999991</v>
      </c>
      <c r="AW99">
        <v>0.81782386649850014</v>
      </c>
      <c r="AX99">
        <v>1.5959712685287999</v>
      </c>
    </row>
    <row r="100" spans="1:50" x14ac:dyDescent="0.25">
      <c r="A100">
        <v>5.9466932400000001</v>
      </c>
      <c r="Q100">
        <v>6.8325371697956744E-2</v>
      </c>
      <c r="AB100">
        <v>56.275759864781456</v>
      </c>
      <c r="AC100">
        <v>59.454053999999999</v>
      </c>
      <c r="AW100">
        <v>0.83615493123667795</v>
      </c>
      <c r="AX100">
        <v>1.24385141954851</v>
      </c>
    </row>
    <row r="101" spans="1:50" x14ac:dyDescent="0.25">
      <c r="A101">
        <v>5.9466932400000001</v>
      </c>
      <c r="Q101">
        <v>6.9159443136234289E-2</v>
      </c>
      <c r="AB101">
        <v>60.438618758861459</v>
      </c>
      <c r="AC101">
        <v>64.962593999999996</v>
      </c>
      <c r="AW101">
        <v>0.84350408336145999</v>
      </c>
      <c r="AX101">
        <v>1.1175107133754203</v>
      </c>
    </row>
    <row r="102" spans="1:50" x14ac:dyDescent="0.25">
      <c r="A102">
        <v>5.9466932400000001</v>
      </c>
      <c r="Q102">
        <v>6.8752694825710267E-2</v>
      </c>
      <c r="AB102">
        <v>64.601477652941455</v>
      </c>
      <c r="AC102">
        <v>65.126213999999976</v>
      </c>
      <c r="AW102">
        <v>0.83992853294780423</v>
      </c>
      <c r="AX102">
        <v>1.154914476806955</v>
      </c>
    </row>
    <row r="103" spans="1:50" x14ac:dyDescent="0.25">
      <c r="A103">
        <v>5.9466932400000001</v>
      </c>
      <c r="Q103">
        <v>6.4243208678673405E-2</v>
      </c>
      <c r="AB103">
        <v>68.764336547021458</v>
      </c>
      <c r="AC103">
        <v>66.244283999999993</v>
      </c>
      <c r="AW103">
        <v>0.79921681966704372</v>
      </c>
      <c r="AX103">
        <v>1.1550103669217944</v>
      </c>
    </row>
    <row r="104" spans="1:50" x14ac:dyDescent="0.25">
      <c r="A104">
        <v>5.9466932400000001</v>
      </c>
      <c r="Q104">
        <v>7.0361751047579996E-2</v>
      </c>
      <c r="AB104">
        <v>72.92719544110146</v>
      </c>
      <c r="AC104">
        <v>66.571523999999982</v>
      </c>
      <c r="AW104">
        <v>0.85397984415184069</v>
      </c>
      <c r="AX104">
        <v>1.2684311018440522</v>
      </c>
    </row>
    <row r="105" spans="1:50" x14ac:dyDescent="0.25">
      <c r="A105">
        <v>5.9466932400000001</v>
      </c>
      <c r="Q105">
        <v>7.5940691882357386E-2</v>
      </c>
      <c r="AB105">
        <v>77.090054335181463</v>
      </c>
      <c r="AC105">
        <v>72.980574000000004</v>
      </c>
      <c r="AW105">
        <v>0.90077161786177029</v>
      </c>
      <c r="AX105">
        <v>1.5540155708440513</v>
      </c>
    </row>
    <row r="106" spans="1:50" x14ac:dyDescent="0.25">
      <c r="A106">
        <v>5.9466932400000001</v>
      </c>
      <c r="Q106">
        <v>6.9552474901899752E-2</v>
      </c>
      <c r="AW106">
        <v>0.84694390695407973</v>
      </c>
      <c r="AX106">
        <v>1.7114006965583386</v>
      </c>
    </row>
    <row r="107" spans="1:50" x14ac:dyDescent="0.25">
      <c r="A107">
        <v>5.9466932400000001</v>
      </c>
      <c r="B107">
        <v>6.5044444444444434</v>
      </c>
      <c r="Q107">
        <v>6.9552474901899752E-2</v>
      </c>
      <c r="R107">
        <v>8.7499999999999994E-2</v>
      </c>
      <c r="AW107">
        <v>0.84694390695407973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25"/>
  <sheetViews>
    <sheetView tabSelected="1" workbookViewId="0">
      <selection activeCell="Z12" sqref="Z12"/>
    </sheetView>
  </sheetViews>
  <sheetFormatPr defaultRowHeight="15" x14ac:dyDescent="0.25"/>
  <cols>
    <col min="1" max="1" width="19.7109375" bestFit="1" customWidth="1"/>
    <col min="7" max="7" width="14.85546875" bestFit="1" customWidth="1"/>
    <col min="8" max="8" width="12.5703125" bestFit="1" customWidth="1"/>
    <col min="9" max="9" width="15.140625" bestFit="1" customWidth="1"/>
    <col min="10" max="10" width="12.85546875" bestFit="1" customWidth="1"/>
    <col min="13" max="13" width="15.28515625" bestFit="1" customWidth="1"/>
    <col min="14" max="14" width="13.140625" bestFit="1" customWidth="1"/>
    <col min="15" max="15" width="14.85546875" bestFit="1" customWidth="1"/>
    <col min="16" max="16" width="12.5703125" bestFit="1" customWidth="1"/>
    <col min="18" max="18" width="15.28515625" customWidth="1"/>
    <col min="19" max="19" width="13.140625" bestFit="1" customWidth="1"/>
    <col min="20" max="20" width="14.85546875" bestFit="1" customWidth="1"/>
    <col min="21" max="21" width="12.5703125" bestFit="1" customWidth="1"/>
    <col min="22" max="22" width="12.5703125" customWidth="1"/>
    <col min="23" max="23" width="14.85546875" bestFit="1" customWidth="1"/>
    <col min="24" max="24" width="12.5703125" customWidth="1"/>
    <col min="25" max="25" width="15.140625" bestFit="1" customWidth="1"/>
    <col min="26" max="26" width="12.85546875" bestFit="1" customWidth="1"/>
    <col min="27" max="27" width="12.85546875" customWidth="1"/>
    <col min="29" max="29" width="13.85546875" customWidth="1"/>
    <col min="30" max="30" width="12.5703125" bestFit="1" customWidth="1"/>
    <col min="31" max="31" width="15.140625" bestFit="1" customWidth="1"/>
    <col min="32" max="32" width="12.85546875" bestFit="1" customWidth="1"/>
    <col min="33" max="33" width="12.85546875" customWidth="1"/>
    <col min="35" max="35" width="13.85546875" customWidth="1"/>
    <col min="36" max="36" width="12.5703125" bestFit="1" customWidth="1"/>
    <col min="37" max="37" width="15.140625" bestFit="1" customWidth="1"/>
    <col min="38" max="38" width="12.85546875" bestFit="1" customWidth="1"/>
    <col min="40" max="40" width="10.5703125" customWidth="1"/>
  </cols>
  <sheetData>
    <row r="1" spans="1:48" ht="17.25" x14ac:dyDescent="0.25">
      <c r="A1" s="1" t="s">
        <v>98</v>
      </c>
      <c r="B1" t="s">
        <v>70</v>
      </c>
      <c r="C1" t="s">
        <v>66</v>
      </c>
      <c r="D1" t="s">
        <v>83</v>
      </c>
      <c r="G1" t="s">
        <v>85</v>
      </c>
      <c r="M1" t="s">
        <v>84</v>
      </c>
      <c r="R1" t="s">
        <v>162</v>
      </c>
      <c r="W1" s="9" t="s">
        <v>97</v>
      </c>
      <c r="AC1" s="9" t="s">
        <v>163</v>
      </c>
      <c r="AI1" s="9" t="s">
        <v>106</v>
      </c>
      <c r="AN1" t="s">
        <v>100</v>
      </c>
      <c r="AS1" s="9" t="s">
        <v>107</v>
      </c>
    </row>
    <row r="2" spans="1:48" x14ac:dyDescent="0.25">
      <c r="A2" t="s">
        <v>79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79</v>
      </c>
      <c r="H2" t="s">
        <v>80</v>
      </c>
      <c r="I2" t="s">
        <v>81</v>
      </c>
      <c r="J2" t="s">
        <v>82</v>
      </c>
      <c r="L2" t="s">
        <v>21</v>
      </c>
      <c r="M2" t="s">
        <v>79</v>
      </c>
      <c r="N2" t="s">
        <v>80</v>
      </c>
      <c r="O2" t="s">
        <v>81</v>
      </c>
      <c r="P2" t="s">
        <v>82</v>
      </c>
      <c r="R2" t="s">
        <v>79</v>
      </c>
      <c r="S2" t="s">
        <v>80</v>
      </c>
      <c r="T2" t="s">
        <v>81</v>
      </c>
      <c r="U2" t="s">
        <v>82</v>
      </c>
      <c r="W2" t="s">
        <v>79</v>
      </c>
      <c r="X2" t="s">
        <v>80</v>
      </c>
      <c r="Y2" t="s">
        <v>81</v>
      </c>
      <c r="Z2" t="s">
        <v>82</v>
      </c>
      <c r="AB2" t="s">
        <v>21</v>
      </c>
      <c r="AC2" t="s">
        <v>79</v>
      </c>
      <c r="AD2" t="s">
        <v>80</v>
      </c>
      <c r="AE2" t="s">
        <v>81</v>
      </c>
      <c r="AF2" t="s">
        <v>82</v>
      </c>
      <c r="AH2" t="s">
        <v>21</v>
      </c>
      <c r="AI2" t="s">
        <v>79</v>
      </c>
      <c r="AJ2" t="s">
        <v>80</v>
      </c>
      <c r="AK2" t="s">
        <v>81</v>
      </c>
      <c r="AL2" t="s">
        <v>82</v>
      </c>
      <c r="AN2" t="s">
        <v>79</v>
      </c>
      <c r="AO2" t="s">
        <v>80</v>
      </c>
      <c r="AP2" t="s">
        <v>81</v>
      </c>
      <c r="AQ2" t="s">
        <v>82</v>
      </c>
      <c r="AS2" t="s">
        <v>79</v>
      </c>
      <c r="AT2" t="s">
        <v>80</v>
      </c>
      <c r="AU2" t="s">
        <v>81</v>
      </c>
      <c r="AV2" t="s">
        <v>82</v>
      </c>
    </row>
    <row r="3" spans="1:48" x14ac:dyDescent="0.25">
      <c r="A3" t="s">
        <v>80</v>
      </c>
      <c r="B3">
        <v>7.8933333333333344</v>
      </c>
      <c r="C3">
        <v>0.2011111111111111</v>
      </c>
      <c r="D3">
        <v>1.6344444444444444</v>
      </c>
      <c r="F3" t="s">
        <v>99</v>
      </c>
      <c r="G3" s="6">
        <v>0.7</v>
      </c>
      <c r="H3" s="6">
        <v>0.72</v>
      </c>
      <c r="I3" s="6">
        <v>0.68</v>
      </c>
      <c r="J3" s="6">
        <v>0.69</v>
      </c>
      <c r="L3">
        <v>1</v>
      </c>
      <c r="M3" s="6">
        <v>11.7044</v>
      </c>
      <c r="N3" s="6">
        <v>9.9319999999999986</v>
      </c>
      <c r="O3" s="6">
        <v>37.353999999999999</v>
      </c>
      <c r="P3" s="6">
        <v>29.119600000000002</v>
      </c>
      <c r="R3" s="6">
        <v>2.1920000000000002</v>
      </c>
      <c r="S3" s="6">
        <v>3.0779999999999998</v>
      </c>
      <c r="T3" s="6">
        <v>1.0739999999999998</v>
      </c>
      <c r="U3" s="6">
        <v>0.6</v>
      </c>
      <c r="V3" s="6"/>
      <c r="W3" s="10">
        <f>R3*27.27</f>
        <v>59.775840000000002</v>
      </c>
      <c r="X3" s="10">
        <f>S3*27.27</f>
        <v>83.937059999999988</v>
      </c>
      <c r="Y3" s="10">
        <f>T3*27.27</f>
        <v>29.287979999999994</v>
      </c>
      <c r="Z3" s="10">
        <f>U3*27.27</f>
        <v>16.361999999999998</v>
      </c>
      <c r="AA3" s="10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6">
        <v>22.613555555555529</v>
      </c>
      <c r="AO3" s="6">
        <v>21.394222222222215</v>
      </c>
      <c r="AP3" s="6">
        <v>31.296000000000006</v>
      </c>
      <c r="AQ3" s="6">
        <v>26.247777777777788</v>
      </c>
      <c r="AS3" s="11">
        <f>(AN3*0.001)*27.27</f>
        <v>0.61667165999999929</v>
      </c>
      <c r="AT3" s="11">
        <f>(AO3*0.001)*27.27</f>
        <v>0.58342043999999971</v>
      </c>
      <c r="AU3" s="11">
        <f>(AP3*0.001)*27.27</f>
        <v>0.85344192000000008</v>
      </c>
      <c r="AV3" s="11">
        <f>(AQ3*0.001)*27.27</f>
        <v>0.71577690000000027</v>
      </c>
    </row>
    <row r="4" spans="1:48" x14ac:dyDescent="0.25">
      <c r="A4" t="s">
        <v>81</v>
      </c>
      <c r="B4">
        <v>5.8987499999999997</v>
      </c>
      <c r="C4">
        <v>7.5000000000000011E-2</v>
      </c>
      <c r="D4">
        <v>2.1524999999999999</v>
      </c>
      <c r="L4">
        <v>2</v>
      </c>
      <c r="M4" s="6">
        <v>14.54956</v>
      </c>
      <c r="N4" s="6">
        <v>10.2342342</v>
      </c>
      <c r="O4" s="6">
        <v>37.328899999999997</v>
      </c>
      <c r="P4" s="6">
        <v>30.23432</v>
      </c>
      <c r="R4" s="6">
        <v>6.6380900724148386</v>
      </c>
      <c r="S4" s="6">
        <v>4.4686020261253594</v>
      </c>
      <c r="T4" s="6">
        <v>2.4087291210548352</v>
      </c>
      <c r="U4" s="6">
        <v>1.8029444124346361</v>
      </c>
      <c r="V4" s="6"/>
      <c r="W4" s="10">
        <f t="shared" ref="W4:W24" si="1">R4*27.27</f>
        <v>181.02071627475266</v>
      </c>
      <c r="X4" s="10">
        <f t="shared" ref="X4:X25" si="2">S4*27.27</f>
        <v>121.85877725243854</v>
      </c>
      <c r="Y4" s="10">
        <f t="shared" ref="Y4:Y25" si="3">T4*27.27</f>
        <v>65.686043131165349</v>
      </c>
      <c r="Z4" s="10">
        <f t="shared" ref="Z4:Z25" si="4">U4*27.27</f>
        <v>49.166294127092527</v>
      </c>
      <c r="AA4" s="10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6">
        <v>8.9463543720296119</v>
      </c>
      <c r="AO4" s="6">
        <v>17.054731307207977</v>
      </c>
      <c r="AP4" s="6">
        <v>23.482381990056272</v>
      </c>
      <c r="AQ4" s="6">
        <v>18.101500032009806</v>
      </c>
      <c r="AS4" s="11">
        <f t="shared" ref="AS4:AS25" si="9">(AN4*0.001)*27.27</f>
        <v>0.24396708372524753</v>
      </c>
      <c r="AT4" s="11">
        <f t="shared" ref="AT4:AT25" si="10">(AO4*0.001)*27.27</f>
        <v>0.46508252274756157</v>
      </c>
      <c r="AU4" s="11">
        <f t="shared" ref="AU4:AU25" si="11">(AP4*0.001)*27.27</f>
        <v>0.64036455686883453</v>
      </c>
      <c r="AV4" s="11">
        <f t="shared" ref="AV4:AV25" si="12">(AQ4*0.001)*27.27</f>
        <v>0.49362790587290745</v>
      </c>
    </row>
    <row r="5" spans="1:48" x14ac:dyDescent="0.25">
      <c r="A5" t="s">
        <v>82</v>
      </c>
      <c r="B5">
        <v>6.5044444444444434</v>
      </c>
      <c r="C5">
        <v>8.7499999999999994E-2</v>
      </c>
      <c r="D5">
        <v>1.9944444444444445</v>
      </c>
      <c r="L5">
        <v>3</v>
      </c>
      <c r="M5" s="6">
        <v>18.435300000000002</v>
      </c>
      <c r="N5" s="6">
        <v>12.325340000000001</v>
      </c>
      <c r="O5" s="6">
        <v>38.005299999999998</v>
      </c>
      <c r="P5" s="6">
        <v>31.4345</v>
      </c>
      <c r="R5" s="6">
        <v>6.6336296113981437</v>
      </c>
      <c r="S5" s="6">
        <v>4.6396634435405177</v>
      </c>
      <c r="T5" s="6">
        <v>2.9942542010299191</v>
      </c>
      <c r="U5" s="6">
        <v>1.8578086353642227</v>
      </c>
      <c r="V5" s="6"/>
      <c r="W5" s="10">
        <f t="shared" si="1"/>
        <v>180.89907950282736</v>
      </c>
      <c r="X5" s="10">
        <f t="shared" si="2"/>
        <v>126.52362210534992</v>
      </c>
      <c r="Y5" s="10">
        <f t="shared" si="3"/>
        <v>81.653312062085888</v>
      </c>
      <c r="Z5" s="10">
        <f t="shared" si="4"/>
        <v>50.662441486382349</v>
      </c>
      <c r="AA5" s="10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6">
        <v>4.0374814997129693</v>
      </c>
      <c r="AO5" s="6">
        <v>11.168114334237238</v>
      </c>
      <c r="AP5" s="6">
        <v>29.090190243414526</v>
      </c>
      <c r="AQ5" s="6">
        <v>25.502191364635777</v>
      </c>
      <c r="AS5" s="11">
        <f t="shared" si="9"/>
        <v>0.11010212049717268</v>
      </c>
      <c r="AT5" s="11">
        <f t="shared" si="10"/>
        <v>0.30455447789464951</v>
      </c>
      <c r="AU5" s="11">
        <f t="shared" si="11"/>
        <v>0.7932894879379141</v>
      </c>
      <c r="AV5" s="11">
        <f t="shared" si="12"/>
        <v>0.69544475851361764</v>
      </c>
    </row>
    <row r="6" spans="1:48" x14ac:dyDescent="0.25">
      <c r="L6">
        <v>4</v>
      </c>
      <c r="M6" s="6">
        <v>20.353452999999998</v>
      </c>
      <c r="N6" s="6">
        <v>17.342230000000001</v>
      </c>
      <c r="O6" s="6">
        <v>38.44</v>
      </c>
      <c r="P6" s="6">
        <v>32.395555555555553</v>
      </c>
      <c r="R6" s="6">
        <v>6.7538310389556049</v>
      </c>
      <c r="S6" s="6">
        <v>4.8238392831713899</v>
      </c>
      <c r="T6" s="6">
        <v>3.7939274089557946</v>
      </c>
      <c r="U6" s="6">
        <v>2.237404639987628</v>
      </c>
      <c r="V6" s="6"/>
      <c r="W6" s="10">
        <f t="shared" si="1"/>
        <v>184.17697243231933</v>
      </c>
      <c r="X6" s="10">
        <f t="shared" si="2"/>
        <v>131.5460972520838</v>
      </c>
      <c r="Y6" s="10">
        <f t="shared" si="3"/>
        <v>103.46040044222451</v>
      </c>
      <c r="Z6" s="10">
        <f t="shared" si="4"/>
        <v>61.014024532462614</v>
      </c>
      <c r="AA6" s="10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6">
        <v>6.4961689610443827</v>
      </c>
      <c r="AO6" s="6">
        <v>14.321716272384171</v>
      </c>
      <c r="AP6" s="6">
        <v>30.177183702155318</v>
      </c>
      <c r="AQ6" s="6">
        <v>28.191484248901236</v>
      </c>
      <c r="AS6" s="11">
        <f t="shared" si="9"/>
        <v>0.17715052756768032</v>
      </c>
      <c r="AT6" s="11">
        <f t="shared" si="10"/>
        <v>0.39055320274791633</v>
      </c>
      <c r="AU6" s="11">
        <f t="shared" si="11"/>
        <v>0.82293179955777551</v>
      </c>
      <c r="AV6" s="11">
        <f t="shared" si="12"/>
        <v>0.76878177546753668</v>
      </c>
    </row>
    <row r="7" spans="1:48" x14ac:dyDescent="0.25">
      <c r="L7">
        <v>5</v>
      </c>
      <c r="M7" s="6">
        <v>23.603333333333332</v>
      </c>
      <c r="N7" s="6">
        <v>18.451111111111111</v>
      </c>
      <c r="O7" s="6">
        <v>40.351999999999997</v>
      </c>
      <c r="P7" s="6">
        <v>35.435339999999997</v>
      </c>
      <c r="R7" s="6">
        <v>6.8310805371212293</v>
      </c>
      <c r="S7" s="6">
        <v>4.9713198393182667</v>
      </c>
      <c r="T7" s="6">
        <v>4.1886773311849295</v>
      </c>
      <c r="U7" s="6">
        <v>3.1481148487370438</v>
      </c>
      <c r="V7" s="6"/>
      <c r="W7" s="10">
        <f t="shared" si="1"/>
        <v>186.28356624729591</v>
      </c>
      <c r="X7" s="10">
        <f t="shared" si="2"/>
        <v>135.56789201820914</v>
      </c>
      <c r="Y7" s="10">
        <f t="shared" si="3"/>
        <v>114.22523082141302</v>
      </c>
      <c r="Z7" s="10">
        <f t="shared" si="4"/>
        <v>85.849091925059184</v>
      </c>
      <c r="AA7" s="10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6">
        <v>10.425586129545446</v>
      </c>
      <c r="AO7" s="6">
        <v>18.342013494015081</v>
      </c>
      <c r="AP7" s="6">
        <v>37.430990815980309</v>
      </c>
      <c r="AQ7" s="6">
        <v>34.517899600390017</v>
      </c>
      <c r="AS7" s="11">
        <f t="shared" si="9"/>
        <v>0.28430573375270429</v>
      </c>
      <c r="AT7" s="11">
        <f t="shared" si="10"/>
        <v>0.50018670798179132</v>
      </c>
      <c r="AU7" s="11">
        <f t="shared" si="11"/>
        <v>1.0207431195517831</v>
      </c>
      <c r="AV7" s="11">
        <f t="shared" si="12"/>
        <v>0.94130312210263578</v>
      </c>
    </row>
    <row r="8" spans="1:48" x14ac:dyDescent="0.25">
      <c r="L8">
        <v>6</v>
      </c>
      <c r="M8" s="6">
        <v>33.435299999999998</v>
      </c>
      <c r="N8" s="6">
        <v>20.342342500000001</v>
      </c>
      <c r="O8" s="6">
        <v>47.341999999999999</v>
      </c>
      <c r="P8" s="6">
        <v>37.324199999999998</v>
      </c>
      <c r="R8" s="6">
        <v>7.170857487875022</v>
      </c>
      <c r="S8" s="6">
        <v>5.4377955782511087</v>
      </c>
      <c r="T8" s="6">
        <v>4.8574925971399034</v>
      </c>
      <c r="U8" s="6">
        <v>3.3494087475824008</v>
      </c>
      <c r="V8" s="6"/>
      <c r="W8" s="10">
        <f t="shared" si="1"/>
        <v>195.54928369435186</v>
      </c>
      <c r="X8" s="10">
        <f t="shared" si="2"/>
        <v>148.28868541890773</v>
      </c>
      <c r="Y8" s="10">
        <f t="shared" si="3"/>
        <v>132.46382312400516</v>
      </c>
      <c r="Z8" s="10">
        <f t="shared" si="4"/>
        <v>91.338376546572064</v>
      </c>
      <c r="AA8" s="10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6">
        <v>13.361364734347177</v>
      </c>
      <c r="AO8" s="6">
        <v>15.376648866193346</v>
      </c>
      <c r="AP8" s="6">
        <v>33.310617033472631</v>
      </c>
      <c r="AQ8" s="6">
        <v>35.637910136623873</v>
      </c>
      <c r="AS8" s="11">
        <f t="shared" si="9"/>
        <v>0.36436441630564753</v>
      </c>
      <c r="AT8" s="11">
        <f t="shared" si="10"/>
        <v>0.41932121458109256</v>
      </c>
      <c r="AU8" s="11">
        <f t="shared" si="11"/>
        <v>0.90838052650279877</v>
      </c>
      <c r="AV8" s="11">
        <f t="shared" si="12"/>
        <v>0.97184580942573306</v>
      </c>
    </row>
    <row r="9" spans="1:48" x14ac:dyDescent="0.25">
      <c r="L9">
        <v>7</v>
      </c>
      <c r="M9" s="6">
        <v>37.456546400000001</v>
      </c>
      <c r="N9" s="6">
        <v>28.324240000000003</v>
      </c>
      <c r="O9" s="6">
        <v>57.995555555555498</v>
      </c>
      <c r="P9" s="6">
        <v>39.49111111111111</v>
      </c>
      <c r="R9" s="6">
        <v>8.4130336833609061</v>
      </c>
      <c r="S9" s="6">
        <v>5.7276540798468432</v>
      </c>
      <c r="T9" s="6">
        <v>6.8808807611842315</v>
      </c>
      <c r="U9" s="6">
        <v>3.692721782743317</v>
      </c>
      <c r="V9" s="6"/>
      <c r="W9" s="10">
        <f t="shared" si="1"/>
        <v>229.42342854525191</v>
      </c>
      <c r="X9" s="10">
        <f t="shared" si="2"/>
        <v>156.19312675742341</v>
      </c>
      <c r="Y9" s="10">
        <f t="shared" si="3"/>
        <v>187.641618357494</v>
      </c>
      <c r="Z9" s="10">
        <f t="shared" si="4"/>
        <v>100.70052301541025</v>
      </c>
      <c r="AA9" s="10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6">
        <v>12.538077427750197</v>
      </c>
      <c r="AO9" s="6">
        <v>22.623457031264266</v>
      </c>
      <c r="AP9" s="6">
        <v>40.078008127704685</v>
      </c>
      <c r="AQ9" s="6">
        <v>42.520611550590033</v>
      </c>
      <c r="AS9" s="11">
        <f t="shared" si="9"/>
        <v>0.34191337145474787</v>
      </c>
      <c r="AT9" s="11">
        <f t="shared" si="10"/>
        <v>0.61694167324257654</v>
      </c>
      <c r="AU9" s="11">
        <f t="shared" si="11"/>
        <v>1.0929272816425069</v>
      </c>
      <c r="AV9" s="11">
        <f t="shared" si="12"/>
        <v>1.1595370769845901</v>
      </c>
    </row>
    <row r="10" spans="1:48" x14ac:dyDescent="0.25">
      <c r="L10">
        <v>8</v>
      </c>
      <c r="M10" s="6">
        <v>39.001111111111115</v>
      </c>
      <c r="N10" s="6">
        <v>31.011111111111113</v>
      </c>
      <c r="O10" s="6">
        <v>65.342420000000004</v>
      </c>
      <c r="P10" s="6">
        <v>49.32423</v>
      </c>
      <c r="R10" s="6">
        <v>10.306251581557964</v>
      </c>
      <c r="S10" s="6">
        <v>8.0601814284898392</v>
      </c>
      <c r="T10" s="6">
        <v>7.708440764825335</v>
      </c>
      <c r="U10" s="6">
        <v>5.1416663556642792</v>
      </c>
      <c r="V10" s="6"/>
      <c r="W10" s="10">
        <f t="shared" si="1"/>
        <v>281.05148062908569</v>
      </c>
      <c r="X10" s="10">
        <f t="shared" si="2"/>
        <v>219.80114755491792</v>
      </c>
      <c r="Y10" s="10">
        <f t="shared" si="3"/>
        <v>210.20917965678689</v>
      </c>
      <c r="Z10" s="10">
        <f t="shared" si="4"/>
        <v>140.21324151896488</v>
      </c>
      <c r="AA10" s="10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6">
        <v>12.555970640664258</v>
      </c>
      <c r="AO10" s="6">
        <v>23.476485238176828</v>
      </c>
      <c r="AP10" s="6">
        <v>55.993781457396857</v>
      </c>
      <c r="AQ10" s="6">
        <v>58.975000311002368</v>
      </c>
      <c r="AS10" s="11">
        <f t="shared" si="9"/>
        <v>0.34240131937091428</v>
      </c>
      <c r="AT10" s="11">
        <f t="shared" si="10"/>
        <v>0.6402037524450821</v>
      </c>
      <c r="AU10" s="11">
        <f t="shared" si="11"/>
        <v>1.5269504203432123</v>
      </c>
      <c r="AV10" s="11">
        <f t="shared" si="12"/>
        <v>1.6082482584810345</v>
      </c>
    </row>
    <row r="11" spans="1:48" x14ac:dyDescent="0.25">
      <c r="L11">
        <v>9</v>
      </c>
      <c r="M11" s="6">
        <v>57.342339999999993</v>
      </c>
      <c r="N11" s="6">
        <v>53.32423</v>
      </c>
      <c r="O11" s="6">
        <v>70.32423</v>
      </c>
      <c r="P11" s="6">
        <v>79.234200000000001</v>
      </c>
      <c r="R11" s="6">
        <v>12.611845304641024</v>
      </c>
      <c r="S11" s="6">
        <v>11.569140857534899</v>
      </c>
      <c r="T11" s="6">
        <v>8.0263073790052157</v>
      </c>
      <c r="U11" s="6">
        <v>6.6294109445396101</v>
      </c>
      <c r="V11" s="6"/>
      <c r="W11" s="10">
        <f t="shared" si="1"/>
        <v>343.92502145756072</v>
      </c>
      <c r="X11" s="10">
        <f t="shared" si="2"/>
        <v>315.49047118497668</v>
      </c>
      <c r="Y11" s="10">
        <f t="shared" si="3"/>
        <v>218.87740222547222</v>
      </c>
      <c r="Z11" s="10">
        <f t="shared" si="4"/>
        <v>180.78403645759516</v>
      </c>
      <c r="AA11" s="10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6">
        <v>15.238154695358999</v>
      </c>
      <c r="AO11" s="6">
        <v>22.87308136468733</v>
      </c>
      <c r="AP11" s="6">
        <v>67.727025954328099</v>
      </c>
      <c r="AQ11" s="6">
        <v>61.068366833238152</v>
      </c>
      <c r="AS11" s="11">
        <f t="shared" si="9"/>
        <v>0.41554447854243987</v>
      </c>
      <c r="AT11" s="11">
        <f t="shared" si="10"/>
        <v>0.62374892881502342</v>
      </c>
      <c r="AU11" s="11">
        <f t="shared" si="11"/>
        <v>1.8469159977745273</v>
      </c>
      <c r="AV11" s="11">
        <f t="shared" si="12"/>
        <v>1.6653343635424043</v>
      </c>
    </row>
    <row r="12" spans="1:48" x14ac:dyDescent="0.25">
      <c r="L12">
        <v>10</v>
      </c>
      <c r="M12" s="6">
        <v>75.343500000000006</v>
      </c>
      <c r="N12" s="6">
        <v>62.32423</v>
      </c>
      <c r="O12" s="6">
        <v>72.526333333333326</v>
      </c>
      <c r="P12" s="6">
        <v>83.630111111111106</v>
      </c>
      <c r="R12" s="6">
        <v>13.497150854345392</v>
      </c>
      <c r="S12" s="6">
        <v>12.1590305724811</v>
      </c>
      <c r="T12" s="6">
        <v>10.8008752458415</v>
      </c>
      <c r="U12" s="6">
        <v>9.6798854738098452</v>
      </c>
      <c r="V12" s="6"/>
      <c r="W12" s="10">
        <f t="shared" si="1"/>
        <v>368.06730379799882</v>
      </c>
      <c r="X12" s="10">
        <f t="shared" si="2"/>
        <v>331.57676371155958</v>
      </c>
      <c r="Y12" s="10">
        <f t="shared" si="3"/>
        <v>294.5398679540977</v>
      </c>
      <c r="Z12" s="10">
        <f t="shared" si="4"/>
        <v>263.97047687079447</v>
      </c>
      <c r="AA12" s="10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6">
        <v>31.221738034543478</v>
      </c>
      <c r="AO12" s="6">
        <v>20.7576360941856</v>
      </c>
      <c r="AP12" s="6">
        <v>62.86912475415852</v>
      </c>
      <c r="AQ12" s="6">
        <v>61.325670081745699</v>
      </c>
      <c r="AS12" s="11">
        <f t="shared" si="9"/>
        <v>0.85141679620200061</v>
      </c>
      <c r="AT12" s="11">
        <f t="shared" si="10"/>
        <v>0.56606073628844134</v>
      </c>
      <c r="AU12" s="11">
        <f t="shared" si="11"/>
        <v>1.7144410320459029</v>
      </c>
      <c r="AV12" s="11">
        <f t="shared" si="12"/>
        <v>1.6723510231292051</v>
      </c>
    </row>
    <row r="13" spans="1:48" x14ac:dyDescent="0.25">
      <c r="L13">
        <v>11</v>
      </c>
      <c r="M13" s="6">
        <v>80.213333333333324</v>
      </c>
      <c r="N13" s="6">
        <v>69.282222222222217</v>
      </c>
      <c r="O13" s="6">
        <v>78.435230000000004</v>
      </c>
      <c r="P13" s="6">
        <v>89.32423</v>
      </c>
      <c r="R13" s="6">
        <v>13.888481375184703</v>
      </c>
      <c r="S13" s="6">
        <v>12.833613234941399</v>
      </c>
      <c r="T13" s="6">
        <v>11.5054579929082</v>
      </c>
      <c r="U13" s="6">
        <v>10.3136450098461</v>
      </c>
      <c r="V13" s="6"/>
      <c r="W13" s="10">
        <f t="shared" si="1"/>
        <v>378.73888710128688</v>
      </c>
      <c r="X13" s="10">
        <f t="shared" si="2"/>
        <v>349.97263291685198</v>
      </c>
      <c r="Y13" s="10">
        <f t="shared" si="3"/>
        <v>313.75383946660662</v>
      </c>
      <c r="Z13" s="10">
        <f t="shared" si="4"/>
        <v>281.25309941850315</v>
      </c>
      <c r="AA13" s="10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6">
        <v>24.220407513704188</v>
      </c>
      <c r="AO13" s="6">
        <v>17.368608987280801</v>
      </c>
      <c r="AP13" s="6">
        <v>43.051208673758453</v>
      </c>
      <c r="AQ13" s="6">
        <v>44.31024387904278</v>
      </c>
      <c r="AS13" s="11">
        <f t="shared" si="9"/>
        <v>0.66049051289871319</v>
      </c>
      <c r="AT13" s="11">
        <f t="shared" si="10"/>
        <v>0.47364196708314749</v>
      </c>
      <c r="AU13" s="11">
        <f t="shared" si="11"/>
        <v>1.1740064605333931</v>
      </c>
      <c r="AV13" s="11">
        <f t="shared" si="12"/>
        <v>1.2083403505814967</v>
      </c>
    </row>
    <row r="14" spans="1:48" x14ac:dyDescent="0.25">
      <c r="L14">
        <v>12</v>
      </c>
      <c r="M14" s="6">
        <v>89.432432000000006</v>
      </c>
      <c r="N14" s="6">
        <v>90.324200000000005</v>
      </c>
      <c r="O14" s="6">
        <v>99.352350000000001</v>
      </c>
      <c r="P14" s="6">
        <v>110.3432</v>
      </c>
      <c r="R14" s="6">
        <v>14.938537280895611</v>
      </c>
      <c r="S14" s="6">
        <v>13.707414770810299</v>
      </c>
      <c r="T14" s="6">
        <v>16.507654548450027</v>
      </c>
      <c r="U14" s="6">
        <v>13.576721248148401</v>
      </c>
      <c r="V14" s="6"/>
      <c r="W14" s="10">
        <f t="shared" si="1"/>
        <v>407.37391165002333</v>
      </c>
      <c r="X14" s="10">
        <f t="shared" si="2"/>
        <v>373.80120079999688</v>
      </c>
      <c r="Y14" s="10">
        <f t="shared" si="3"/>
        <v>450.16373953623224</v>
      </c>
      <c r="Z14" s="10">
        <f t="shared" si="4"/>
        <v>370.23718843700686</v>
      </c>
      <c r="AA14" s="10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6">
        <v>12.053684941326607</v>
      </c>
      <c r="AO14" s="6">
        <v>14.984807451411942</v>
      </c>
      <c r="AP14" s="6">
        <v>38.049012118216623</v>
      </c>
      <c r="AQ14" s="6">
        <v>41.047167640740511</v>
      </c>
      <c r="AS14" s="11">
        <f t="shared" si="9"/>
        <v>0.32870398834997655</v>
      </c>
      <c r="AT14" s="11">
        <f t="shared" si="10"/>
        <v>0.4086356992000037</v>
      </c>
      <c r="AU14" s="11">
        <f t="shared" si="11"/>
        <v>1.0375965604637674</v>
      </c>
      <c r="AV14" s="11">
        <f t="shared" si="12"/>
        <v>1.1193562615629937</v>
      </c>
    </row>
    <row r="15" spans="1:48" x14ac:dyDescent="0.25">
      <c r="L15">
        <v>13</v>
      </c>
      <c r="M15" s="6">
        <v>90.424199999999999</v>
      </c>
      <c r="N15" s="6">
        <v>105.25200000000001</v>
      </c>
      <c r="O15" s="6">
        <v>110</v>
      </c>
      <c r="P15" s="6">
        <v>120.13455555555555</v>
      </c>
      <c r="R15" s="6">
        <v>16.6556686889245</v>
      </c>
      <c r="S15" s="6">
        <v>15.932919651683299</v>
      </c>
      <c r="T15" s="6">
        <v>18.404916384022801</v>
      </c>
      <c r="U15" s="6">
        <v>16.396447009426957</v>
      </c>
      <c r="V15" s="6"/>
      <c r="W15" s="10">
        <f t="shared" si="1"/>
        <v>454.20008514697111</v>
      </c>
      <c r="X15" s="10">
        <f t="shared" si="2"/>
        <v>434.49071890140357</v>
      </c>
      <c r="Y15" s="10">
        <f t="shared" si="3"/>
        <v>501.9020697923018</v>
      </c>
      <c r="Z15" s="10">
        <f t="shared" si="4"/>
        <v>447.13110994707313</v>
      </c>
      <c r="AA15" s="10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6">
        <v>33.259886866631071</v>
      </c>
      <c r="AO15" s="6">
        <v>14.391380348316702</v>
      </c>
      <c r="AP15" s="6">
        <v>47.376194727088304</v>
      </c>
      <c r="AQ15" s="6">
        <v>55.375775212795226</v>
      </c>
      <c r="AS15" s="11">
        <f t="shared" si="9"/>
        <v>0.90699711485302936</v>
      </c>
      <c r="AT15" s="11">
        <f t="shared" si="10"/>
        <v>0.39245294209859649</v>
      </c>
      <c r="AU15" s="11">
        <f t="shared" si="11"/>
        <v>1.291948830207698</v>
      </c>
      <c r="AV15" s="11">
        <f t="shared" si="12"/>
        <v>1.5100973900529258</v>
      </c>
    </row>
    <row r="16" spans="1:48" x14ac:dyDescent="0.25">
      <c r="L16">
        <v>14</v>
      </c>
      <c r="M16" s="6">
        <v>108.28444444444443</v>
      </c>
      <c r="N16" s="6">
        <v>126.56900000000002</v>
      </c>
      <c r="O16" s="6">
        <v>127.34229999999999</v>
      </c>
      <c r="P16" s="6">
        <v>135.23419999999999</v>
      </c>
      <c r="R16" s="6">
        <v>18.5478371249567</v>
      </c>
      <c r="S16" s="6">
        <v>24.435470211239998</v>
      </c>
      <c r="T16" s="6">
        <v>18.609019154171648</v>
      </c>
      <c r="U16" s="6">
        <v>19.106273187431565</v>
      </c>
      <c r="V16" s="6"/>
      <c r="W16" s="10">
        <f t="shared" si="1"/>
        <v>505.79951839756922</v>
      </c>
      <c r="X16" s="10">
        <f t="shared" si="2"/>
        <v>666.35527266051474</v>
      </c>
      <c r="Y16" s="10">
        <f t="shared" si="3"/>
        <v>507.46795233426081</v>
      </c>
      <c r="Z16" s="10">
        <f t="shared" si="4"/>
        <v>521.02806982125878</v>
      </c>
      <c r="AA16" s="10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6">
        <v>29.4521628750433</v>
      </c>
      <c r="AO16" s="6">
        <v>25.848279788759999</v>
      </c>
      <c r="AP16" s="6">
        <v>45.840980845828369</v>
      </c>
      <c r="AQ16" s="6">
        <v>64.059282368124016</v>
      </c>
      <c r="AS16" s="11">
        <f t="shared" si="9"/>
        <v>0.8031604816024307</v>
      </c>
      <c r="AT16" s="11">
        <f t="shared" si="10"/>
        <v>0.70488258983948515</v>
      </c>
      <c r="AU16" s="11">
        <f t="shared" si="11"/>
        <v>1.2500835476657397</v>
      </c>
      <c r="AV16" s="11">
        <f t="shared" si="12"/>
        <v>1.7468966301787419</v>
      </c>
    </row>
    <row r="17" spans="12:48" x14ac:dyDescent="0.25">
      <c r="L17">
        <v>15</v>
      </c>
      <c r="M17" s="6">
        <v>107.3242</v>
      </c>
      <c r="N17" s="6">
        <v>134.34533999999999</v>
      </c>
      <c r="O17" s="6">
        <v>145.32419999999999</v>
      </c>
      <c r="P17" s="6">
        <v>179.42439999999999</v>
      </c>
      <c r="R17" s="6">
        <v>20.629695813794299</v>
      </c>
      <c r="S17" s="6">
        <v>29.752614051066701</v>
      </c>
      <c r="T17" s="6">
        <v>20.2846019181315</v>
      </c>
      <c r="U17" s="6">
        <v>22.975923412952021</v>
      </c>
      <c r="V17" s="6"/>
      <c r="W17" s="10">
        <f t="shared" si="1"/>
        <v>562.57180484217054</v>
      </c>
      <c r="X17" s="10">
        <f t="shared" si="2"/>
        <v>811.35378517258891</v>
      </c>
      <c r="Y17" s="10">
        <f t="shared" si="3"/>
        <v>553.16109430744598</v>
      </c>
      <c r="Z17" s="10">
        <f t="shared" si="4"/>
        <v>626.55343147120163</v>
      </c>
      <c r="AA17" s="10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6">
        <v>32.156970852872362</v>
      </c>
      <c r="AO17" s="6">
        <v>20.600385948933301</v>
      </c>
      <c r="AP17" s="6">
        <v>44.165398081868517</v>
      </c>
      <c r="AQ17" s="6">
        <v>40.189632142603571</v>
      </c>
      <c r="AS17" s="11">
        <f t="shared" si="9"/>
        <v>0.87692059515782927</v>
      </c>
      <c r="AT17" s="11">
        <f t="shared" si="10"/>
        <v>0.56177252482741113</v>
      </c>
      <c r="AU17" s="11">
        <f t="shared" si="11"/>
        <v>1.2043904056925545</v>
      </c>
      <c r="AV17" s="11">
        <f t="shared" si="12"/>
        <v>1.0959712685287994</v>
      </c>
    </row>
    <row r="18" spans="12:48" x14ac:dyDescent="0.25">
      <c r="L18">
        <v>16</v>
      </c>
      <c r="M18" s="6">
        <v>113.434</v>
      </c>
      <c r="N18" s="6">
        <v>145.2432</v>
      </c>
      <c r="O18" s="6">
        <v>162.99222222222224</v>
      </c>
      <c r="P18" s="6">
        <v>182.56756666666666</v>
      </c>
      <c r="R18" s="6">
        <v>24.825216290133</v>
      </c>
      <c r="S18" s="6">
        <v>31.533902848127269</v>
      </c>
      <c r="T18" s="6">
        <v>22.086986597682355</v>
      </c>
      <c r="U18" s="6">
        <v>24.387553371892004</v>
      </c>
      <c r="V18" s="6"/>
      <c r="W18" s="10">
        <f t="shared" si="1"/>
        <v>676.98364823192685</v>
      </c>
      <c r="X18" s="10">
        <f t="shared" si="2"/>
        <v>859.92953066843063</v>
      </c>
      <c r="Y18" s="10">
        <f t="shared" si="3"/>
        <v>602.31212451879776</v>
      </c>
      <c r="Z18" s="10">
        <f t="shared" si="4"/>
        <v>665.0485804514949</v>
      </c>
      <c r="AA18" s="10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6">
        <v>29.204783709867002</v>
      </c>
      <c r="AO18" s="6">
        <v>23.466097151872731</v>
      </c>
      <c r="AP18" s="6">
        <v>55.97745784676205</v>
      </c>
      <c r="AQ18" s="6">
        <v>45.612446628107996</v>
      </c>
      <c r="AS18" s="11">
        <f t="shared" si="9"/>
        <v>0.79641445176807313</v>
      </c>
      <c r="AT18" s="11">
        <f t="shared" si="10"/>
        <v>0.63992046933156943</v>
      </c>
      <c r="AU18" s="11">
        <f t="shared" si="11"/>
        <v>1.5265052754812012</v>
      </c>
      <c r="AV18" s="11">
        <f t="shared" si="12"/>
        <v>1.2438514195485051</v>
      </c>
    </row>
    <row r="19" spans="12:48" x14ac:dyDescent="0.25">
      <c r="L19">
        <v>17</v>
      </c>
      <c r="M19" s="6">
        <v>133.62222222222223</v>
      </c>
      <c r="N19" s="6">
        <v>148.67555555555555</v>
      </c>
      <c r="O19" s="6">
        <v>169.3535</v>
      </c>
      <c r="P19" s="6">
        <v>199.32423499999999</v>
      </c>
      <c r="R19" s="6">
        <v>27.964958296679502</v>
      </c>
      <c r="S19" s="6">
        <v>34.016243297004195</v>
      </c>
      <c r="T19" s="6">
        <v>23.344364437112038</v>
      </c>
      <c r="U19" s="6">
        <v>26.365829227157302</v>
      </c>
      <c r="V19" s="6"/>
      <c r="W19" s="10">
        <f t="shared" si="1"/>
        <v>762.60441275045002</v>
      </c>
      <c r="X19" s="10">
        <f t="shared" si="2"/>
        <v>927.62295470930439</v>
      </c>
      <c r="Y19" s="10">
        <f t="shared" si="3"/>
        <v>636.6008182000453</v>
      </c>
      <c r="Z19" s="10">
        <f t="shared" si="4"/>
        <v>718.99616302457957</v>
      </c>
      <c r="AA19" s="10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6">
        <v>29.628375036653846</v>
      </c>
      <c r="AO19" s="6">
        <v>25.983756702995805</v>
      </c>
      <c r="AP19" s="6">
        <v>52.190635562887991</v>
      </c>
      <c r="AQ19" s="6">
        <v>40.979490772842695</v>
      </c>
      <c r="AS19" s="11">
        <f t="shared" si="9"/>
        <v>0.80796578724955048</v>
      </c>
      <c r="AT19" s="11">
        <f t="shared" si="10"/>
        <v>0.70857704529069554</v>
      </c>
      <c r="AU19" s="11">
        <f t="shared" si="11"/>
        <v>1.4232386317999555</v>
      </c>
      <c r="AV19" s="11">
        <f t="shared" si="12"/>
        <v>1.1175107133754203</v>
      </c>
    </row>
    <row r="20" spans="12:48" x14ac:dyDescent="0.25">
      <c r="L20">
        <v>18</v>
      </c>
      <c r="M20" s="6">
        <v>140.32423</v>
      </c>
      <c r="N20" s="6">
        <v>160.3535</v>
      </c>
      <c r="O20" s="6">
        <v>175.24332000000001</v>
      </c>
      <c r="P20" s="6">
        <v>210.2423</v>
      </c>
      <c r="R20" s="6">
        <v>30.095405768557757</v>
      </c>
      <c r="S20" s="6">
        <v>36.5876687996019</v>
      </c>
      <c r="T20" s="6">
        <v>25.499037788073501</v>
      </c>
      <c r="U20" s="6">
        <v>27.9889007404857</v>
      </c>
      <c r="V20" s="6"/>
      <c r="W20" s="10">
        <f t="shared" si="1"/>
        <v>820.70171530856999</v>
      </c>
      <c r="X20" s="10">
        <f t="shared" si="2"/>
        <v>997.74572816514376</v>
      </c>
      <c r="Y20" s="10">
        <f t="shared" si="3"/>
        <v>695.35876048076432</v>
      </c>
      <c r="Z20" s="10">
        <f t="shared" si="4"/>
        <v>763.25732319304507</v>
      </c>
      <c r="AA20" s="10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6">
        <v>29.904594231442243</v>
      </c>
      <c r="AO20" s="6">
        <v>23.4123312003981</v>
      </c>
      <c r="AP20" s="6">
        <v>50.035962211926524</v>
      </c>
      <c r="AQ20" s="6">
        <v>42.351099259514299</v>
      </c>
      <c r="AS20" s="11">
        <f t="shared" si="9"/>
        <v>0.81549828469142993</v>
      </c>
      <c r="AT20" s="11">
        <f t="shared" si="10"/>
        <v>0.63845427183485615</v>
      </c>
      <c r="AU20" s="11">
        <f t="shared" si="11"/>
        <v>1.3644806895192365</v>
      </c>
      <c r="AV20" s="11">
        <f t="shared" si="12"/>
        <v>1.154914476806955</v>
      </c>
    </row>
    <row r="21" spans="12:48" x14ac:dyDescent="0.25">
      <c r="L21">
        <v>19</v>
      </c>
      <c r="M21" s="6">
        <v>149.43534</v>
      </c>
      <c r="N21" s="6">
        <v>175.35235</v>
      </c>
      <c r="O21" s="6">
        <v>185.57566666666665</v>
      </c>
      <c r="P21" s="6">
        <v>229.76566666666668</v>
      </c>
      <c r="R21" s="6">
        <v>31.142071605424235</v>
      </c>
      <c r="S21" s="6">
        <v>38.2631206389255</v>
      </c>
      <c r="T21" s="6">
        <v>27.878290146491601</v>
      </c>
      <c r="U21" s="6">
        <v>30.998784417976001</v>
      </c>
      <c r="V21" s="6"/>
      <c r="W21" s="10">
        <f t="shared" si="1"/>
        <v>849.24429267991889</v>
      </c>
      <c r="X21" s="10">
        <f t="shared" si="2"/>
        <v>1043.4352998234983</v>
      </c>
      <c r="Y21" s="10">
        <f t="shared" si="3"/>
        <v>760.24097229482595</v>
      </c>
      <c r="Z21" s="10">
        <f t="shared" si="4"/>
        <v>845.33685107820554</v>
      </c>
      <c r="AA21" s="10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6">
        <v>30.203228394575767</v>
      </c>
      <c r="AO21" s="6">
        <v>27.082179361074495</v>
      </c>
      <c r="AP21" s="6">
        <v>47.635459853508358</v>
      </c>
      <c r="AQ21" s="6">
        <v>42.354615582023996</v>
      </c>
      <c r="AS21" s="11">
        <f t="shared" si="9"/>
        <v>0.82364203832008109</v>
      </c>
      <c r="AT21" s="11">
        <f t="shared" si="10"/>
        <v>0.73853103117650143</v>
      </c>
      <c r="AU21" s="11">
        <f t="shared" si="11"/>
        <v>1.299018990205173</v>
      </c>
      <c r="AV21" s="11">
        <f t="shared" si="12"/>
        <v>1.1550103669217944</v>
      </c>
    </row>
    <row r="22" spans="12:48" x14ac:dyDescent="0.25">
      <c r="L22">
        <v>20</v>
      </c>
      <c r="M22" s="6">
        <v>153.64888888888888</v>
      </c>
      <c r="N22" s="6">
        <v>189.04777777777778</v>
      </c>
      <c r="O22" s="6">
        <v>190.32419999999999</v>
      </c>
      <c r="P22" s="6">
        <v>230.32423499999999</v>
      </c>
      <c r="R22" s="6">
        <v>32.978208239593222</v>
      </c>
      <c r="S22" s="6">
        <v>39.591149466582998</v>
      </c>
      <c r="T22" s="6">
        <v>30.753328250293087</v>
      </c>
      <c r="U22" s="6">
        <v>32.831508219873399</v>
      </c>
      <c r="V22" s="6"/>
      <c r="W22" s="10">
        <f t="shared" si="1"/>
        <v>899.3157386937072</v>
      </c>
      <c r="X22" s="10">
        <f t="shared" si="2"/>
        <v>1079.6506459537184</v>
      </c>
      <c r="Y22" s="10">
        <f t="shared" si="3"/>
        <v>838.64326138549245</v>
      </c>
      <c r="Z22" s="10">
        <f t="shared" si="4"/>
        <v>895.31522915594758</v>
      </c>
      <c r="AA22" s="10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6">
        <v>26.574791760406775</v>
      </c>
      <c r="AO22" s="6">
        <v>24.762300533416997</v>
      </c>
      <c r="AP22" s="6">
        <v>46.586671749706916</v>
      </c>
      <c r="AQ22" s="6">
        <v>46.513791780126596</v>
      </c>
      <c r="AS22" s="11">
        <f t="shared" si="9"/>
        <v>0.72469457130629278</v>
      </c>
      <c r="AT22" s="11">
        <f t="shared" si="10"/>
        <v>0.67526793554628151</v>
      </c>
      <c r="AU22" s="11">
        <f t="shared" si="11"/>
        <v>1.2704185386145077</v>
      </c>
      <c r="AV22" s="11">
        <f t="shared" si="12"/>
        <v>1.2684311018440522</v>
      </c>
    </row>
    <row r="23" spans="12:48" x14ac:dyDescent="0.25">
      <c r="L23">
        <v>21</v>
      </c>
      <c r="M23" s="6">
        <v>155.4534534</v>
      </c>
      <c r="N23" s="6">
        <v>190.34235000000001</v>
      </c>
      <c r="O23" s="6">
        <v>192.35339999999999</v>
      </c>
      <c r="P23" s="6">
        <v>234.23500000000001</v>
      </c>
      <c r="R23" s="6">
        <v>33.82205875034257</v>
      </c>
      <c r="S23" s="6">
        <v>39.748310823902997</v>
      </c>
      <c r="T23" s="6">
        <v>30.753328250293087</v>
      </c>
      <c r="U23" s="6">
        <v>32.831508219873399</v>
      </c>
      <c r="V23" s="6"/>
      <c r="W23" s="10">
        <f t="shared" si="1"/>
        <v>922.32754212184193</v>
      </c>
      <c r="X23" s="10">
        <f t="shared" si="2"/>
        <v>1083.9364361678347</v>
      </c>
      <c r="Y23" s="10">
        <f t="shared" si="3"/>
        <v>838.64326138549245</v>
      </c>
      <c r="Z23" s="10">
        <f t="shared" si="4"/>
        <v>895.31522915594758</v>
      </c>
      <c r="AA23" s="10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6">
        <v>26.502941249657432</v>
      </c>
      <c r="AO23" s="6">
        <v>23.504889176097002</v>
      </c>
      <c r="AP23" s="6">
        <v>48.699671749706916</v>
      </c>
      <c r="AQ23" s="6">
        <v>56.986269557904336</v>
      </c>
      <c r="AS23" s="11">
        <f t="shared" si="9"/>
        <v>0.72273520787815815</v>
      </c>
      <c r="AT23" s="11">
        <f t="shared" si="10"/>
        <v>0.64097832783216524</v>
      </c>
      <c r="AU23" s="11">
        <f t="shared" si="11"/>
        <v>1.3280400486145076</v>
      </c>
      <c r="AV23" s="11">
        <f t="shared" si="12"/>
        <v>1.5540155708440513</v>
      </c>
    </row>
    <row r="24" spans="12:48" x14ac:dyDescent="0.25">
      <c r="L24">
        <v>22</v>
      </c>
      <c r="M24" s="6">
        <v>159.35345000000001</v>
      </c>
      <c r="N24" s="6">
        <v>190.56659999999999</v>
      </c>
      <c r="O24" s="6">
        <v>200.353453</v>
      </c>
      <c r="P24" s="6">
        <v>235.43643599999999</v>
      </c>
      <c r="R24" s="6">
        <v>34.182663033014954</v>
      </c>
      <c r="S24" s="6">
        <v>40.094496475190098</v>
      </c>
      <c r="T24" s="6">
        <v>30.753328250293087</v>
      </c>
      <c r="U24" s="6">
        <v>32.831508219873399</v>
      </c>
      <c r="V24" s="6"/>
      <c r="W24" s="10">
        <f t="shared" si="1"/>
        <v>932.16122091031775</v>
      </c>
      <c r="X24" s="10">
        <f t="shared" si="2"/>
        <v>1093.376918878434</v>
      </c>
      <c r="Y24" s="10">
        <f t="shared" si="3"/>
        <v>838.64326138549245</v>
      </c>
      <c r="Z24" s="10">
        <f t="shared" si="4"/>
        <v>895.31522915594758</v>
      </c>
      <c r="AA24" s="10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6">
        <v>32.253636966985049</v>
      </c>
      <c r="AO24" s="6">
        <v>29.3408035248099</v>
      </c>
      <c r="AP24" s="6">
        <v>54.481901749706914</v>
      </c>
      <c r="AQ24" s="6">
        <v>62.757634637269476</v>
      </c>
      <c r="AS24" s="11">
        <f t="shared" si="9"/>
        <v>0.87955668008968224</v>
      </c>
      <c r="AT24" s="11">
        <f t="shared" si="10"/>
        <v>0.80012371212156597</v>
      </c>
      <c r="AU24" s="11">
        <f t="shared" si="11"/>
        <v>1.4857214607145075</v>
      </c>
      <c r="AV24" s="11">
        <f t="shared" si="12"/>
        <v>1.7114006965583386</v>
      </c>
    </row>
    <row r="25" spans="12:48" x14ac:dyDescent="0.25">
      <c r="L25">
        <v>23</v>
      </c>
      <c r="M25" s="6">
        <v>180.57444444444442</v>
      </c>
      <c r="N25" s="6">
        <v>191.94666666666666</v>
      </c>
      <c r="O25" s="6">
        <v>211.36922222222222</v>
      </c>
      <c r="P25" s="6">
        <v>236.8928888888889</v>
      </c>
      <c r="R25" s="6">
        <v>35.604333333333301</v>
      </c>
      <c r="S25" s="6">
        <v>40.36</v>
      </c>
      <c r="T25" s="6">
        <v>30.794444444444501</v>
      </c>
      <c r="U25" s="6">
        <v>33.4</v>
      </c>
      <c r="V25" s="6"/>
      <c r="W25" s="10">
        <f>R25*27.27</f>
        <v>970.93016999999907</v>
      </c>
      <c r="X25" s="10">
        <f t="shared" si="2"/>
        <v>1100.6171999999999</v>
      </c>
      <c r="Y25" s="10">
        <f t="shared" si="3"/>
        <v>839.76450000000148</v>
      </c>
      <c r="Z25" s="10">
        <f t="shared" si="4"/>
        <v>910.81799999999998</v>
      </c>
      <c r="AA25" s="10"/>
      <c r="AB25">
        <v>23</v>
      </c>
      <c r="AC25" s="12">
        <v>4.8376984009869899</v>
      </c>
      <c r="AD25" s="12">
        <v>4.7527475487124002</v>
      </c>
      <c r="AE25" s="12">
        <v>2.6557227995817434</v>
      </c>
      <c r="AF25" s="12">
        <v>2.4548846202146457</v>
      </c>
      <c r="AG25" s="12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6">
        <v>34.395666666666699</v>
      </c>
      <c r="AO25" s="6">
        <v>29.959999999999994</v>
      </c>
      <c r="AP25" s="6">
        <v>56.670955555555501</v>
      </c>
      <c r="AQ25" s="6">
        <v>62.189142857142876</v>
      </c>
      <c r="AS25" s="11">
        <f t="shared" si="9"/>
        <v>0.93796983000000089</v>
      </c>
      <c r="AT25" s="11">
        <f t="shared" si="10"/>
        <v>0.81700919999999977</v>
      </c>
      <c r="AU25" s="11">
        <f t="shared" si="11"/>
        <v>1.5454169579999983</v>
      </c>
      <c r="AV25" s="11">
        <f t="shared" si="12"/>
        <v>1.6958979257142863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15</vt:i4>
      </vt:variant>
    </vt:vector>
  </HeadingPairs>
  <TitlesOfParts>
    <vt:vector size="20" baseType="lpstr">
      <vt:lpstr>Variable&amp;Parameters list</vt:lpstr>
      <vt:lpstr>R_ON</vt:lpstr>
      <vt:lpstr>RPD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Chiara Amitrano</cp:lastModifiedBy>
  <dcterms:created xsi:type="dcterms:W3CDTF">2019-06-08T10:54:53Z</dcterms:created>
  <dcterms:modified xsi:type="dcterms:W3CDTF">2022-10-14T08:15:59Z</dcterms:modified>
</cp:coreProperties>
</file>