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GitHub\Modified-Energy-Cascade\Amitrano\"/>
    </mc:Choice>
  </mc:AlternateContent>
  <xr:revisionPtr revIDLastSave="0" documentId="13_ncr:1_{257F1687-1806-4871-91DF-FAC0AB78FC0B}" xr6:coauthVersionLast="47" xr6:coauthVersionMax="47" xr10:uidLastSave="{00000000-0000-0000-0000-000000000000}"/>
  <bookViews>
    <workbookView xWindow="-110" yWindow="-110" windowWidth="19420" windowHeight="10300" tabRatio="598" activeTab="1" xr2:uid="{6C05BF09-2788-476D-A41B-F5618A13F6D0}"/>
  </bookViews>
  <sheets>
    <sheet name="Variable&amp;Parameters list" sheetId="1" r:id="rId1"/>
    <sheet name="G_N" sheetId="2" r:id="rId2"/>
    <sheet name="results" sheetId="4" r:id="rId3"/>
    <sheet name="measured values" sheetId="3" r:id="rId4"/>
  </sheets>
  <externalReferences>
    <externalReference r:id="rId5"/>
    <externalReference r:id="rId6"/>
  </externalReferences>
  <definedNames>
    <definedName name="Amax">G_N!$B$1</definedName>
    <definedName name="BCF">'Variable&amp;Parameters list'!$B$11</definedName>
    <definedName name="CGR">'Variable&amp;Parameters list'!#REF!</definedName>
    <definedName name="CQYmax">G_N!$B$6</definedName>
    <definedName name="CQYmin">G_N!$B$5</definedName>
    <definedName name="CUEmax">G_N!$B$3</definedName>
    <definedName name="CUEmin">G_N!$B$2</definedName>
    <definedName name="gA">'Variable&amp;Parameters list'!$B$26</definedName>
    <definedName name="MWc">'Variable&amp;Parameters list'!$B$10</definedName>
    <definedName name="MWw">'Variable&amp;Parameters list'!$B$18</definedName>
    <definedName name="n">G_N!$B$8</definedName>
    <definedName name="OPF">'Variable&amp;Parameters list'!$B$17</definedName>
    <definedName name="pw">'Variable&amp;Parameters list'!$B$19</definedName>
    <definedName name="solver_adj" localSheetId="1" hidden="1">G_N!$B$2:$B$3,G_N!$B$5:$B$6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G_N!$B$2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G_N!$I$46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CUEmax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A">G_N!$B$10</definedName>
    <definedName name="tE">G_N!$B$9</definedName>
    <definedName name="tM">G_N!$B$14</definedName>
    <definedName name="XFRT">'Variable&amp;Parameters list'!$B$14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0" i="2" l="1"/>
  <c r="AI45" i="2"/>
  <c r="F30" i="3"/>
  <c r="E30" i="3"/>
  <c r="D30" i="3"/>
  <c r="C30" i="3"/>
  <c r="F19" i="3"/>
  <c r="E19" i="3"/>
  <c r="D19" i="3"/>
  <c r="C19" i="3"/>
  <c r="AW85" i="4" l="1" a="1"/>
  <c r="AW85" i="4" s="1"/>
  <c r="AX104" i="4" l="1"/>
  <c r="AX100" i="4"/>
  <c r="AX96" i="4"/>
  <c r="AX92" i="4"/>
  <c r="AW100" i="4"/>
  <c r="AX106" i="4"/>
  <c r="AX102" i="4"/>
  <c r="AX98" i="4"/>
  <c r="AX94" i="4"/>
  <c r="AX90" i="4"/>
  <c r="AX88" i="4"/>
  <c r="AX86" i="4"/>
  <c r="AW106" i="4"/>
  <c r="AW104" i="4"/>
  <c r="AW102" i="4"/>
  <c r="AW98" i="4"/>
  <c r="AW96" i="4"/>
  <c r="AW94" i="4"/>
  <c r="AW92" i="4"/>
  <c r="AW90" i="4"/>
  <c r="AW88" i="4"/>
  <c r="AW86" i="4"/>
  <c r="AX107" i="4"/>
  <c r="AX105" i="4"/>
  <c r="AX103" i="4"/>
  <c r="AX101" i="4"/>
  <c r="AX99" i="4"/>
  <c r="AX97" i="4"/>
  <c r="AX95" i="4"/>
  <c r="AX93" i="4"/>
  <c r="AX91" i="4"/>
  <c r="AX89" i="4"/>
  <c r="AX87" i="4"/>
  <c r="AX85" i="4"/>
  <c r="AW107" i="4"/>
  <c r="AW105" i="4"/>
  <c r="AW103" i="4"/>
  <c r="AW101" i="4"/>
  <c r="AW99" i="4"/>
  <c r="AW97" i="4"/>
  <c r="AW95" i="4"/>
  <c r="AW93" i="4"/>
  <c r="AW91" i="4"/>
  <c r="AW89" i="4"/>
  <c r="AW87" i="4"/>
  <c r="AW58" i="4" a="1"/>
  <c r="AW58" i="4" s="1"/>
  <c r="AX79" i="4" l="1"/>
  <c r="AX77" i="4"/>
  <c r="AX75" i="4"/>
  <c r="AX73" i="4"/>
  <c r="AX71" i="4"/>
  <c r="AX69" i="4"/>
  <c r="AX67" i="4"/>
  <c r="AX65" i="4"/>
  <c r="AX63" i="4"/>
  <c r="AX61" i="4"/>
  <c r="AX59" i="4"/>
  <c r="AW79" i="4"/>
  <c r="AW77" i="4"/>
  <c r="AW75" i="4"/>
  <c r="AW73" i="4"/>
  <c r="AW71" i="4"/>
  <c r="AW69" i="4"/>
  <c r="AW67" i="4"/>
  <c r="AW65" i="4"/>
  <c r="AW63" i="4"/>
  <c r="AW61" i="4"/>
  <c r="AW59" i="4"/>
  <c r="AX80" i="4"/>
  <c r="AX78" i="4"/>
  <c r="AX76" i="4"/>
  <c r="AX74" i="4"/>
  <c r="AX72" i="4"/>
  <c r="AX70" i="4"/>
  <c r="AX68" i="4"/>
  <c r="AX66" i="4"/>
  <c r="AX64" i="4"/>
  <c r="AX62" i="4"/>
  <c r="AX60" i="4"/>
  <c r="AX58" i="4"/>
  <c r="AW80" i="4"/>
  <c r="AW78" i="4"/>
  <c r="AW76" i="4"/>
  <c r="AW74" i="4"/>
  <c r="AW72" i="4"/>
  <c r="AW70" i="4"/>
  <c r="AW68" i="4"/>
  <c r="AW66" i="4"/>
  <c r="AW64" i="4"/>
  <c r="AW62" i="4"/>
  <c r="AW60" i="4"/>
  <c r="AB83" i="4" a="1"/>
  <c r="AB83" i="4" s="1"/>
  <c r="AC104" i="4" l="1"/>
  <c r="AC98" i="4"/>
  <c r="AC94" i="4"/>
  <c r="AC90" i="4"/>
  <c r="AC84" i="4"/>
  <c r="AB100" i="4"/>
  <c r="AC85" i="4"/>
  <c r="AC102" i="4"/>
  <c r="AC100" i="4"/>
  <c r="AC96" i="4"/>
  <c r="AC92" i="4"/>
  <c r="AC88" i="4"/>
  <c r="AC86" i="4"/>
  <c r="AB104" i="4"/>
  <c r="AB102" i="4"/>
  <c r="AB98" i="4"/>
  <c r="AB96" i="4"/>
  <c r="AB94" i="4"/>
  <c r="AB92" i="4"/>
  <c r="AB90" i="4"/>
  <c r="AB88" i="4"/>
  <c r="AB86" i="4"/>
  <c r="AB84" i="4"/>
  <c r="AC105" i="4"/>
  <c r="AC103" i="4"/>
  <c r="AC101" i="4"/>
  <c r="AC99" i="4"/>
  <c r="AC97" i="4"/>
  <c r="AC95" i="4"/>
  <c r="AC93" i="4"/>
  <c r="AC91" i="4"/>
  <c r="AC89" i="4"/>
  <c r="AC87" i="4"/>
  <c r="AC83" i="4"/>
  <c r="AB105" i="4"/>
  <c r="AB103" i="4"/>
  <c r="AB101" i="4"/>
  <c r="AB99" i="4"/>
  <c r="AB97" i="4"/>
  <c r="AB95" i="4"/>
  <c r="AB93" i="4"/>
  <c r="AB91" i="4"/>
  <c r="AB89" i="4"/>
  <c r="AB87" i="4"/>
  <c r="AB85" i="4"/>
  <c r="AB57" i="4" a="1"/>
  <c r="AC79" i="4" s="1"/>
  <c r="AB58" i="4" l="1"/>
  <c r="AB60" i="4"/>
  <c r="AB62" i="4"/>
  <c r="AB64" i="4"/>
  <c r="AB66" i="4"/>
  <c r="AB68" i="4"/>
  <c r="AB70" i="4"/>
  <c r="AB72" i="4"/>
  <c r="AB74" i="4"/>
  <c r="AB76" i="4"/>
  <c r="AB78" i="4"/>
  <c r="AB57" i="4"/>
  <c r="AC58" i="4"/>
  <c r="AC60" i="4"/>
  <c r="AC62" i="4"/>
  <c r="AC64" i="4"/>
  <c r="AC66" i="4"/>
  <c r="AC68" i="4"/>
  <c r="AC70" i="4"/>
  <c r="AC72" i="4"/>
  <c r="AC74" i="4"/>
  <c r="AC76" i="4"/>
  <c r="AC78" i="4"/>
  <c r="AB59" i="4"/>
  <c r="AB61" i="4"/>
  <c r="AB63" i="4"/>
  <c r="AB65" i="4"/>
  <c r="AB67" i="4"/>
  <c r="AB69" i="4"/>
  <c r="AB71" i="4"/>
  <c r="AB73" i="4"/>
  <c r="AB75" i="4"/>
  <c r="AB77" i="4"/>
  <c r="AB79" i="4"/>
  <c r="AC57" i="4"/>
  <c r="AC59" i="4"/>
  <c r="AC61" i="4"/>
  <c r="AC63" i="4"/>
  <c r="AC65" i="4"/>
  <c r="AC67" i="4"/>
  <c r="AC69" i="4"/>
  <c r="AC71" i="4"/>
  <c r="AC73" i="4"/>
  <c r="AC75" i="4"/>
  <c r="AC77" i="4"/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2" i="2"/>
  <c r="F23" i="2"/>
  <c r="F24" i="2"/>
  <c r="G24" i="2" s="1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22" i="2"/>
  <c r="AE40" i="2" l="1"/>
  <c r="D5" i="2"/>
  <c r="D6" i="2"/>
  <c r="AD23" i="2"/>
  <c r="AD24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E22" i="2" l="1"/>
  <c r="G22" i="2"/>
  <c r="H22" i="2" s="1"/>
  <c r="AD25" i="2"/>
  <c r="AE28" i="2" l="1"/>
  <c r="AE36" i="2"/>
  <c r="AE44" i="2"/>
  <c r="AF46" i="2" s="1"/>
  <c r="AE43" i="2"/>
  <c r="AE29" i="2"/>
  <c r="AE37" i="2"/>
  <c r="AE38" i="2"/>
  <c r="AE25" i="2"/>
  <c r="AE30" i="2"/>
  <c r="AE33" i="2"/>
  <c r="AE34" i="2"/>
  <c r="AE35" i="2"/>
  <c r="AE23" i="2"/>
  <c r="AE31" i="2"/>
  <c r="AE39" i="2"/>
  <c r="AE41" i="2"/>
  <c r="AE26" i="2"/>
  <c r="AE24" i="2"/>
  <c r="AE32" i="2"/>
  <c r="AE42" i="2"/>
  <c r="AE27" i="2"/>
  <c r="AD22" i="2"/>
  <c r="G25" i="2" l="1"/>
  <c r="G38" i="2"/>
  <c r="G27" i="2"/>
  <c r="G31" i="2"/>
  <c r="G37" i="2"/>
  <c r="G30" i="2"/>
  <c r="G41" i="2"/>
  <c r="G39" i="2"/>
  <c r="G42" i="2"/>
  <c r="G23" i="2"/>
  <c r="G29" i="2"/>
  <c r="G40" i="2"/>
  <c r="G35" i="2"/>
  <c r="G43" i="2"/>
  <c r="G26" i="2"/>
  <c r="G28" i="2"/>
  <c r="G32" i="2"/>
  <c r="G34" i="2"/>
  <c r="G44" i="2"/>
  <c r="G33" i="2"/>
  <c r="G36" i="2"/>
  <c r="K22" i="2"/>
  <c r="AV4" i="4" l="1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V23" i="2" l="1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22" i="2"/>
  <c r="X22" i="2" s="1"/>
  <c r="AS3" i="3"/>
  <c r="AV4" i="3" l="1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L25" i="3"/>
  <c r="AK25" i="3"/>
  <c r="AJ25" i="3"/>
  <c r="AI25" i="3"/>
  <c r="AI4" i="3" l="1"/>
  <c r="AJ4" i="3"/>
  <c r="AK4" i="3"/>
  <c r="AL4" i="3"/>
  <c r="AI5" i="3"/>
  <c r="AJ5" i="3"/>
  <c r="AK5" i="3"/>
  <c r="AL5" i="3"/>
  <c r="AI6" i="3"/>
  <c r="AJ6" i="3"/>
  <c r="AK6" i="3"/>
  <c r="AL6" i="3"/>
  <c r="AI7" i="3"/>
  <c r="AJ7" i="3"/>
  <c r="AK7" i="3"/>
  <c r="AL7" i="3"/>
  <c r="AI8" i="3"/>
  <c r="AJ8" i="3"/>
  <c r="AK8" i="3"/>
  <c r="AL8" i="3"/>
  <c r="AI9" i="3"/>
  <c r="AJ9" i="3"/>
  <c r="AK9" i="3"/>
  <c r="AL9" i="3"/>
  <c r="AI10" i="3"/>
  <c r="AJ10" i="3"/>
  <c r="AK10" i="3"/>
  <c r="AL10" i="3"/>
  <c r="AI11" i="3"/>
  <c r="AJ11" i="3"/>
  <c r="AK11" i="3"/>
  <c r="AL11" i="3"/>
  <c r="AI12" i="3"/>
  <c r="AJ12" i="3"/>
  <c r="AK12" i="3"/>
  <c r="AL12" i="3"/>
  <c r="AI13" i="3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I19" i="3"/>
  <c r="AJ19" i="3"/>
  <c r="AK19" i="3"/>
  <c r="AL19" i="3"/>
  <c r="AI20" i="3"/>
  <c r="AJ20" i="3"/>
  <c r="AK20" i="3"/>
  <c r="AL20" i="3"/>
  <c r="AI21" i="3"/>
  <c r="AJ21" i="3"/>
  <c r="AK21" i="3"/>
  <c r="AL21" i="3"/>
  <c r="AI22" i="3"/>
  <c r="AJ22" i="3"/>
  <c r="AK22" i="3"/>
  <c r="AL22" i="3"/>
  <c r="AI23" i="3"/>
  <c r="AJ23" i="3"/>
  <c r="AK23" i="3"/>
  <c r="AL23" i="3"/>
  <c r="AI24" i="3"/>
  <c r="AJ24" i="3"/>
  <c r="AK24" i="3"/>
  <c r="AL24" i="3"/>
  <c r="AJ3" i="3"/>
  <c r="AK3" i="3"/>
  <c r="AL3" i="3"/>
  <c r="AI3" i="3"/>
  <c r="W25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3" i="3"/>
  <c r="J18" i="1" l="1"/>
  <c r="H14" i="1"/>
  <c r="J14" i="1" s="1"/>
  <c r="Y44" i="2" l="1"/>
  <c r="Z44" i="2" s="1"/>
  <c r="AA46" i="2" s="1"/>
  <c r="Y41" i="2" l="1"/>
  <c r="Z41" i="2" s="1"/>
  <c r="H44" i="2" l="1"/>
  <c r="H23" i="2"/>
  <c r="I23" i="2" s="1"/>
  <c r="H31" i="2"/>
  <c r="H24" i="2" l="1"/>
  <c r="S22" i="2"/>
  <c r="I24" i="2" l="1"/>
  <c r="K24" i="2" l="1"/>
  <c r="K23" i="2"/>
  <c r="AC41" i="2" l="1"/>
  <c r="AH41" i="2" s="1"/>
  <c r="AJ41" i="2" s="1"/>
  <c r="X44" i="2" l="1"/>
  <c r="Y43" i="2"/>
  <c r="Z43" i="2" s="1"/>
  <c r="Y42" i="2"/>
  <c r="Z42" i="2" s="1"/>
  <c r="X41" i="2"/>
  <c r="X40" i="2"/>
  <c r="X39" i="2"/>
  <c r="Y38" i="2"/>
  <c r="Y37" i="2"/>
  <c r="Z37" i="2" s="1"/>
  <c r="Y36" i="2"/>
  <c r="Z36" i="2" s="1"/>
  <c r="Y35" i="2"/>
  <c r="Z35" i="2" s="1"/>
  <c r="X34" i="2"/>
  <c r="Y33" i="2"/>
  <c r="Z33" i="2" s="1"/>
  <c r="Y32" i="2"/>
  <c r="Z32" i="2" s="1"/>
  <c r="Y31" i="2"/>
  <c r="Z31" i="2" s="1"/>
  <c r="Y30" i="2"/>
  <c r="Z30" i="2" s="1"/>
  <c r="Y29" i="2"/>
  <c r="Z29" i="2" s="1"/>
  <c r="Y28" i="2"/>
  <c r="Z28" i="2" s="1"/>
  <c r="Y27" i="2"/>
  <c r="Z27" i="2" s="1"/>
  <c r="Y26" i="2"/>
  <c r="Z26" i="2" s="1"/>
  <c r="Y25" i="2"/>
  <c r="Z25" i="2" s="1"/>
  <c r="Y24" i="2"/>
  <c r="Z24" i="2" s="1"/>
  <c r="Y23" i="2"/>
  <c r="Z23" i="2" s="1"/>
  <c r="Z38" i="2" l="1"/>
  <c r="AC38" i="2" s="1"/>
  <c r="AH38" i="2" s="1"/>
  <c r="AJ38" i="2" s="1"/>
  <c r="AC24" i="2"/>
  <c r="AH24" i="2" s="1"/>
  <c r="AJ24" i="2" s="1"/>
  <c r="Y39" i="2"/>
  <c r="Y22" i="2"/>
  <c r="Z22" i="2" s="1"/>
  <c r="AC22" i="2" s="1"/>
  <c r="AH22" i="2" s="1" a="1"/>
  <c r="AH22" i="2" s="1"/>
  <c r="X29" i="2"/>
  <c r="X35" i="2"/>
  <c r="X36" i="2"/>
  <c r="X25" i="2"/>
  <c r="Y40" i="2"/>
  <c r="X28" i="2"/>
  <c r="Y34" i="2"/>
  <c r="X24" i="2"/>
  <c r="X23" i="2"/>
  <c r="AC42" i="2"/>
  <c r="AH42" i="2" s="1"/>
  <c r="AJ42" i="2" s="1"/>
  <c r="X27" i="2"/>
  <c r="X31" i="2"/>
  <c r="AC33" i="2"/>
  <c r="AH33" i="2" s="1"/>
  <c r="AJ33" i="2" s="1"/>
  <c r="X26" i="2"/>
  <c r="AC29" i="2"/>
  <c r="AH29" i="2" s="1"/>
  <c r="AJ29" i="2" s="1"/>
  <c r="X30" i="2"/>
  <c r="X37" i="2"/>
  <c r="X42" i="2"/>
  <c r="AC36" i="2"/>
  <c r="AH36" i="2" s="1"/>
  <c r="AJ36" i="2" s="1"/>
  <c r="AC32" i="2"/>
  <c r="AH32" i="2" s="1"/>
  <c r="AJ32" i="2" s="1"/>
  <c r="AC35" i="2"/>
  <c r="AH35" i="2" s="1"/>
  <c r="AJ35" i="2" s="1"/>
  <c r="AC43" i="2"/>
  <c r="AH43" i="2" s="1"/>
  <c r="AJ43" i="2" s="1"/>
  <c r="X32" i="2"/>
  <c r="X33" i="2"/>
  <c r="X38" i="2"/>
  <c r="X43" i="2"/>
  <c r="AC23" i="2"/>
  <c r="AH23" i="2" s="1"/>
  <c r="AC25" i="2"/>
  <c r="AC27" i="2"/>
  <c r="AH27" i="2" s="1"/>
  <c r="AJ27" i="2" s="1"/>
  <c r="AC28" i="2"/>
  <c r="AH28" i="2" s="1"/>
  <c r="AJ28" i="2" s="1"/>
  <c r="AC30" i="2"/>
  <c r="AH30" i="2" s="1"/>
  <c r="AJ30" i="2" s="1"/>
  <c r="H28" i="2"/>
  <c r="S27" i="2"/>
  <c r="S23" i="2"/>
  <c r="S24" i="2"/>
  <c r="AC31" i="2"/>
  <c r="AH31" i="2" s="1"/>
  <c r="AJ31" i="2" s="1"/>
  <c r="S31" i="2"/>
  <c r="S35" i="2"/>
  <c r="S39" i="2"/>
  <c r="S43" i="2"/>
  <c r="S34" i="2"/>
  <c r="S38" i="2"/>
  <c r="S42" i="2"/>
  <c r="S30" i="2"/>
  <c r="S29" i="2"/>
  <c r="S41" i="2"/>
  <c r="S33" i="2"/>
  <c r="AC37" i="2"/>
  <c r="AH37" i="2" s="1"/>
  <c r="AJ37" i="2" s="1"/>
  <c r="S37" i="2"/>
  <c r="AC26" i="2"/>
  <c r="AH26" i="2" s="1"/>
  <c r="AJ26" i="2" s="1"/>
  <c r="S26" i="2"/>
  <c r="S25" i="2"/>
  <c r="S32" i="2"/>
  <c r="S36" i="2"/>
  <c r="S40" i="2"/>
  <c r="S44" i="2"/>
  <c r="Z40" i="2" l="1"/>
  <c r="AC40" i="2" s="1"/>
  <c r="AH40" i="2" s="1"/>
  <c r="AJ40" i="2" s="1"/>
  <c r="Z34" i="2"/>
  <c r="AC34" i="2" s="1"/>
  <c r="AH34" i="2" s="1"/>
  <c r="Z39" i="2"/>
  <c r="AC39" i="2" s="1"/>
  <c r="AH39" i="2" s="1"/>
  <c r="AJ39" i="2" s="1"/>
  <c r="AJ23" i="2"/>
  <c r="AH25" i="2"/>
  <c r="AJ25" i="2" s="1"/>
  <c r="AJ22" i="2"/>
  <c r="S28" i="2"/>
  <c r="AC44" i="2"/>
  <c r="AH44" i="2" s="1"/>
  <c r="AJ44" i="2" s="1"/>
  <c r="H27" i="2"/>
  <c r="H41" i="2"/>
  <c r="H40" i="2"/>
  <c r="H26" i="2"/>
  <c r="H43" i="2"/>
  <c r="H39" i="2"/>
  <c r="H42" i="2"/>
  <c r="H37" i="2"/>
  <c r="H35" i="2"/>
  <c r="H30" i="2"/>
  <c r="H38" i="2"/>
  <c r="H34" i="2"/>
  <c r="H29" i="2"/>
  <c r="H33" i="2"/>
  <c r="H36" i="2"/>
  <c r="H25" i="2"/>
  <c r="H32" i="2"/>
  <c r="AJ34" i="2" l="1"/>
  <c r="AH45" i="2"/>
  <c r="AH46" i="2" s="1"/>
  <c r="AJ49" i="2" s="1"/>
  <c r="AJ47" i="2"/>
  <c r="AJ46" i="2"/>
  <c r="X46" i="2" s="1"/>
  <c r="AJ48" i="2"/>
  <c r="I25" i="2"/>
  <c r="I26" i="2" l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K47" i="2" s="1" a="1"/>
  <c r="K47" i="2" s="1"/>
  <c r="K25" i="2"/>
  <c r="I50" i="2" l="1"/>
  <c r="I51" i="2" s="1"/>
  <c r="K49" i="2" s="1"/>
  <c r="K26" i="2"/>
  <c r="K48" i="2"/>
  <c r="K27" i="2"/>
  <c r="K28" i="2" l="1"/>
  <c r="K29" i="2" l="1"/>
  <c r="K30" i="2" l="1"/>
  <c r="K31" i="2" l="1"/>
  <c r="K32" i="2" l="1"/>
  <c r="K33" i="2" l="1"/>
  <c r="K34" i="2" l="1"/>
  <c r="K35" i="2" l="1"/>
  <c r="K36" i="2" l="1"/>
  <c r="K37" i="2" l="1"/>
  <c r="K38" i="2" l="1"/>
  <c r="K39" i="2" l="1"/>
  <c r="K40" i="2" l="1"/>
  <c r="K41" i="2" l="1"/>
  <c r="K42" i="2" l="1"/>
  <c r="K44" i="2" l="1"/>
  <c r="K43" i="2"/>
  <c r="K46" i="2" l="1"/>
  <c r="I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1" authorId="0" shapeId="0" xr:uid="{DDEA8190-212C-4645-AF96-054A9A2A8B8F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 riporta 0.4 cioè il 40% della biomassa della lattuga ma siccome il 95 % è acqua abbiamo calcolato il 40% del rimanente 5% ossia 0.2
</t>
        </r>
      </text>
    </comment>
    <comment ref="B14" authorId="0" shapeId="0" xr:uid="{9EB2E5C9-366E-4F22-BD5A-F714657E766A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  <comment ref="B17" authorId="0" shapeId="0" xr:uid="{1FC4DC99-95DB-4079-B445-C41F745B5C9E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8" authorId="0" shapeId="0" xr:uid="{13479EEE-AB5C-41C2-AAC6-2135CB014081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letteratura
</t>
        </r>
      </text>
    </comment>
    <comment ref="B10" authorId="0" shapeId="0" xr:uid="{D877610B-7475-49C9-97C8-E6FAEC01BDDC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dati sperimentali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" authorId="0" shapeId="0" xr:uid="{6E1D4754-4F14-46E8-8DD6-A93977E09609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Valori finali
</t>
        </r>
      </text>
    </comment>
    <comment ref="W1" authorId="0" shapeId="0" xr:uid="{18852470-BF05-4E41-80FD-52511A562615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IL RAGIONAMENTO è STATO UNA PROPORZIONE:
9piante : 0.33 m^2 (dimensioni della camera) = X : 1m^2 
X = 27.7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<sst xmlns="http://schemas.openxmlformats.org/spreadsheetml/2006/main" count="274" uniqueCount="160">
  <si>
    <t>DCG</t>
  </si>
  <si>
    <t>daily carbon gain</t>
  </si>
  <si>
    <t>mol C m^-2 d^-1</t>
  </si>
  <si>
    <t>description</t>
  </si>
  <si>
    <t>unit</t>
  </si>
  <si>
    <t>Acronym</t>
  </si>
  <si>
    <t>H</t>
  </si>
  <si>
    <t>photoperiod</t>
  </si>
  <si>
    <t>hours day^-1</t>
  </si>
  <si>
    <t>A</t>
  </si>
  <si>
    <t>fraction PPF absrobed by canopy</t>
  </si>
  <si>
    <t>-</t>
  </si>
  <si>
    <t>PPF</t>
  </si>
  <si>
    <t>photosynthetic photon flux</t>
  </si>
  <si>
    <t>PAR micro-mol m^-1 s^-1</t>
  </si>
  <si>
    <t>CUE24</t>
  </si>
  <si>
    <t>carbon use efficiency</t>
  </si>
  <si>
    <t>value</t>
  </si>
  <si>
    <t>n</t>
  </si>
  <si>
    <t>power parameter for A(t)</t>
  </si>
  <si>
    <t>t</t>
  </si>
  <si>
    <t>days</t>
  </si>
  <si>
    <t>maximum carbon quantum yield</t>
  </si>
  <si>
    <t>maximum carbon use efficiency</t>
  </si>
  <si>
    <t>CGR</t>
  </si>
  <si>
    <t>crop growth rate</t>
  </si>
  <si>
    <t>g m^2 d^-1</t>
  </si>
  <si>
    <t>MWc</t>
  </si>
  <si>
    <t>g mol^-1</t>
  </si>
  <si>
    <t>molecular weigth of carbon</t>
  </si>
  <si>
    <t>BCF</t>
  </si>
  <si>
    <t>biomass carbon fraction</t>
  </si>
  <si>
    <t>crop specific parameter</t>
  </si>
  <si>
    <t>TCB</t>
  </si>
  <si>
    <t>total crop biomass</t>
  </si>
  <si>
    <t>g m-2</t>
  </si>
  <si>
    <t>TEB</t>
  </si>
  <si>
    <t>total edible biomass</t>
  </si>
  <si>
    <t>XFRT</t>
  </si>
  <si>
    <t>fraction of DCG allocated to edible biomass</t>
  </si>
  <si>
    <t>DOP</t>
  </si>
  <si>
    <t>daily oxygen production</t>
  </si>
  <si>
    <t>mol O12 m^-2 d^-1</t>
  </si>
  <si>
    <t>OPF</t>
  </si>
  <si>
    <t>oxygen production fraction</t>
  </si>
  <si>
    <t>DTR</t>
  </si>
  <si>
    <t>daily canopy transpiration rates</t>
  </si>
  <si>
    <t>L m^-2 d^-1</t>
  </si>
  <si>
    <t>pw</t>
  </si>
  <si>
    <t>gc</t>
  </si>
  <si>
    <t>VPD</t>
  </si>
  <si>
    <t>Patm</t>
  </si>
  <si>
    <t>molecular weigth of water</t>
  </si>
  <si>
    <t>g L^-1</t>
  </si>
  <si>
    <t>water specific weigth</t>
  </si>
  <si>
    <t>canopy surface conductance</t>
  </si>
  <si>
    <t>mol m^-2 s^-1</t>
  </si>
  <si>
    <t>kPa</t>
  </si>
  <si>
    <t>vapour pressure deficit</t>
  </si>
  <si>
    <t>total atmospheric pressure</t>
  </si>
  <si>
    <t xml:space="preserve">Tlight </t>
  </si>
  <si>
    <t>°C</t>
  </si>
  <si>
    <t xml:space="preserve">mean air temperature during life cycle </t>
  </si>
  <si>
    <t>RH</t>
  </si>
  <si>
    <t>relative air humidity</t>
  </si>
  <si>
    <t>calculated from canopy stomatal conductance for water transfer gs and bioas production chamber aerodynamic conductance for vapor transfer</t>
  </si>
  <si>
    <t>VPsat</t>
  </si>
  <si>
    <t>Vpair</t>
  </si>
  <si>
    <t>gs</t>
  </si>
  <si>
    <t>canopy stomatal conductance</t>
  </si>
  <si>
    <t>gA</t>
  </si>
  <si>
    <t>biomas production chamber aerodynamic conductance for water vapour transfer</t>
  </si>
  <si>
    <t>Pnet</t>
  </si>
  <si>
    <t>Pgross</t>
  </si>
  <si>
    <t>micromol CO2 m^-2 s^-1</t>
  </si>
  <si>
    <t>gross canopy photosynthesis</t>
  </si>
  <si>
    <t>net canopy photsynthesis</t>
  </si>
  <si>
    <t>tE</t>
  </si>
  <si>
    <t>Tleaf</t>
  </si>
  <si>
    <t>TLight</t>
  </si>
  <si>
    <t>Nominal-green</t>
  </si>
  <si>
    <t>Nominal_green</t>
  </si>
  <si>
    <t>Nominal_red</t>
  </si>
  <si>
    <t>Off_nom_green</t>
  </si>
  <si>
    <t>Off_nom_red</t>
  </si>
  <si>
    <t>E</t>
  </si>
  <si>
    <r>
      <t>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</si>
  <si>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Qy</t>
  </si>
  <si>
    <t>tA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</si>
  <si>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</si>
  <si>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</si>
  <si>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PAR micro-mol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</si>
  <si>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</si>
  <si>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</si>
  <si>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hours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</si>
  <si>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O12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</si>
  <si>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</si>
  <si>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micromol CO2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</si>
  <si>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0.33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</si>
  <si>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FW (g) al m</t>
    </r>
    <r>
      <rPr>
        <vertAlign val="superscript"/>
        <sz val="11"/>
        <color theme="1"/>
        <rFont val="Calibri"/>
        <family val="2"/>
        <scheme val="minor"/>
      </rPr>
      <t>2</t>
    </r>
  </si>
  <si>
    <t>finali</t>
  </si>
  <si>
    <t>ET (g)</t>
  </si>
  <si>
    <r>
      <t>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</si>
  <si>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carbon storage </t>
  </si>
  <si>
    <t xml:space="preserve">mol m-2 s-1 </t>
  </si>
  <si>
    <t xml:space="preserve">DW g m-2 </t>
  </si>
  <si>
    <r>
      <t>DW g m</t>
    </r>
    <r>
      <rPr>
        <vertAlign val="superscript"/>
        <sz val="11"/>
        <color theme="1"/>
        <rFont val="Calibri"/>
        <family val="2"/>
        <scheme val="minor"/>
      </rPr>
      <t xml:space="preserve">-2 </t>
    </r>
  </si>
  <si>
    <t>ET (L)m-2</t>
  </si>
  <si>
    <t>DTR L m-2d-1</t>
  </si>
  <si>
    <t>Pnet umol CO2 m-2 s-1</t>
  </si>
  <si>
    <t xml:space="preserve">gs mol m-2 s-1 </t>
  </si>
  <si>
    <t>TEB g m-2</t>
  </si>
  <si>
    <t>Model predictions</t>
  </si>
  <si>
    <t xml:space="preserve">Real </t>
  </si>
  <si>
    <t xml:space="preserve">model </t>
  </si>
  <si>
    <t>Exp-G-ON</t>
  </si>
  <si>
    <t>Exp R-ON</t>
  </si>
  <si>
    <t>RMSE</t>
  </si>
  <si>
    <t>ERR</t>
  </si>
  <si>
    <t>\</t>
  </si>
  <si>
    <r>
      <t>(g m</t>
    </r>
    <r>
      <rPr>
        <vertAlign val="superscript"/>
        <sz val="11"/>
        <color theme="1"/>
        <rFont val="Calibri"/>
        <family val="2"/>
        <scheme val="minor"/>
      </rPr>
      <t>-2 )^2</t>
    </r>
  </si>
  <si>
    <t>minimum carbon use efficiency</t>
  </si>
  <si>
    <t>minimum carbon quantum yield</t>
  </si>
  <si>
    <t>days after transplanting</t>
  </si>
  <si>
    <t>fraction PPF absrobed by canopy time at canopy closure</t>
  </si>
  <si>
    <t>MWw</t>
  </si>
  <si>
    <t>Obiettivo</t>
  </si>
  <si>
    <t>A_CQY_CUE</t>
  </si>
  <si>
    <t>A_CQY</t>
  </si>
  <si>
    <t>A_CQY_CUE_min</t>
  </si>
  <si>
    <t>A_CQY_CUE_max</t>
  </si>
  <si>
    <t>A_CQY_min</t>
  </si>
  <si>
    <t>A_CQY_max</t>
  </si>
  <si>
    <r>
      <t>P</t>
    </r>
    <r>
      <rPr>
        <vertAlign val="subscript"/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 xml:space="preserve"> =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</si>
  <si>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r>
      <t>P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[</t>
    </r>
    <r>
      <rPr>
        <sz val="12"/>
        <color rgb="FFFF0000"/>
        <rFont val="Times New Roman"/>
        <family val="1"/>
      </rPr>
      <t xml:space="preserve">A </t>
    </r>
    <r>
      <rPr>
        <i/>
        <sz val="12"/>
        <color rgb="FFFF0000"/>
        <rFont val="Times New Roman"/>
        <family val="1"/>
      </rPr>
      <t xml:space="preserve">· </t>
    </r>
    <r>
      <rPr>
        <sz val="12"/>
        <color rgb="FFFF0000"/>
        <rFont val="Times New Roman"/>
        <family val="1"/>
      </rPr>
      <t xml:space="preserve">CQY </t>
    </r>
    <r>
      <rPr>
        <sz val="12"/>
        <color theme="1"/>
        <rFont val="Times New Roman"/>
        <family val="1"/>
      </rPr>
      <t xml:space="preserve">(24-H) / 24 + H · CUE </t>
    </r>
    <r>
      <rPr>
        <i/>
        <sz val="12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/ 24]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</si>
  <si>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t>Corr</t>
  </si>
  <si>
    <t>obiettivo 2</t>
  </si>
  <si>
    <t>BIAS</t>
  </si>
  <si>
    <t>Mod-R-ON</t>
  </si>
  <si>
    <t>Mod-G-ON</t>
  </si>
  <si>
    <t>Mod-R-N</t>
  </si>
  <si>
    <t>Exp-R-N</t>
  </si>
  <si>
    <t>Mod-G-N</t>
  </si>
  <si>
    <t>Exp-G-N</t>
  </si>
  <si>
    <t>N-G</t>
  </si>
  <si>
    <t>N-R</t>
  </si>
  <si>
    <t>ON-G</t>
  </si>
  <si>
    <t>ON-R</t>
  </si>
  <si>
    <t>dev.st</t>
  </si>
  <si>
    <t>RDP</t>
  </si>
  <si>
    <t>e.st</t>
  </si>
  <si>
    <t>TEB observed</t>
  </si>
  <si>
    <t>Chamber dimension</t>
  </si>
  <si>
    <t>biomass (gm^2)</t>
  </si>
  <si>
    <t>gSmeasured</t>
  </si>
  <si>
    <t>PN Measured</t>
  </si>
  <si>
    <t>DTR measured</t>
  </si>
  <si>
    <t>REAL final</t>
  </si>
  <si>
    <t xml:space="preserve">DW per plant </t>
  </si>
  <si>
    <t>FW (g) per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</si>
</sst>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4" fillId="2" borderId="0" xfId="0" applyFont="1" applyFill="1"/>
    <xf numFmtId="0" fontId="0" fillId="2" borderId="0" xfId="0" applyFill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6" fillId="0" borderId="0" xfId="0" applyFont="1"/>
    <xf numFmtId="2" fontId="0" fillId="0" borderId="0" xfId="0" applyNumberFormat="1" applyAlignment="1">
      <alignment horizontal="left"/>
    </xf>
    <xf numFmtId="0" fontId="12" fillId="0" borderId="0" xfId="0" applyFont="1"/>
    <xf numFmtId="0" fontId="11" fillId="0" borderId="0" xfId="0" applyFont="1"/>
    <xf numFmtId="2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TEB Green Nominal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G_N!$I$21</c:f>
              <c:strCache>
                <c:ptCount val="1"/>
                <c:pt idx="0">
                  <c:v>TEB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G_N!$I$22:$I$44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226-BCDC-345437435086}"/>
            </c:ext>
          </c:extLst>
        </c:ser>
        <c:ser>
          <c:idx val="1"/>
          <c:order val="1"/>
          <c:tx>
            <c:strRef>
              <c:f>G_N!$J$21</c:f>
              <c:strCache>
                <c:ptCount val="1"/>
                <c:pt idx="0">
                  <c:v>TEB 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G_N!$J$22:$J$44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6-4226-BCDC-34543743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DTR Green</a:t>
            </a:r>
            <a:r>
              <a:rPr lang="it-IT" baseline="0"/>
              <a:t> Nominal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G_N!$AH$21</c:f>
              <c:strCache>
                <c:ptCount val="1"/>
                <c:pt idx="0">
                  <c:v>DTR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G_N!$AH$22:$AH$44</c:f>
              <c:numCache>
                <c:formatCode>0.00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1-498E-917F-1EF2B21D9150}"/>
            </c:ext>
          </c:extLst>
        </c:ser>
        <c:ser>
          <c:idx val="1"/>
          <c:order val="1"/>
          <c:tx>
            <c:strRef>
              <c:f>G_N!$AI$21</c:f>
              <c:strCache>
                <c:ptCount val="1"/>
                <c:pt idx="0">
                  <c:v>DTR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G_N!$AI$22:$AI$44</c:f>
              <c:numCache>
                <c:formatCode>0.00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1-498E-917F-1EF2B21D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0"/>
          <c:order val="0"/>
          <c:tx>
            <c:strRef>
              <c:f>results!$AB$3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results!$AB$4:$AB$26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FA4-BDF6-0ECF744E941D}"/>
            </c:ext>
          </c:extLst>
        </c:ser>
        <c:ser>
          <c:idx val="2"/>
          <c:order val="2"/>
          <c:tx>
            <c:strRef>
              <c:f>results!$AB$56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results!$AB$57:$AB$79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DF-4FA4-BDF6-0ECF744E941D}"/>
            </c:ext>
          </c:extLst>
        </c:ser>
        <c:ser>
          <c:idx val="4"/>
          <c:order val="4"/>
          <c:tx>
            <c:strRef>
              <c:f>results!$AC$3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results!$AC$4:$AC$26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F-4FA4-BDF6-0ECF744E941D}"/>
            </c:ext>
          </c:extLst>
        </c:ser>
        <c:ser>
          <c:idx val="6"/>
          <c:order val="6"/>
          <c:tx>
            <c:strRef>
              <c:f>results!$AC$56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results!$AC$57:$AC$79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F-4FA4-BDF6-0ECF744E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results!$AB$31:$AB$53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8.5299999999999994</c:v>
                      </c:pt>
                      <c:pt idx="1">
                        <c:v>11.380051200223924</c:v>
                      </c:pt>
                      <c:pt idx="2">
                        <c:v>14.23010240044785</c:v>
                      </c:pt>
                      <c:pt idx="3">
                        <c:v>17.080153600671775</c:v>
                      </c:pt>
                      <c:pt idx="4">
                        <c:v>19.930204800895702</c:v>
                      </c:pt>
                      <c:pt idx="5">
                        <c:v>22.780256001119628</c:v>
                      </c:pt>
                      <c:pt idx="6">
                        <c:v>25.630307201343555</c:v>
                      </c:pt>
                      <c:pt idx="7">
                        <c:v>31.153653967431257</c:v>
                      </c:pt>
                      <c:pt idx="8">
                        <c:v>37.058900100070929</c:v>
                      </c:pt>
                      <c:pt idx="9">
                        <c:v>43.346045599262567</c:v>
                      </c:pt>
                      <c:pt idx="10">
                        <c:v>50.015090465006175</c:v>
                      </c:pt>
                      <c:pt idx="11">
                        <c:v>57.066034697301752</c:v>
                      </c:pt>
                      <c:pt idx="12">
                        <c:v>64.4988782961493</c:v>
                      </c:pt>
                      <c:pt idx="13">
                        <c:v>72.313621261548818</c:v>
                      </c:pt>
                      <c:pt idx="14">
                        <c:v>80.510263593500298</c:v>
                      </c:pt>
                      <c:pt idx="15">
                        <c:v>89.088805292003741</c:v>
                      </c:pt>
                      <c:pt idx="16">
                        <c:v>97.667346990507184</c:v>
                      </c:pt>
                      <c:pt idx="17">
                        <c:v>106.24588868901063</c:v>
                      </c:pt>
                      <c:pt idx="18">
                        <c:v>114.82443038751407</c:v>
                      </c:pt>
                      <c:pt idx="19">
                        <c:v>123.40297208601751</c:v>
                      </c:pt>
                      <c:pt idx="20">
                        <c:v>131.98151378452096</c:v>
                      </c:pt>
                      <c:pt idx="21">
                        <c:v>140.5600554830244</c:v>
                      </c:pt>
                      <c:pt idx="22">
                        <c:v>149.13859718152784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DF-4FA4-BDF6-0ECF744E9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tx1">
                        <a:lumMod val="25000"/>
                        <a:lumOff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results!$AB$83:$AB$105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DF-4FA4-BDF6-0ECF744E94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results!$AC$31:$AC$53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6.719328</c:v>
                      </c:pt>
                      <c:pt idx="1">
                        <c:v>6.9102179999999986</c:v>
                      </c:pt>
                      <c:pt idx="2">
                        <c:v>8.3282579999999999</c:v>
                      </c:pt>
                      <c:pt idx="3">
                        <c:v>11.709737999999998</c:v>
                      </c:pt>
                      <c:pt idx="4">
                        <c:v>12.446027999999998</c:v>
                      </c:pt>
                      <c:pt idx="5">
                        <c:v>13.727717999999999</c:v>
                      </c:pt>
                      <c:pt idx="6">
                        <c:v>19.127178000000001</c:v>
                      </c:pt>
                      <c:pt idx="7">
                        <c:v>20.954267999999999</c:v>
                      </c:pt>
                      <c:pt idx="8">
                        <c:v>36.007308000000002</c:v>
                      </c:pt>
                      <c:pt idx="9">
                        <c:v>42.088518000000001</c:v>
                      </c:pt>
                      <c:pt idx="10">
                        <c:v>46.778958000000003</c:v>
                      </c:pt>
                      <c:pt idx="11">
                        <c:v>60.986627999999996</c:v>
                      </c:pt>
                      <c:pt idx="12">
                        <c:v>71.076527999999996</c:v>
                      </c:pt>
                      <c:pt idx="13">
                        <c:v>85.475088</c:v>
                      </c:pt>
                      <c:pt idx="14">
                        <c:v>90.738198000000011</c:v>
                      </c:pt>
                      <c:pt idx="15">
                        <c:v>98.101098000000007</c:v>
                      </c:pt>
                      <c:pt idx="16">
                        <c:v>100.419048</c:v>
                      </c:pt>
                      <c:pt idx="17">
                        <c:v>108.30007800000001</c:v>
                      </c:pt>
                      <c:pt idx="18">
                        <c:v>118.417248</c:v>
                      </c:pt>
                      <c:pt idx="19">
                        <c:v>127.661778</c:v>
                      </c:pt>
                      <c:pt idx="20">
                        <c:v>128.53441800000002</c:v>
                      </c:pt>
                      <c:pt idx="21">
                        <c:v>128.69803800000003</c:v>
                      </c:pt>
                      <c:pt idx="22">
                        <c:v>139.68522820000001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DF-4FA4-BDF6-0ECF744E94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results!$AC$83:$AC$105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DF-4FA4-BDF6-0ECF744E941D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it-IT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60928195953734"/>
          <c:y val="5.2620967586492429E-2"/>
          <c:w val="0.26005408764370391"/>
          <c:h val="0.2440154071688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9"/>
          <c:order val="0"/>
          <c:tx>
            <c:strRef>
              <c:f>results!$AB$30</c:f>
              <c:strCache>
                <c:ptCount val="1"/>
                <c:pt idx="0">
                  <c:v>Mod-R-N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results!$AB$31:$AB$53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11.380051200223924</c:v>
                </c:pt>
                <c:pt idx="2">
                  <c:v>14.23010240044785</c:v>
                </c:pt>
                <c:pt idx="3">
                  <c:v>17.080153600671775</c:v>
                </c:pt>
                <c:pt idx="4">
                  <c:v>19.930204800895702</c:v>
                </c:pt>
                <c:pt idx="5">
                  <c:v>22.780256001119628</c:v>
                </c:pt>
                <c:pt idx="6">
                  <c:v>25.630307201343555</c:v>
                </c:pt>
                <c:pt idx="7">
                  <c:v>31.153653967431257</c:v>
                </c:pt>
                <c:pt idx="8">
                  <c:v>37.058900100070929</c:v>
                </c:pt>
                <c:pt idx="9">
                  <c:v>43.346045599262567</c:v>
                </c:pt>
                <c:pt idx="10">
                  <c:v>50.015090465006175</c:v>
                </c:pt>
                <c:pt idx="11">
                  <c:v>57.066034697301752</c:v>
                </c:pt>
                <c:pt idx="12">
                  <c:v>64.4988782961493</c:v>
                </c:pt>
                <c:pt idx="13">
                  <c:v>72.313621261548818</c:v>
                </c:pt>
                <c:pt idx="14">
                  <c:v>80.510263593500298</c:v>
                </c:pt>
                <c:pt idx="15">
                  <c:v>89.088805292003741</c:v>
                </c:pt>
                <c:pt idx="16">
                  <c:v>97.667346990507184</c:v>
                </c:pt>
                <c:pt idx="17">
                  <c:v>106.24588868901063</c:v>
                </c:pt>
                <c:pt idx="18">
                  <c:v>114.82443038751407</c:v>
                </c:pt>
                <c:pt idx="19">
                  <c:v>123.40297208601751</c:v>
                </c:pt>
                <c:pt idx="20">
                  <c:v>131.98151378452096</c:v>
                </c:pt>
                <c:pt idx="21">
                  <c:v>140.5600554830244</c:v>
                </c:pt>
                <c:pt idx="22">
                  <c:v>149.13859718152784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0B-4DFD-B22D-C40A6DD67345}"/>
            </c:ext>
          </c:extLst>
        </c:ser>
        <c:ser>
          <c:idx val="11"/>
          <c:order val="1"/>
          <c:tx>
            <c:strRef>
              <c:f>results!$AB$82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results!$AB$83:$AB$105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0B-4DFD-B22D-C40A6DD67345}"/>
            </c:ext>
          </c:extLst>
        </c:ser>
        <c:ser>
          <c:idx val="13"/>
          <c:order val="2"/>
          <c:tx>
            <c:strRef>
              <c:f>results!$AC$30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results!$AC$31:$AC$53</c:f>
              <c:numCache>
                <c:formatCode>0.00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0B-4DFD-B22D-C40A6DD67345}"/>
            </c:ext>
          </c:extLst>
        </c:ser>
        <c:ser>
          <c:idx val="15"/>
          <c:order val="3"/>
          <c:tx>
            <c:strRef>
              <c:f>results!$AC$82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results!$AC$83:$AC$105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0B-4DFD-B22D-C40A6DD6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5822484717857738"/>
          <c:y val="3.2136974727109302E-2"/>
          <c:w val="0.24096201066394188"/>
          <c:h val="0.26436835359105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223880511672"/>
          <c:y val="6.444236271109198E-2"/>
          <c:w val="0.73492281996219"/>
          <c:h val="0.73812593361521128"/>
        </c:manualLayout>
      </c:layout>
      <c:lineChart>
        <c:grouping val="standard"/>
        <c:varyColors val="0"/>
        <c:ser>
          <c:idx val="0"/>
          <c:order val="0"/>
          <c:tx>
            <c:strRef>
              <c:f>results!$AW$3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results!$AW$4:$AW$26</c:f>
              <c:numCache>
                <c:formatCode>General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58C-4A6B-BDE5-EF9230917114}"/>
            </c:ext>
          </c:extLst>
        </c:ser>
        <c:ser>
          <c:idx val="4"/>
          <c:order val="4"/>
          <c:tx>
            <c:strRef>
              <c:f>results!$AX$3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results!$AX$4:$AX$26</c:f>
              <c:numCache>
                <c:formatCode>General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58C-4A6B-BDE5-EF923091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results!$AW$30</c15:sqref>
                        </c15:formulaRef>
                      </c:ext>
                    </c:extLst>
                    <c:strCache>
                      <c:ptCount val="1"/>
                      <c:pt idx="0">
                        <c:v>Mod-R-N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8C-4A6B-BDE5-EF92309171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results!$AW$57</c15:sqref>
                        </c15:formulaRef>
                      </c:ext>
                    </c:extLst>
                    <c:strCache>
                      <c:ptCount val="1"/>
                      <c:pt idx="0">
                        <c:v>Mod-G-ON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8C-4A6B-BDE5-EF92309171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results!$AW$84</c15:sqref>
                        </c15:formulaRef>
                      </c:ext>
                    </c:extLst>
                    <c:strCache>
                      <c:ptCount val="1"/>
                      <c:pt idx="0">
                        <c:v>Mod-R-ON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8C-4A6B-BDE5-EF923091711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results!$AX$30</c15:sqref>
                        </c15:formulaRef>
                      </c:ext>
                    </c:extLst>
                    <c:strCache>
                      <c:ptCount val="1"/>
                      <c:pt idx="0">
                        <c:v>Exp-R-N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58C-4A6B-BDE5-EF92309171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results!$AX$57</c15:sqref>
                        </c15:formulaRef>
                      </c:ext>
                    </c:extLst>
                    <c:strCache>
                      <c:ptCount val="1"/>
                      <c:pt idx="0">
                        <c:v>Exp-G-ON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8C-4A6B-BDE5-EF92309171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results!$AX$84</c15:sqref>
                        </c15:formulaRef>
                      </c:ext>
                    </c:extLst>
                    <c:strCache>
                      <c:ptCount val="1"/>
                      <c:pt idx="0">
                        <c:v>Exp R-ON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58C-4A6B-BDE5-EF9230917114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3207328968937"/>
          <c:y val="0.10731481481481482"/>
          <c:w val="0.59983186009794753"/>
          <c:h val="0.72526419728080616"/>
        </c:manualLayout>
      </c:layout>
      <c:lineChart>
        <c:grouping val="standard"/>
        <c:varyColors val="0"/>
        <c:ser>
          <c:idx val="2"/>
          <c:order val="2"/>
          <c:tx>
            <c:strRef>
              <c:f>results!$AW$57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results!$AW$58:$AW$80</c:f>
              <c:numCache>
                <c:formatCode>0.00</c:formatCode>
                <c:ptCount val="23"/>
                <c:pt idx="0">
                  <c:v>0.72607453016318335</c:v>
                </c:pt>
                <c:pt idx="1">
                  <c:v>0.83128737388450591</c:v>
                </c:pt>
                <c:pt idx="2">
                  <c:v>0.63043827238055505</c:v>
                </c:pt>
                <c:pt idx="3">
                  <c:v>0.60065134064821901</c:v>
                </c:pt>
                <c:pt idx="4">
                  <c:v>1.3870191027678538</c:v>
                </c:pt>
                <c:pt idx="5">
                  <c:v>1.0669376574750262</c:v>
                </c:pt>
                <c:pt idx="6">
                  <c:v>1.1102460279776243</c:v>
                </c:pt>
                <c:pt idx="7">
                  <c:v>1.1652266951639172</c:v>
                </c:pt>
                <c:pt idx="8">
                  <c:v>1.1693480104719869</c:v>
                </c:pt>
                <c:pt idx="9">
                  <c:v>1.1868953535753768</c:v>
                </c:pt>
                <c:pt idx="10">
                  <c:v>1.2044224991577914</c:v>
                </c:pt>
                <c:pt idx="11">
                  <c:v>1.2455499759497981</c:v>
                </c:pt>
                <c:pt idx="12">
                  <c:v>1.2994181820541033</c:v>
                </c:pt>
                <c:pt idx="13">
                  <c:v>1.2583468468484742</c:v>
                </c:pt>
                <c:pt idx="14">
                  <c:v>1.3933686416144726</c:v>
                </c:pt>
                <c:pt idx="15">
                  <c:v>1.369170830277713</c:v>
                </c:pt>
                <c:pt idx="16">
                  <c:v>1.3812555018050128</c:v>
                </c:pt>
                <c:pt idx="17">
                  <c:v>1.3753769010808077</c:v>
                </c:pt>
                <c:pt idx="18">
                  <c:v>1.4725012263402248</c:v>
                </c:pt>
                <c:pt idx="19">
                  <c:v>1.4806166196357229</c:v>
                </c:pt>
                <c:pt idx="20">
                  <c:v>1.4751655600913396</c:v>
                </c:pt>
                <c:pt idx="21">
                  <c:v>1.4574399196513226</c:v>
                </c:pt>
                <c:pt idx="22">
                  <c:v>1.4574399196513226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8C1-4A9F-8AED-B425291B834B}"/>
            </c:ext>
          </c:extLst>
        </c:ser>
        <c:ser>
          <c:idx val="6"/>
          <c:order val="6"/>
          <c:tx>
            <c:strRef>
              <c:f>results!$AX$57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results!$AX$58:$AX$80</c:f>
              <c:numCache>
                <c:formatCode>0.00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8C1-4A9F-8AED-B425291B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C1-4A9F-8AED-B425291B83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A9F-8AED-B425291B83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A9F-8AED-B425291B8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A9F-8AED-B425291B83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A9F-8AED-B425291B834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A9F-8AED-B425291B834B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716484030964"/>
          <c:y val="0.10731481481481482"/>
          <c:w val="0.6257867472622668"/>
          <c:h val="0.78528579760863226"/>
        </c:manualLayout>
      </c:layout>
      <c:lineChart>
        <c:grouping val="standard"/>
        <c:varyColors val="0"/>
        <c:ser>
          <c:idx val="1"/>
          <c:order val="1"/>
          <c:tx>
            <c:strRef>
              <c:f>results!$AW$30</c:f>
              <c:strCache>
                <c:ptCount val="1"/>
                <c:pt idx="0">
                  <c:v>Mod-R-N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results!$AW$31:$AW$53</c:f>
              <c:numCache>
                <c:formatCode>General</c:formatCode>
                <c:ptCount val="23"/>
                <c:pt idx="0">
                  <c:v>0.43141383160868613</c:v>
                </c:pt>
                <c:pt idx="1">
                  <c:v>0.39248723122666718</c:v>
                </c:pt>
                <c:pt idx="2">
                  <c:v>0.40488135084639049</c:v>
                </c:pt>
                <c:pt idx="3">
                  <c:v>0.39480694495074437</c:v>
                </c:pt>
                <c:pt idx="4">
                  <c:v>0.41188073996375024</c:v>
                </c:pt>
                <c:pt idx="5">
                  <c:v>0.40591332278203657</c:v>
                </c:pt>
                <c:pt idx="6">
                  <c:v>0.41717239430100206</c:v>
                </c:pt>
                <c:pt idx="7">
                  <c:v>0.53796089512459422</c:v>
                </c:pt>
                <c:pt idx="8">
                  <c:v>0.57052023168292787</c:v>
                </c:pt>
                <c:pt idx="9">
                  <c:v>0.58023895565799688</c:v>
                </c:pt>
                <c:pt idx="10">
                  <c:v>0.55504934724538901</c:v>
                </c:pt>
                <c:pt idx="11">
                  <c:v>0.63703066922909446</c:v>
                </c:pt>
                <c:pt idx="12">
                  <c:v>0.64737619774265398</c:v>
                </c:pt>
                <c:pt idx="13">
                  <c:v>0.65213524891344599</c:v>
                </c:pt>
                <c:pt idx="14">
                  <c:v>0.65917776554806196</c:v>
                </c:pt>
                <c:pt idx="15">
                  <c:v>0.67366184803288187</c:v>
                </c:pt>
                <c:pt idx="16">
                  <c:v>0.66867147391511239</c:v>
                </c:pt>
                <c:pt idx="17">
                  <c:v>0.65966819246850927</c:v>
                </c:pt>
                <c:pt idx="18">
                  <c:v>0.66022279713586796</c:v>
                </c:pt>
                <c:pt idx="19">
                  <c:v>0.7085573179908381</c:v>
                </c:pt>
                <c:pt idx="20">
                  <c:v>0.67795969911892384</c:v>
                </c:pt>
                <c:pt idx="21">
                  <c:v>0.67795969911892384</c:v>
                </c:pt>
                <c:pt idx="22">
                  <c:v>0.67795969911892384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92B-4978-A5B7-57374E8EC163}"/>
            </c:ext>
          </c:extLst>
        </c:ser>
        <c:ser>
          <c:idx val="5"/>
          <c:order val="5"/>
          <c:tx>
            <c:strRef>
              <c:f>results!$AX$30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results!$AX$31:$AX$53</c:f>
              <c:numCache>
                <c:formatCode>General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92B-4978-A5B7-57374E8E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2B-4978-A5B7-57374E8EC1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2B-4978-A5B7-57374E8EC1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2B-4978-A5B7-57374E8EC1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2B-4978-A5B7-57374E8EC1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2B-4978-A5B7-57374E8EC1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92B-4978-A5B7-57374E8EC163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2962598003223873"/>
          <c:w val="0.19327018030792129"/>
          <c:h val="0.19459131917192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16944960582288"/>
          <c:y val="0.10731481481481482"/>
          <c:w val="0.56729446249675353"/>
          <c:h val="0.78528579760863226"/>
        </c:manualLayout>
      </c:layout>
      <c:lineChart>
        <c:grouping val="standard"/>
        <c:varyColors val="0"/>
        <c:ser>
          <c:idx val="3"/>
          <c:order val="3"/>
          <c:tx>
            <c:strRef>
              <c:f>results!$AW$84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results!$AW$85:$AW$107</c:f>
              <c:numCache>
                <c:formatCode>General</c:formatCode>
                <c:ptCount val="23"/>
                <c:pt idx="0">
                  <c:v>1.2218048412886255</c:v>
                </c:pt>
                <c:pt idx="1">
                  <c:v>0.94050398722302964</c:v>
                </c:pt>
                <c:pt idx="2">
                  <c:v>0.48793915228958334</c:v>
                </c:pt>
                <c:pt idx="3">
                  <c:v>0.45849498862512017</c:v>
                </c:pt>
                <c:pt idx="4">
                  <c:v>0.6487582844256462</c:v>
                </c:pt>
                <c:pt idx="5">
                  <c:v>0.77470409284185793</c:v>
                </c:pt>
                <c:pt idx="6">
                  <c:v>0.79327150720736783</c:v>
                </c:pt>
                <c:pt idx="7">
                  <c:v>1.0552812840015031</c:v>
                </c:pt>
                <c:pt idx="8">
                  <c:v>1.1773916955291215</c:v>
                </c:pt>
                <c:pt idx="9">
                  <c:v>1.2350006757949841</c:v>
                </c:pt>
                <c:pt idx="10">
                  <c:v>1.2259553915283561</c:v>
                </c:pt>
                <c:pt idx="11">
                  <c:v>1.2260394558136747</c:v>
                </c:pt>
                <c:pt idx="12">
                  <c:v>1.3055665557254403</c:v>
                </c:pt>
                <c:pt idx="13">
                  <c:v>1.3631036890694808</c:v>
                </c:pt>
                <c:pt idx="14">
                  <c:v>1.4527511213548452</c:v>
                </c:pt>
                <c:pt idx="15">
                  <c:v>1.5281377282825195</c:v>
                </c:pt>
                <c:pt idx="16">
                  <c:v>1.5411548079504154</c:v>
                </c:pt>
                <c:pt idx="17">
                  <c:v>1.5348229762123375</c:v>
                </c:pt>
                <c:pt idx="18">
                  <c:v>1.4625573467022721</c:v>
                </c:pt>
                <c:pt idx="19">
                  <c:v>1.5596915196863512</c:v>
                </c:pt>
                <c:pt idx="20">
                  <c:v>1.6422118985996279</c:v>
                </c:pt>
                <c:pt idx="21">
                  <c:v>1.5472439226275192</c:v>
                </c:pt>
                <c:pt idx="22">
                  <c:v>1.5472439226275192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2-4501-8AC2-D72125DF192C}"/>
            </c:ext>
          </c:extLst>
        </c:ser>
        <c:ser>
          <c:idx val="7"/>
          <c:order val="7"/>
          <c:tx>
            <c:strRef>
              <c:f>results!$AX$84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results!$AX$85:$AX$107</c:f>
              <c:numCache>
                <c:formatCode>General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0C2-4501-8AC2-D72125D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C2-4501-8AC2-D72125DF192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0C2-4501-8AC2-D72125DF19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2-4501-8AC2-D72125DF192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2-4501-8AC2-D72125DF1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C2-4501-8AC2-D72125DF1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2-4501-8AC2-D72125DF192C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91581762143"/>
          <c:y val="0.42916440911124054"/>
          <c:w val="0.19327018030792129"/>
          <c:h val="0.19887856461672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451027</xdr:colOff>
      <xdr:row>2</xdr:row>
      <xdr:rowOff>55172</xdr:rowOff>
    </xdr:from>
    <xdr:to>
      <xdr:col>18</xdr:col>
      <xdr:colOff>42826</xdr:colOff>
      <xdr:row>24</xdr:row>
      <xdr:rowOff>30094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031EA0-FAE9-428B-87F7-C94E1166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237066</xdr:colOff>
      <xdr:row>7</xdr:row>
      <xdr:rowOff>177801</xdr:rowOff>
    </xdr:from>
    <xdr:to>
      <xdr:col>42</xdr:col>
      <xdr:colOff>448625</xdr:colOff>
      <xdr:row>27</xdr:row>
      <xdr:rowOff>166269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AF2241-325E-43AD-8916-8161E84C5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121596</xdr:colOff>
      <xdr:row>6</xdr:row>
      <xdr:rowOff>105384</xdr:rowOff>
    </xdr:from>
    <xdr:to>
      <xdr:col>36</xdr:col>
      <xdr:colOff>368030</xdr:colOff>
      <xdr:row>20</xdr:row>
      <xdr:rowOff>89171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99B6D2-0850-4522-80A1-BE77273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380999</xdr:colOff>
      <xdr:row>6</xdr:row>
      <xdr:rowOff>105385</xdr:rowOff>
    </xdr:from>
    <xdr:to>
      <xdr:col>43</xdr:col>
      <xdr:colOff>32425</xdr:colOff>
      <xdr:row>20</xdr:row>
      <xdr:rowOff>97277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799891-F613-44E0-8369-8CB909A38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95250</xdr:colOff>
      <xdr:row>1</xdr:row>
      <xdr:rowOff>180975</xdr:rowOff>
    </xdr:from>
    <xdr:to>
      <xdr:col>59</xdr:col>
      <xdr:colOff>200025</xdr:colOff>
      <xdr:row>17</xdr:row>
      <xdr:rowOff>95250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0A4E6FF-0B0F-435D-B075-C4556D474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19</xdr:row>
      <xdr:rowOff>0</xdr:rowOff>
    </xdr:from>
    <xdr:to>
      <xdr:col>60</xdr:col>
      <xdr:colOff>95250</xdr:colOff>
      <xdr:row>34</xdr:row>
      <xdr:rowOff>104775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48B58C-BDB3-43CF-9ABD-63625C40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352425</xdr:colOff>
      <xdr:row>1</xdr:row>
      <xdr:rowOff>133350</xdr:rowOff>
    </xdr:from>
    <xdr:to>
      <xdr:col>68</xdr:col>
      <xdr:colOff>447675</xdr:colOff>
      <xdr:row>17</xdr:row>
      <xdr:rowOff>47625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73D578C-03F7-4D69-9215-5503727A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60</xdr:col>
      <xdr:colOff>335492</xdr:colOff>
      <xdr:row>18</xdr:row>
      <xdr:rowOff>143934</xdr:rowOff>
    </xdr:from>
    <xdr:to>
      <xdr:col>68</xdr:col>
      <xdr:colOff>430742</xdr:colOff>
      <xdr:row>34</xdr:row>
      <xdr:rowOff>58209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B96CB78-811D-4D91-9232-D175AFE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onal\Documents\GitHub\Modified-Energy-Cascade\Amitrano\MEC_G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onal\Documents\GitHub\Modified-Energy-Cascade\Amitrano\MEC_R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G_ON!R15C33:R37C34" advise="1">
            <x14:values rows="23" cols="2">
              <value>
                <val>0.72607453016318335</val>
              </value>
              <value>
                <val>0.65344192000000001</val>
              </value>
              <value>
                <val>0.83128737388450591</val>
              </value>
              <value>
                <val>0.64036455686883453</val>
              </value>
              <value>
                <val>0.63043827238055505</val>
              </value>
              <value>
                <val>0.7932894879379141</val>
              </value>
              <value>
                <val>0.60065134064821901</val>
              </value>
              <value>
                <val>0.82293179955777551</val>
              </value>
              <value>
                <val>1.3870191027678538</val>
              </value>
              <value>
                <val>0.92074311955178001</val>
              </value>
              <value>
                <val>1.0669376574750262</val>
              </value>
              <value>
                <val>0.90838052650279877</val>
              </value>
              <value>
                <val>1.1102460279776243</val>
              </value>
              <value>
                <val>1.0929272816425069</val>
              </value>
              <value>
                <val>1.1652266951639172</val>
              </value>
              <value>
                <val>1.2695042034321</val>
              </value>
              <value>
                <val>1.1693480104719869</val>
              </value>
              <value>
                <val>1.4691599777452999</val>
              </value>
              <value>
                <val>1.1868953535753768</val>
              </value>
              <value>
                <val>1.7144410320459029</val>
              </value>
              <value>
                <val>1.2044224991577914</val>
              </value>
              <value>
                <val>1.5740064605333901</val>
              </value>
              <value>
                <val>1.2455499759497981</val>
              </value>
              <value>
                <val>1.3759656046377</val>
              </value>
              <value>
                <val>1.2994181820541033</val>
              </value>
              <value>
                <val>1.291948830207698</val>
              </value>
              <value>
                <val>1.2583468468484742</val>
              </value>
              <value>
                <val>1.2500835476657397</val>
              </value>
              <value>
                <val>1.3933686416144726</val>
              </value>
              <value>
                <val>1.2043904056925545</val>
              </value>
              <value>
                <val>1.369170830277713</val>
              </value>
              <value>
                <val>1.3265052754811999</val>
              </value>
              <value>
                <val>1.3812555018050128</val>
              </value>
              <value>
                <val>1.4232386317999555</val>
              </value>
              <value>
                <val>1.3753769010808077</val>
              </value>
              <value>
                <val>1.3644806895192365</val>
              </value>
              <value>
                <val>1.4725012263402248</val>
              </value>
              <value>
                <val>1.299018990205173</val>
              </value>
              <value>
                <val>1.4806166196357229</val>
              </value>
              <value>
                <val>1.2704185386145077</val>
              </value>
              <value>
                <val>1.4751655600913396</val>
              </value>
              <value>
                <val>1.3280400486145076</val>
              </value>
              <value>
                <val>1.4574399196513226</val>
              </value>
              <value>
                <val>1.4857214607145075</val>
              </value>
              <value>
                <val>1.4574399196513226</val>
              </value>
              <value>
                <val>1.5454169579999983</val>
              </value>
            </x14:values>
          </x14:oleItem>
        </mc:Choice>
        <mc:Fallback>
          <oleItem name="!G_ON!R15C33:R37C34" advise="1"/>
        </mc:Fallback>
      </mc:AlternateContent>
      <mc:AlternateContent xmlns:mc="http://schemas.openxmlformats.org/markup-compatibility/2006">
        <mc:Choice Requires="x14">
          <x14:oleItem name="!G_ON!R15C9:R37C10" advise="1"/>
        </mc:Choice>
        <mc:Fallback>
          <oleItem name="!G_ON!R15C9:R37C10" advise="1"/>
        </mc:Fallback>
      </mc:AlternateContent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R_ON!R15C33:R37C34" advise="1">
            <x14:values rows="23" cols="2">
              <value>
                <val>1.2218048412886255</val>
              </value>
              <value>
                <val>0.31577690000000003</val>
              </value>
              <value>
                <val>0.94050398722302964</val>
              </value>
              <value>
                <val>0.49362790587290745</val>
              </value>
              <value>
                <val>0.48793915228958334</val>
              </value>
              <value>
                <val>0.69544475851361764</val>
              </value>
              <value>
                <val>0.45849498862512017</val>
              </value>
              <value>
                <val>0.76878177546753668</val>
              </value>
              <value>
                <val>0.6487582844256462</val>
              </value>
              <value>
                <val>0.84130312210263603</val>
              </value>
              <value>
                <val>0.77470409284185793</val>
              </value>
              <value>
                <val>0.97184580942573306</val>
              </value>
              <value>
                <val>0.79327150720736783</val>
              </value>
              <value>
                <val>1.1595370769845901</val>
              </value>
              <value>
                <val>1.0552812840015031</val>
              </value>
              <value>
                <val>1.5082482584810299</val>
              </value>
              <value>
                <val>1.1773916955291215</val>
              </value>
              <value>
                <val>1.6653343635424043</val>
              </value>
              <value>
                <val>1.2350006757949841</val>
              </value>
              <value>
                <val>1.6723510231292051</val>
              </value>
              <value>
                <val>1.2259553915283561</val>
              </value>
              <value>
                <val>1.5083403505815001</val>
              </value>
              <value>
                <val>1.2260394558136747</val>
              </value>
              <value>
                <val>1.41935626156299</val>
              </value>
              <value>
                <val>1.3055665557254403</val>
              </value>
              <value>
                <val>1.5100973900529258</val>
              </value>
              <value>
                <val>1.3631036890694808</val>
              </value>
              <value>
                <val>1.5468966301787399</val>
              </value>
              <value>
                <val>1.4527511213548452</val>
              </value>
              <value>
                <val>1.5959712685287999</val>
              </value>
              <value>
                <val>1.5281377282825195</val>
              </value>
              <value>
                <val>1.24385141954851</val>
              </value>
              <value>
                <val>1.5411548079504154</val>
              </value>
              <value>
                <val>1.1175107133754203</val>
              </value>
              <value>
                <val>1.5348229762123375</val>
              </value>
              <value>
                <val>1.154914476806955</val>
              </value>
              <value>
                <val>1.4625573467022721</val>
              </value>
              <value>
                <val>1.1550103669217944</val>
              </value>
              <value>
                <val>1.5596915196863512</val>
              </value>
              <value>
                <val>1.2684311018440522</val>
              </value>
              <value>
                <val>1.6422118985996279</val>
              </value>
              <value>
                <val>1.5540155708440513</val>
              </value>
              <value>
                <val>1.5472439226275192</val>
              </value>
              <value>
                <val>1.7114006965583386</val>
              </value>
              <value>
                <val>1.5472439226275192</val>
              </value>
              <value>
                <val>1.6958979257142863</val>
              </value>
            </x14:values>
          </x14:oleItem>
        </mc:Choice>
        <mc:Fallback>
          <oleItem name="!R_ON!R15C33:R37C34" advise="1"/>
        </mc:Fallback>
      </mc:AlternateContent>
      <mc:AlternateContent xmlns:mc="http://schemas.openxmlformats.org/markup-compatibility/2006">
        <mc:Choice Requires="x14">
          <x14:oleItem name="!R_ON!R15C9:R37C10" advise="1"/>
        </mc:Choice>
        <mc:Fallback>
          <oleItem name="!R_ON!R15C9:R37C10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A1C-8496-4450-8550-DEC59580F885}">
  <sheetPr codeName="Foglio1"/>
  <dimension ref="A1:J31"/>
  <sheetViews>
    <sheetView workbookViewId="0">
      <selection activeCell="B10" sqref="B10"/>
    </sheetView>
  </sheetViews>
  <sheetFormatPr defaultRowHeight="14.5" x14ac:dyDescent="0.35"/>
  <cols>
    <col min="1" max="1" width="24.453125" bestFit="1" customWidth="1"/>
    <col min="2" max="2" width="8" bestFit="1" customWidth="1"/>
    <col min="3" max="3" width="22.7265625" bestFit="1" customWidth="1"/>
    <col min="4" max="4" width="29.453125" bestFit="1" customWidth="1"/>
    <col min="7" max="7" width="17" customWidth="1"/>
    <col min="8" max="8" width="14.54296875" bestFit="1" customWidth="1"/>
    <col min="9" max="9" width="16" bestFit="1" customWidth="1"/>
  </cols>
  <sheetData>
    <row r="1" spans="1:10" x14ac:dyDescent="0.35">
      <c r="A1" s="1" t="s">
        <v>5</v>
      </c>
      <c r="B1" s="1" t="s">
        <v>17</v>
      </c>
      <c r="C1" s="1" t="s">
        <v>4</v>
      </c>
      <c r="D1" s="1" t="s">
        <v>3</v>
      </c>
    </row>
    <row r="2" spans="1:10" x14ac:dyDescent="0.35">
      <c r="A2" t="s">
        <v>0</v>
      </c>
      <c r="C2" t="s">
        <v>2</v>
      </c>
      <c r="D2" t="s">
        <v>1</v>
      </c>
    </row>
    <row r="3" spans="1:10" x14ac:dyDescent="0.35">
      <c r="A3" t="s">
        <v>6</v>
      </c>
      <c r="C3" t="s">
        <v>8</v>
      </c>
      <c r="D3" t="s">
        <v>7</v>
      </c>
    </row>
    <row r="4" spans="1:10" x14ac:dyDescent="0.35">
      <c r="A4" t="s">
        <v>12</v>
      </c>
      <c r="C4" t="s">
        <v>14</v>
      </c>
      <c r="D4" t="s">
        <v>13</v>
      </c>
    </row>
    <row r="5" spans="1:10" ht="13.5" customHeight="1" x14ac:dyDescent="0.35">
      <c r="A5" t="s">
        <v>15</v>
      </c>
      <c r="D5" t="s">
        <v>16</v>
      </c>
    </row>
    <row r="6" spans="1:10" x14ac:dyDescent="0.35">
      <c r="A6" t="s">
        <v>9</v>
      </c>
      <c r="C6" t="s">
        <v>11</v>
      </c>
      <c r="D6" t="s">
        <v>10</v>
      </c>
    </row>
    <row r="7" spans="1:10" x14ac:dyDescent="0.35">
      <c r="C7" t="s">
        <v>11</v>
      </c>
      <c r="D7" t="s">
        <v>19</v>
      </c>
    </row>
    <row r="8" spans="1:10" x14ac:dyDescent="0.35">
      <c r="A8" t="s">
        <v>20</v>
      </c>
      <c r="C8" t="s">
        <v>21</v>
      </c>
      <c r="D8" t="s">
        <v>123</v>
      </c>
    </row>
    <row r="9" spans="1:10" x14ac:dyDescent="0.35">
      <c r="A9" t="s">
        <v>24</v>
      </c>
      <c r="C9" t="s">
        <v>26</v>
      </c>
      <c r="D9" t="s">
        <v>25</v>
      </c>
    </row>
    <row r="10" spans="1:10" x14ac:dyDescent="0.35">
      <c r="A10" t="s">
        <v>27</v>
      </c>
      <c r="B10">
        <v>12</v>
      </c>
      <c r="C10" t="s">
        <v>28</v>
      </c>
      <c r="D10" t="s">
        <v>29</v>
      </c>
    </row>
    <row r="11" spans="1:10" x14ac:dyDescent="0.35">
      <c r="A11" t="s">
        <v>30</v>
      </c>
      <c r="B11">
        <v>0.4</v>
      </c>
      <c r="C11" t="s">
        <v>11</v>
      </c>
      <c r="D11" t="s">
        <v>31</v>
      </c>
      <c r="E11" t="s">
        <v>32</v>
      </c>
    </row>
    <row r="12" spans="1:10" x14ac:dyDescent="0.35">
      <c r="A12" t="s">
        <v>33</v>
      </c>
      <c r="C12" t="s">
        <v>35</v>
      </c>
      <c r="D12" t="s">
        <v>34</v>
      </c>
    </row>
    <row r="13" spans="1:10" x14ac:dyDescent="0.35">
      <c r="A13" t="s">
        <v>36</v>
      </c>
      <c r="C13" t="s">
        <v>35</v>
      </c>
      <c r="D13" t="s">
        <v>37</v>
      </c>
      <c r="H13" t="s">
        <v>103</v>
      </c>
      <c r="I13" t="s">
        <v>153</v>
      </c>
    </row>
    <row r="14" spans="1:10" x14ac:dyDescent="0.35">
      <c r="A14" t="s">
        <v>38</v>
      </c>
      <c r="B14">
        <v>0.95</v>
      </c>
      <c r="C14" t="s">
        <v>11</v>
      </c>
      <c r="D14" t="s">
        <v>39</v>
      </c>
      <c r="H14">
        <f>347</f>
        <v>347</v>
      </c>
      <c r="I14">
        <v>789</v>
      </c>
      <c r="J14">
        <f>H14/I14</f>
        <v>0.43979721166032953</v>
      </c>
    </row>
    <row r="15" spans="1:10" x14ac:dyDescent="0.35">
      <c r="A15" t="s">
        <v>40</v>
      </c>
      <c r="C15" t="s">
        <v>42</v>
      </c>
      <c r="D15" t="s">
        <v>41</v>
      </c>
      <c r="H15">
        <v>238</v>
      </c>
      <c r="I15">
        <v>563</v>
      </c>
    </row>
    <row r="16" spans="1:10" x14ac:dyDescent="0.35">
      <c r="A16" t="s">
        <v>43</v>
      </c>
      <c r="D16" t="s">
        <v>44</v>
      </c>
      <c r="H16">
        <v>172</v>
      </c>
      <c r="I16">
        <v>438</v>
      </c>
    </row>
    <row r="17" spans="1:10" x14ac:dyDescent="0.35">
      <c r="A17" t="s">
        <v>45</v>
      </c>
      <c r="B17">
        <v>1.08</v>
      </c>
      <c r="C17" t="s">
        <v>47</v>
      </c>
      <c r="D17" t="s">
        <v>46</v>
      </c>
    </row>
    <row r="18" spans="1:10" x14ac:dyDescent="0.35">
      <c r="A18" t="s">
        <v>125</v>
      </c>
      <c r="B18">
        <v>18</v>
      </c>
      <c r="C18" t="s">
        <v>28</v>
      </c>
      <c r="D18" t="s">
        <v>52</v>
      </c>
      <c r="H18">
        <v>89</v>
      </c>
      <c r="I18">
        <v>233</v>
      </c>
      <c r="J18">
        <f>H18/I18</f>
        <v>0.38197424892703863</v>
      </c>
    </row>
    <row r="19" spans="1:10" x14ac:dyDescent="0.35">
      <c r="A19" t="s">
        <v>48</v>
      </c>
      <c r="B19">
        <v>1000</v>
      </c>
      <c r="C19" t="s">
        <v>53</v>
      </c>
      <c r="D19" t="s">
        <v>54</v>
      </c>
      <c r="H19">
        <v>80</v>
      </c>
      <c r="I19">
        <v>226</v>
      </c>
    </row>
    <row r="20" spans="1:10" x14ac:dyDescent="0.35">
      <c r="A20" t="s">
        <v>49</v>
      </c>
      <c r="C20" t="s">
        <v>56</v>
      </c>
      <c r="D20" t="s">
        <v>55</v>
      </c>
      <c r="E20" t="s">
        <v>65</v>
      </c>
      <c r="H20">
        <v>73</v>
      </c>
      <c r="I20">
        <v>216</v>
      </c>
    </row>
    <row r="21" spans="1:10" x14ac:dyDescent="0.35">
      <c r="A21" t="s">
        <v>50</v>
      </c>
      <c r="C21" t="s">
        <v>57</v>
      </c>
      <c r="D21" t="s">
        <v>58</v>
      </c>
    </row>
    <row r="22" spans="1:10" x14ac:dyDescent="0.35">
      <c r="A22" t="s">
        <v>51</v>
      </c>
      <c r="B22">
        <v>101.325</v>
      </c>
      <c r="C22" t="s">
        <v>57</v>
      </c>
      <c r="D22" t="s">
        <v>59</v>
      </c>
    </row>
    <row r="23" spans="1:10" x14ac:dyDescent="0.35">
      <c r="A23" t="s">
        <v>60</v>
      </c>
      <c r="C23" t="s">
        <v>61</v>
      </c>
      <c r="D23" t="s">
        <v>62</v>
      </c>
    </row>
    <row r="24" spans="1:10" x14ac:dyDescent="0.35">
      <c r="A24" t="s">
        <v>63</v>
      </c>
      <c r="D24" t="s">
        <v>64</v>
      </c>
    </row>
    <row r="25" spans="1:10" x14ac:dyDescent="0.35">
      <c r="A25" t="s">
        <v>68</v>
      </c>
      <c r="D25" t="s">
        <v>69</v>
      </c>
    </row>
    <row r="26" spans="1:10" x14ac:dyDescent="0.35">
      <c r="A26" t="s">
        <v>70</v>
      </c>
      <c r="B26">
        <v>2.5</v>
      </c>
      <c r="C26" t="s">
        <v>56</v>
      </c>
      <c r="D26" t="s">
        <v>71</v>
      </c>
    </row>
    <row r="27" spans="1:10" x14ac:dyDescent="0.35">
      <c r="A27" t="s">
        <v>73</v>
      </c>
      <c r="C27" t="s">
        <v>74</v>
      </c>
      <c r="D27" t="s">
        <v>75</v>
      </c>
    </row>
    <row r="28" spans="1:10" x14ac:dyDescent="0.35">
      <c r="A28" t="s">
        <v>72</v>
      </c>
      <c r="C28" t="s">
        <v>74</v>
      </c>
      <c r="D28" t="s">
        <v>76</v>
      </c>
    </row>
    <row r="31" spans="1:10" ht="16.5" x14ac:dyDescent="0.35">
      <c r="A31" t="s">
        <v>152</v>
      </c>
      <c r="C31" t="s">
        <v>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9C3-1EE1-4E8D-8667-6D7C983D22B4}">
  <sheetPr codeName="Foglio2"/>
  <dimension ref="A1:AN51"/>
  <sheetViews>
    <sheetView tabSelected="1" topLeftCell="A16" zoomScale="47" zoomScaleNormal="100" workbookViewId="0">
      <selection activeCell="A44" sqref="A44"/>
    </sheetView>
  </sheetViews>
  <sheetFormatPr defaultRowHeight="14.5" x14ac:dyDescent="0.35"/>
  <cols>
    <col min="1" max="1" width="18" bestFit="1" customWidth="1"/>
    <col min="2" max="2" width="14.7265625" bestFit="1" customWidth="1"/>
    <col min="3" max="3" width="55.26953125" bestFit="1" customWidth="1"/>
    <col min="4" max="4" width="22" bestFit="1" customWidth="1"/>
    <col min="5" max="5" width="11" bestFit="1" customWidth="1"/>
    <col min="6" max="6" width="11.453125" bestFit="1" customWidth="1"/>
    <col min="7" max="7" width="14.54296875" bestFit="1" customWidth="1"/>
    <col min="8" max="8" width="12" bestFit="1" customWidth="1"/>
    <col min="9" max="9" width="13.7265625" bestFit="1" customWidth="1"/>
    <col min="10" max="10" width="12" bestFit="1" customWidth="1"/>
    <col min="11" max="11" width="20.1796875" customWidth="1"/>
    <col min="12" max="12" width="13.7265625" bestFit="1" customWidth="1"/>
    <col min="20" max="20" width="16.7265625" bestFit="1" customWidth="1"/>
    <col min="21" max="22" width="13" bestFit="1" customWidth="1"/>
    <col min="23" max="23" width="10.54296875" bestFit="1" customWidth="1"/>
    <col min="24" max="24" width="11.81640625" bestFit="1" customWidth="1"/>
    <col min="25" max="25" width="11.453125" bestFit="1" customWidth="1"/>
    <col min="26" max="26" width="9.7265625" customWidth="1"/>
    <col min="27" max="28" width="16.1796875" customWidth="1"/>
    <col min="29" max="29" width="7.7265625" customWidth="1"/>
    <col min="30" max="30" width="13.54296875" bestFit="1" customWidth="1"/>
    <col min="31" max="33" width="22.7265625" customWidth="1"/>
    <col min="34" max="34" width="16.54296875" bestFit="1" customWidth="1"/>
    <col min="35" max="35" width="13" customWidth="1"/>
    <col min="36" max="36" width="18.26953125" bestFit="1" customWidth="1"/>
    <col min="37" max="37" width="11.81640625" bestFit="1" customWidth="1"/>
  </cols>
  <sheetData>
    <row r="1" spans="1:31" x14ac:dyDescent="0.35">
      <c r="A1" s="5"/>
      <c r="B1" s="11"/>
      <c r="C1" t="s">
        <v>124</v>
      </c>
    </row>
    <row r="2" spans="1:31" x14ac:dyDescent="0.35">
      <c r="A2" s="3" t="s">
        <v>129</v>
      </c>
      <c r="B2" s="7">
        <v>6.9186745653911832E-3</v>
      </c>
      <c r="C2" s="3" t="s">
        <v>121</v>
      </c>
    </row>
    <row r="3" spans="1:31" x14ac:dyDescent="0.35">
      <c r="A3" s="3" t="s">
        <v>130</v>
      </c>
      <c r="B3" s="7">
        <v>1.7148682744336039E-2</v>
      </c>
      <c r="C3" s="3" t="s">
        <v>23</v>
      </c>
    </row>
    <row r="4" spans="1:31" x14ac:dyDescent="0.35">
      <c r="A4" s="3"/>
      <c r="B4" s="7"/>
      <c r="C4" s="3"/>
    </row>
    <row r="5" spans="1:31" x14ac:dyDescent="0.35">
      <c r="A5" s="3" t="s">
        <v>131</v>
      </c>
      <c r="B5" s="7">
        <v>0</v>
      </c>
      <c r="C5" s="3" t="s">
        <v>122</v>
      </c>
      <c r="D5" t="e">
        <f>CUEmin/CQYmin</f>
        <v>#DIV/0!</v>
      </c>
    </row>
    <row r="6" spans="1:31" x14ac:dyDescent="0.35">
      <c r="A6" s="3" t="s">
        <v>132</v>
      </c>
      <c r="B6" s="7">
        <v>4.5176569250367477E-2</v>
      </c>
      <c r="C6" s="3" t="s">
        <v>22</v>
      </c>
      <c r="D6">
        <f>CUEmax/CQYmax</f>
        <v>0.37959240882809064</v>
      </c>
    </row>
    <row r="7" spans="1:31" x14ac:dyDescent="0.35">
      <c r="A7" s="3"/>
      <c r="B7" s="3"/>
      <c r="C7" s="3"/>
    </row>
    <row r="8" spans="1:31" x14ac:dyDescent="0.35">
      <c r="A8" t="s">
        <v>18</v>
      </c>
      <c r="B8">
        <v>0</v>
      </c>
    </row>
    <row r="9" spans="1:31" x14ac:dyDescent="0.35">
      <c r="A9" s="3" t="s">
        <v>77</v>
      </c>
      <c r="B9" s="3">
        <v>1</v>
      </c>
      <c r="C9" s="3"/>
    </row>
    <row r="10" spans="1:31" x14ac:dyDescent="0.35">
      <c r="A10" t="s">
        <v>88</v>
      </c>
      <c r="B10">
        <v>7</v>
      </c>
    </row>
    <row r="15" spans="1:31" ht="17.5" x14ac:dyDescent="0.45">
      <c r="A15" s="3"/>
      <c r="T15" s="14" t="s">
        <v>133</v>
      </c>
    </row>
    <row r="16" spans="1:31" ht="17.5" x14ac:dyDescent="0.45">
      <c r="AE16" s="14" t="s">
        <v>134</v>
      </c>
    </row>
    <row r="19" spans="1:40" x14ac:dyDescent="0.35">
      <c r="A19" s="1" t="s">
        <v>80</v>
      </c>
    </row>
    <row r="20" spans="1:40" ht="16.5" x14ac:dyDescent="0.35">
      <c r="A20" t="s">
        <v>21</v>
      </c>
      <c r="B20" t="s">
        <v>94</v>
      </c>
      <c r="D20" t="s">
        <v>91</v>
      </c>
      <c r="E20" t="s">
        <v>92</v>
      </c>
      <c r="G20" t="s">
        <v>93</v>
      </c>
      <c r="H20" t="s">
        <v>90</v>
      </c>
      <c r="I20" t="s">
        <v>89</v>
      </c>
      <c r="J20" t="s">
        <v>89</v>
      </c>
      <c r="K20" t="s">
        <v>120</v>
      </c>
      <c r="S20" t="s">
        <v>95</v>
      </c>
      <c r="T20" t="s">
        <v>61</v>
      </c>
      <c r="V20" t="s">
        <v>57</v>
      </c>
      <c r="X20" t="s">
        <v>57</v>
      </c>
      <c r="Y20" t="s">
        <v>57</v>
      </c>
      <c r="Z20" t="s">
        <v>96</v>
      </c>
      <c r="AC20" t="s">
        <v>96</v>
      </c>
      <c r="AD20" t="s">
        <v>97</v>
      </c>
      <c r="AE20" t="s">
        <v>97</v>
      </c>
      <c r="AH20" t="s">
        <v>102</v>
      </c>
    </row>
    <row r="21" spans="1:40" x14ac:dyDescent="0.35">
      <c r="A21" s="1" t="s">
        <v>20</v>
      </c>
      <c r="B21" s="1" t="s">
        <v>6</v>
      </c>
      <c r="C21" s="2"/>
      <c r="D21" s="1" t="s">
        <v>12</v>
      </c>
      <c r="E21" s="1" t="s">
        <v>128</v>
      </c>
      <c r="F21" s="1" t="s">
        <v>127</v>
      </c>
      <c r="G21" s="1" t="s">
        <v>0</v>
      </c>
      <c r="H21" s="1" t="s">
        <v>24</v>
      </c>
      <c r="I21" s="9" t="s">
        <v>36</v>
      </c>
      <c r="J21" s="10" t="s">
        <v>151</v>
      </c>
      <c r="K21" s="10" t="s">
        <v>118</v>
      </c>
      <c r="L21" s="10"/>
      <c r="M21" s="10"/>
      <c r="N21" s="10"/>
      <c r="O21" s="10"/>
      <c r="P21" s="10"/>
      <c r="Q21" s="10"/>
      <c r="R21" s="10"/>
      <c r="S21" s="1" t="s">
        <v>40</v>
      </c>
      <c r="T21" s="1" t="s">
        <v>79</v>
      </c>
      <c r="U21" s="1" t="s">
        <v>78</v>
      </c>
      <c r="V21" s="1" t="s">
        <v>66</v>
      </c>
      <c r="W21" s="1" t="s">
        <v>63</v>
      </c>
      <c r="X21" s="1" t="s">
        <v>67</v>
      </c>
      <c r="Y21" s="2" t="s">
        <v>50</v>
      </c>
      <c r="Z21" s="10" t="s">
        <v>68</v>
      </c>
      <c r="AA21" s="10" t="s">
        <v>154</v>
      </c>
      <c r="AB21" s="10"/>
      <c r="AC21" s="2" t="s">
        <v>49</v>
      </c>
      <c r="AD21" s="2" t="s">
        <v>73</v>
      </c>
      <c r="AE21" s="10" t="s">
        <v>72</v>
      </c>
      <c r="AF21" s="10" t="s">
        <v>155</v>
      </c>
      <c r="AG21" s="10"/>
      <c r="AH21" s="10" t="s">
        <v>45</v>
      </c>
      <c r="AI21" s="10" t="s">
        <v>156</v>
      </c>
      <c r="AJ21" s="10" t="s">
        <v>118</v>
      </c>
    </row>
    <row r="22" spans="1:40" x14ac:dyDescent="0.35">
      <c r="A22">
        <v>1</v>
      </c>
      <c r="B22">
        <v>12</v>
      </c>
      <c r="C22" s="7"/>
      <c r="D22" s="4">
        <v>314.54000000000002</v>
      </c>
      <c r="E22" s="4">
        <f t="shared" ref="E22:E44" si="0">IF(A22&lt;=1,CQYmin,IF(A22&lt;=16,CQYmin+(CQYmax-CQYmin)/(16-1)*(A22-1),CQYmax))</f>
        <v>0</v>
      </c>
      <c r="F22" s="4">
        <f t="shared" ref="F22:F44" si="1">IF(A22&lt;=1,CUEmin,IF(A22&lt;=16,CUEmin+(CUEmax-CUEmin)/(16-1)*(A22-1),CUEmax))</f>
        <v>6.9186745653911832E-3</v>
      </c>
      <c r="G22" s="4">
        <f>0.0036*B22*F22*D22</f>
        <v>9.4011835584879772E-2</v>
      </c>
      <c r="H22" s="4">
        <f>MWc*G22/BCF</f>
        <v>2.8203550675463926</v>
      </c>
      <c r="I22" s="4">
        <v>8.5299999999999994</v>
      </c>
      <c r="J22" s="4">
        <v>8.5355100000000004</v>
      </c>
      <c r="K22" s="4">
        <f>(I22-J22)^2</f>
        <v>3.0360100000011175E-5</v>
      </c>
      <c r="L22" s="4"/>
      <c r="M22" s="4"/>
      <c r="N22" s="4"/>
      <c r="O22" s="4"/>
      <c r="P22" s="4"/>
      <c r="Q22" s="4"/>
      <c r="R22" s="4"/>
      <c r="S22" s="4">
        <f t="shared" ref="S22:S44" si="2">OPF*G22</f>
        <v>0.10153278243167016</v>
      </c>
      <c r="T22" s="4">
        <v>24.8666666666666</v>
      </c>
      <c r="U22" s="4">
        <v>20.2</v>
      </c>
      <c r="V22" s="4">
        <f>0.611*EXP(17.4*U22/(U22+239))</f>
        <v>2.3711147393183722</v>
      </c>
      <c r="W22" s="4">
        <v>0.79069999999999996</v>
      </c>
      <c r="X22" s="4">
        <f>W22*V22</f>
        <v>1.8748404243790369</v>
      </c>
      <c r="Y22" s="4">
        <f>V22*(1-W22)</f>
        <v>0.49627431493933544</v>
      </c>
      <c r="Z22" s="4">
        <f>((1.717*U22)-19.96-(10.54*Y22))*(AE22/370)</f>
        <v>2.7916141485769558E-2</v>
      </c>
      <c r="AA22" s="4"/>
      <c r="AB22" s="4"/>
      <c r="AC22" s="4">
        <f>gA*Z22/(gA+Z22)</f>
        <v>2.7607859520769142E-2</v>
      </c>
      <c r="AD22" s="4">
        <f>E22*D22</f>
        <v>0</v>
      </c>
      <c r="AE22" s="4">
        <f>(E22*(24-B22)/24+B22*F22/24)*D22</f>
        <v>1.0880999488990712</v>
      </c>
      <c r="AF22" s="4"/>
      <c r="AG22" s="4"/>
      <c r="AH22" s="4" cm="1">
        <f t="array" ref="AH22">3600*B22*(MWw/pw)*AC22*(Y22/100)</f>
        <v>0.10653953253307202</v>
      </c>
      <c r="AI22" s="4">
        <v>0.21667165999999899</v>
      </c>
      <c r="AJ22" s="4">
        <f>(AH22-AI22)^2</f>
        <v>1.2129085500391448E-2</v>
      </c>
      <c r="AK22" s="4"/>
      <c r="AL22" s="4"/>
      <c r="AM22" s="4"/>
      <c r="AN22" s="4" t="s">
        <v>119</v>
      </c>
    </row>
    <row r="23" spans="1:40" x14ac:dyDescent="0.35">
      <c r="A23">
        <v>2</v>
      </c>
      <c r="B23">
        <v>12</v>
      </c>
      <c r="C23" s="7"/>
      <c r="D23" s="4">
        <v>314.54000000000002</v>
      </c>
      <c r="E23" s="4">
        <f t="shared" si="0"/>
        <v>3.0117712833578319E-3</v>
      </c>
      <c r="F23" s="4">
        <f t="shared" si="1"/>
        <v>7.6006751106541736E-3</v>
      </c>
      <c r="G23" s="4">
        <f t="shared" ref="G23:G44" si="3">0.0036*B23*F23*D23</f>
        <v>0.10327894628998309</v>
      </c>
      <c r="H23" s="4">
        <f>MWc*G23/BCF</f>
        <v>3.0983683886994928</v>
      </c>
      <c r="I23" s="4">
        <f>IF(A23&gt;tE,I22+H23,I22)</f>
        <v>11.628368388699492</v>
      </c>
      <c r="J23" s="4">
        <v>10.608029999999999</v>
      </c>
      <c r="K23" s="4">
        <f t="shared" ref="K23:K44" si="4">(I23-J23)^2</f>
        <v>1.0410904274538773</v>
      </c>
      <c r="L23" s="4"/>
      <c r="M23" s="4"/>
      <c r="N23" s="4"/>
      <c r="O23" s="4"/>
      <c r="P23" s="4"/>
      <c r="Q23" s="4"/>
      <c r="R23" s="4"/>
      <c r="S23" s="4">
        <f t="shared" si="2"/>
        <v>0.11154126199318175</v>
      </c>
      <c r="T23" s="4">
        <v>24.839285714285701</v>
      </c>
      <c r="U23" s="4">
        <v>20.2</v>
      </c>
      <c r="V23" s="4">
        <f t="shared" ref="V23:V44" si="5">0.611*EXP(17.4*U23/(U23+239))</f>
        <v>2.3711147393183722</v>
      </c>
      <c r="W23" s="4">
        <v>0.82517857142857198</v>
      </c>
      <c r="X23" s="4">
        <f t="shared" ref="X23:X44" si="6">W23*V23</f>
        <v>1.9565930732839654</v>
      </c>
      <c r="Y23" s="4">
        <f t="shared" ref="Y23:Y43" si="7">V23*(1-W23)</f>
        <v>0.41452166603440699</v>
      </c>
      <c r="Z23" s="4">
        <f>((1.717*U23)-19.96-(10.54*Y23))*(AE23/370)</f>
        <v>4.6707020353983712E-2</v>
      </c>
      <c r="AA23" s="4"/>
      <c r="AB23" s="4"/>
      <c r="AC23" s="4">
        <f t="shared" ref="AC23:AC44" si="8">gA*Z23/(gA+Z23)</f>
        <v>4.5850406015187792E-2</v>
      </c>
      <c r="AD23" s="4">
        <f t="shared" ref="AD23:AD44" si="9">E23*D23</f>
        <v>0.94732253946737255</v>
      </c>
      <c r="AE23" s="4">
        <f t="shared" ref="AE23:AE44" si="10">(E23*(24-B23)/24+B23*F23/24)*D23</f>
        <v>1.669019444386268</v>
      </c>
      <c r="AF23" s="4"/>
      <c r="AG23" s="4"/>
      <c r="AH23" s="4">
        <f t="shared" ref="AH23:AH44" si="11">3600*B23*(18.015/998.23)*AC23*(Y23/100)</f>
        <v>0.14817598278292421</v>
      </c>
      <c r="AI23" s="4">
        <v>0.24396708372524753</v>
      </c>
      <c r="AJ23" s="4">
        <f t="shared" ref="AJ23:AJ44" si="12">(AH23-AI23)^2</f>
        <v>9.1759350197423758E-3</v>
      </c>
      <c r="AK23" s="4"/>
      <c r="AL23" s="4"/>
      <c r="AM23" s="4"/>
      <c r="AN23" s="4"/>
    </row>
    <row r="24" spans="1:40" x14ac:dyDescent="0.35">
      <c r="A24">
        <v>3</v>
      </c>
      <c r="B24">
        <v>12</v>
      </c>
      <c r="C24" s="7"/>
      <c r="D24" s="4">
        <v>314.54000000000002</v>
      </c>
      <c r="E24" s="4">
        <f t="shared" si="0"/>
        <v>6.0235425667156638E-3</v>
      </c>
      <c r="F24" s="4">
        <f t="shared" si="1"/>
        <v>8.2826756559171641E-3</v>
      </c>
      <c r="G24" s="4">
        <f>0.0036*B24*F24*D24</f>
        <v>0.11254605699508639</v>
      </c>
      <c r="H24" s="4">
        <f>MWc*G24/BCF</f>
        <v>3.3763817098525917</v>
      </c>
      <c r="I24" s="4">
        <f t="shared" ref="I24:I44" si="13">IF(A24&gt;tE,I23+H24,I23)</f>
        <v>15.004750098552083</v>
      </c>
      <c r="J24" s="4">
        <v>13.44411</v>
      </c>
      <c r="K24" s="4">
        <f t="shared" si="4"/>
        <v>2.4355975172086559</v>
      </c>
      <c r="L24" s="4"/>
      <c r="M24" s="4"/>
      <c r="N24" s="4"/>
      <c r="O24" s="4"/>
      <c r="P24" s="4"/>
      <c r="Q24" s="4"/>
      <c r="R24" s="4"/>
      <c r="S24" s="4">
        <f t="shared" si="2"/>
        <v>0.12154974155469331</v>
      </c>
      <c r="T24" s="4">
        <v>24.869523809523798</v>
      </c>
      <c r="U24" s="4">
        <v>20.2</v>
      </c>
      <c r="V24" s="4">
        <f t="shared" si="5"/>
        <v>2.3711147393183722</v>
      </c>
      <c r="W24" s="4">
        <v>0.81559523809523804</v>
      </c>
      <c r="X24" s="4">
        <f t="shared" si="6"/>
        <v>1.9338698903654961</v>
      </c>
      <c r="Y24" s="4">
        <f t="shared" si="7"/>
        <v>0.43724484895287613</v>
      </c>
      <c r="Z24" s="4">
        <f>((1.717*U24)-19.96-(10.54*Y24))*(AE24/370)</f>
        <v>6.1507488631663478E-2</v>
      </c>
      <c r="AA24" s="4"/>
      <c r="AB24" s="4"/>
      <c r="AC24" s="4">
        <f t="shared" si="8"/>
        <v>6.0030557108111636E-2</v>
      </c>
      <c r="AD24" s="4">
        <f t="shared" si="9"/>
        <v>1.8946450789347451</v>
      </c>
      <c r="AE24" s="4">
        <f t="shared" si="10"/>
        <v>2.249938939873465</v>
      </c>
      <c r="AF24" s="4"/>
      <c r="AG24" s="4"/>
      <c r="AH24" s="4">
        <f t="shared" si="11"/>
        <v>0.20463714650775117</v>
      </c>
      <c r="AI24" s="4">
        <v>0.11010212049717268</v>
      </c>
      <c r="AJ24" s="4">
        <f t="shared" si="12"/>
        <v>8.9368711428207525E-3</v>
      </c>
      <c r="AK24" s="4"/>
      <c r="AL24" s="4"/>
      <c r="AM24" s="4"/>
      <c r="AN24" s="4"/>
    </row>
    <row r="25" spans="1:40" x14ac:dyDescent="0.35">
      <c r="A25">
        <v>4</v>
      </c>
      <c r="B25">
        <v>12</v>
      </c>
      <c r="C25" s="7"/>
      <c r="D25" s="4">
        <v>314.54000000000002</v>
      </c>
      <c r="E25" s="4">
        <f t="shared" si="0"/>
        <v>9.0353138500734956E-3</v>
      </c>
      <c r="F25" s="4">
        <f t="shared" si="1"/>
        <v>8.9646762011801537E-3</v>
      </c>
      <c r="G25" s="4">
        <f t="shared" si="3"/>
        <v>0.1218131677001897</v>
      </c>
      <c r="H25" s="4">
        <f t="shared" ref="H25:H43" si="14">MWc*G25/BCF</f>
        <v>3.654395031005691</v>
      </c>
      <c r="I25" s="4">
        <f t="shared" si="13"/>
        <v>18.659145129557775</v>
      </c>
      <c r="J25" s="4">
        <v>14.834879999999998</v>
      </c>
      <c r="K25" s="4">
        <f t="shared" si="4"/>
        <v>14.625003781151557</v>
      </c>
      <c r="L25" s="4"/>
      <c r="M25" s="4"/>
      <c r="N25" s="4"/>
      <c r="O25" s="4"/>
      <c r="P25" s="4"/>
      <c r="Q25" s="4"/>
      <c r="R25" s="4"/>
      <c r="S25" s="4">
        <f t="shared" si="2"/>
        <v>0.13155822111620488</v>
      </c>
      <c r="T25" s="4">
        <v>24.838095238095228</v>
      </c>
      <c r="U25" s="4">
        <v>20.2</v>
      </c>
      <c r="V25" s="4">
        <f t="shared" si="5"/>
        <v>2.3711147393183722</v>
      </c>
      <c r="W25" s="4">
        <v>0.823440476190476</v>
      </c>
      <c r="X25" s="4">
        <f t="shared" si="6"/>
        <v>1.9524718500465768</v>
      </c>
      <c r="Y25" s="4">
        <f t="shared" si="7"/>
        <v>0.41864288927179544</v>
      </c>
      <c r="Z25" s="4">
        <f>((1.717*U25)-19.96-(10.54*Y25))*(AE25/370)</f>
        <v>7.8888403823706973E-2</v>
      </c>
      <c r="AA25" s="4"/>
      <c r="AB25" s="4"/>
      <c r="AC25" s="4">
        <f t="shared" si="8"/>
        <v>7.6475201201745946E-2</v>
      </c>
      <c r="AD25" s="4">
        <f t="shared" si="9"/>
        <v>2.8419676184021174</v>
      </c>
      <c r="AE25" s="4">
        <f t="shared" si="10"/>
        <v>2.8308584353606614</v>
      </c>
      <c r="AF25" s="4"/>
      <c r="AG25" s="4"/>
      <c r="AH25" s="4">
        <f>3600*B25*(18.015/998.23)*AC25*(Y25/100)</f>
        <v>0.24960411615598763</v>
      </c>
      <c r="AI25" s="4">
        <v>0.17715052756768032</v>
      </c>
      <c r="AJ25" s="4">
        <f t="shared" si="12"/>
        <v>5.2495224993236948E-3</v>
      </c>
      <c r="AK25" s="4"/>
      <c r="AL25" s="4"/>
      <c r="AM25" s="4"/>
      <c r="AN25" s="4"/>
    </row>
    <row r="26" spans="1:40" x14ac:dyDescent="0.35">
      <c r="A26">
        <v>5</v>
      </c>
      <c r="B26">
        <v>12</v>
      </c>
      <c r="C26" s="7"/>
      <c r="D26" s="4">
        <v>314.54000000000002</v>
      </c>
      <c r="E26" s="4">
        <f t="shared" si="0"/>
        <v>1.2047085133431328E-2</v>
      </c>
      <c r="F26" s="4">
        <f t="shared" si="1"/>
        <v>9.646676746443145E-3</v>
      </c>
      <c r="G26" s="4">
        <f t="shared" si="3"/>
        <v>0.13108027840529302</v>
      </c>
      <c r="H26" s="4">
        <f t="shared" si="14"/>
        <v>3.9324083521587903</v>
      </c>
      <c r="I26" s="4">
        <f t="shared" si="13"/>
        <v>22.591553481716566</v>
      </c>
      <c r="J26" s="4">
        <v>17.207369999999997</v>
      </c>
      <c r="K26" s="4">
        <f t="shared" si="4"/>
        <v>28.989431764789554</v>
      </c>
      <c r="L26" s="4"/>
      <c r="M26" s="4"/>
      <c r="N26" s="4"/>
      <c r="O26" s="4"/>
      <c r="P26" s="4"/>
      <c r="Q26" s="4"/>
      <c r="R26" s="4"/>
      <c r="S26" s="4">
        <f t="shared" si="2"/>
        <v>0.14156670067771646</v>
      </c>
      <c r="T26" s="4">
        <v>24.845238095238102</v>
      </c>
      <c r="U26" s="4">
        <v>20.2</v>
      </c>
      <c r="V26" s="4">
        <f t="shared" si="5"/>
        <v>2.3711147393183722</v>
      </c>
      <c r="W26" s="4">
        <v>0.80982142857142903</v>
      </c>
      <c r="X26" s="4">
        <f t="shared" si="6"/>
        <v>1.9201795255015757</v>
      </c>
      <c r="Y26" s="4">
        <f t="shared" si="7"/>
        <v>0.45093521381679652</v>
      </c>
      <c r="Z26" s="4">
        <f>((1.717*U26)-19.96-(10.54*Y26))*(AE26/370)</f>
        <v>9.1938589302220097E-2</v>
      </c>
      <c r="AA26" s="4"/>
      <c r="AB26" s="4"/>
      <c r="AC26" s="4">
        <f t="shared" si="8"/>
        <v>8.8677437885373495E-2</v>
      </c>
      <c r="AD26" s="4">
        <f t="shared" si="9"/>
        <v>3.7892901578694902</v>
      </c>
      <c r="AE26" s="4">
        <f t="shared" si="10"/>
        <v>3.4117779308478582</v>
      </c>
      <c r="AF26" s="4"/>
      <c r="AG26" s="4"/>
      <c r="AH26" s="4">
        <f t="shared" si="11"/>
        <v>0.31175590147610643</v>
      </c>
      <c r="AI26" s="4">
        <v>0.28430573375270429</v>
      </c>
      <c r="AJ26" s="4">
        <f t="shared" si="12"/>
        <v>7.535117080429087E-4</v>
      </c>
      <c r="AK26" s="4"/>
      <c r="AL26" s="4"/>
      <c r="AM26" s="4"/>
      <c r="AN26" s="4"/>
    </row>
    <row r="27" spans="1:40" x14ac:dyDescent="0.35">
      <c r="A27">
        <v>6</v>
      </c>
      <c r="B27">
        <v>12</v>
      </c>
      <c r="C27" s="7"/>
      <c r="D27" s="4">
        <v>314.54000000000002</v>
      </c>
      <c r="E27" s="4">
        <f t="shared" si="0"/>
        <v>1.5058856416789159E-2</v>
      </c>
      <c r="F27" s="4">
        <f t="shared" si="1"/>
        <v>1.0328677291706135E-2</v>
      </c>
      <c r="G27" s="4">
        <f t="shared" si="3"/>
        <v>0.14034738911039632</v>
      </c>
      <c r="H27" s="4">
        <f t="shared" si="14"/>
        <v>4.2104216733118891</v>
      </c>
      <c r="I27" s="4">
        <f t="shared" si="13"/>
        <v>26.801975155028455</v>
      </c>
      <c r="J27" s="4">
        <v>24.379379999999998</v>
      </c>
      <c r="K27" s="4">
        <f t="shared" si="4"/>
        <v>5.8689672851673533</v>
      </c>
      <c r="L27" s="4"/>
      <c r="M27" s="4"/>
      <c r="N27" s="4"/>
      <c r="O27" s="4"/>
      <c r="P27" s="4"/>
      <c r="Q27" s="4"/>
      <c r="R27" s="4"/>
      <c r="S27" s="4">
        <f t="shared" si="2"/>
        <v>0.15157518023922803</v>
      </c>
      <c r="T27" s="4">
        <v>24.86547619047618</v>
      </c>
      <c r="U27" s="4">
        <v>20.2</v>
      </c>
      <c r="V27" s="4">
        <f t="shared" si="5"/>
        <v>2.3711147393183722</v>
      </c>
      <c r="W27" s="4">
        <v>0.81476190476190502</v>
      </c>
      <c r="X27" s="4">
        <f t="shared" si="6"/>
        <v>1.9318939614160648</v>
      </c>
      <c r="Y27" s="4">
        <f t="shared" si="7"/>
        <v>0.4392207779023074</v>
      </c>
      <c r="Z27" s="4">
        <f t="shared" ref="Z27:Z43" si="15">((1.717*U27)-19.96-(10.54*Y27))*(AE27/370)</f>
        <v>0.10892524251385043</v>
      </c>
      <c r="AA27" s="4"/>
      <c r="AB27" s="4"/>
      <c r="AC27" s="4">
        <f t="shared" si="8"/>
        <v>0.10437750451685485</v>
      </c>
      <c r="AD27" s="4">
        <f t="shared" si="9"/>
        <v>4.7366126973368621</v>
      </c>
      <c r="AE27" s="4">
        <f t="shared" si="10"/>
        <v>3.992697426335055</v>
      </c>
      <c r="AF27" s="4"/>
      <c r="AG27" s="4"/>
      <c r="AH27" s="4">
        <f t="shared" si="11"/>
        <v>0.35741862671041624</v>
      </c>
      <c r="AI27" s="4">
        <v>0.36436441630564753</v>
      </c>
      <c r="AJ27" s="4">
        <f t="shared" si="12"/>
        <v>4.8243993101223231E-5</v>
      </c>
      <c r="AK27" s="4"/>
      <c r="AL27" s="4"/>
      <c r="AM27" s="4"/>
      <c r="AN27" s="4"/>
    </row>
    <row r="28" spans="1:40" x14ac:dyDescent="0.35">
      <c r="A28">
        <v>7</v>
      </c>
      <c r="B28">
        <v>12</v>
      </c>
      <c r="C28" s="7"/>
      <c r="D28" s="4">
        <v>314.54000000000002</v>
      </c>
      <c r="E28" s="4">
        <f t="shared" si="0"/>
        <v>1.8070627700146991E-2</v>
      </c>
      <c r="F28" s="4">
        <f t="shared" si="1"/>
        <v>1.1010677836969126E-2</v>
      </c>
      <c r="G28" s="4">
        <f t="shared" si="3"/>
        <v>0.14961449981549965</v>
      </c>
      <c r="H28" s="4">
        <f t="shared" si="14"/>
        <v>4.4884349944649893</v>
      </c>
      <c r="I28" s="4">
        <f t="shared" si="13"/>
        <v>31.290410149493443</v>
      </c>
      <c r="J28" s="4">
        <v>27.324540000000002</v>
      </c>
      <c r="K28" s="4">
        <f t="shared" si="4"/>
        <v>15.728126042643124</v>
      </c>
      <c r="L28" s="4"/>
      <c r="M28" s="4"/>
      <c r="N28" s="4"/>
      <c r="O28" s="4"/>
      <c r="P28" s="4"/>
      <c r="Q28" s="4"/>
      <c r="R28" s="4"/>
      <c r="S28" s="4">
        <f t="shared" si="2"/>
        <v>0.16158365980073963</v>
      </c>
      <c r="T28" s="4">
        <v>24.716666666666661</v>
      </c>
      <c r="U28" s="4">
        <v>20.2</v>
      </c>
      <c r="V28" s="4">
        <f t="shared" si="5"/>
        <v>2.3711147393183722</v>
      </c>
      <c r="W28" s="4">
        <v>0.80524999999999902</v>
      </c>
      <c r="X28" s="4">
        <f t="shared" si="6"/>
        <v>1.9093401438361168</v>
      </c>
      <c r="Y28" s="4">
        <f t="shared" si="7"/>
        <v>0.4617745954822553</v>
      </c>
      <c r="Z28" s="4">
        <f t="shared" si="15"/>
        <v>0.12183492186746975</v>
      </c>
      <c r="AA28" s="4"/>
      <c r="AB28" s="4"/>
      <c r="AC28" s="4">
        <f t="shared" si="8"/>
        <v>0.11617333422797045</v>
      </c>
      <c r="AD28" s="4">
        <f t="shared" si="9"/>
        <v>5.6839352368042348</v>
      </c>
      <c r="AE28" s="4">
        <f t="shared" si="10"/>
        <v>4.5736169218222518</v>
      </c>
      <c r="AF28" s="4"/>
      <c r="AG28" s="4"/>
      <c r="AH28" s="4">
        <f t="shared" si="11"/>
        <v>0.41823838233428978</v>
      </c>
      <c r="AI28" s="4">
        <v>0.34191337145474787</v>
      </c>
      <c r="AJ28" s="4">
        <f t="shared" si="12"/>
        <v>5.8255072857621906E-3</v>
      </c>
      <c r="AK28" s="4"/>
      <c r="AL28" s="4"/>
      <c r="AM28" s="4"/>
      <c r="AN28" s="4"/>
    </row>
    <row r="29" spans="1:40" x14ac:dyDescent="0.35">
      <c r="A29">
        <v>8</v>
      </c>
      <c r="B29">
        <v>12</v>
      </c>
      <c r="C29" s="7"/>
      <c r="D29" s="4">
        <v>314.54000000000002</v>
      </c>
      <c r="E29" s="4">
        <f t="shared" si="0"/>
        <v>2.1082398983504821E-2</v>
      </c>
      <c r="F29" s="4">
        <f t="shared" si="1"/>
        <v>1.1692678382232116E-2</v>
      </c>
      <c r="G29" s="4">
        <f t="shared" si="3"/>
        <v>0.15888161052060293</v>
      </c>
      <c r="H29" s="4">
        <f t="shared" si="14"/>
        <v>4.7664483156180877</v>
      </c>
      <c r="I29" s="4">
        <f t="shared" si="13"/>
        <v>36.056858465111532</v>
      </c>
      <c r="J29" s="4">
        <v>28.442610000000002</v>
      </c>
      <c r="K29" s="4">
        <f t="shared" si="4"/>
        <v>57.976779688453284</v>
      </c>
      <c r="L29" s="4"/>
      <c r="M29" s="4"/>
      <c r="N29" s="4"/>
      <c r="O29" s="4"/>
      <c r="P29" s="4"/>
      <c r="Q29" s="4"/>
      <c r="R29" s="4"/>
      <c r="S29" s="4">
        <f t="shared" si="2"/>
        <v>0.17159213936225118</v>
      </c>
      <c r="T29" s="4">
        <v>24.872619047619054</v>
      </c>
      <c r="U29" s="4">
        <v>20.2</v>
      </c>
      <c r="V29" s="4">
        <f t="shared" si="5"/>
        <v>2.3711147393183722</v>
      </c>
      <c r="W29" s="4">
        <v>0.810752380952381</v>
      </c>
      <c r="X29" s="4">
        <f t="shared" si="6"/>
        <v>1.9223869204136546</v>
      </c>
      <c r="Y29" s="4">
        <f t="shared" si="7"/>
        <v>0.44872781890471775</v>
      </c>
      <c r="Z29" s="4">
        <f t="shared" si="15"/>
        <v>0.13922554418705291</v>
      </c>
      <c r="AA29" s="4"/>
      <c r="AB29" s="4"/>
      <c r="AC29" s="4">
        <f t="shared" si="8"/>
        <v>0.13188105928811195</v>
      </c>
      <c r="AD29" s="4">
        <f t="shared" si="9"/>
        <v>6.6312577762716067</v>
      </c>
      <c r="AE29" s="4">
        <f t="shared" si="10"/>
        <v>5.1545364173094477</v>
      </c>
      <c r="AF29" s="4"/>
      <c r="AG29" s="4"/>
      <c r="AH29" s="4">
        <f t="shared" si="11"/>
        <v>0.46137368128605982</v>
      </c>
      <c r="AI29" s="4">
        <v>0.34240131937091428</v>
      </c>
      <c r="AJ29" s="4">
        <f t="shared" si="12"/>
        <v>1.4154422899668373E-2</v>
      </c>
      <c r="AK29" s="4"/>
      <c r="AL29" s="4"/>
      <c r="AM29" s="4"/>
      <c r="AN29" s="4"/>
    </row>
    <row r="30" spans="1:40" x14ac:dyDescent="0.35">
      <c r="A30">
        <v>9</v>
      </c>
      <c r="B30">
        <v>12</v>
      </c>
      <c r="C30" s="7"/>
      <c r="D30" s="4">
        <v>314.54000000000002</v>
      </c>
      <c r="E30" s="4">
        <f t="shared" si="0"/>
        <v>2.4094170266862655E-2</v>
      </c>
      <c r="F30" s="4">
        <f t="shared" si="1"/>
        <v>1.2374678927495105E-2</v>
      </c>
      <c r="G30" s="4">
        <f t="shared" si="3"/>
        <v>0.1681487212257062</v>
      </c>
      <c r="H30" s="4">
        <f t="shared" si="14"/>
        <v>5.0444616367711852</v>
      </c>
      <c r="I30" s="4">
        <f t="shared" si="13"/>
        <v>41.10132010188272</v>
      </c>
      <c r="J30" s="4">
        <v>41.832180000000001</v>
      </c>
      <c r="K30" s="4">
        <f t="shared" si="4"/>
        <v>0.53415619067600195</v>
      </c>
      <c r="L30" s="4"/>
      <c r="M30" s="4"/>
      <c r="N30" s="4"/>
      <c r="O30" s="4"/>
      <c r="P30" s="4"/>
      <c r="Q30" s="4"/>
      <c r="R30" s="4"/>
      <c r="S30" s="4">
        <f t="shared" si="2"/>
        <v>0.18160061892376272</v>
      </c>
      <c r="T30" s="4">
        <v>24.735714285714309</v>
      </c>
      <c r="U30" s="4">
        <v>20.2</v>
      </c>
      <c r="V30" s="4">
        <f t="shared" si="5"/>
        <v>2.3711147393183722</v>
      </c>
      <c r="W30" s="4">
        <v>0.80137857142857105</v>
      </c>
      <c r="X30" s="4">
        <f t="shared" si="6"/>
        <v>1.9001605424881858</v>
      </c>
      <c r="Y30" s="4">
        <f t="shared" si="7"/>
        <v>0.47095419683018647</v>
      </c>
      <c r="Z30" s="4">
        <f t="shared" si="15"/>
        <v>0.15128493854070688</v>
      </c>
      <c r="AA30" s="4"/>
      <c r="AB30" s="4"/>
      <c r="AC30" s="4">
        <f t="shared" si="8"/>
        <v>0.14265247045077659</v>
      </c>
      <c r="AD30" s="4">
        <f t="shared" si="9"/>
        <v>7.5785803157389804</v>
      </c>
      <c r="AE30" s="4">
        <f t="shared" si="10"/>
        <v>5.7354559127966445</v>
      </c>
      <c r="AF30" s="4"/>
      <c r="AG30" s="4"/>
      <c r="AH30" s="4">
        <f t="shared" si="11"/>
        <v>0.52377572197498212</v>
      </c>
      <c r="AI30" s="4">
        <v>0.41554447854243987</v>
      </c>
      <c r="AJ30" s="4">
        <f t="shared" si="12"/>
        <v>1.1714002054954221E-2</v>
      </c>
      <c r="AK30" s="4"/>
      <c r="AL30" s="4"/>
      <c r="AM30" s="4"/>
      <c r="AN30" s="4"/>
    </row>
    <row r="31" spans="1:40" x14ac:dyDescent="0.35">
      <c r="A31">
        <v>10</v>
      </c>
      <c r="B31">
        <v>12</v>
      </c>
      <c r="C31" s="7"/>
      <c r="D31" s="4">
        <v>314.54000000000002</v>
      </c>
      <c r="E31" s="4">
        <f t="shared" si="0"/>
        <v>2.7105941550220489E-2</v>
      </c>
      <c r="F31" s="4">
        <f t="shared" si="1"/>
        <v>1.3056679472758096E-2</v>
      </c>
      <c r="G31" s="4">
        <f t="shared" si="3"/>
        <v>0.17741583193080956</v>
      </c>
      <c r="H31" s="4">
        <f>MWc*G31/BCF</f>
        <v>5.3224749579242863</v>
      </c>
      <c r="I31" s="4">
        <f t="shared" si="13"/>
        <v>46.423795059807006</v>
      </c>
      <c r="J31" s="4">
        <v>54.976320000000001</v>
      </c>
      <c r="K31" s="4">
        <f t="shared" si="4"/>
        <v>73.145682852623196</v>
      </c>
      <c r="L31" s="4"/>
      <c r="M31" s="4"/>
      <c r="N31" s="4"/>
      <c r="O31" s="4"/>
      <c r="P31" s="4"/>
      <c r="Q31" s="4"/>
      <c r="R31" s="4"/>
      <c r="S31" s="4">
        <f t="shared" si="2"/>
        <v>0.19160909848527435</v>
      </c>
      <c r="T31" s="4">
        <v>24.735714285714288</v>
      </c>
      <c r="U31" s="4">
        <v>20.2</v>
      </c>
      <c r="V31" s="4">
        <f t="shared" si="5"/>
        <v>2.3711147393183722</v>
      </c>
      <c r="W31" s="4">
        <v>0.80674999999999897</v>
      </c>
      <c r="X31" s="4">
        <f t="shared" si="6"/>
        <v>1.9128968159450943</v>
      </c>
      <c r="Y31" s="4">
        <f t="shared" si="7"/>
        <v>0.45821792337327788</v>
      </c>
      <c r="Z31" s="4">
        <f t="shared" si="15"/>
        <v>0.16889958970189076</v>
      </c>
      <c r="AA31" s="4"/>
      <c r="AB31" s="4"/>
      <c r="AC31" s="4">
        <f t="shared" si="8"/>
        <v>0.15821088806937508</v>
      </c>
      <c r="AD31" s="4">
        <f t="shared" si="9"/>
        <v>8.5259028552063523</v>
      </c>
      <c r="AE31" s="4">
        <f t="shared" si="10"/>
        <v>6.316375408283843</v>
      </c>
      <c r="AF31" s="4"/>
      <c r="AG31" s="4"/>
      <c r="AH31" s="4">
        <f t="shared" si="11"/>
        <v>0.56519177969079359</v>
      </c>
      <c r="AI31" s="4">
        <v>0.55141679620200101</v>
      </c>
      <c r="AJ31" s="4">
        <f t="shared" si="12"/>
        <v>1.8975017011650821E-4</v>
      </c>
      <c r="AK31" s="4"/>
      <c r="AL31" s="4"/>
      <c r="AM31" s="4"/>
      <c r="AN31" s="4"/>
    </row>
    <row r="32" spans="1:40" x14ac:dyDescent="0.35">
      <c r="A32">
        <v>11</v>
      </c>
      <c r="B32">
        <v>12</v>
      </c>
      <c r="C32" s="7"/>
      <c r="D32" s="4">
        <v>314.54000000000002</v>
      </c>
      <c r="E32" s="4">
        <f t="shared" si="0"/>
        <v>3.0117712833578319E-2</v>
      </c>
      <c r="F32" s="4">
        <f t="shared" si="1"/>
        <v>1.3738680018021088E-2</v>
      </c>
      <c r="G32" s="4">
        <f t="shared" si="3"/>
        <v>0.18668294263591287</v>
      </c>
      <c r="H32" s="4">
        <f t="shared" si="14"/>
        <v>5.6004882790773856</v>
      </c>
      <c r="I32" s="4">
        <f t="shared" si="13"/>
        <v>52.024283338884388</v>
      </c>
      <c r="J32" s="4">
        <v>58.521419999999999</v>
      </c>
      <c r="K32" s="4">
        <f t="shared" si="4"/>
        <v>42.212784793212514</v>
      </c>
      <c r="L32" s="4"/>
      <c r="M32" s="4"/>
      <c r="N32" s="4"/>
      <c r="O32" s="4"/>
      <c r="P32" s="4"/>
      <c r="Q32" s="4"/>
      <c r="R32" s="4"/>
      <c r="S32" s="4">
        <f t="shared" si="2"/>
        <v>0.2016175780467859</v>
      </c>
      <c r="T32" s="4">
        <v>24.072395833333324</v>
      </c>
      <c r="U32" s="4">
        <v>20.2</v>
      </c>
      <c r="V32" s="4">
        <f t="shared" si="5"/>
        <v>2.3711147393183722</v>
      </c>
      <c r="W32" s="4">
        <v>0.82993177083333303</v>
      </c>
      <c r="X32" s="4">
        <f t="shared" si="6"/>
        <v>1.9678634544515134</v>
      </c>
      <c r="Y32" s="4">
        <f t="shared" si="7"/>
        <v>0.40325128486685874</v>
      </c>
      <c r="Z32" s="4">
        <f t="shared" si="15"/>
        <v>0.19523317899557222</v>
      </c>
      <c r="AA32" s="4"/>
      <c r="AB32" s="4"/>
      <c r="AC32" s="4">
        <f t="shared" si="8"/>
        <v>0.18109117656039822</v>
      </c>
      <c r="AD32" s="4">
        <f t="shared" si="9"/>
        <v>9.4732253946737242</v>
      </c>
      <c r="AE32" s="4">
        <f t="shared" si="10"/>
        <v>6.8972949037710398</v>
      </c>
      <c r="AF32" s="4"/>
      <c r="AG32" s="4"/>
      <c r="AH32" s="4">
        <f t="shared" si="11"/>
        <v>0.56932525040281257</v>
      </c>
      <c r="AI32" s="4">
        <v>0.66049051289871319</v>
      </c>
      <c r="AJ32" s="4">
        <f t="shared" si="12"/>
        <v>8.3111050859464644E-3</v>
      </c>
      <c r="AK32" s="4"/>
      <c r="AL32" s="4"/>
      <c r="AM32" s="4"/>
      <c r="AN32" s="4"/>
    </row>
    <row r="33" spans="1:40" x14ac:dyDescent="0.35">
      <c r="A33">
        <v>12</v>
      </c>
      <c r="B33">
        <v>12</v>
      </c>
      <c r="C33" s="7"/>
      <c r="D33" s="4">
        <v>314.54000000000002</v>
      </c>
      <c r="E33" s="4">
        <f t="shared" si="0"/>
        <v>3.3129484116936149E-2</v>
      </c>
      <c r="F33" s="4">
        <f t="shared" si="1"/>
        <v>1.4420680563284077E-2</v>
      </c>
      <c r="G33" s="4">
        <f t="shared" si="3"/>
        <v>0.19595005334101614</v>
      </c>
      <c r="H33" s="4">
        <f t="shared" si="14"/>
        <v>5.878501600230484</v>
      </c>
      <c r="I33" s="4">
        <f t="shared" si="13"/>
        <v>57.902784939114873</v>
      </c>
      <c r="J33" s="4">
        <v>58.257109999999997</v>
      </c>
      <c r="K33" s="4">
        <f t="shared" si="4"/>
        <v>0.1255462487712467</v>
      </c>
      <c r="L33" s="4"/>
      <c r="M33" s="4"/>
      <c r="N33" s="4"/>
      <c r="O33" s="4"/>
      <c r="P33" s="4"/>
      <c r="Q33" s="4"/>
      <c r="R33" s="4"/>
      <c r="S33" s="4">
        <f t="shared" si="2"/>
        <v>0.21162605760829745</v>
      </c>
      <c r="T33" s="4">
        <v>23.925520833333344</v>
      </c>
      <c r="U33" s="4">
        <v>20.2</v>
      </c>
      <c r="V33" s="4">
        <f t="shared" si="5"/>
        <v>2.3711147393183722</v>
      </c>
      <c r="W33" s="4">
        <v>0.79391666666666605</v>
      </c>
      <c r="X33" s="4">
        <f t="shared" si="6"/>
        <v>1.8824675101238428</v>
      </c>
      <c r="Y33" s="4">
        <f t="shared" si="7"/>
        <v>0.48864722919452935</v>
      </c>
      <c r="Z33" s="4">
        <f t="shared" si="15"/>
        <v>0.19348481542771923</v>
      </c>
      <c r="AA33" s="4"/>
      <c r="AB33" s="4"/>
      <c r="AC33" s="4">
        <f t="shared" si="8"/>
        <v>0.1795859534082748</v>
      </c>
      <c r="AD33" s="4">
        <f t="shared" si="9"/>
        <v>10.420547934141098</v>
      </c>
      <c r="AE33" s="4">
        <f t="shared" si="10"/>
        <v>7.4782143992582357</v>
      </c>
      <c r="AF33" s="4"/>
      <c r="AG33" s="4"/>
      <c r="AH33" s="4">
        <f t="shared" si="11"/>
        <v>0.68415609565602264</v>
      </c>
      <c r="AI33" s="4">
        <v>0.72870398834997696</v>
      </c>
      <c r="AJ33" s="4">
        <f t="shared" si="12"/>
        <v>1.9845147434720684E-3</v>
      </c>
      <c r="AK33" s="4"/>
      <c r="AL33" s="4"/>
      <c r="AM33" s="4"/>
      <c r="AN33" s="4"/>
    </row>
    <row r="34" spans="1:40" x14ac:dyDescent="0.35">
      <c r="A34">
        <v>13</v>
      </c>
      <c r="B34">
        <v>12</v>
      </c>
      <c r="C34" s="7"/>
      <c r="D34" s="4">
        <v>314.54000000000002</v>
      </c>
      <c r="E34" s="4">
        <f t="shared" si="0"/>
        <v>3.6141255400293983E-2</v>
      </c>
      <c r="F34" s="4">
        <f t="shared" si="1"/>
        <v>1.5102681108547067E-2</v>
      </c>
      <c r="G34" s="4">
        <f t="shared" si="3"/>
        <v>0.20521716404611948</v>
      </c>
      <c r="H34" s="4">
        <f t="shared" si="14"/>
        <v>6.1565149213835841</v>
      </c>
      <c r="I34" s="4">
        <f t="shared" si="13"/>
        <v>64.059299860498456</v>
      </c>
      <c r="J34" s="4">
        <v>65.993399999999994</v>
      </c>
      <c r="K34" s="4">
        <f t="shared" si="4"/>
        <v>3.7407433496198697</v>
      </c>
      <c r="L34" s="4"/>
      <c r="M34" s="4"/>
      <c r="N34" s="4"/>
      <c r="O34" s="4"/>
      <c r="P34" s="4"/>
      <c r="Q34" s="4"/>
      <c r="R34" s="4"/>
      <c r="S34" s="4">
        <f t="shared" si="2"/>
        <v>0.22163453716980905</v>
      </c>
      <c r="T34" s="4">
        <v>23.834895833333345</v>
      </c>
      <c r="U34" s="4">
        <v>20.2</v>
      </c>
      <c r="V34" s="4">
        <f t="shared" si="5"/>
        <v>2.3711147393183722</v>
      </c>
      <c r="W34" s="4">
        <v>0.798875</v>
      </c>
      <c r="X34" s="4">
        <f t="shared" si="6"/>
        <v>1.8942242873729647</v>
      </c>
      <c r="Y34" s="4">
        <f t="shared" si="7"/>
        <v>0.47689045194540763</v>
      </c>
      <c r="Z34" s="4">
        <f t="shared" si="15"/>
        <v>0.211214099917478</v>
      </c>
      <c r="AA34" s="4"/>
      <c r="AB34" s="4"/>
      <c r="AC34" s="4">
        <f t="shared" si="8"/>
        <v>0.19475970186558375</v>
      </c>
      <c r="AD34" s="4">
        <f t="shared" si="9"/>
        <v>11.36787047360847</v>
      </c>
      <c r="AE34" s="4">
        <f t="shared" si="10"/>
        <v>8.0591338947454325</v>
      </c>
      <c r="AF34" s="4"/>
      <c r="AG34" s="4"/>
      <c r="AH34" s="4">
        <f t="shared" si="11"/>
        <v>0.72411096508686124</v>
      </c>
      <c r="AI34" s="4">
        <v>0.90699711485302936</v>
      </c>
      <c r="AJ34" s="4">
        <f t="shared" si="12"/>
        <v>3.3447343776293277E-2</v>
      </c>
      <c r="AK34" s="4"/>
      <c r="AL34" s="4"/>
      <c r="AM34" s="4"/>
      <c r="AN34" s="4"/>
    </row>
    <row r="35" spans="1:40" x14ac:dyDescent="0.35">
      <c r="A35">
        <v>14</v>
      </c>
      <c r="B35">
        <v>12</v>
      </c>
      <c r="C35" s="7"/>
      <c r="D35" s="4">
        <v>314.54000000000002</v>
      </c>
      <c r="E35" s="4">
        <f t="shared" si="0"/>
        <v>3.9153026683651816E-2</v>
      </c>
      <c r="F35" s="4">
        <f t="shared" si="1"/>
        <v>1.5784681653810057E-2</v>
      </c>
      <c r="G35" s="4">
        <f t="shared" si="3"/>
        <v>0.21448427475122275</v>
      </c>
      <c r="H35" s="4">
        <f t="shared" si="14"/>
        <v>6.4345282425366817</v>
      </c>
      <c r="I35" s="4">
        <f t="shared" si="13"/>
        <v>70.493828103035142</v>
      </c>
      <c r="J35" s="4">
        <v>72.374580000000009</v>
      </c>
      <c r="K35" s="4">
        <f t="shared" si="4"/>
        <v>3.5372276979369452</v>
      </c>
      <c r="L35" s="4"/>
      <c r="M35" s="4"/>
      <c r="N35" s="4"/>
      <c r="O35" s="4"/>
      <c r="P35" s="4"/>
      <c r="Q35" s="4"/>
      <c r="R35" s="4"/>
      <c r="S35" s="4">
        <f t="shared" si="2"/>
        <v>0.23164301673132059</v>
      </c>
      <c r="T35" s="4">
        <v>23.887500000000017</v>
      </c>
      <c r="U35" s="4">
        <v>20.2</v>
      </c>
      <c r="V35" s="4">
        <f t="shared" si="5"/>
        <v>2.3711147393183722</v>
      </c>
      <c r="W35" s="4">
        <v>0.80637499999999895</v>
      </c>
      <c r="X35" s="4">
        <f t="shared" si="6"/>
        <v>1.9120076479178498</v>
      </c>
      <c r="Y35" s="4">
        <f t="shared" si="7"/>
        <v>0.4591070914005223</v>
      </c>
      <c r="Z35" s="4">
        <f t="shared" si="15"/>
        <v>0.23081578645506209</v>
      </c>
      <c r="AA35" s="4"/>
      <c r="AB35" s="4"/>
      <c r="AC35" s="4">
        <f t="shared" si="8"/>
        <v>0.21130662456244406</v>
      </c>
      <c r="AD35" s="4">
        <f t="shared" si="9"/>
        <v>12.315193013075843</v>
      </c>
      <c r="AE35" s="4">
        <f t="shared" si="10"/>
        <v>8.6400533902326284</v>
      </c>
      <c r="AF35" s="4"/>
      <c r="AG35" s="4"/>
      <c r="AH35" s="4">
        <f t="shared" si="11"/>
        <v>0.75633554160270333</v>
      </c>
      <c r="AI35" s="4">
        <v>0.84316048160243096</v>
      </c>
      <c r="AJ35" s="4">
        <f t="shared" si="12"/>
        <v>7.538570205956302E-3</v>
      </c>
      <c r="AK35" s="4"/>
      <c r="AL35" s="4"/>
      <c r="AM35" s="4"/>
      <c r="AN35" s="4"/>
    </row>
    <row r="36" spans="1:40" x14ac:dyDescent="0.35">
      <c r="A36">
        <v>15</v>
      </c>
      <c r="B36">
        <v>12</v>
      </c>
      <c r="C36" s="7"/>
      <c r="D36" s="4">
        <v>314.54000000000002</v>
      </c>
      <c r="E36" s="4">
        <f t="shared" si="0"/>
        <v>4.2164797967009643E-2</v>
      </c>
      <c r="F36" s="4">
        <f t="shared" si="1"/>
        <v>1.6466682199073046E-2</v>
      </c>
      <c r="G36" s="4">
        <f t="shared" si="3"/>
        <v>0.22375138545632606</v>
      </c>
      <c r="H36" s="4">
        <f t="shared" si="14"/>
        <v>6.7125415636897818</v>
      </c>
      <c r="I36" s="4">
        <f t="shared" si="13"/>
        <v>77.206369666724925</v>
      </c>
      <c r="J36" s="4">
        <v>78.755760000000009</v>
      </c>
      <c r="K36" s="4">
        <f t="shared" si="4"/>
        <v>2.4006104048462782</v>
      </c>
      <c r="L36" s="4"/>
      <c r="M36" s="4"/>
      <c r="N36" s="4"/>
      <c r="O36" s="4"/>
      <c r="P36" s="4"/>
      <c r="Q36" s="4"/>
      <c r="R36" s="4"/>
      <c r="S36" s="4">
        <f t="shared" si="2"/>
        <v>0.24165149629283217</v>
      </c>
      <c r="T36" s="4">
        <v>23.580729166666671</v>
      </c>
      <c r="U36" s="4">
        <v>20.2</v>
      </c>
      <c r="V36" s="4">
        <f t="shared" si="5"/>
        <v>2.3711147393183722</v>
      </c>
      <c r="W36" s="4">
        <v>0.81183854166666602</v>
      </c>
      <c r="X36" s="4">
        <f t="shared" si="6"/>
        <v>1.9249623320925644</v>
      </c>
      <c r="Y36" s="4">
        <f t="shared" si="7"/>
        <v>0.44615240722580796</v>
      </c>
      <c r="Z36" s="4">
        <f t="shared" si="15"/>
        <v>0.24973768024694104</v>
      </c>
      <c r="AA36" s="4"/>
      <c r="AB36" s="4"/>
      <c r="AC36" s="4">
        <f t="shared" si="8"/>
        <v>0.22705591340672293</v>
      </c>
      <c r="AD36" s="4">
        <f t="shared" si="9"/>
        <v>13.262515552543213</v>
      </c>
      <c r="AE36" s="4">
        <f t="shared" si="10"/>
        <v>9.2209728857198243</v>
      </c>
      <c r="AF36" s="4"/>
      <c r="AG36" s="4"/>
      <c r="AH36" s="4">
        <f t="shared" si="11"/>
        <v>0.7897751292187577</v>
      </c>
      <c r="AI36" s="4">
        <v>0.82692059515782901</v>
      </c>
      <c r="AJ36" s="4">
        <f t="shared" si="12"/>
        <v>1.3797856398307068E-3</v>
      </c>
      <c r="AK36" s="4"/>
      <c r="AL36" s="4"/>
      <c r="AM36" s="4"/>
      <c r="AN36" s="4"/>
    </row>
    <row r="37" spans="1:40" x14ac:dyDescent="0.35">
      <c r="A37">
        <v>16</v>
      </c>
      <c r="B37">
        <v>12</v>
      </c>
      <c r="C37" s="7"/>
      <c r="D37" s="4">
        <v>314.54000000000002</v>
      </c>
      <c r="E37" s="4">
        <f t="shared" si="0"/>
        <v>4.5176569250367477E-2</v>
      </c>
      <c r="F37" s="4">
        <f t="shared" si="1"/>
        <v>1.7148682744336039E-2</v>
      </c>
      <c r="G37" s="4">
        <f t="shared" si="3"/>
        <v>0.23301849616142942</v>
      </c>
      <c r="H37" s="4">
        <f t="shared" si="14"/>
        <v>6.990554884842882</v>
      </c>
      <c r="I37" s="4">
        <f t="shared" si="13"/>
        <v>84.196924551567804</v>
      </c>
      <c r="J37" s="4">
        <v>83.228039999999993</v>
      </c>
      <c r="K37" s="4">
        <f t="shared" si="4"/>
        <v>0.93873727426675835</v>
      </c>
      <c r="L37" s="4"/>
      <c r="M37" s="4"/>
      <c r="N37" s="4"/>
      <c r="O37" s="4"/>
      <c r="P37" s="4"/>
      <c r="Q37" s="4"/>
      <c r="R37" s="4"/>
      <c r="S37" s="4">
        <f t="shared" si="2"/>
        <v>0.2516599758543438</v>
      </c>
      <c r="T37" s="4">
        <v>23.876041666666673</v>
      </c>
      <c r="U37" s="4">
        <v>20.2</v>
      </c>
      <c r="V37" s="4">
        <f t="shared" si="5"/>
        <v>2.3711147393183722</v>
      </c>
      <c r="W37" s="4">
        <v>0.81319270833333301</v>
      </c>
      <c r="X37" s="4">
        <f t="shared" si="6"/>
        <v>1.928173216635392</v>
      </c>
      <c r="Y37" s="4">
        <f t="shared" si="7"/>
        <v>0.4429415226829802</v>
      </c>
      <c r="Z37" s="4">
        <f t="shared" si="15"/>
        <v>0.26636765336941759</v>
      </c>
      <c r="AA37" s="4"/>
      <c r="AB37" s="4"/>
      <c r="AC37" s="4">
        <f t="shared" si="8"/>
        <v>0.2407196789669149</v>
      </c>
      <c r="AD37" s="4">
        <f t="shared" si="9"/>
        <v>14.209838092010587</v>
      </c>
      <c r="AE37" s="4">
        <f t="shared" si="10"/>
        <v>9.801892381207022</v>
      </c>
      <c r="AF37" s="4"/>
      <c r="AG37" s="4"/>
      <c r="AH37" s="4">
        <f t="shared" si="11"/>
        <v>0.83127627444360341</v>
      </c>
      <c r="AI37" s="4">
        <v>0.79641445176807313</v>
      </c>
      <c r="AJ37" s="4">
        <f t="shared" si="12"/>
        <v>1.2153466802601175E-3</v>
      </c>
      <c r="AK37" s="4"/>
      <c r="AL37" s="4"/>
      <c r="AM37" s="4"/>
      <c r="AN37" s="4"/>
    </row>
    <row r="38" spans="1:40" x14ac:dyDescent="0.35">
      <c r="A38">
        <v>17</v>
      </c>
      <c r="B38">
        <v>12</v>
      </c>
      <c r="C38" s="7"/>
      <c r="D38" s="4">
        <v>314.54000000000002</v>
      </c>
      <c r="E38" s="4">
        <f t="shared" si="0"/>
        <v>4.5176569250367477E-2</v>
      </c>
      <c r="F38" s="4">
        <f t="shared" si="1"/>
        <v>1.7148682744336039E-2</v>
      </c>
      <c r="G38" s="4">
        <f t="shared" si="3"/>
        <v>0.23301849616142942</v>
      </c>
      <c r="H38" s="4">
        <f t="shared" si="14"/>
        <v>6.990554884842882</v>
      </c>
      <c r="I38" s="4">
        <f t="shared" si="13"/>
        <v>91.187479436410683</v>
      </c>
      <c r="J38" s="4">
        <v>97.981109999999987</v>
      </c>
      <c r="K38" s="4">
        <f t="shared" si="4"/>
        <v>46.153416234534717</v>
      </c>
      <c r="L38" s="4"/>
      <c r="M38" s="4"/>
      <c r="N38" s="4"/>
      <c r="O38" s="4"/>
      <c r="P38" s="4"/>
      <c r="Q38" s="4"/>
      <c r="R38" s="4"/>
      <c r="S38" s="4">
        <f t="shared" si="2"/>
        <v>0.2516599758543438</v>
      </c>
      <c r="T38" s="4">
        <v>24.091666666666661</v>
      </c>
      <c r="U38" s="4">
        <v>20.2</v>
      </c>
      <c r="V38" s="4">
        <f t="shared" si="5"/>
        <v>2.3711147393183722</v>
      </c>
      <c r="W38" s="4">
        <v>0.81558854166666594</v>
      </c>
      <c r="X38" s="4">
        <f t="shared" si="6"/>
        <v>1.9338540123650081</v>
      </c>
      <c r="Y38" s="4">
        <f t="shared" si="7"/>
        <v>0.43726072695336426</v>
      </c>
      <c r="Z38" s="4">
        <f t="shared" si="15"/>
        <v>0.2679538535314151</v>
      </c>
      <c r="AA38" s="4"/>
      <c r="AB38" s="4"/>
      <c r="AC38" s="4">
        <f>gA*Z38/(gA+Z38)</f>
        <v>0.24201437931267697</v>
      </c>
      <c r="AD38" s="4">
        <f t="shared" si="9"/>
        <v>14.209838092010587</v>
      </c>
      <c r="AE38" s="4">
        <f t="shared" si="10"/>
        <v>9.801892381207022</v>
      </c>
      <c r="AF38" s="4"/>
      <c r="AG38" s="4"/>
      <c r="AH38" s="4">
        <f t="shared" si="11"/>
        <v>0.82502866582593459</v>
      </c>
      <c r="AI38" s="4">
        <v>0.80796578724955048</v>
      </c>
      <c r="AJ38" s="4">
        <f t="shared" si="12"/>
        <v>2.9114182531242785E-4</v>
      </c>
      <c r="AK38" s="4"/>
      <c r="AL38" s="4"/>
      <c r="AM38" s="4"/>
      <c r="AN38" s="4"/>
    </row>
    <row r="39" spans="1:40" x14ac:dyDescent="0.35">
      <c r="A39">
        <v>18</v>
      </c>
      <c r="B39">
        <v>12</v>
      </c>
      <c r="C39" s="7"/>
      <c r="D39" s="4">
        <v>314.54000000000002</v>
      </c>
      <c r="E39" s="4">
        <f t="shared" si="0"/>
        <v>4.5176569250367477E-2</v>
      </c>
      <c r="F39" s="4">
        <f t="shared" si="1"/>
        <v>1.7148682744336039E-2</v>
      </c>
      <c r="G39" s="4">
        <f t="shared" si="3"/>
        <v>0.23301849616142942</v>
      </c>
      <c r="H39" s="4">
        <f t="shared" si="14"/>
        <v>6.990554884842882</v>
      </c>
      <c r="I39" s="4">
        <f t="shared" si="13"/>
        <v>98.178034321253563</v>
      </c>
      <c r="J39" s="4">
        <v>102.88970999999999</v>
      </c>
      <c r="K39" s="4">
        <f t="shared" si="4"/>
        <v>22.199887701690642</v>
      </c>
      <c r="L39" s="4"/>
      <c r="M39" s="4"/>
      <c r="N39" s="4"/>
      <c r="O39" s="4"/>
      <c r="P39" s="4"/>
      <c r="Q39" s="4"/>
      <c r="R39" s="4"/>
      <c r="S39" s="4">
        <f t="shared" si="2"/>
        <v>0.2516599758543438</v>
      </c>
      <c r="T39" s="4">
        <v>24.211458333333336</v>
      </c>
      <c r="U39" s="4">
        <v>20.2</v>
      </c>
      <c r="V39" s="4">
        <f t="shared" si="5"/>
        <v>2.3711147393183722</v>
      </c>
      <c r="W39" s="4">
        <v>0.81979687499999998</v>
      </c>
      <c r="X39" s="4">
        <f t="shared" si="6"/>
        <v>1.9438324535596412</v>
      </c>
      <c r="Y39" s="4">
        <f t="shared" si="7"/>
        <v>0.42728228575873112</v>
      </c>
      <c r="Z39" s="4">
        <f>((1.717*U39)-19.96-(10.54*Y39))*(AE39/370)</f>
        <v>0.27074004859857681</v>
      </c>
      <c r="AA39" s="4"/>
      <c r="AB39" s="4"/>
      <c r="AC39" s="4">
        <f t="shared" si="8"/>
        <v>0.24428495983908291</v>
      </c>
      <c r="AD39" s="4">
        <f t="shared" si="9"/>
        <v>14.209838092010587</v>
      </c>
      <c r="AE39" s="4">
        <f t="shared" si="10"/>
        <v>9.801892381207022</v>
      </c>
      <c r="AF39" s="4"/>
      <c r="AG39" s="4"/>
      <c r="AH39" s="4">
        <f t="shared" si="11"/>
        <v>0.81376501129586498</v>
      </c>
      <c r="AI39" s="4">
        <v>0.81549828469142993</v>
      </c>
      <c r="AJ39" s="4">
        <f t="shared" si="12"/>
        <v>3.0042366637732493E-6</v>
      </c>
      <c r="AK39" s="4"/>
      <c r="AL39" s="4"/>
      <c r="AM39" s="4"/>
      <c r="AN39" s="4"/>
    </row>
    <row r="40" spans="1:40" x14ac:dyDescent="0.35">
      <c r="A40">
        <v>19</v>
      </c>
      <c r="B40">
        <v>12</v>
      </c>
      <c r="C40" s="7"/>
      <c r="D40" s="4">
        <v>314.54000000000002</v>
      </c>
      <c r="E40" s="4">
        <f t="shared" si="0"/>
        <v>4.5176569250367477E-2</v>
      </c>
      <c r="F40" s="4">
        <f t="shared" si="1"/>
        <v>1.7148682744336039E-2</v>
      </c>
      <c r="G40" s="4">
        <f t="shared" si="3"/>
        <v>0.23301849616142942</v>
      </c>
      <c r="H40" s="4">
        <f t="shared" si="14"/>
        <v>6.990554884842882</v>
      </c>
      <c r="I40" s="4">
        <f t="shared" si="13"/>
        <v>105.16858920609644</v>
      </c>
      <c r="J40" s="4">
        <v>109.54358999999999</v>
      </c>
      <c r="K40" s="4">
        <f t="shared" si="4"/>
        <v>19.140631946656715</v>
      </c>
      <c r="L40" s="4"/>
      <c r="M40" s="4"/>
      <c r="N40" s="4"/>
      <c r="O40" s="4"/>
      <c r="P40" s="4"/>
      <c r="Q40" s="4"/>
      <c r="R40" s="4"/>
      <c r="S40" s="4">
        <f t="shared" si="2"/>
        <v>0.2516599758543438</v>
      </c>
      <c r="T40" s="4">
        <v>24.03125</v>
      </c>
      <c r="U40" s="4">
        <v>20.2</v>
      </c>
      <c r="V40" s="4">
        <f t="shared" si="5"/>
        <v>2.3711147393183722</v>
      </c>
      <c r="W40" s="4">
        <v>0.81954166666666595</v>
      </c>
      <c r="X40" s="4">
        <f t="shared" si="6"/>
        <v>1.9432273253188759</v>
      </c>
      <c r="Y40" s="4">
        <f t="shared" si="7"/>
        <v>0.42788741399949631</v>
      </c>
      <c r="Z40" s="4">
        <f t="shared" si="15"/>
        <v>0.27057108379871142</v>
      </c>
      <c r="AA40" s="4"/>
      <c r="AB40" s="4"/>
      <c r="AC40" s="4">
        <f t="shared" si="8"/>
        <v>0.24414739381793196</v>
      </c>
      <c r="AD40" s="4">
        <f t="shared" si="9"/>
        <v>14.209838092010587</v>
      </c>
      <c r="AE40" s="4">
        <f>(E40*(24-B40)/24+B40*F40/24)*D40</f>
        <v>9.801892381207022</v>
      </c>
      <c r="AF40" s="4"/>
      <c r="AG40" s="4"/>
      <c r="AH40" s="4">
        <f t="shared" si="11"/>
        <v>0.81445857578881375</v>
      </c>
      <c r="AI40" s="4">
        <v>0.82364203832008109</v>
      </c>
      <c r="AJ40" s="4">
        <f t="shared" si="12"/>
        <v>8.4335984063191121E-5</v>
      </c>
      <c r="AK40" s="4"/>
      <c r="AL40" s="4"/>
      <c r="AM40" s="4"/>
      <c r="AN40" s="4"/>
    </row>
    <row r="41" spans="1:40" x14ac:dyDescent="0.35">
      <c r="A41">
        <v>20</v>
      </c>
      <c r="B41">
        <v>12</v>
      </c>
      <c r="C41" s="7"/>
      <c r="D41" s="4">
        <v>314.54000000000002</v>
      </c>
      <c r="E41" s="4">
        <f t="shared" si="0"/>
        <v>4.5176569250367477E-2</v>
      </c>
      <c r="F41" s="4">
        <f t="shared" si="1"/>
        <v>1.7148682744336039E-2</v>
      </c>
      <c r="G41" s="4">
        <f t="shared" si="3"/>
        <v>0.23301849616142942</v>
      </c>
      <c r="H41" s="4">
        <f t="shared" si="14"/>
        <v>6.990554884842882</v>
      </c>
      <c r="I41" s="4">
        <f t="shared" si="13"/>
        <v>112.15914409093932</v>
      </c>
      <c r="J41" s="4">
        <v>112.62510000000002</v>
      </c>
      <c r="K41" s="4">
        <f t="shared" si="4"/>
        <v>0.21711490918857976</v>
      </c>
      <c r="L41" s="4"/>
      <c r="M41" s="4"/>
      <c r="N41" s="4"/>
      <c r="O41" s="4"/>
      <c r="P41" s="4"/>
      <c r="Q41" s="4"/>
      <c r="R41" s="4"/>
      <c r="S41" s="4">
        <f t="shared" si="2"/>
        <v>0.2516599758543438</v>
      </c>
      <c r="T41" s="4">
        <v>23.730208333333302</v>
      </c>
      <c r="U41" s="4">
        <v>20.2</v>
      </c>
      <c r="V41" s="4">
        <f t="shared" si="5"/>
        <v>2.3711147393183722</v>
      </c>
      <c r="W41" s="4">
        <v>0.794875</v>
      </c>
      <c r="X41" s="4">
        <f t="shared" si="6"/>
        <v>1.8847398284156911</v>
      </c>
      <c r="Y41" s="4">
        <f>V41*(1-W41)</f>
        <v>0.48637491090268109</v>
      </c>
      <c r="Z41" s="4">
        <f>((1.717*U41)-19.96-(10.54*Y41))*(AE41/370)</f>
        <v>0.25424011865257845</v>
      </c>
      <c r="AA41" s="4"/>
      <c r="AB41" s="4"/>
      <c r="AC41" s="4">
        <f>gA*Z41/(gA+Z41)</f>
        <v>0.23077156284485198</v>
      </c>
      <c r="AD41" s="4">
        <f t="shared" si="9"/>
        <v>14.209838092010587</v>
      </c>
      <c r="AE41" s="4">
        <f t="shared" si="10"/>
        <v>9.801892381207022</v>
      </c>
      <c r="AF41" s="4"/>
      <c r="AG41" s="4"/>
      <c r="AH41" s="4">
        <f t="shared" si="11"/>
        <v>0.87506608279281128</v>
      </c>
      <c r="AI41" s="4">
        <v>0.72469457130629278</v>
      </c>
      <c r="AJ41" s="4">
        <f t="shared" si="12"/>
        <v>2.2611591466740168E-2</v>
      </c>
      <c r="AK41" s="4"/>
      <c r="AL41" s="4"/>
      <c r="AM41" s="4"/>
      <c r="AN41" s="4"/>
    </row>
    <row r="42" spans="1:40" x14ac:dyDescent="0.35">
      <c r="A42">
        <v>21</v>
      </c>
      <c r="B42">
        <v>12</v>
      </c>
      <c r="C42" s="7"/>
      <c r="D42" s="4">
        <v>314.54000000000002</v>
      </c>
      <c r="E42" s="4">
        <f t="shared" si="0"/>
        <v>4.5176569250367477E-2</v>
      </c>
      <c r="F42" s="4">
        <f t="shared" si="1"/>
        <v>1.7148682744336039E-2</v>
      </c>
      <c r="G42" s="4">
        <f t="shared" si="3"/>
        <v>0.23301849616142942</v>
      </c>
      <c r="H42" s="4">
        <f t="shared" si="14"/>
        <v>6.990554884842882</v>
      </c>
      <c r="I42" s="4">
        <f t="shared" si="13"/>
        <v>119.1496989757822</v>
      </c>
      <c r="J42" s="4">
        <v>113.93406000000002</v>
      </c>
      <c r="K42" s="4">
        <f t="shared" si="4"/>
        <v>27.20288992569823</v>
      </c>
      <c r="L42" s="4"/>
      <c r="M42" s="4"/>
      <c r="N42" s="4"/>
      <c r="O42" s="4"/>
      <c r="P42" s="4"/>
      <c r="Q42" s="4"/>
      <c r="R42" s="4"/>
      <c r="S42" s="4">
        <f t="shared" si="2"/>
        <v>0.2516599758543438</v>
      </c>
      <c r="T42" s="4">
        <v>24.016666666666687</v>
      </c>
      <c r="U42" s="4">
        <v>20.2</v>
      </c>
      <c r="V42" s="4">
        <f t="shared" si="5"/>
        <v>2.3711147393183722</v>
      </c>
      <c r="W42" s="4">
        <v>0.81109047619047503</v>
      </c>
      <c r="X42" s="4">
        <f t="shared" si="6"/>
        <v>1.9231885830159927</v>
      </c>
      <c r="Y42" s="4">
        <f t="shared" si="7"/>
        <v>0.44792615630237964</v>
      </c>
      <c r="Z42" s="4">
        <f t="shared" si="15"/>
        <v>0.26497583661857588</v>
      </c>
      <c r="AA42" s="4"/>
      <c r="AB42" s="4"/>
      <c r="AC42" s="4">
        <f t="shared" si="8"/>
        <v>0.23958241615469938</v>
      </c>
      <c r="AD42" s="4">
        <f t="shared" si="9"/>
        <v>14.209838092010587</v>
      </c>
      <c r="AE42" s="4">
        <f t="shared" si="10"/>
        <v>9.801892381207022</v>
      </c>
      <c r="AF42" s="4"/>
      <c r="AG42" s="4"/>
      <c r="AH42" s="4">
        <f t="shared" si="11"/>
        <v>0.83665952464458426</v>
      </c>
      <c r="AI42" s="4">
        <v>0.72273520787815815</v>
      </c>
      <c r="AJ42" s="4">
        <f t="shared" si="12"/>
        <v>1.2978749950696998E-2</v>
      </c>
      <c r="AK42" s="4"/>
      <c r="AL42" s="4"/>
      <c r="AM42" s="4"/>
      <c r="AN42" s="4"/>
    </row>
    <row r="43" spans="1:40" x14ac:dyDescent="0.35">
      <c r="A43">
        <v>22</v>
      </c>
      <c r="B43">
        <v>12</v>
      </c>
      <c r="C43" s="7"/>
      <c r="D43" s="4">
        <v>314.54000000000002</v>
      </c>
      <c r="E43" s="4">
        <f t="shared" si="0"/>
        <v>4.5176569250367477E-2</v>
      </c>
      <c r="F43" s="4">
        <f t="shared" si="1"/>
        <v>1.7148682744336039E-2</v>
      </c>
      <c r="G43" s="4">
        <f t="shared" si="3"/>
        <v>0.23301849616142942</v>
      </c>
      <c r="H43" s="4">
        <f t="shared" si="14"/>
        <v>6.990554884842882</v>
      </c>
      <c r="I43" s="4">
        <f t="shared" si="13"/>
        <v>126.14025386062508</v>
      </c>
      <c r="J43" s="4">
        <v>116.77014000000001</v>
      </c>
      <c r="K43" s="4">
        <f t="shared" si="4"/>
        <v>87.799033761078022</v>
      </c>
      <c r="L43" s="4"/>
      <c r="M43" s="4"/>
      <c r="N43" s="4"/>
      <c r="O43" s="4"/>
      <c r="P43" s="4"/>
      <c r="Q43" s="4"/>
      <c r="R43" s="4"/>
      <c r="S43" s="4">
        <f t="shared" si="2"/>
        <v>0.2516599758543438</v>
      </c>
      <c r="T43" s="4">
        <v>24.016666666666687</v>
      </c>
      <c r="U43" s="4">
        <v>20.2</v>
      </c>
      <c r="V43" s="4">
        <f t="shared" si="5"/>
        <v>2.3711147393183722</v>
      </c>
      <c r="W43" s="4">
        <v>0.81109047619047503</v>
      </c>
      <c r="X43" s="4">
        <f t="shared" si="6"/>
        <v>1.9231885830159927</v>
      </c>
      <c r="Y43" s="4">
        <f t="shared" si="7"/>
        <v>0.44792615630237964</v>
      </c>
      <c r="Z43" s="4">
        <f t="shared" si="15"/>
        <v>0.26497583661857588</v>
      </c>
      <c r="AA43" s="4"/>
      <c r="AB43" s="4"/>
      <c r="AC43" s="4">
        <f t="shared" si="8"/>
        <v>0.23958241615469938</v>
      </c>
      <c r="AD43" s="4">
        <f t="shared" si="9"/>
        <v>14.209838092010587</v>
      </c>
      <c r="AE43" s="4">
        <f t="shared" si="10"/>
        <v>9.801892381207022</v>
      </c>
      <c r="AF43" s="4"/>
      <c r="AG43" s="4"/>
      <c r="AH43" s="4">
        <f t="shared" si="11"/>
        <v>0.83665952464458426</v>
      </c>
      <c r="AI43" s="4">
        <v>0.87955668008968224</v>
      </c>
      <c r="AJ43" s="4">
        <f t="shared" si="12"/>
        <v>1.8401659452808991E-3</v>
      </c>
      <c r="AK43" s="4"/>
      <c r="AL43" s="4"/>
      <c r="AM43" s="4"/>
      <c r="AN43" s="4"/>
    </row>
    <row r="44" spans="1:40" x14ac:dyDescent="0.35">
      <c r="A44">
        <v>23</v>
      </c>
      <c r="B44">
        <v>12</v>
      </c>
      <c r="C44" s="7"/>
      <c r="D44" s="4">
        <v>314.54000000000002</v>
      </c>
      <c r="E44" s="4">
        <f t="shared" si="0"/>
        <v>4.5176569250367477E-2</v>
      </c>
      <c r="F44" s="4">
        <f t="shared" si="1"/>
        <v>1.7148682744336039E-2</v>
      </c>
      <c r="G44" s="4">
        <f t="shared" si="3"/>
        <v>0.23301849616142942</v>
      </c>
      <c r="H44" s="4">
        <f>MWc*G44/BCF</f>
        <v>6.990554884842882</v>
      </c>
      <c r="I44" s="4">
        <f t="shared" si="13"/>
        <v>133.13080874546796</v>
      </c>
      <c r="J44" s="4">
        <v>132.28677000000002</v>
      </c>
      <c r="K44" s="4">
        <f t="shared" si="4"/>
        <v>0.71240140385109574</v>
      </c>
      <c r="L44" s="4"/>
      <c r="M44" s="4"/>
      <c r="N44" s="4"/>
      <c r="O44" s="4"/>
      <c r="P44" s="4"/>
      <c r="Q44" s="4"/>
      <c r="R44" s="4"/>
      <c r="S44" s="4">
        <f t="shared" si="2"/>
        <v>0.2516599758543438</v>
      </c>
      <c r="T44" s="4">
        <v>24.016666666666701</v>
      </c>
      <c r="U44" s="4">
        <v>20.2</v>
      </c>
      <c r="V44" s="4">
        <f t="shared" si="5"/>
        <v>2.3711147393183722</v>
      </c>
      <c r="W44" s="4">
        <v>0.81109047619047503</v>
      </c>
      <c r="X44" s="4">
        <f t="shared" si="6"/>
        <v>1.9231885830159927</v>
      </c>
      <c r="Y44" s="4">
        <f>V44*(1-W44)</f>
        <v>0.44792615630237964</v>
      </c>
      <c r="Z44" s="12">
        <f>((1.717*U44)-19.96-(10.54*Y44))*(AE44/370)</f>
        <v>0.26497583661857588</v>
      </c>
      <c r="AA44" s="12">
        <v>0.18999999000000001</v>
      </c>
      <c r="AB44" s="4"/>
      <c r="AC44" s="4">
        <f t="shared" si="8"/>
        <v>0.23958241615469938</v>
      </c>
      <c r="AD44" s="4">
        <f t="shared" si="9"/>
        <v>14.209838092010587</v>
      </c>
      <c r="AE44" s="4">
        <f t="shared" si="10"/>
        <v>9.801892381207022</v>
      </c>
      <c r="AF44" s="13">
        <v>7.3055555555555598</v>
      </c>
      <c r="AG44" s="4"/>
      <c r="AH44" s="4">
        <f t="shared" si="11"/>
        <v>0.83665952464458426</v>
      </c>
      <c r="AI44" s="4">
        <v>0.93796983000000089</v>
      </c>
      <c r="AJ44" s="4">
        <f t="shared" si="12"/>
        <v>1.026377797120776E-2</v>
      </c>
      <c r="AK44" s="4"/>
      <c r="AL44" s="4"/>
      <c r="AM44" s="4"/>
      <c r="AN44" s="4"/>
    </row>
    <row r="45" spans="1:40" x14ac:dyDescent="0.35">
      <c r="Z45" s="6"/>
      <c r="AA45" s="6"/>
      <c r="AE45" s="6"/>
      <c r="AF45" s="6"/>
      <c r="AG45" s="18" t="s">
        <v>148</v>
      </c>
      <c r="AH45" s="18">
        <f>STDEV(AH22:AH44)</f>
        <v>0.25658471316263065</v>
      </c>
      <c r="AI45" s="18">
        <f>STDEV(AI22:AI44)</f>
        <v>0.27303475719087394</v>
      </c>
    </row>
    <row r="46" spans="1:40" x14ac:dyDescent="0.35">
      <c r="H46" t="s">
        <v>126</v>
      </c>
      <c r="I46" s="4">
        <f>SUM(K46+AJ46*1000)</f>
        <v>90.460814203126432</v>
      </c>
      <c r="J46" s="4" t="s">
        <v>117</v>
      </c>
      <c r="K46" s="4">
        <f>AVERAGE(K22:K44)^0.5</f>
        <v>4.4561920357184786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 t="s">
        <v>136</v>
      </c>
      <c r="X46" s="4">
        <f>AA46*10+AF46+AJ46*10</f>
        <v>4.1061415135113002</v>
      </c>
      <c r="Y46" s="4"/>
      <c r="Z46" s="12" t="s">
        <v>137</v>
      </c>
      <c r="AA46" s="12">
        <f>-(AA44-Z44)</f>
        <v>7.497584661857587E-2</v>
      </c>
      <c r="AB46" s="4"/>
      <c r="AC46" s="4"/>
      <c r="AD46" s="4"/>
      <c r="AE46" s="12" t="s">
        <v>137</v>
      </c>
      <c r="AF46" s="12">
        <f>-(AF44-AE44)</f>
        <v>2.4963368256514622</v>
      </c>
      <c r="AG46" s="18" t="s">
        <v>150</v>
      </c>
      <c r="AH46" s="18">
        <f>AH45/SQRT(23)</f>
        <v>5.350161112110853E-2</v>
      </c>
      <c r="AI46" s="4" t="s">
        <v>117</v>
      </c>
      <c r="AJ46" s="4">
        <f>AVERAGE(AJ22:AJ44)^0.5</f>
        <v>8.6004622167407965E-2</v>
      </c>
    </row>
    <row r="47" spans="1:40" x14ac:dyDescent="0.35">
      <c r="J47" t="s">
        <v>137</v>
      </c>
      <c r="K47" s="4" t="e" cm="1">
        <f t="array" aca="1" ref="K47" ca="1">(AVERAGE(I22:I44)-MED\IA(J22:J44))</f>
        <v>#NAME?</v>
      </c>
      <c r="AG47" s="4"/>
      <c r="AI47" t="s">
        <v>137</v>
      </c>
      <c r="AJ47" s="7">
        <f>(AVERAGE(AH22:AH44)-AVERAGE(AI22:AI44))</f>
        <v>7.5652112680535399E-4</v>
      </c>
    </row>
    <row r="48" spans="1:40" x14ac:dyDescent="0.35">
      <c r="J48" t="s">
        <v>135</v>
      </c>
      <c r="K48" s="4">
        <f>CORREL(I22:I44,J22:J44)</f>
        <v>0.99362031428834907</v>
      </c>
      <c r="AI48" t="s">
        <v>135</v>
      </c>
      <c r="AJ48" s="7">
        <f>CORREL(AH22:AH44,AI22:AI44)</f>
        <v>0.94674437115063359</v>
      </c>
    </row>
    <row r="49" spans="8:36" x14ac:dyDescent="0.35">
      <c r="J49" t="s">
        <v>149</v>
      </c>
      <c r="K49">
        <f>J50/I51</f>
        <v>4.8743317822604242</v>
      </c>
      <c r="AI49" t="s">
        <v>149</v>
      </c>
      <c r="AJ49">
        <f>AI45/AH46</f>
        <v>5.1032997225601449</v>
      </c>
    </row>
    <row r="50" spans="8:36" x14ac:dyDescent="0.35">
      <c r="H50" s="17" t="s">
        <v>148</v>
      </c>
      <c r="I50" s="17">
        <f>STDEV(I22:I44)</f>
        <v>39.568170195402764</v>
      </c>
      <c r="J50" s="17">
        <f>STDEV(J22:J44)</f>
        <v>40.21583923701256</v>
      </c>
    </row>
    <row r="51" spans="8:36" x14ac:dyDescent="0.35">
      <c r="H51" s="17" t="s">
        <v>150</v>
      </c>
      <c r="I51" s="17">
        <f>I50/SQRT(23)</f>
        <v>8.2505338236050179</v>
      </c>
      <c r="J51" s="17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9E8-CD35-4239-B1F2-1B8B8319E376}">
  <sheetPr codeName="Sheet1"/>
  <dimension ref="A1:AX107"/>
  <sheetViews>
    <sheetView topLeftCell="CK1" zoomScale="90" zoomScaleNormal="90" workbookViewId="0"/>
  </sheetViews>
  <sheetFormatPr defaultRowHeight="14.5" x14ac:dyDescent="0.35"/>
  <cols>
    <col min="1" max="1" width="20.54296875" bestFit="1" customWidth="1"/>
    <col min="2" max="2" width="15.1796875" bestFit="1" customWidth="1"/>
    <col min="17" max="17" width="17.453125" bestFit="1" customWidth="1"/>
    <col min="18" max="18" width="19.7265625" bestFit="1" customWidth="1"/>
    <col min="28" max="28" width="12.81640625" bestFit="1" customWidth="1"/>
    <col min="29" max="29" width="14.81640625" bestFit="1" customWidth="1"/>
    <col min="49" max="49" width="18.1796875" bestFit="1" customWidth="1"/>
    <col min="50" max="50" width="19.81640625" bestFit="1" customWidth="1"/>
  </cols>
  <sheetData>
    <row r="1" spans="1:50" x14ac:dyDescent="0.35">
      <c r="A1" t="s">
        <v>112</v>
      </c>
      <c r="B1" t="s">
        <v>113</v>
      </c>
      <c r="Q1" t="s">
        <v>114</v>
      </c>
      <c r="R1" t="s">
        <v>113</v>
      </c>
      <c r="AB1" t="s">
        <v>112</v>
      </c>
      <c r="AC1" t="s">
        <v>113</v>
      </c>
      <c r="AW1" t="s">
        <v>112</v>
      </c>
      <c r="AX1" t="s">
        <v>113</v>
      </c>
    </row>
    <row r="2" spans="1:50" x14ac:dyDescent="0.35">
      <c r="A2" t="s">
        <v>109</v>
      </c>
      <c r="Q2" t="s">
        <v>110</v>
      </c>
      <c r="AB2" t="s">
        <v>111</v>
      </c>
      <c r="AC2" t="s">
        <v>105</v>
      </c>
      <c r="AW2" t="s">
        <v>108</v>
      </c>
      <c r="AX2" t="s">
        <v>107</v>
      </c>
    </row>
    <row r="3" spans="1:50" x14ac:dyDescent="0.35">
      <c r="A3" t="s">
        <v>142</v>
      </c>
      <c r="B3" t="s">
        <v>143</v>
      </c>
      <c r="Q3" t="s">
        <v>142</v>
      </c>
      <c r="R3" t="s">
        <v>143</v>
      </c>
      <c r="AB3" t="s">
        <v>142</v>
      </c>
      <c r="AC3" t="s">
        <v>143</v>
      </c>
      <c r="AW3" t="s">
        <v>142</v>
      </c>
      <c r="AX3" t="s">
        <v>143</v>
      </c>
    </row>
    <row r="4" spans="1:50" x14ac:dyDescent="0.35">
      <c r="A4" s="4">
        <v>1.0880999488990712</v>
      </c>
      <c r="Q4" s="4">
        <v>2.7916141485769558E-2</v>
      </c>
      <c r="AB4" s="4">
        <v>8.5299999999999994</v>
      </c>
      <c r="AC4" s="4">
        <v>8.5355100000000004</v>
      </c>
      <c r="AV4">
        <f>3600*AB4*(MWw/pw)*AS4*(AQ4/100)</f>
        <v>0</v>
      </c>
      <c r="AW4">
        <v>0.10653953253307202</v>
      </c>
      <c r="AX4">
        <v>0.21667165999999899</v>
      </c>
    </row>
    <row r="5" spans="1:50" x14ac:dyDescent="0.35">
      <c r="A5" s="4">
        <v>1.669019444386268</v>
      </c>
      <c r="Q5" s="4">
        <v>4.6707020353983712E-2</v>
      </c>
      <c r="AB5" s="4">
        <v>11.628368388699492</v>
      </c>
      <c r="AC5" s="4">
        <v>10.608029999999999</v>
      </c>
      <c r="AV5">
        <f t="shared" ref="AV5:AV26" si="0">3600*AB5*(18.015/998.23)*AS5*(AQ5/100)</f>
        <v>0</v>
      </c>
      <c r="AW5">
        <v>0.14817598278292421</v>
      </c>
      <c r="AX5">
        <v>0.24396708372524753</v>
      </c>
    </row>
    <row r="6" spans="1:50" x14ac:dyDescent="0.35">
      <c r="A6" s="4">
        <v>2.249938939873465</v>
      </c>
      <c r="Q6" s="4">
        <v>6.1507488631663478E-2</v>
      </c>
      <c r="AB6" s="4">
        <v>15.004750098552083</v>
      </c>
      <c r="AC6" s="4">
        <v>13.44411</v>
      </c>
      <c r="AV6">
        <f t="shared" si="0"/>
        <v>0</v>
      </c>
      <c r="AW6">
        <v>0.20463714650775117</v>
      </c>
      <c r="AX6">
        <v>0.11010212049717268</v>
      </c>
    </row>
    <row r="7" spans="1:50" x14ac:dyDescent="0.35">
      <c r="A7" s="4">
        <v>2.8308584353606614</v>
      </c>
      <c r="Q7" s="4">
        <v>7.8888403823706973E-2</v>
      </c>
      <c r="AB7" s="4">
        <v>18.659145129557775</v>
      </c>
      <c r="AC7" s="4">
        <v>14.834879999999998</v>
      </c>
      <c r="AV7">
        <f t="shared" si="0"/>
        <v>0</v>
      </c>
      <c r="AW7">
        <v>0.24960411615598763</v>
      </c>
      <c r="AX7">
        <v>0.17715052756768032</v>
      </c>
    </row>
    <row r="8" spans="1:50" x14ac:dyDescent="0.35">
      <c r="A8" s="4">
        <v>3.4117779308478582</v>
      </c>
      <c r="Q8" s="4">
        <v>9.1938589302220097E-2</v>
      </c>
      <c r="AB8" s="4">
        <v>22.591553481716566</v>
      </c>
      <c r="AC8" s="4">
        <v>17.207369999999997</v>
      </c>
      <c r="AV8">
        <f t="shared" si="0"/>
        <v>0</v>
      </c>
      <c r="AW8">
        <v>0.31175590147610643</v>
      </c>
      <c r="AX8">
        <v>0.28430573375270429</v>
      </c>
    </row>
    <row r="9" spans="1:50" x14ac:dyDescent="0.35">
      <c r="A9" s="4">
        <v>3.992697426335055</v>
      </c>
      <c r="Q9" s="4">
        <v>0.10892524251385043</v>
      </c>
      <c r="AB9" s="4">
        <v>26.801975155028455</v>
      </c>
      <c r="AC9" s="4">
        <v>24.379379999999998</v>
      </c>
      <c r="AV9">
        <f t="shared" si="0"/>
        <v>0</v>
      </c>
      <c r="AW9">
        <v>0.35741862671041624</v>
      </c>
      <c r="AX9">
        <v>0.36436441630564753</v>
      </c>
    </row>
    <row r="10" spans="1:50" x14ac:dyDescent="0.35">
      <c r="A10" s="4">
        <v>4.5736169218222518</v>
      </c>
      <c r="Q10" s="4">
        <v>0.12183492186746975</v>
      </c>
      <c r="AB10" s="4">
        <v>31.290410149493443</v>
      </c>
      <c r="AC10" s="4">
        <v>27.324540000000002</v>
      </c>
      <c r="AV10">
        <f t="shared" si="0"/>
        <v>0</v>
      </c>
      <c r="AW10">
        <v>0.41823838233428978</v>
      </c>
      <c r="AX10">
        <v>0.34191337145474787</v>
      </c>
    </row>
    <row r="11" spans="1:50" x14ac:dyDescent="0.35">
      <c r="A11" s="4">
        <v>5.1545364173094477</v>
      </c>
      <c r="Q11" s="4">
        <v>0.13922554418705291</v>
      </c>
      <c r="AB11" s="4">
        <v>36.056858465111532</v>
      </c>
      <c r="AC11" s="4">
        <v>28.442610000000002</v>
      </c>
      <c r="AV11">
        <f>3600*AB11*(18.015/998.23)*AS11*(AQ11/100)</f>
        <v>0</v>
      </c>
      <c r="AW11">
        <v>0.46137368128605982</v>
      </c>
      <c r="AX11">
        <v>0.34240131937091428</v>
      </c>
    </row>
    <row r="12" spans="1:50" x14ac:dyDescent="0.35">
      <c r="A12" s="4">
        <v>5.7354559127966445</v>
      </c>
      <c r="Q12" s="4">
        <v>0.15128493854070688</v>
      </c>
      <c r="AB12" s="4">
        <v>41.10132010188272</v>
      </c>
      <c r="AC12" s="4">
        <v>41.832180000000001</v>
      </c>
      <c r="AV12">
        <f t="shared" si="0"/>
        <v>0</v>
      </c>
      <c r="AW12">
        <v>0.52377572197498212</v>
      </c>
      <c r="AX12">
        <v>0.41554447854243987</v>
      </c>
    </row>
    <row r="13" spans="1:50" x14ac:dyDescent="0.35">
      <c r="A13" s="4">
        <v>6.316375408283843</v>
      </c>
      <c r="Q13" s="4">
        <v>0.16889958970189076</v>
      </c>
      <c r="AB13" s="4">
        <v>46.423795059807006</v>
      </c>
      <c r="AC13" s="4">
        <v>54.976320000000001</v>
      </c>
      <c r="AV13">
        <f t="shared" si="0"/>
        <v>0</v>
      </c>
      <c r="AW13">
        <v>0.56519177969079359</v>
      </c>
      <c r="AX13">
        <v>0.55141679620200101</v>
      </c>
    </row>
    <row r="14" spans="1:50" x14ac:dyDescent="0.35">
      <c r="A14" s="4">
        <v>6.8972949037710398</v>
      </c>
      <c r="Q14" s="4">
        <v>0.19523317899557222</v>
      </c>
      <c r="AB14" s="4">
        <v>52.024283338884388</v>
      </c>
      <c r="AC14" s="4">
        <v>58.521419999999999</v>
      </c>
      <c r="AV14">
        <f t="shared" si="0"/>
        <v>0</v>
      </c>
      <c r="AW14">
        <v>0.56932525040281257</v>
      </c>
      <c r="AX14">
        <v>0.66049051289871319</v>
      </c>
    </row>
    <row r="15" spans="1:50" x14ac:dyDescent="0.35">
      <c r="A15" s="4">
        <v>7.4782143992582357</v>
      </c>
      <c r="Q15" s="4">
        <v>0.19348481542771923</v>
      </c>
      <c r="AB15" s="4">
        <v>57.902784939114873</v>
      </c>
      <c r="AC15" s="4">
        <v>58.257109999999997</v>
      </c>
      <c r="AV15">
        <f t="shared" si="0"/>
        <v>0</v>
      </c>
      <c r="AW15">
        <v>0.68415609565602264</v>
      </c>
      <c r="AX15">
        <v>0.72870398834997696</v>
      </c>
    </row>
    <row r="16" spans="1:50" x14ac:dyDescent="0.35">
      <c r="A16" s="4">
        <v>8.0591338947454325</v>
      </c>
      <c r="Q16" s="4">
        <v>0.211214099917478</v>
      </c>
      <c r="AB16" s="4">
        <v>64.059299860498456</v>
      </c>
      <c r="AC16" s="4">
        <v>65.993399999999994</v>
      </c>
      <c r="AV16">
        <f t="shared" si="0"/>
        <v>0</v>
      </c>
      <c r="AW16">
        <v>0.72411096508686124</v>
      </c>
      <c r="AX16">
        <v>0.90699711485302936</v>
      </c>
    </row>
    <row r="17" spans="1:50" x14ac:dyDescent="0.35">
      <c r="A17" s="4">
        <v>8.6400533902326284</v>
      </c>
      <c r="Q17" s="4">
        <v>0.23081578645506209</v>
      </c>
      <c r="AB17" s="4">
        <v>70.493828103035142</v>
      </c>
      <c r="AC17" s="4">
        <v>72.374580000000009</v>
      </c>
      <c r="AV17">
        <f t="shared" si="0"/>
        <v>0</v>
      </c>
      <c r="AW17">
        <v>0.75633554160270333</v>
      </c>
      <c r="AX17">
        <v>0.84316048160243096</v>
      </c>
    </row>
    <row r="18" spans="1:50" x14ac:dyDescent="0.35">
      <c r="A18" s="4">
        <v>9.2209728857198243</v>
      </c>
      <c r="Q18" s="4">
        <v>0.24973768024694104</v>
      </c>
      <c r="AB18" s="4">
        <v>77.206369666724925</v>
      </c>
      <c r="AC18" s="4">
        <v>78.755760000000009</v>
      </c>
      <c r="AV18">
        <f t="shared" si="0"/>
        <v>0</v>
      </c>
      <c r="AW18">
        <v>0.7897751292187577</v>
      </c>
      <c r="AX18">
        <v>0.82692059515782901</v>
      </c>
    </row>
    <row r="19" spans="1:50" x14ac:dyDescent="0.35">
      <c r="A19" s="4">
        <v>9.801892381207022</v>
      </c>
      <c r="Q19" s="4">
        <v>0.26636765336941759</v>
      </c>
      <c r="AB19" s="4">
        <v>84.196924551567804</v>
      </c>
      <c r="AC19" s="4">
        <v>83.228039999999993</v>
      </c>
      <c r="AV19">
        <f t="shared" si="0"/>
        <v>0</v>
      </c>
      <c r="AW19">
        <v>0.83127627444360341</v>
      </c>
      <c r="AX19">
        <v>0.79641445176807313</v>
      </c>
    </row>
    <row r="20" spans="1:50" x14ac:dyDescent="0.35">
      <c r="A20" s="4">
        <v>9.801892381207022</v>
      </c>
      <c r="Q20" s="4">
        <v>0.2679538535314151</v>
      </c>
      <c r="AB20" s="4">
        <v>91.187479436410683</v>
      </c>
      <c r="AC20" s="4">
        <v>97.981109999999987</v>
      </c>
      <c r="AV20">
        <f t="shared" si="0"/>
        <v>0</v>
      </c>
      <c r="AW20">
        <v>0.82502866582593459</v>
      </c>
      <c r="AX20">
        <v>0.80796578724955048</v>
      </c>
    </row>
    <row r="21" spans="1:50" x14ac:dyDescent="0.35">
      <c r="A21" s="4">
        <v>9.801892381207022</v>
      </c>
      <c r="Q21" s="4">
        <v>0.27074004859857681</v>
      </c>
      <c r="AB21" s="4">
        <v>98.178034321253563</v>
      </c>
      <c r="AC21" s="4">
        <v>102.88970999999999</v>
      </c>
      <c r="AV21">
        <f t="shared" si="0"/>
        <v>0</v>
      </c>
      <c r="AW21">
        <v>0.81376501129586498</v>
      </c>
      <c r="AX21">
        <v>0.81549828469142993</v>
      </c>
    </row>
    <row r="22" spans="1:50" x14ac:dyDescent="0.35">
      <c r="A22" s="4">
        <v>9.801892381207022</v>
      </c>
      <c r="Q22" s="4">
        <v>0.27057108379871142</v>
      </c>
      <c r="AB22" s="4">
        <v>105.16858920609644</v>
      </c>
      <c r="AC22" s="4">
        <v>109.54358999999999</v>
      </c>
      <c r="AV22">
        <f t="shared" si="0"/>
        <v>0</v>
      </c>
      <c r="AW22">
        <v>0.81445857578881375</v>
      </c>
      <c r="AX22">
        <v>0.82364203832008109</v>
      </c>
    </row>
    <row r="23" spans="1:50" x14ac:dyDescent="0.35">
      <c r="A23" s="4">
        <v>9.801892381207022</v>
      </c>
      <c r="B23" s="4"/>
      <c r="C23" s="15"/>
      <c r="Q23" s="4">
        <v>0.25424011865257845</v>
      </c>
      <c r="AB23" s="4">
        <v>112.15914409093932</v>
      </c>
      <c r="AC23" s="4">
        <v>112.62510000000002</v>
      </c>
      <c r="AV23">
        <f t="shared" si="0"/>
        <v>0</v>
      </c>
      <c r="AW23">
        <v>0.87506608279281128</v>
      </c>
      <c r="AX23">
        <v>0.72469457130629278</v>
      </c>
    </row>
    <row r="24" spans="1:50" x14ac:dyDescent="0.35">
      <c r="A24" s="4">
        <v>9.801892381207022</v>
      </c>
      <c r="Q24" s="4">
        <v>0.26497583661857588</v>
      </c>
      <c r="AB24" s="4">
        <v>119.1496989757822</v>
      </c>
      <c r="AC24" s="4">
        <v>113.93406000000002</v>
      </c>
      <c r="AV24">
        <f t="shared" si="0"/>
        <v>0</v>
      </c>
      <c r="AW24">
        <v>0.83665952464458426</v>
      </c>
      <c r="AX24">
        <v>0.72273520787815815</v>
      </c>
    </row>
    <row r="25" spans="1:50" x14ac:dyDescent="0.35">
      <c r="A25" s="4">
        <v>9.801892381207022</v>
      </c>
      <c r="Q25" s="4">
        <v>0.26497583661857588</v>
      </c>
      <c r="AB25" s="4">
        <v>126.14025386062508</v>
      </c>
      <c r="AC25" s="4">
        <v>116.77014000000001</v>
      </c>
      <c r="AV25">
        <f t="shared" si="0"/>
        <v>0</v>
      </c>
      <c r="AW25">
        <v>0.83665952464458426</v>
      </c>
      <c r="AX25">
        <v>0.87955668008968224</v>
      </c>
    </row>
    <row r="26" spans="1:50" x14ac:dyDescent="0.35">
      <c r="A26" s="4">
        <v>9.801892381207022</v>
      </c>
      <c r="B26" s="15">
        <v>7.3055555555555598</v>
      </c>
      <c r="Q26" s="4">
        <v>0.26497583661857588</v>
      </c>
      <c r="R26" s="4">
        <v>0.18999999000000001</v>
      </c>
      <c r="AB26" s="4">
        <v>133.13080874546796</v>
      </c>
      <c r="AC26" s="4">
        <v>132.28677000000002</v>
      </c>
      <c r="AV26">
        <f t="shared" si="0"/>
        <v>0</v>
      </c>
      <c r="AW26">
        <v>0.83665952464458426</v>
      </c>
      <c r="AX26">
        <v>0.93796983000000089</v>
      </c>
    </row>
    <row r="29" spans="1:50" x14ac:dyDescent="0.35">
      <c r="Q29" t="s">
        <v>104</v>
      </c>
      <c r="AB29" t="s">
        <v>35</v>
      </c>
      <c r="AW29" s="2"/>
    </row>
    <row r="30" spans="1:50" x14ac:dyDescent="0.35">
      <c r="A30" t="s">
        <v>140</v>
      </c>
      <c r="B30" t="s">
        <v>141</v>
      </c>
      <c r="Q30" t="s">
        <v>140</v>
      </c>
      <c r="R30" t="s">
        <v>141</v>
      </c>
      <c r="AB30" t="s">
        <v>140</v>
      </c>
      <c r="AC30" t="s">
        <v>141</v>
      </c>
      <c r="AW30" t="s">
        <v>140</v>
      </c>
      <c r="AX30" t="s">
        <v>141</v>
      </c>
    </row>
    <row r="31" spans="1:50" x14ac:dyDescent="0.35">
      <c r="A31">
        <v>4.5613933079241846</v>
      </c>
      <c r="Q31">
        <v>0.11702647453029638</v>
      </c>
      <c r="AB31" s="4">
        <v>8.5299999999999994</v>
      </c>
      <c r="AC31" s="4">
        <v>6.719328</v>
      </c>
      <c r="AW31">
        <v>0.43141383160868613</v>
      </c>
      <c r="AX31">
        <v>0.28342044</v>
      </c>
    </row>
    <row r="32" spans="1:50" x14ac:dyDescent="0.35">
      <c r="A32">
        <v>4.5613933079241846</v>
      </c>
      <c r="Q32">
        <v>0.12764925585039091</v>
      </c>
      <c r="AB32" s="4">
        <v>11.380051200223924</v>
      </c>
      <c r="AC32" s="4">
        <v>6.9102179999999986</v>
      </c>
      <c r="AW32">
        <v>0.39248723122666718</v>
      </c>
      <c r="AX32">
        <v>0.265082522747562</v>
      </c>
    </row>
    <row r="33" spans="1:50" x14ac:dyDescent="0.35">
      <c r="A33">
        <v>4.5613933079241846</v>
      </c>
      <c r="Q33">
        <v>0.12469664934439116</v>
      </c>
      <c r="AB33" s="4">
        <v>14.23010240044785</v>
      </c>
      <c r="AC33" s="4">
        <v>8.3282579999999999</v>
      </c>
      <c r="AW33">
        <v>0.40488135084639049</v>
      </c>
      <c r="AX33">
        <v>0.30455447789464951</v>
      </c>
    </row>
    <row r="34" spans="1:50" x14ac:dyDescent="0.35">
      <c r="A34">
        <v>4.5613933079241846</v>
      </c>
      <c r="Q34">
        <v>0.12711375206172493</v>
      </c>
      <c r="AB34" s="4">
        <v>17.080153600671775</v>
      </c>
      <c r="AC34" s="4">
        <v>11.709737999999998</v>
      </c>
      <c r="AW34">
        <v>0.39480694495074437</v>
      </c>
      <c r="AX34">
        <v>0.39055320274791633</v>
      </c>
    </row>
    <row r="35" spans="1:50" x14ac:dyDescent="0.35">
      <c r="A35">
        <v>4.5613933079241846</v>
      </c>
      <c r="Q35">
        <v>0.12291774977245368</v>
      </c>
      <c r="AB35" s="4">
        <v>19.930204800895702</v>
      </c>
      <c r="AC35" s="4">
        <v>12.446027999999998</v>
      </c>
      <c r="AW35">
        <v>0.41188073996375024</v>
      </c>
      <c r="AX35">
        <v>0.50018670798179132</v>
      </c>
    </row>
    <row r="36" spans="1:50" x14ac:dyDescent="0.35">
      <c r="A36">
        <v>4.5613933079241846</v>
      </c>
      <c r="Q36">
        <v>0.1244399009525652</v>
      </c>
      <c r="AB36" s="4">
        <v>22.780256001119628</v>
      </c>
      <c r="AC36" s="4">
        <v>13.727717999999999</v>
      </c>
      <c r="AW36">
        <v>0.40591332278203657</v>
      </c>
      <c r="AX36">
        <v>0.51932121458109304</v>
      </c>
    </row>
    <row r="37" spans="1:50" x14ac:dyDescent="0.35">
      <c r="A37">
        <v>4.5613933079241846</v>
      </c>
      <c r="Q37">
        <v>0.12150930145157891</v>
      </c>
      <c r="AB37" s="4">
        <v>25.630307201343555</v>
      </c>
      <c r="AC37" s="4">
        <v>19.127178000000001</v>
      </c>
      <c r="AW37">
        <v>0.41717239430100206</v>
      </c>
      <c r="AX37">
        <v>0.61694167324257654</v>
      </c>
    </row>
    <row r="38" spans="1:50" x14ac:dyDescent="0.35">
      <c r="A38">
        <v>6.0662597336253468</v>
      </c>
      <c r="Q38">
        <v>0.16385145902894724</v>
      </c>
      <c r="AB38" s="4">
        <v>31.153653967431257</v>
      </c>
      <c r="AC38" s="4">
        <v>20.954267999999999</v>
      </c>
      <c r="AW38">
        <v>0.53796089512459422</v>
      </c>
      <c r="AX38">
        <v>0.6402037524450821</v>
      </c>
    </row>
    <row r="39" spans="1:50" x14ac:dyDescent="0.35">
      <c r="A39">
        <v>6.2812406515826549</v>
      </c>
      <c r="Q39">
        <v>0.16568118042959903</v>
      </c>
      <c r="AB39" s="4">
        <v>37.058900100070929</v>
      </c>
      <c r="AC39" s="4">
        <v>36.007308000000002</v>
      </c>
      <c r="AW39">
        <v>0.57052023168292787</v>
      </c>
      <c r="AX39">
        <v>0.62374892881502342</v>
      </c>
    </row>
    <row r="40" spans="1:50" x14ac:dyDescent="0.35">
      <c r="A40">
        <v>6.4962215695399648</v>
      </c>
      <c r="Q40">
        <v>0.17370866783327943</v>
      </c>
      <c r="AB40" s="4">
        <v>43.346045599262567</v>
      </c>
      <c r="AC40" s="4">
        <v>42.088518000000001</v>
      </c>
      <c r="AW40">
        <v>0.58023895565799688</v>
      </c>
      <c r="AX40">
        <v>0.56606073628844134</v>
      </c>
    </row>
    <row r="41" spans="1:50" x14ac:dyDescent="0.35">
      <c r="A41">
        <v>6.7112024874972729</v>
      </c>
      <c r="Q41">
        <v>0.18996569159319496</v>
      </c>
      <c r="AB41" s="4">
        <v>50.015090465006175</v>
      </c>
      <c r="AC41" s="4">
        <v>46.778958000000003</v>
      </c>
      <c r="AW41">
        <v>0.55504934724538901</v>
      </c>
      <c r="AX41">
        <v>0.47364196708314749</v>
      </c>
    </row>
    <row r="42" spans="1:50" x14ac:dyDescent="0.35">
      <c r="A42">
        <v>6.9261834054545828</v>
      </c>
      <c r="Q42">
        <v>0.17920204560541048</v>
      </c>
      <c r="AB42" s="4">
        <v>57.066034697301752</v>
      </c>
      <c r="AC42" s="4">
        <v>60.986627999999996</v>
      </c>
      <c r="AW42">
        <v>0.63703066922909446</v>
      </c>
      <c r="AX42">
        <v>0.4086356992000037</v>
      </c>
    </row>
    <row r="43" spans="1:50" x14ac:dyDescent="0.35">
      <c r="A43">
        <v>7.14116432341189</v>
      </c>
      <c r="Q43">
        <v>0.18715591707884036</v>
      </c>
      <c r="AB43" s="4">
        <v>64.4988782961493</v>
      </c>
      <c r="AC43" s="4">
        <v>71.076527999999996</v>
      </c>
      <c r="AW43">
        <v>0.64737619774265398</v>
      </c>
      <c r="AX43">
        <v>0.592452942098596</v>
      </c>
    </row>
    <row r="44" spans="1:50" x14ac:dyDescent="0.35">
      <c r="A44">
        <v>7.3561452413691999</v>
      </c>
      <c r="Q44">
        <v>0.19651666170069571</v>
      </c>
      <c r="AB44" s="4">
        <v>72.313621261548818</v>
      </c>
      <c r="AC44" s="4">
        <v>85.475088</v>
      </c>
      <c r="AW44">
        <v>0.65213524891344599</v>
      </c>
      <c r="AX44">
        <v>0.70488258983948515</v>
      </c>
    </row>
    <row r="45" spans="1:50" x14ac:dyDescent="0.35">
      <c r="A45">
        <v>7.5711261593265089</v>
      </c>
      <c r="Q45">
        <v>0.20505379500847887</v>
      </c>
      <c r="AB45" s="4">
        <v>80.510263593500298</v>
      </c>
      <c r="AC45" s="4">
        <v>90.738198000000011</v>
      </c>
      <c r="AW45">
        <v>0.65917776554806196</v>
      </c>
      <c r="AX45">
        <v>0.56177252482741113</v>
      </c>
    </row>
    <row r="46" spans="1:50" x14ac:dyDescent="0.35">
      <c r="A46">
        <v>7.7861070772838179</v>
      </c>
      <c r="Q46">
        <v>0.21158843521231488</v>
      </c>
      <c r="AB46" s="4">
        <v>89.088805292003741</v>
      </c>
      <c r="AC46" s="4">
        <v>98.101098000000007</v>
      </c>
      <c r="AW46">
        <v>0.67366184803288187</v>
      </c>
      <c r="AX46">
        <v>0.63992046933156943</v>
      </c>
    </row>
    <row r="47" spans="1:50" x14ac:dyDescent="0.35">
      <c r="A47">
        <v>7.7861070772838179</v>
      </c>
      <c r="Q47">
        <v>0.2128484290815596</v>
      </c>
      <c r="AB47" s="4">
        <v>97.667346990507184</v>
      </c>
      <c r="AC47" s="4">
        <v>100.419048</v>
      </c>
      <c r="AW47">
        <v>0.66867147391511239</v>
      </c>
      <c r="AX47">
        <v>0.70857704529069554</v>
      </c>
    </row>
    <row r="48" spans="1:50" x14ac:dyDescent="0.35">
      <c r="A48">
        <v>7.7861070772838179</v>
      </c>
      <c r="Q48">
        <v>0.21506163570405978</v>
      </c>
      <c r="AB48" s="4">
        <v>106.24588868901063</v>
      </c>
      <c r="AC48" s="4">
        <v>108.30007800000001</v>
      </c>
      <c r="AW48">
        <v>0.65966819246850927</v>
      </c>
      <c r="AX48">
        <v>0.63845427183485615</v>
      </c>
    </row>
    <row r="49" spans="1:50" x14ac:dyDescent="0.35">
      <c r="A49">
        <v>7.7861070772838179</v>
      </c>
      <c r="Q49">
        <v>0.21492741896581377</v>
      </c>
      <c r="AB49" s="4">
        <v>114.82443038751407</v>
      </c>
      <c r="AC49" s="4">
        <v>118.417248</v>
      </c>
      <c r="AW49">
        <v>0.66022279713586796</v>
      </c>
      <c r="AX49">
        <v>0.73853103117650143</v>
      </c>
    </row>
    <row r="50" spans="1:50" x14ac:dyDescent="0.35">
      <c r="A50">
        <v>7.7861070772838179</v>
      </c>
      <c r="Q50">
        <v>0.20195496034680543</v>
      </c>
      <c r="AB50" s="4">
        <v>123.40297208601751</v>
      </c>
      <c r="AC50" s="4">
        <v>127.661778</v>
      </c>
      <c r="AW50">
        <v>0.7085573179908381</v>
      </c>
      <c r="AX50">
        <v>0.67526793554628151</v>
      </c>
    </row>
    <row r="51" spans="1:50" x14ac:dyDescent="0.35">
      <c r="A51">
        <v>7.7861070772838179</v>
      </c>
      <c r="Q51">
        <v>0.21048284928741859</v>
      </c>
      <c r="AB51" s="4">
        <v>131.98151378452096</v>
      </c>
      <c r="AC51" s="4">
        <v>128.53441800000002</v>
      </c>
      <c r="AW51">
        <v>0.67795969911892384</v>
      </c>
      <c r="AX51">
        <v>0.64097832783216524</v>
      </c>
    </row>
    <row r="52" spans="1:50" x14ac:dyDescent="0.35">
      <c r="A52">
        <v>7.7861070772838179</v>
      </c>
      <c r="Q52">
        <v>0.21048284928741859</v>
      </c>
      <c r="AB52" s="4">
        <v>140.5600554830244</v>
      </c>
      <c r="AC52" s="4">
        <v>128.69803800000003</v>
      </c>
      <c r="AW52">
        <v>0.67795969911892384</v>
      </c>
      <c r="AX52">
        <v>0.80012371212156597</v>
      </c>
    </row>
    <row r="53" spans="1:50" x14ac:dyDescent="0.35">
      <c r="A53">
        <v>7.7861070772838179</v>
      </c>
      <c r="B53">
        <v>7.8933333333333344</v>
      </c>
      <c r="Q53">
        <v>0.21048284928741859</v>
      </c>
      <c r="R53">
        <v>0.21111111111111</v>
      </c>
      <c r="AB53" s="4">
        <v>149.13859718152784</v>
      </c>
      <c r="AC53" s="4">
        <v>139.68522820000001</v>
      </c>
      <c r="AW53" s="1">
        <v>0.67795969911892384</v>
      </c>
      <c r="AX53">
        <v>0.81700919999999977</v>
      </c>
    </row>
    <row r="54" spans="1:50" x14ac:dyDescent="0.35">
      <c r="Q54" s="1"/>
    </row>
    <row r="55" spans="1:50" x14ac:dyDescent="0.35">
      <c r="AB55" t="s">
        <v>35</v>
      </c>
    </row>
    <row r="56" spans="1:50" x14ac:dyDescent="0.35">
      <c r="Q56" t="s">
        <v>104</v>
      </c>
      <c r="AB56" t="s">
        <v>139</v>
      </c>
      <c r="AC56" t="s">
        <v>115</v>
      </c>
      <c r="AW56" s="2"/>
    </row>
    <row r="57" spans="1:50" x14ac:dyDescent="0.35">
      <c r="A57" t="s">
        <v>139</v>
      </c>
      <c r="B57" t="s">
        <v>115</v>
      </c>
      <c r="Q57" t="s">
        <v>139</v>
      </c>
      <c r="R57" t="s">
        <v>115</v>
      </c>
      <c r="AB57" t="e">
        <f t="array" ref="AB57:AC79">[1]!'!G_ON!R15C9:R37C10'</f>
        <v>#REF!</v>
      </c>
      <c r="AC57" t="e">
        <v>#REF!</v>
      </c>
      <c r="AW57" t="s">
        <v>139</v>
      </c>
      <c r="AX57" t="s">
        <v>115</v>
      </c>
    </row>
    <row r="58" spans="1:50" x14ac:dyDescent="0.35">
      <c r="A58">
        <v>9.0179882617008982</v>
      </c>
      <c r="Q58">
        <v>0.23136425701091787</v>
      </c>
      <c r="AB58" t="e">
        <v>#REF!</v>
      </c>
      <c r="AC58" t="e">
        <v>#REF!</v>
      </c>
      <c r="AW58" s="4">
        <f t="array" ref="AW58:AX80">[1]!'!G_ON!R15C33:R37C34'</f>
        <v>0.72607453016318335</v>
      </c>
      <c r="AX58" s="4">
        <v>0.65344192000000001</v>
      </c>
    </row>
    <row r="59" spans="1:50" x14ac:dyDescent="0.35">
      <c r="A59">
        <v>9.6364859569092118</v>
      </c>
      <c r="Q59">
        <v>0.2696742373158777</v>
      </c>
      <c r="AB59" t="e">
        <v>#REF!</v>
      </c>
      <c r="AC59" t="e">
        <v>#REF!</v>
      </c>
      <c r="AW59" s="4">
        <v>0.83128737388450591</v>
      </c>
      <c r="AX59" s="4">
        <v>0.64036455686883453</v>
      </c>
    </row>
    <row r="60" spans="1:50" x14ac:dyDescent="0.35">
      <c r="A60">
        <v>10.254983652117522</v>
      </c>
      <c r="Q60">
        <v>0.28034462590170856</v>
      </c>
      <c r="AB60" t="e">
        <v>#REF!</v>
      </c>
      <c r="AC60" t="e">
        <v>#REF!</v>
      </c>
      <c r="AW60" s="4">
        <v>0.63043827238055505</v>
      </c>
      <c r="AX60" s="4">
        <v>0.7932894879379141</v>
      </c>
    </row>
    <row r="61" spans="1:50" x14ac:dyDescent="0.35">
      <c r="A61">
        <v>10.873481347325832</v>
      </c>
      <c r="Q61">
        <v>0.30301465335835487</v>
      </c>
      <c r="AB61" t="e">
        <v>#REF!</v>
      </c>
      <c r="AC61" t="e">
        <v>#REF!</v>
      </c>
      <c r="AW61" s="4">
        <v>0.60065134064821901</v>
      </c>
      <c r="AX61" s="4">
        <v>0.82293179955777551</v>
      </c>
    </row>
    <row r="62" spans="1:50" x14ac:dyDescent="0.35">
      <c r="A62">
        <v>11.491979042534142</v>
      </c>
      <c r="Q62">
        <v>0.30967910657617248</v>
      </c>
      <c r="AB62" t="e">
        <v>#REF!</v>
      </c>
      <c r="AC62" t="e">
        <v>#REF!</v>
      </c>
      <c r="AW62" s="4">
        <v>1.3870191027678538</v>
      </c>
      <c r="AX62" s="4">
        <v>0.92074311955178001</v>
      </c>
    </row>
    <row r="63" spans="1:50" x14ac:dyDescent="0.35">
      <c r="A63">
        <v>12.110476737742456</v>
      </c>
      <c r="Q63">
        <v>0.33038732334590964</v>
      </c>
      <c r="AB63" t="e">
        <v>#REF!</v>
      </c>
      <c r="AC63" t="e">
        <v>#REF!</v>
      </c>
      <c r="AW63" s="4">
        <v>1.0669376574750262</v>
      </c>
      <c r="AX63" s="4">
        <v>0.90838052650279877</v>
      </c>
    </row>
    <row r="64" spans="1:50" x14ac:dyDescent="0.35">
      <c r="A64">
        <v>12.728974432950766</v>
      </c>
      <c r="Q64">
        <v>0.33908253183427589</v>
      </c>
      <c r="AB64" t="e">
        <v>#REF!</v>
      </c>
      <c r="AC64" t="e">
        <v>#REF!</v>
      </c>
      <c r="AW64" s="4">
        <v>1.1102460279776243</v>
      </c>
      <c r="AX64" s="4">
        <v>1.0929272816425069</v>
      </c>
    </row>
    <row r="65" spans="1:50" x14ac:dyDescent="0.35">
      <c r="A65">
        <v>13.347472128159076</v>
      </c>
      <c r="Q65">
        <v>0.3605191466538254</v>
      </c>
      <c r="AB65" t="e">
        <v>#REF!</v>
      </c>
      <c r="AC65" t="e">
        <v>#REF!</v>
      </c>
      <c r="AW65" s="4">
        <v>1.1652266951639172</v>
      </c>
      <c r="AX65" s="4">
        <v>1.2695042034321</v>
      </c>
    </row>
    <row r="66" spans="1:50" x14ac:dyDescent="0.35">
      <c r="A66">
        <v>13.965969823367388</v>
      </c>
      <c r="Q66">
        <v>0.36838237770696552</v>
      </c>
      <c r="AB66" t="e">
        <v>#REF!</v>
      </c>
      <c r="AC66" t="e">
        <v>#REF!</v>
      </c>
      <c r="AW66" s="4">
        <v>1.1693480104719869</v>
      </c>
      <c r="AX66" s="4">
        <v>1.4691599777452999</v>
      </c>
    </row>
    <row r="67" spans="1:50" x14ac:dyDescent="0.35">
      <c r="A67">
        <v>14.584467518575698</v>
      </c>
      <c r="Q67">
        <v>0.3899879948043285</v>
      </c>
      <c r="AB67" t="e">
        <v>#REF!</v>
      </c>
      <c r="AC67" t="e">
        <v>#REF!</v>
      </c>
      <c r="AW67" s="4">
        <v>1.1868953535753768</v>
      </c>
      <c r="AX67" s="4">
        <v>1.7144410320459029</v>
      </c>
    </row>
    <row r="68" spans="1:50" x14ac:dyDescent="0.35">
      <c r="A68">
        <v>15.20296521378401</v>
      </c>
      <c r="Q68">
        <v>0.43033149521029673</v>
      </c>
      <c r="AB68" t="e">
        <v>#REF!</v>
      </c>
      <c r="AC68" t="e">
        <v>#REF!</v>
      </c>
      <c r="AW68" s="4">
        <v>1.2044224991577914</v>
      </c>
      <c r="AX68" s="4">
        <v>1.5740064605333901</v>
      </c>
    </row>
    <row r="69" spans="1:50" x14ac:dyDescent="0.35">
      <c r="A69">
        <v>15.821462908992324</v>
      </c>
      <c r="Q69">
        <v>0.40935077109403645</v>
      </c>
      <c r="AB69" t="e">
        <v>#REF!</v>
      </c>
      <c r="AC69" t="e">
        <v>#REF!</v>
      </c>
      <c r="AW69" s="4">
        <v>1.2455499759497981</v>
      </c>
      <c r="AX69" s="4">
        <v>1.3759656046377</v>
      </c>
    </row>
    <row r="70" spans="1:50" x14ac:dyDescent="0.35">
      <c r="A70">
        <v>16.439960604200632</v>
      </c>
      <c r="Q70">
        <v>0.43085913784842472</v>
      </c>
      <c r="AB70" t="e">
        <v>#REF!</v>
      </c>
      <c r="AC70" t="e">
        <v>#REF!</v>
      </c>
      <c r="AW70" s="4">
        <v>1.2994181820541033</v>
      </c>
      <c r="AX70" s="4">
        <v>1.291948830207698</v>
      </c>
    </row>
    <row r="71" spans="1:50" x14ac:dyDescent="0.35">
      <c r="A71">
        <v>17.058458299408944</v>
      </c>
      <c r="Q71">
        <v>0.45571031685290836</v>
      </c>
      <c r="AB71" t="e">
        <v>#REF!</v>
      </c>
      <c r="AC71" t="e">
        <v>#REF!</v>
      </c>
      <c r="AW71" s="4">
        <v>1.2583468468484742</v>
      </c>
      <c r="AX71" s="4">
        <v>1.2500835476657397</v>
      </c>
    </row>
    <row r="72" spans="1:50" x14ac:dyDescent="0.35">
      <c r="A72">
        <v>17.676955994617252</v>
      </c>
      <c r="Q72">
        <v>0.47875663865791213</v>
      </c>
      <c r="AB72" t="e">
        <v>#REF!</v>
      </c>
      <c r="AC72" t="e">
        <v>#REF!</v>
      </c>
      <c r="AW72" s="4">
        <v>1.3933686416144726</v>
      </c>
      <c r="AX72" s="4">
        <v>1.2043904056925545</v>
      </c>
    </row>
    <row r="73" spans="1:50" x14ac:dyDescent="0.35">
      <c r="A73">
        <v>18.295453689825564</v>
      </c>
      <c r="Q73">
        <v>0.49718124594299806</v>
      </c>
      <c r="AB73" t="e">
        <v>#REF!</v>
      </c>
      <c r="AC73" t="e">
        <v>#REF!</v>
      </c>
      <c r="AW73" s="4">
        <v>1.369170830277713</v>
      </c>
      <c r="AX73" s="4">
        <v>1.3265052754811999</v>
      </c>
    </row>
    <row r="74" spans="1:50" x14ac:dyDescent="0.35">
      <c r="A74">
        <v>18.295453689825564</v>
      </c>
      <c r="Q74">
        <v>0.50014192439956418</v>
      </c>
      <c r="AB74" t="e">
        <v>#REF!</v>
      </c>
      <c r="AC74" t="e">
        <v>#REF!</v>
      </c>
      <c r="AW74" s="4">
        <v>1.3812555018050128</v>
      </c>
      <c r="AX74" s="4">
        <v>1.4232386317999555</v>
      </c>
    </row>
    <row r="75" spans="1:50" x14ac:dyDescent="0.35">
      <c r="A75">
        <v>18.295453689825564</v>
      </c>
      <c r="Q75">
        <v>0.50534242047109945</v>
      </c>
      <c r="AB75" t="e">
        <v>#REF!</v>
      </c>
      <c r="AC75" t="e">
        <v>#REF!</v>
      </c>
      <c r="AW75" s="4">
        <v>1.3753769010808077</v>
      </c>
      <c r="AX75" s="4">
        <v>1.3644806895192365</v>
      </c>
    </row>
    <row r="76" spans="1:50" x14ac:dyDescent="0.35">
      <c r="A76">
        <v>18.295453689825564</v>
      </c>
      <c r="Q76">
        <v>0.50502704385289909</v>
      </c>
      <c r="AB76" t="e">
        <v>#REF!</v>
      </c>
      <c r="AC76" t="e">
        <v>#REF!</v>
      </c>
      <c r="AW76" s="4">
        <v>1.4725012263402248</v>
      </c>
      <c r="AX76" s="4">
        <v>1.299018990205173</v>
      </c>
    </row>
    <row r="77" spans="1:50" x14ac:dyDescent="0.35">
      <c r="A77">
        <v>18.295453689825564</v>
      </c>
      <c r="Q77">
        <v>0.47454492826529271</v>
      </c>
      <c r="AB77" t="e">
        <v>#REF!</v>
      </c>
      <c r="AC77" t="e">
        <v>#REF!</v>
      </c>
      <c r="AW77" s="4">
        <v>1.4806166196357229</v>
      </c>
      <c r="AX77" s="4">
        <v>1.2704185386145077</v>
      </c>
    </row>
    <row r="78" spans="1:50" x14ac:dyDescent="0.35">
      <c r="A78">
        <v>18.295453689825564</v>
      </c>
      <c r="Q78">
        <v>0.49458338851716377</v>
      </c>
      <c r="AB78" t="e">
        <v>#REF!</v>
      </c>
      <c r="AC78" t="e">
        <v>#REF!</v>
      </c>
      <c r="AW78" s="4">
        <v>1.4751655600913396</v>
      </c>
      <c r="AX78" s="4">
        <v>1.3280400486145076</v>
      </c>
    </row>
    <row r="79" spans="1:50" x14ac:dyDescent="0.35">
      <c r="A79">
        <v>18.295453689825564</v>
      </c>
      <c r="Q79">
        <v>0.49458338851716377</v>
      </c>
      <c r="AB79" t="e">
        <v>#REF!</v>
      </c>
      <c r="AC79" t="e">
        <v>#REF!</v>
      </c>
      <c r="AW79" s="4">
        <v>1.4574399196513226</v>
      </c>
      <c r="AX79" s="4">
        <v>1.4857214607145075</v>
      </c>
    </row>
    <row r="80" spans="1:50" x14ac:dyDescent="0.35">
      <c r="A80">
        <v>18.295453689825564</v>
      </c>
      <c r="B80">
        <v>5.8987499999999997</v>
      </c>
      <c r="Q80">
        <v>0.49458338851716377</v>
      </c>
      <c r="R80">
        <v>7.5000000000000011E-2</v>
      </c>
      <c r="AW80" s="4">
        <v>1.4574399196513226</v>
      </c>
      <c r="AX80" s="4">
        <v>1.5454169579999983</v>
      </c>
    </row>
    <row r="81" spans="1:50" x14ac:dyDescent="0.35">
      <c r="AB81" t="s">
        <v>35</v>
      </c>
    </row>
    <row r="82" spans="1:50" x14ac:dyDescent="0.35">
      <c r="AB82" t="s">
        <v>138</v>
      </c>
      <c r="AC82" t="s">
        <v>116</v>
      </c>
    </row>
    <row r="83" spans="1:50" x14ac:dyDescent="0.35">
      <c r="AB83" t="e">
        <f t="array" ref="AB83:AC105">[2]!'!R_ON!R15C9:R37C10'</f>
        <v>#REF!</v>
      </c>
      <c r="AC83" t="e">
        <v>#REF!</v>
      </c>
      <c r="AW83" s="2"/>
    </row>
    <row r="84" spans="1:50" x14ac:dyDescent="0.35">
      <c r="A84" t="s">
        <v>138</v>
      </c>
      <c r="B84" t="s">
        <v>116</v>
      </c>
      <c r="Q84" t="s">
        <v>138</v>
      </c>
      <c r="R84" t="s">
        <v>116</v>
      </c>
      <c r="AB84" t="e">
        <v>#REF!</v>
      </c>
      <c r="AC84" t="e">
        <v>#REF!</v>
      </c>
      <c r="AW84" t="s">
        <v>138</v>
      </c>
      <c r="AX84" t="s">
        <v>116</v>
      </c>
    </row>
    <row r="85" spans="1:50" x14ac:dyDescent="0.35">
      <c r="A85">
        <v>9.8264913982452988</v>
      </c>
      <c r="Q85">
        <v>0.25210710142911524</v>
      </c>
      <c r="AB85" t="e">
        <v>#REF!</v>
      </c>
      <c r="AC85" t="e">
        <v>#REF!</v>
      </c>
      <c r="AW85">
        <f t="array" ref="AW85:AX107">[2]!'!R_ON!R15C33:R37C34'</f>
        <v>1.2218048412886255</v>
      </c>
      <c r="AX85">
        <v>0.31577690000000003</v>
      </c>
    </row>
    <row r="86" spans="1:50" x14ac:dyDescent="0.35">
      <c r="A86">
        <v>9.8264913982452988</v>
      </c>
      <c r="Q86">
        <v>0.27499148394574885</v>
      </c>
      <c r="AB86" t="e">
        <v>#REF!</v>
      </c>
      <c r="AC86" t="e">
        <v>#REF!</v>
      </c>
      <c r="AW86">
        <v>0.94050398722302964</v>
      </c>
      <c r="AX86">
        <v>0.49362790587290745</v>
      </c>
    </row>
    <row r="87" spans="1:50" x14ac:dyDescent="0.35">
      <c r="A87">
        <v>9.8264913982452988</v>
      </c>
      <c r="Q87">
        <v>0.26863076026441096</v>
      </c>
      <c r="AB87" t="e">
        <v>#REF!</v>
      </c>
      <c r="AC87" t="e">
        <v>#REF!</v>
      </c>
      <c r="AW87">
        <v>0.48793915228958334</v>
      </c>
      <c r="AX87">
        <v>0.69544475851361764</v>
      </c>
    </row>
    <row r="88" spans="1:50" x14ac:dyDescent="0.35">
      <c r="A88">
        <v>9.8264913982452988</v>
      </c>
      <c r="Q88">
        <v>0.27383786201099647</v>
      </c>
      <c r="AB88" t="e">
        <v>#REF!</v>
      </c>
      <c r="AC88" t="e">
        <v>#REF!</v>
      </c>
      <c r="AW88">
        <v>0.45849498862512017</v>
      </c>
      <c r="AX88">
        <v>0.76878177546753668</v>
      </c>
    </row>
    <row r="89" spans="1:50" x14ac:dyDescent="0.35">
      <c r="A89">
        <v>9.8264913982452988</v>
      </c>
      <c r="Q89">
        <v>0.26479852301540668</v>
      </c>
      <c r="AB89" t="e">
        <v>#REF!</v>
      </c>
      <c r="AC89" t="e">
        <v>#REF!</v>
      </c>
      <c r="AW89">
        <v>0.6487582844256462</v>
      </c>
      <c r="AX89">
        <v>0.84130312210263603</v>
      </c>
    </row>
    <row r="90" spans="1:50" x14ac:dyDescent="0.35">
      <c r="A90">
        <v>9.8264913982452988</v>
      </c>
      <c r="Q90">
        <v>0.26807765385733828</v>
      </c>
      <c r="AB90" t="e">
        <v>#REF!</v>
      </c>
      <c r="AC90" t="e">
        <v>#REF!</v>
      </c>
      <c r="AW90">
        <v>0.77470409284185793</v>
      </c>
      <c r="AX90">
        <v>0.97184580942573306</v>
      </c>
    </row>
    <row r="91" spans="1:50" x14ac:dyDescent="0.35">
      <c r="A91">
        <v>9.8264913982452988</v>
      </c>
      <c r="Q91">
        <v>0.2617643392966062</v>
      </c>
      <c r="AB91" t="e">
        <v>#REF!</v>
      </c>
      <c r="AC91" t="e">
        <v>#REF!</v>
      </c>
      <c r="AW91">
        <v>0.79327150720736783</v>
      </c>
      <c r="AX91">
        <v>1.1595370769845901</v>
      </c>
    </row>
    <row r="92" spans="1:50" x14ac:dyDescent="0.35">
      <c r="A92">
        <v>14.286692795074737</v>
      </c>
      <c r="Q92">
        <v>0.38588777302029026</v>
      </c>
      <c r="AB92" t="e">
        <v>#REF!</v>
      </c>
      <c r="AC92" t="e">
        <v>#REF!</v>
      </c>
      <c r="AW92">
        <v>1.0552812840015031</v>
      </c>
      <c r="AX92">
        <v>1.5082482584810299</v>
      </c>
    </row>
    <row r="93" spans="1:50" x14ac:dyDescent="0.35">
      <c r="A93">
        <v>14.92386442319323</v>
      </c>
      <c r="Q93">
        <v>0.39364890017116944</v>
      </c>
      <c r="AB93" t="e">
        <v>#REF!</v>
      </c>
      <c r="AC93" t="e">
        <v>#REF!</v>
      </c>
      <c r="AW93">
        <v>1.1773916955291215</v>
      </c>
      <c r="AX93">
        <v>1.6653343635424043</v>
      </c>
    </row>
    <row r="94" spans="1:50" x14ac:dyDescent="0.35">
      <c r="A94">
        <v>15.561036051311721</v>
      </c>
      <c r="Q94">
        <v>0.41610139273165447</v>
      </c>
      <c r="AB94" t="e">
        <v>#REF!</v>
      </c>
      <c r="AC94" t="e">
        <v>#REF!</v>
      </c>
      <c r="AW94">
        <v>1.2350006757949841</v>
      </c>
      <c r="AX94">
        <v>1.6723510231292051</v>
      </c>
    </row>
    <row r="95" spans="1:50" x14ac:dyDescent="0.35">
      <c r="A95">
        <v>16.198207679430212</v>
      </c>
      <c r="Q95">
        <v>0.45850259027733026</v>
      </c>
      <c r="AB95" t="e">
        <v>#REF!</v>
      </c>
      <c r="AC95" t="e">
        <v>#REF!</v>
      </c>
      <c r="AW95">
        <v>1.2259553915283561</v>
      </c>
      <c r="AX95">
        <v>1.5083403505815001</v>
      </c>
    </row>
    <row r="96" spans="1:50" x14ac:dyDescent="0.35">
      <c r="A96">
        <v>16.835379307548706</v>
      </c>
      <c r="Q96">
        <v>0.43558396216880402</v>
      </c>
      <c r="AB96" t="e">
        <v>#REF!</v>
      </c>
      <c r="AC96" t="e">
        <v>#REF!</v>
      </c>
      <c r="AW96">
        <v>1.2260394558136747</v>
      </c>
      <c r="AX96">
        <v>1.41935626156299</v>
      </c>
    </row>
    <row r="97" spans="1:50" x14ac:dyDescent="0.35">
      <c r="A97">
        <v>17.472550935667197</v>
      </c>
      <c r="Q97">
        <v>0.45792130610280757</v>
      </c>
      <c r="AB97" t="e">
        <v>#REF!</v>
      </c>
      <c r="AC97" t="e">
        <v>#REF!</v>
      </c>
      <c r="AW97">
        <v>1.3055665557254403</v>
      </c>
      <c r="AX97">
        <v>1.5100973900529258</v>
      </c>
    </row>
    <row r="98" spans="1:50" x14ac:dyDescent="0.35">
      <c r="A98">
        <v>18.109722563785688</v>
      </c>
      <c r="Q98">
        <v>0.4837944474704956</v>
      </c>
      <c r="AB98" t="e">
        <v>#REF!</v>
      </c>
      <c r="AC98" t="e">
        <v>#REF!</v>
      </c>
      <c r="AW98">
        <v>1.3631036890694808</v>
      </c>
      <c r="AX98">
        <v>1.5468966301787399</v>
      </c>
    </row>
    <row r="99" spans="1:50" x14ac:dyDescent="0.35">
      <c r="A99">
        <v>18.746894191904179</v>
      </c>
      <c r="Q99">
        <v>0.50773447935971483</v>
      </c>
      <c r="AB99" t="e">
        <v>#REF!</v>
      </c>
      <c r="AC99" t="e">
        <v>#REF!</v>
      </c>
      <c r="AW99">
        <v>1.4527511213548452</v>
      </c>
      <c r="AX99">
        <v>1.5959712685287999</v>
      </c>
    </row>
    <row r="100" spans="1:50" x14ac:dyDescent="0.35">
      <c r="A100">
        <v>19.384065820022666</v>
      </c>
      <c r="Q100">
        <v>0.52676441695455101</v>
      </c>
      <c r="AB100" t="e">
        <v>#REF!</v>
      </c>
      <c r="AC100" t="e">
        <v>#REF!</v>
      </c>
      <c r="AW100">
        <v>1.5281377282825195</v>
      </c>
      <c r="AX100">
        <v>1.24385141954851</v>
      </c>
    </row>
    <row r="101" spans="1:50" x14ac:dyDescent="0.35">
      <c r="A101">
        <v>19.384065820022666</v>
      </c>
      <c r="Q101">
        <v>0.529901261060577</v>
      </c>
      <c r="AB101" t="e">
        <v>#REF!</v>
      </c>
      <c r="AC101" t="e">
        <v>#REF!</v>
      </c>
      <c r="AW101">
        <v>1.5411548079504154</v>
      </c>
      <c r="AX101">
        <v>1.1175107133754203</v>
      </c>
    </row>
    <row r="102" spans="1:50" x14ac:dyDescent="0.35">
      <c r="A102">
        <v>19.384065820022666</v>
      </c>
      <c r="Q102">
        <v>0.53541119592507658</v>
      </c>
      <c r="AB102" t="e">
        <v>#REF!</v>
      </c>
      <c r="AC102" t="e">
        <v>#REF!</v>
      </c>
      <c r="AW102">
        <v>1.5348229762123375</v>
      </c>
      <c r="AX102">
        <v>1.154914476806955</v>
      </c>
    </row>
    <row r="103" spans="1:50" x14ac:dyDescent="0.35">
      <c r="A103">
        <v>19.384065820022666</v>
      </c>
      <c r="Q103">
        <v>0.53507705383552073</v>
      </c>
      <c r="AB103" t="e">
        <v>#REF!</v>
      </c>
      <c r="AC103" t="e">
        <v>#REF!</v>
      </c>
      <c r="AW103">
        <v>1.4625573467022721</v>
      </c>
      <c r="AX103">
        <v>1.1550103669217944</v>
      </c>
    </row>
    <row r="104" spans="1:50" x14ac:dyDescent="0.35">
      <c r="A104">
        <v>19.384065820022666</v>
      </c>
      <c r="Q104">
        <v>0.50278119799608378</v>
      </c>
      <c r="AB104" t="e">
        <v>#REF!</v>
      </c>
      <c r="AC104" t="e">
        <v>#REF!</v>
      </c>
      <c r="AW104">
        <v>1.5596915196863512</v>
      </c>
      <c r="AX104">
        <v>1.2684311018440522</v>
      </c>
    </row>
    <row r="105" spans="1:50" x14ac:dyDescent="0.35">
      <c r="A105">
        <v>19.384065820022666</v>
      </c>
      <c r="Q105">
        <v>0.5240119823777899</v>
      </c>
      <c r="AB105" t="e">
        <v>#REF!</v>
      </c>
      <c r="AC105" t="e">
        <v>#REF!</v>
      </c>
      <c r="AW105">
        <v>1.6422118985996279</v>
      </c>
      <c r="AX105">
        <v>1.5540155708440513</v>
      </c>
    </row>
    <row r="106" spans="1:50" x14ac:dyDescent="0.35">
      <c r="A106">
        <v>19.384065820022666</v>
      </c>
      <c r="Q106">
        <v>0.5240119823777899</v>
      </c>
      <c r="AW106">
        <v>1.5472439226275192</v>
      </c>
      <c r="AX106">
        <v>1.7114006965583386</v>
      </c>
    </row>
    <row r="107" spans="1:50" x14ac:dyDescent="0.35">
      <c r="A107">
        <v>19.384065820022666</v>
      </c>
      <c r="B107">
        <v>6.5044444444444434</v>
      </c>
      <c r="Q107">
        <v>0.5240119823777899</v>
      </c>
      <c r="R107">
        <v>8.7499999999999994E-2</v>
      </c>
      <c r="AW107">
        <v>1.5472439226275192</v>
      </c>
      <c r="AX107">
        <v>1.6958979257142863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F2C-E497-4F2C-AB77-6DAE0EEFE08B}">
  <sheetPr codeName="Foglio3"/>
  <dimension ref="A1:AV94"/>
  <sheetViews>
    <sheetView workbookViewId="0">
      <selection activeCell="A2" sqref="A2"/>
    </sheetView>
  </sheetViews>
  <sheetFormatPr defaultRowHeight="14.5" x14ac:dyDescent="0.35"/>
  <cols>
    <col min="1" max="1" width="19.7265625" bestFit="1" customWidth="1"/>
    <col min="7" max="7" width="14.81640625" bestFit="1" customWidth="1"/>
    <col min="8" max="8" width="12.54296875" bestFit="1" customWidth="1"/>
    <col min="9" max="9" width="15.1796875" bestFit="1" customWidth="1"/>
    <col min="10" max="10" width="12.81640625" bestFit="1" customWidth="1"/>
    <col min="13" max="13" width="15.26953125" bestFit="1" customWidth="1"/>
    <col min="14" max="14" width="13.1796875" bestFit="1" customWidth="1"/>
    <col min="15" max="15" width="14.81640625" bestFit="1" customWidth="1"/>
    <col min="16" max="16" width="12.54296875" bestFit="1" customWidth="1"/>
    <col min="18" max="18" width="15.26953125" customWidth="1"/>
    <col min="19" max="19" width="13.1796875" bestFit="1" customWidth="1"/>
    <col min="20" max="20" width="14.81640625" bestFit="1" customWidth="1"/>
    <col min="21" max="21" width="12.54296875" bestFit="1" customWidth="1"/>
    <col min="22" max="22" width="12.54296875" customWidth="1"/>
    <col min="23" max="23" width="14.81640625" bestFit="1" customWidth="1"/>
    <col min="24" max="24" width="12.54296875" customWidth="1"/>
    <col min="25" max="25" width="15.1796875" bestFit="1" customWidth="1"/>
    <col min="26" max="26" width="12.81640625" bestFit="1" customWidth="1"/>
    <col min="27" max="27" width="12.81640625" customWidth="1"/>
    <col min="29" max="29" width="13.81640625" customWidth="1"/>
    <col min="30" max="30" width="12.54296875" bestFit="1" customWidth="1"/>
    <col min="31" max="31" width="15.1796875" bestFit="1" customWidth="1"/>
    <col min="32" max="32" width="12.81640625" bestFit="1" customWidth="1"/>
    <col min="33" max="33" width="12.81640625" customWidth="1"/>
    <col min="35" max="35" width="13.81640625" customWidth="1"/>
    <col min="36" max="36" width="12.54296875" bestFit="1" customWidth="1"/>
    <col min="37" max="37" width="15.1796875" bestFit="1" customWidth="1"/>
    <col min="38" max="38" width="12.81640625" bestFit="1" customWidth="1"/>
    <col min="40" max="40" width="10.54296875" customWidth="1"/>
  </cols>
  <sheetData>
    <row r="1" spans="1:48" ht="16.5" x14ac:dyDescent="0.35">
      <c r="A1" s="1" t="s">
        <v>157</v>
      </c>
      <c r="B1" t="s">
        <v>72</v>
      </c>
      <c r="C1" t="s">
        <v>68</v>
      </c>
      <c r="D1" t="s">
        <v>85</v>
      </c>
      <c r="G1" t="s">
        <v>87</v>
      </c>
      <c r="M1" t="s">
        <v>86</v>
      </c>
      <c r="R1" t="s">
        <v>159</v>
      </c>
      <c r="W1" s="6" t="s">
        <v>99</v>
      </c>
      <c r="AC1" s="6" t="s">
        <v>158</v>
      </c>
      <c r="AI1" s="6" t="s">
        <v>106</v>
      </c>
      <c r="AN1" t="s">
        <v>101</v>
      </c>
      <c r="AS1" s="6" t="s">
        <v>107</v>
      </c>
    </row>
    <row r="2" spans="1:48" x14ac:dyDescent="0.35">
      <c r="A2" t="s">
        <v>81</v>
      </c>
      <c r="B2">
        <v>7.3055555555555598</v>
      </c>
      <c r="C2">
        <v>0.1822222222222222</v>
      </c>
      <c r="D2">
        <v>1.6577777777777776</v>
      </c>
      <c r="F2" t="s">
        <v>21</v>
      </c>
      <c r="G2" t="s">
        <v>81</v>
      </c>
      <c r="H2" t="s">
        <v>82</v>
      </c>
      <c r="I2" t="s">
        <v>83</v>
      </c>
      <c r="J2" t="s">
        <v>84</v>
      </c>
      <c r="L2" t="s">
        <v>21</v>
      </c>
      <c r="M2" t="s">
        <v>81</v>
      </c>
      <c r="N2" t="s">
        <v>82</v>
      </c>
      <c r="O2" t="s">
        <v>83</v>
      </c>
      <c r="P2" t="s">
        <v>84</v>
      </c>
      <c r="R2" t="s">
        <v>81</v>
      </c>
      <c r="S2" t="s">
        <v>82</v>
      </c>
      <c r="T2" t="s">
        <v>83</v>
      </c>
      <c r="U2" t="s">
        <v>84</v>
      </c>
      <c r="W2" t="s">
        <v>81</v>
      </c>
      <c r="X2" t="s">
        <v>82</v>
      </c>
      <c r="Y2" t="s">
        <v>83</v>
      </c>
      <c r="Z2" t="s">
        <v>84</v>
      </c>
      <c r="AB2" t="s">
        <v>21</v>
      </c>
      <c r="AC2" t="s">
        <v>81</v>
      </c>
      <c r="AD2" t="s">
        <v>82</v>
      </c>
      <c r="AE2" t="s">
        <v>83</v>
      </c>
      <c r="AF2" t="s">
        <v>84</v>
      </c>
      <c r="AH2" t="s">
        <v>21</v>
      </c>
      <c r="AI2" t="s">
        <v>81</v>
      </c>
      <c r="AJ2" t="s">
        <v>82</v>
      </c>
      <c r="AK2" t="s">
        <v>83</v>
      </c>
      <c r="AL2" t="s">
        <v>84</v>
      </c>
      <c r="AN2" t="s">
        <v>81</v>
      </c>
      <c r="AO2" t="s">
        <v>82</v>
      </c>
      <c r="AP2" t="s">
        <v>83</v>
      </c>
      <c r="AQ2" t="s">
        <v>84</v>
      </c>
      <c r="AS2" t="s">
        <v>81</v>
      </c>
      <c r="AT2" t="s">
        <v>82</v>
      </c>
      <c r="AU2" t="s">
        <v>83</v>
      </c>
      <c r="AV2" t="s">
        <v>84</v>
      </c>
    </row>
    <row r="3" spans="1:48" x14ac:dyDescent="0.35">
      <c r="A3" t="s">
        <v>82</v>
      </c>
      <c r="B3">
        <v>7.8933333333333344</v>
      </c>
      <c r="C3">
        <v>0.2011111111111111</v>
      </c>
      <c r="D3">
        <v>1.6344444444444444</v>
      </c>
      <c r="F3" t="s">
        <v>100</v>
      </c>
      <c r="G3" s="4">
        <v>0.7</v>
      </c>
      <c r="H3" s="4">
        <v>0.72</v>
      </c>
      <c r="I3" s="4">
        <v>0.68</v>
      </c>
      <c r="J3" s="4">
        <v>0.69</v>
      </c>
      <c r="L3">
        <v>1</v>
      </c>
      <c r="M3" s="4">
        <v>11.7044</v>
      </c>
      <c r="N3" s="4">
        <v>9.9319999999999986</v>
      </c>
      <c r="O3" s="4">
        <v>37.353999999999999</v>
      </c>
      <c r="P3" s="4">
        <v>29.119600000000002</v>
      </c>
      <c r="R3" s="4">
        <v>2.1920000000000002</v>
      </c>
      <c r="S3" s="4">
        <v>3.0779999999999998</v>
      </c>
      <c r="T3" s="4">
        <v>1.0739999999999998</v>
      </c>
      <c r="U3" s="4">
        <v>0.6</v>
      </c>
      <c r="V3" s="4"/>
      <c r="W3" s="4">
        <f>R3*27.27</f>
        <v>59.775840000000002</v>
      </c>
      <c r="X3" s="4">
        <f>S3*27.27</f>
        <v>83.937059999999988</v>
      </c>
      <c r="Y3" s="4">
        <f>T3*27.27</f>
        <v>29.287979999999994</v>
      </c>
      <c r="Z3" s="4">
        <f>U3*27.27</f>
        <v>16.361999999999998</v>
      </c>
      <c r="AA3" s="4"/>
      <c r="AB3">
        <v>1</v>
      </c>
      <c r="AC3">
        <v>0.31356794334168681</v>
      </c>
      <c r="AD3">
        <v>0.24592398228923776</v>
      </c>
      <c r="AE3">
        <v>0.46932977475443866</v>
      </c>
      <c r="AF3">
        <v>0.30176194195652489</v>
      </c>
      <c r="AH3">
        <v>1</v>
      </c>
      <c r="AI3">
        <f>AC3*27.27</f>
        <v>8.5509978149277988</v>
      </c>
      <c r="AJ3">
        <f t="shared" ref="AJ3:AL3" si="0">AD3*27.27</f>
        <v>6.7063469970275138</v>
      </c>
      <c r="AK3">
        <f t="shared" si="0"/>
        <v>12.798622957553542</v>
      </c>
      <c r="AL3">
        <f t="shared" si="0"/>
        <v>8.2290481571544341</v>
      </c>
      <c r="AN3" s="4">
        <v>22.613555555555529</v>
      </c>
      <c r="AO3" s="4">
        <v>21.394222222222215</v>
      </c>
      <c r="AP3" s="4">
        <v>31.296000000000006</v>
      </c>
      <c r="AQ3" s="4">
        <v>26.247777777777788</v>
      </c>
      <c r="AS3" s="7">
        <f>(AN3*0.001)*27.27</f>
        <v>0.61667165999999929</v>
      </c>
      <c r="AT3" s="7">
        <f>(AO3*0.001)*27.27</f>
        <v>0.58342043999999971</v>
      </c>
      <c r="AU3" s="7">
        <f>(AP3*0.001)*27.27</f>
        <v>0.85344192000000008</v>
      </c>
      <c r="AV3" s="7">
        <f>(AQ3*0.001)*27.27</f>
        <v>0.71577690000000027</v>
      </c>
    </row>
    <row r="4" spans="1:48" x14ac:dyDescent="0.35">
      <c r="A4" t="s">
        <v>83</v>
      </c>
      <c r="B4">
        <v>5.8987499999999997</v>
      </c>
      <c r="C4">
        <v>7.5000000000000011E-2</v>
      </c>
      <c r="D4">
        <v>2.1524999999999999</v>
      </c>
      <c r="L4">
        <v>2</v>
      </c>
      <c r="M4" s="4">
        <v>14.54956</v>
      </c>
      <c r="N4" s="4">
        <v>10.2342342</v>
      </c>
      <c r="O4" s="4">
        <v>37.328899999999997</v>
      </c>
      <c r="P4" s="4">
        <v>30.23432</v>
      </c>
      <c r="R4" s="4">
        <v>6.6380900724148386</v>
      </c>
      <c r="S4" s="4">
        <v>4.4686020261253594</v>
      </c>
      <c r="T4" s="4">
        <v>2.4087291210548352</v>
      </c>
      <c r="U4" s="4">
        <v>1.8029444124346361</v>
      </c>
      <c r="V4" s="4"/>
      <c r="W4" s="4">
        <f t="shared" ref="W4:W24" si="1">R4*27.27</f>
        <v>181.02071627475266</v>
      </c>
      <c r="X4" s="4">
        <f t="shared" ref="X4:X25" si="2">S4*27.27</f>
        <v>121.85877725243854</v>
      </c>
      <c r="Y4" s="4">
        <f t="shared" ref="Y4:Y25" si="3">T4*27.27</f>
        <v>65.686043131165349</v>
      </c>
      <c r="Z4" s="4">
        <f t="shared" ref="Z4:Z25" si="4">U4*27.27</f>
        <v>49.166294127092527</v>
      </c>
      <c r="AA4" s="4"/>
      <c r="AB4">
        <v>2</v>
      </c>
      <c r="AC4">
        <v>0.3897914977039808</v>
      </c>
      <c r="AD4">
        <v>0.25340753424735318</v>
      </c>
      <c r="AE4">
        <v>0.4690144088673493</v>
      </c>
      <c r="AF4">
        <v>0.31331361409274167</v>
      </c>
      <c r="AH4">
        <v>2</v>
      </c>
      <c r="AI4">
        <f t="shared" ref="AI4:AI24" si="5">AC4*27.27</f>
        <v>10.629614142387556</v>
      </c>
      <c r="AJ4">
        <f t="shared" ref="AJ4:AJ24" si="6">AD4*27.27</f>
        <v>6.9104234589253215</v>
      </c>
      <c r="AK4">
        <f t="shared" ref="AK4:AK24" si="7">AE4*27.27</f>
        <v>12.790022929812615</v>
      </c>
      <c r="AL4">
        <f t="shared" ref="AL4:AL24" si="8">AF4*27.27</f>
        <v>8.5440622563090649</v>
      </c>
      <c r="AN4" s="4">
        <v>8.9463543720296119</v>
      </c>
      <c r="AO4" s="4">
        <v>17.054731307207977</v>
      </c>
      <c r="AP4" s="4">
        <v>23.482381990056272</v>
      </c>
      <c r="AQ4" s="4">
        <v>18.101500032009806</v>
      </c>
      <c r="AS4" s="7">
        <f t="shared" ref="AS4:AS25" si="9">(AN4*0.001)*27.27</f>
        <v>0.24396708372524753</v>
      </c>
      <c r="AT4" s="7">
        <f t="shared" ref="AT4:AT25" si="10">(AO4*0.001)*27.27</f>
        <v>0.46508252274756157</v>
      </c>
      <c r="AU4" s="7">
        <f t="shared" ref="AU4:AU25" si="11">(AP4*0.001)*27.27</f>
        <v>0.64036455686883453</v>
      </c>
      <c r="AV4" s="7">
        <f t="shared" ref="AV4:AV25" si="12">(AQ4*0.001)*27.27</f>
        <v>0.49362790587290745</v>
      </c>
    </row>
    <row r="5" spans="1:48" x14ac:dyDescent="0.35">
      <c r="A5" t="s">
        <v>84</v>
      </c>
      <c r="B5">
        <v>6.5044444444444434</v>
      </c>
      <c r="C5">
        <v>8.7499999999999994E-2</v>
      </c>
      <c r="D5">
        <v>1.9944444444444445</v>
      </c>
      <c r="L5">
        <v>3</v>
      </c>
      <c r="M5" s="4">
        <v>18.435300000000002</v>
      </c>
      <c r="N5" s="4">
        <v>12.325340000000001</v>
      </c>
      <c r="O5" s="4">
        <v>38.005299999999998</v>
      </c>
      <c r="P5" s="4">
        <v>31.4345</v>
      </c>
      <c r="R5" s="4">
        <v>6.6336296113981437</v>
      </c>
      <c r="S5" s="4">
        <v>4.6396634435405177</v>
      </c>
      <c r="T5" s="4">
        <v>2.9942542010299191</v>
      </c>
      <c r="U5" s="4">
        <v>1.8578086353642227</v>
      </c>
      <c r="V5" s="4"/>
      <c r="W5" s="4">
        <f t="shared" si="1"/>
        <v>180.89907950282736</v>
      </c>
      <c r="X5" s="4">
        <f t="shared" si="2"/>
        <v>126.52362210534992</v>
      </c>
      <c r="Y5" s="4">
        <f t="shared" si="3"/>
        <v>81.653312062085888</v>
      </c>
      <c r="Z5" s="4">
        <f t="shared" si="4"/>
        <v>50.662441486382349</v>
      </c>
      <c r="AA5" s="4"/>
      <c r="AB5">
        <v>3</v>
      </c>
      <c r="AC5">
        <v>0.4938928185884795</v>
      </c>
      <c r="AD5">
        <v>0.3051849270911029</v>
      </c>
      <c r="AE5">
        <v>0.47751295412739914</v>
      </c>
      <c r="AF5">
        <v>0.32575089508208843</v>
      </c>
      <c r="AH5">
        <v>3</v>
      </c>
      <c r="AI5">
        <f t="shared" si="5"/>
        <v>13.468457162907836</v>
      </c>
      <c r="AJ5">
        <f t="shared" si="6"/>
        <v>8.3223929617743764</v>
      </c>
      <c r="AK5">
        <f t="shared" si="7"/>
        <v>13.021778259054175</v>
      </c>
      <c r="AL5">
        <f t="shared" si="8"/>
        <v>8.8832269088885507</v>
      </c>
      <c r="AN5" s="4">
        <v>4.0374814997129693</v>
      </c>
      <c r="AO5" s="4">
        <v>11.168114334237238</v>
      </c>
      <c r="AP5" s="4">
        <v>29.090190243414526</v>
      </c>
      <c r="AQ5" s="4">
        <v>25.502191364635777</v>
      </c>
      <c r="AS5" s="7">
        <f t="shared" si="9"/>
        <v>0.11010212049717268</v>
      </c>
      <c r="AT5" s="7">
        <f t="shared" si="10"/>
        <v>0.30455447789464951</v>
      </c>
      <c r="AU5" s="7">
        <f t="shared" si="11"/>
        <v>0.7932894879379141</v>
      </c>
      <c r="AV5" s="7">
        <f t="shared" si="12"/>
        <v>0.69544475851361764</v>
      </c>
    </row>
    <row r="6" spans="1:48" x14ac:dyDescent="0.35">
      <c r="L6">
        <v>4</v>
      </c>
      <c r="M6" s="4">
        <v>20.353452999999998</v>
      </c>
      <c r="N6" s="4">
        <v>17.342230000000001</v>
      </c>
      <c r="O6" s="4">
        <v>38.44</v>
      </c>
      <c r="P6" s="4">
        <v>32.395555555555553</v>
      </c>
      <c r="R6" s="4">
        <v>6.7538310389556049</v>
      </c>
      <c r="S6" s="4">
        <v>4.8238392831713899</v>
      </c>
      <c r="T6" s="4">
        <v>3.7939274089557946</v>
      </c>
      <c r="U6" s="4">
        <v>2.237404639987628</v>
      </c>
      <c r="V6" s="4"/>
      <c r="W6" s="4">
        <f t="shared" si="1"/>
        <v>184.17697243231933</v>
      </c>
      <c r="X6" s="4">
        <f t="shared" si="2"/>
        <v>131.5460972520838</v>
      </c>
      <c r="Y6" s="4">
        <f t="shared" si="3"/>
        <v>103.46040044222451</v>
      </c>
      <c r="Z6" s="4">
        <f t="shared" si="4"/>
        <v>61.014024532462614</v>
      </c>
      <c r="AA6" s="4"/>
      <c r="AB6">
        <v>4</v>
      </c>
      <c r="AC6">
        <v>0.54528129567612904</v>
      </c>
      <c r="AD6">
        <v>0.42940699389608217</v>
      </c>
      <c r="AE6">
        <v>0.48297468923169196</v>
      </c>
      <c r="AF6">
        <v>0.33571016618377081</v>
      </c>
      <c r="AH6">
        <v>4</v>
      </c>
      <c r="AI6">
        <f t="shared" si="5"/>
        <v>14.86982093308804</v>
      </c>
      <c r="AJ6">
        <f t="shared" si="6"/>
        <v>11.709928723546161</v>
      </c>
      <c r="AK6">
        <f t="shared" si="7"/>
        <v>13.170719775348239</v>
      </c>
      <c r="AL6">
        <f t="shared" si="8"/>
        <v>9.154816231831429</v>
      </c>
      <c r="AN6" s="4">
        <v>6.4961689610443827</v>
      </c>
      <c r="AO6" s="4">
        <v>14.321716272384171</v>
      </c>
      <c r="AP6" s="4">
        <v>30.177183702155318</v>
      </c>
      <c r="AQ6" s="4">
        <v>28.191484248901236</v>
      </c>
      <c r="AS6" s="7">
        <f t="shared" si="9"/>
        <v>0.17715052756768032</v>
      </c>
      <c r="AT6" s="7">
        <f t="shared" si="10"/>
        <v>0.39055320274791633</v>
      </c>
      <c r="AU6" s="7">
        <f t="shared" si="11"/>
        <v>0.82293179955777551</v>
      </c>
      <c r="AV6" s="7">
        <f t="shared" si="12"/>
        <v>0.76878177546753668</v>
      </c>
    </row>
    <row r="7" spans="1:48" x14ac:dyDescent="0.35">
      <c r="L7">
        <v>5</v>
      </c>
      <c r="M7" s="4">
        <v>23.603333333333332</v>
      </c>
      <c r="N7" s="4">
        <v>18.451111111111111</v>
      </c>
      <c r="O7" s="4">
        <v>40.351999999999997</v>
      </c>
      <c r="P7" s="4">
        <v>35.435339999999997</v>
      </c>
      <c r="R7" s="4">
        <v>6.8310805371212293</v>
      </c>
      <c r="S7" s="4">
        <v>4.9713198393182667</v>
      </c>
      <c r="T7" s="4">
        <v>4.1886773311849295</v>
      </c>
      <c r="U7" s="4">
        <v>3.1481148487370438</v>
      </c>
      <c r="V7" s="4"/>
      <c r="W7" s="4">
        <f t="shared" si="1"/>
        <v>186.28356624729591</v>
      </c>
      <c r="X7" s="4">
        <f t="shared" si="2"/>
        <v>135.56789201820914</v>
      </c>
      <c r="Y7" s="4">
        <f t="shared" si="3"/>
        <v>114.22523082141302</v>
      </c>
      <c r="Z7" s="4">
        <f t="shared" si="4"/>
        <v>85.849091925059184</v>
      </c>
      <c r="AA7" s="4"/>
      <c r="AB7">
        <v>5</v>
      </c>
      <c r="AC7">
        <v>0.63234755214633931</v>
      </c>
      <c r="AD7">
        <v>0.45686374568119681</v>
      </c>
      <c r="AE7">
        <v>0.50699777991355965</v>
      </c>
      <c r="AF7">
        <v>0.36721098546304631</v>
      </c>
      <c r="AH7">
        <v>5</v>
      </c>
      <c r="AI7">
        <f t="shared" si="5"/>
        <v>17.244117747030671</v>
      </c>
      <c r="AJ7">
        <f t="shared" si="6"/>
        <v>12.458674344726237</v>
      </c>
      <c r="AK7">
        <f t="shared" si="7"/>
        <v>13.825829458242772</v>
      </c>
      <c r="AL7">
        <f t="shared" si="8"/>
        <v>10.013843573577272</v>
      </c>
      <c r="AN7" s="4">
        <v>10.425586129545446</v>
      </c>
      <c r="AO7" s="4">
        <v>18.342013494015081</v>
      </c>
      <c r="AP7" s="4">
        <v>37.430990815980309</v>
      </c>
      <c r="AQ7" s="4">
        <v>34.517899600390017</v>
      </c>
      <c r="AS7" s="7">
        <f t="shared" si="9"/>
        <v>0.28430573375270429</v>
      </c>
      <c r="AT7" s="7">
        <f t="shared" si="10"/>
        <v>0.50018670798179132</v>
      </c>
      <c r="AU7" s="7">
        <f t="shared" si="11"/>
        <v>1.0207431195517831</v>
      </c>
      <c r="AV7" s="7">
        <f t="shared" si="12"/>
        <v>0.94130312210263578</v>
      </c>
    </row>
    <row r="8" spans="1:48" x14ac:dyDescent="0.35">
      <c r="L8">
        <v>6</v>
      </c>
      <c r="M8" s="4">
        <v>33.435299999999998</v>
      </c>
      <c r="N8" s="4">
        <v>20.342342500000001</v>
      </c>
      <c r="O8" s="4">
        <v>47.341999999999999</v>
      </c>
      <c r="P8" s="4">
        <v>37.324199999999998</v>
      </c>
      <c r="R8" s="4">
        <v>7.170857487875022</v>
      </c>
      <c r="S8" s="4">
        <v>5.4377955782511087</v>
      </c>
      <c r="T8" s="4">
        <v>4.8574925971399034</v>
      </c>
      <c r="U8" s="4">
        <v>3.3494087475824008</v>
      </c>
      <c r="V8" s="4"/>
      <c r="W8" s="4">
        <f t="shared" si="1"/>
        <v>195.54928369435186</v>
      </c>
      <c r="X8" s="4">
        <f t="shared" si="2"/>
        <v>148.28868541890773</v>
      </c>
      <c r="Y8" s="4">
        <f t="shared" si="3"/>
        <v>132.46382312400516</v>
      </c>
      <c r="Z8" s="4">
        <f t="shared" si="4"/>
        <v>91.338376546572064</v>
      </c>
      <c r="AA8" s="4"/>
      <c r="AB8">
        <v>6</v>
      </c>
      <c r="AC8">
        <v>0.89575187587679006</v>
      </c>
      <c r="AD8">
        <v>0.50369209390773351</v>
      </c>
      <c r="AE8">
        <v>0.59482278193565974</v>
      </c>
      <c r="AF8">
        <v>0.38678495150942066</v>
      </c>
      <c r="AH8">
        <v>6</v>
      </c>
      <c r="AI8">
        <f t="shared" si="5"/>
        <v>24.427153655160065</v>
      </c>
      <c r="AJ8">
        <f t="shared" si="6"/>
        <v>13.735683400863893</v>
      </c>
      <c r="AK8">
        <f t="shared" si="7"/>
        <v>16.220817263385442</v>
      </c>
      <c r="AL8">
        <f t="shared" si="8"/>
        <v>10.547625627661901</v>
      </c>
      <c r="AN8" s="4">
        <v>13.361364734347177</v>
      </c>
      <c r="AO8" s="4">
        <v>15.376648866193346</v>
      </c>
      <c r="AP8" s="4">
        <v>33.310617033472631</v>
      </c>
      <c r="AQ8" s="4">
        <v>35.637910136623873</v>
      </c>
      <c r="AS8" s="7">
        <f t="shared" si="9"/>
        <v>0.36436441630564753</v>
      </c>
      <c r="AT8" s="7">
        <f t="shared" si="10"/>
        <v>0.41932121458109256</v>
      </c>
      <c r="AU8" s="7">
        <f t="shared" si="11"/>
        <v>0.90838052650279877</v>
      </c>
      <c r="AV8" s="7">
        <f t="shared" si="12"/>
        <v>0.97184580942573306</v>
      </c>
    </row>
    <row r="9" spans="1:48" x14ac:dyDescent="0.35">
      <c r="C9" t="s">
        <v>144</v>
      </c>
      <c r="D9" t="s">
        <v>145</v>
      </c>
      <c r="E9" t="s">
        <v>146</v>
      </c>
      <c r="F9" t="s">
        <v>147</v>
      </c>
      <c r="L9">
        <v>7</v>
      </c>
      <c r="M9" s="4">
        <v>37.456546400000001</v>
      </c>
      <c r="N9" s="4">
        <v>28.324240000000003</v>
      </c>
      <c r="O9" s="4">
        <v>57.995555555555498</v>
      </c>
      <c r="P9" s="4">
        <v>39.49111111111111</v>
      </c>
      <c r="R9" s="4">
        <v>8.4130336833609061</v>
      </c>
      <c r="S9" s="4">
        <v>5.7276540798468432</v>
      </c>
      <c r="T9" s="4">
        <v>6.8808807611842315</v>
      </c>
      <c r="U9" s="4">
        <v>3.692721782743317</v>
      </c>
      <c r="V9" s="4"/>
      <c r="W9" s="4">
        <f t="shared" si="1"/>
        <v>229.42342854525191</v>
      </c>
      <c r="X9" s="4">
        <f t="shared" si="2"/>
        <v>156.19312675742341</v>
      </c>
      <c r="Y9" s="4">
        <f t="shared" si="3"/>
        <v>187.641618357494</v>
      </c>
      <c r="Z9" s="4">
        <f t="shared" si="4"/>
        <v>100.70052301541025</v>
      </c>
      <c r="AA9" s="4"/>
      <c r="AB9">
        <v>7</v>
      </c>
      <c r="AC9">
        <v>1.0034834950386575</v>
      </c>
      <c r="AD9">
        <v>0.70133003384173598</v>
      </c>
      <c r="AE9">
        <v>0.72867808067803697</v>
      </c>
      <c r="AF9">
        <v>0.40924031851089254</v>
      </c>
      <c r="AH9">
        <v>7</v>
      </c>
      <c r="AI9">
        <f t="shared" si="5"/>
        <v>27.36499490970419</v>
      </c>
      <c r="AJ9">
        <f t="shared" si="6"/>
        <v>19.125270022864139</v>
      </c>
      <c r="AK9">
        <f t="shared" si="7"/>
        <v>19.871051260090066</v>
      </c>
      <c r="AL9">
        <f t="shared" si="8"/>
        <v>11.15998348579204</v>
      </c>
      <c r="AN9" s="4">
        <v>12.538077427750197</v>
      </c>
      <c r="AO9" s="4">
        <v>22.623457031264266</v>
      </c>
      <c r="AP9" s="4">
        <v>40.078008127704685</v>
      </c>
      <c r="AQ9" s="4">
        <v>42.520611550590033</v>
      </c>
      <c r="AS9" s="7">
        <f t="shared" si="9"/>
        <v>0.34191337145474787</v>
      </c>
      <c r="AT9" s="7">
        <f t="shared" si="10"/>
        <v>0.61694167324257654</v>
      </c>
      <c r="AU9" s="7">
        <f t="shared" si="11"/>
        <v>1.0929272816425069</v>
      </c>
      <c r="AV9" s="7">
        <f t="shared" si="12"/>
        <v>1.1595370769845901</v>
      </c>
    </row>
    <row r="10" spans="1:48" x14ac:dyDescent="0.35">
      <c r="A10" t="s">
        <v>68</v>
      </c>
      <c r="C10">
        <v>0.19</v>
      </c>
      <c r="D10">
        <v>0.2</v>
      </c>
      <c r="E10">
        <v>7.0000000000000007E-2</v>
      </c>
      <c r="F10">
        <v>0.08</v>
      </c>
      <c r="L10">
        <v>8</v>
      </c>
      <c r="M10" s="4">
        <v>39.001111111111115</v>
      </c>
      <c r="N10" s="4">
        <v>31.011111111111113</v>
      </c>
      <c r="O10" s="4">
        <v>65.342420000000004</v>
      </c>
      <c r="P10" s="4">
        <v>49.32423</v>
      </c>
      <c r="R10" s="4">
        <v>10.306251581557964</v>
      </c>
      <c r="S10" s="4">
        <v>8.0601814284898392</v>
      </c>
      <c r="T10" s="4">
        <v>7.708440764825335</v>
      </c>
      <c r="U10" s="4">
        <v>5.1416663556642792</v>
      </c>
      <c r="V10" s="4"/>
      <c r="W10" s="4">
        <f t="shared" si="1"/>
        <v>281.05148062908569</v>
      </c>
      <c r="X10" s="4">
        <f t="shared" si="2"/>
        <v>219.80114755491792</v>
      </c>
      <c r="Y10" s="4">
        <f t="shared" si="3"/>
        <v>210.20917965678689</v>
      </c>
      <c r="Z10" s="4">
        <f t="shared" si="4"/>
        <v>140.21324151896488</v>
      </c>
      <c r="AA10" s="4"/>
      <c r="AB10">
        <v>8</v>
      </c>
      <c r="AC10">
        <v>1.0448633162871845</v>
      </c>
      <c r="AD10">
        <v>0.76785903540661238</v>
      </c>
      <c r="AE10">
        <v>0.82098686246479435</v>
      </c>
      <c r="AF10">
        <v>0.5111394191647648</v>
      </c>
      <c r="AH10">
        <v>8</v>
      </c>
      <c r="AI10">
        <f t="shared" si="5"/>
        <v>28.493422635151521</v>
      </c>
      <c r="AJ10">
        <f t="shared" si="6"/>
        <v>20.939515895538321</v>
      </c>
      <c r="AK10">
        <f t="shared" si="7"/>
        <v>22.388311739414942</v>
      </c>
      <c r="AL10">
        <f t="shared" si="8"/>
        <v>13.938771960623136</v>
      </c>
      <c r="AN10" s="4">
        <v>12.555970640664258</v>
      </c>
      <c r="AO10" s="4">
        <v>23.476485238176828</v>
      </c>
      <c r="AP10" s="4">
        <v>55.993781457396857</v>
      </c>
      <c r="AQ10" s="4">
        <v>58.975000311002368</v>
      </c>
      <c r="AS10" s="7">
        <f t="shared" si="9"/>
        <v>0.34240131937091428</v>
      </c>
      <c r="AT10" s="7">
        <f t="shared" si="10"/>
        <v>0.6402037524450821</v>
      </c>
      <c r="AU10" s="7">
        <f t="shared" si="11"/>
        <v>1.5269504203432123</v>
      </c>
      <c r="AV10" s="7">
        <f t="shared" si="12"/>
        <v>1.6082482584810345</v>
      </c>
    </row>
    <row r="11" spans="1:48" x14ac:dyDescent="0.35">
      <c r="C11">
        <v>0.16</v>
      </c>
      <c r="D11">
        <v>0.16</v>
      </c>
      <c r="E11">
        <v>7.0000000000000007E-2</v>
      </c>
      <c r="F11">
        <v>0.08</v>
      </c>
      <c r="L11">
        <v>9</v>
      </c>
      <c r="M11" s="4">
        <v>57.342339999999993</v>
      </c>
      <c r="N11" s="4">
        <v>53.32423</v>
      </c>
      <c r="O11" s="4">
        <v>70.32423</v>
      </c>
      <c r="P11" s="4">
        <v>79.234200000000001</v>
      </c>
      <c r="R11" s="4">
        <v>12.611845304641024</v>
      </c>
      <c r="S11" s="4">
        <v>11.569140857534899</v>
      </c>
      <c r="T11" s="4">
        <v>8.0263073790052157</v>
      </c>
      <c r="U11" s="4">
        <v>6.6294109445396101</v>
      </c>
      <c r="V11" s="4"/>
      <c r="W11" s="4">
        <f t="shared" si="1"/>
        <v>343.92502145756072</v>
      </c>
      <c r="X11" s="4">
        <f t="shared" si="2"/>
        <v>315.49047118497668</v>
      </c>
      <c r="Y11" s="4">
        <f t="shared" si="3"/>
        <v>218.87740222547222</v>
      </c>
      <c r="Z11" s="4">
        <f t="shared" si="4"/>
        <v>180.78403645759516</v>
      </c>
      <c r="AA11" s="4"/>
      <c r="AB11">
        <v>9</v>
      </c>
      <c r="AC11">
        <v>1.536235913007052</v>
      </c>
      <c r="AD11">
        <v>1.3203490731078575</v>
      </c>
      <c r="AE11">
        <v>0.88358020628792999</v>
      </c>
      <c r="AF11">
        <v>0.82109184402847868</v>
      </c>
      <c r="AH11">
        <v>9</v>
      </c>
      <c r="AI11">
        <f t="shared" si="5"/>
        <v>41.893153347702309</v>
      </c>
      <c r="AJ11">
        <f t="shared" si="6"/>
        <v>36.005919223651276</v>
      </c>
      <c r="AK11">
        <f t="shared" si="7"/>
        <v>24.09523222547185</v>
      </c>
      <c r="AL11">
        <f t="shared" si="8"/>
        <v>22.391174586656614</v>
      </c>
      <c r="AN11" s="4">
        <v>15.238154695358999</v>
      </c>
      <c r="AO11" s="4">
        <v>22.87308136468733</v>
      </c>
      <c r="AP11" s="4">
        <v>67.727025954328099</v>
      </c>
      <c r="AQ11" s="4">
        <v>61.068366833238152</v>
      </c>
      <c r="AS11" s="7">
        <f t="shared" si="9"/>
        <v>0.41554447854243987</v>
      </c>
      <c r="AT11" s="7">
        <f t="shared" si="10"/>
        <v>0.62374892881502342</v>
      </c>
      <c r="AU11" s="7">
        <f t="shared" si="11"/>
        <v>1.8469159977745273</v>
      </c>
      <c r="AV11" s="7">
        <f t="shared" si="12"/>
        <v>1.6653343635424043</v>
      </c>
    </row>
    <row r="12" spans="1:48" x14ac:dyDescent="0.35">
      <c r="C12">
        <v>0.16</v>
      </c>
      <c r="D12">
        <v>0.21</v>
      </c>
      <c r="E12">
        <v>0.09</v>
      </c>
      <c r="F12">
        <v>0.09</v>
      </c>
      <c r="L12">
        <v>10</v>
      </c>
      <c r="M12" s="4">
        <v>75.343500000000006</v>
      </c>
      <c r="N12" s="4">
        <v>62.32423</v>
      </c>
      <c r="O12" s="4">
        <v>72.526333333333326</v>
      </c>
      <c r="P12" s="4">
        <v>83.630111111111106</v>
      </c>
      <c r="R12" s="4">
        <v>13.497150854345392</v>
      </c>
      <c r="S12" s="4">
        <v>12.1590305724811</v>
      </c>
      <c r="T12" s="4">
        <v>10.8008752458415</v>
      </c>
      <c r="U12" s="4">
        <v>9.6798854738098452</v>
      </c>
      <c r="V12" s="4"/>
      <c r="W12" s="4">
        <f t="shared" si="1"/>
        <v>368.06730379799882</v>
      </c>
      <c r="X12" s="4">
        <f t="shared" si="2"/>
        <v>331.57676371155958</v>
      </c>
      <c r="Y12" s="4">
        <f t="shared" si="3"/>
        <v>294.5398679540977</v>
      </c>
      <c r="Z12" s="4">
        <f t="shared" si="4"/>
        <v>263.97047687079447</v>
      </c>
      <c r="AA12" s="4"/>
      <c r="AB12">
        <v>10</v>
      </c>
      <c r="AC12">
        <v>2.0184978588534555</v>
      </c>
      <c r="AD12">
        <v>1.5431960163824388</v>
      </c>
      <c r="AE12">
        <v>0.91124826490064426</v>
      </c>
      <c r="AF12">
        <v>0.86664599564996903</v>
      </c>
      <c r="AH12">
        <v>10</v>
      </c>
      <c r="AI12">
        <f t="shared" si="5"/>
        <v>55.04443661093373</v>
      </c>
      <c r="AJ12">
        <f t="shared" si="6"/>
        <v>42.082955366749104</v>
      </c>
      <c r="AK12">
        <f t="shared" si="7"/>
        <v>24.84974018384057</v>
      </c>
      <c r="AL12">
        <f t="shared" si="8"/>
        <v>23.633436301374655</v>
      </c>
      <c r="AN12" s="4">
        <v>31.221738034543478</v>
      </c>
      <c r="AO12" s="4">
        <v>20.7576360941856</v>
      </c>
      <c r="AP12" s="4">
        <v>62.86912475415852</v>
      </c>
      <c r="AQ12" s="4">
        <v>61.325670081745699</v>
      </c>
      <c r="AS12" s="7">
        <f t="shared" si="9"/>
        <v>0.85141679620200061</v>
      </c>
      <c r="AT12" s="7">
        <f t="shared" si="10"/>
        <v>0.56606073628844134</v>
      </c>
      <c r="AU12" s="7">
        <f t="shared" si="11"/>
        <v>1.7144410320459029</v>
      </c>
      <c r="AV12" s="7">
        <f t="shared" si="12"/>
        <v>1.6723510231292051</v>
      </c>
    </row>
    <row r="13" spans="1:48" x14ac:dyDescent="0.35">
      <c r="C13">
        <v>0.21</v>
      </c>
      <c r="D13">
        <v>0.19</v>
      </c>
      <c r="E13">
        <v>0.06</v>
      </c>
      <c r="F13">
        <v>0.09</v>
      </c>
      <c r="L13">
        <v>11</v>
      </c>
      <c r="M13" s="4">
        <v>80.213333333333324</v>
      </c>
      <c r="N13" s="4">
        <v>69.282222222222217</v>
      </c>
      <c r="O13" s="4">
        <v>78.435230000000004</v>
      </c>
      <c r="P13" s="4">
        <v>89.32423</v>
      </c>
      <c r="R13" s="4">
        <v>13.888481375184703</v>
      </c>
      <c r="S13" s="4">
        <v>12.833613234941399</v>
      </c>
      <c r="T13" s="4">
        <v>11.5054579929082</v>
      </c>
      <c r="U13" s="4">
        <v>10.3136450098461</v>
      </c>
      <c r="V13" s="4"/>
      <c r="W13" s="4">
        <f t="shared" si="1"/>
        <v>378.73888710128688</v>
      </c>
      <c r="X13" s="4">
        <f t="shared" si="2"/>
        <v>349.97263291685198</v>
      </c>
      <c r="Y13" s="4">
        <f t="shared" si="3"/>
        <v>313.75383946660662</v>
      </c>
      <c r="Z13" s="4">
        <f t="shared" si="4"/>
        <v>281.25309941850315</v>
      </c>
      <c r="AA13" s="4"/>
      <c r="AB13">
        <v>11</v>
      </c>
      <c r="AC13">
        <v>2.1489636343524232</v>
      </c>
      <c r="AD13">
        <v>1.7154812717213865</v>
      </c>
      <c r="AE13">
        <v>0.98548987601629245</v>
      </c>
      <c r="AF13">
        <v>0.92565327506460537</v>
      </c>
      <c r="AH13">
        <v>11</v>
      </c>
      <c r="AI13">
        <f t="shared" si="5"/>
        <v>58.602238308790582</v>
      </c>
      <c r="AJ13">
        <f t="shared" si="6"/>
        <v>46.781174279842212</v>
      </c>
      <c r="AK13">
        <f t="shared" si="7"/>
        <v>26.874308918964296</v>
      </c>
      <c r="AL13">
        <f t="shared" si="8"/>
        <v>25.242564811011789</v>
      </c>
      <c r="AN13" s="4">
        <v>24.220407513704188</v>
      </c>
      <c r="AO13" s="4">
        <v>17.368608987280801</v>
      </c>
      <c r="AP13" s="4">
        <v>43.051208673758453</v>
      </c>
      <c r="AQ13" s="4">
        <v>44.31024387904278</v>
      </c>
      <c r="AS13" s="7">
        <f t="shared" si="9"/>
        <v>0.66049051289871319</v>
      </c>
      <c r="AT13" s="7">
        <f t="shared" si="10"/>
        <v>0.47364196708314749</v>
      </c>
      <c r="AU13" s="7">
        <f t="shared" si="11"/>
        <v>1.1740064605333931</v>
      </c>
      <c r="AV13" s="7">
        <f t="shared" si="12"/>
        <v>1.2083403505814967</v>
      </c>
    </row>
    <row r="14" spans="1:48" x14ac:dyDescent="0.35">
      <c r="C14">
        <v>0.19</v>
      </c>
      <c r="D14">
        <v>0.21</v>
      </c>
      <c r="E14">
        <v>0.09</v>
      </c>
      <c r="F14">
        <v>0.08</v>
      </c>
      <c r="L14">
        <v>12</v>
      </c>
      <c r="M14" s="4">
        <v>89.432432000000006</v>
      </c>
      <c r="N14" s="4">
        <v>90.324200000000005</v>
      </c>
      <c r="O14" s="4">
        <v>99.352350000000001</v>
      </c>
      <c r="P14" s="4">
        <v>110.3432</v>
      </c>
      <c r="R14" s="4">
        <v>14.938537280895611</v>
      </c>
      <c r="S14" s="4">
        <v>13.707414770810299</v>
      </c>
      <c r="T14" s="4">
        <v>16.507654548450027</v>
      </c>
      <c r="U14" s="4">
        <v>13.576721248148401</v>
      </c>
      <c r="V14" s="4"/>
      <c r="W14" s="4">
        <f t="shared" si="1"/>
        <v>407.37391165002333</v>
      </c>
      <c r="X14" s="4">
        <f t="shared" si="2"/>
        <v>373.80120079999688</v>
      </c>
      <c r="Y14" s="4">
        <f t="shared" si="3"/>
        <v>450.16373953623224</v>
      </c>
      <c r="Z14" s="4">
        <f t="shared" si="4"/>
        <v>370.23718843700686</v>
      </c>
      <c r="AA14" s="4"/>
      <c r="AB14">
        <v>12</v>
      </c>
      <c r="AC14">
        <v>2.3959488543013965</v>
      </c>
      <c r="AD14">
        <v>2.2364968748579916</v>
      </c>
      <c r="AE14">
        <v>1.2483004777754498</v>
      </c>
      <c r="AF14">
        <v>1.1434696326081819</v>
      </c>
      <c r="AH14">
        <v>12</v>
      </c>
      <c r="AI14">
        <f t="shared" si="5"/>
        <v>65.337525256799083</v>
      </c>
      <c r="AJ14">
        <f t="shared" si="6"/>
        <v>60.98926977737743</v>
      </c>
      <c r="AK14">
        <f t="shared" si="7"/>
        <v>34.041154028936518</v>
      </c>
      <c r="AL14">
        <f t="shared" si="8"/>
        <v>31.182416881225119</v>
      </c>
      <c r="AN14" s="4">
        <v>12.053684941326607</v>
      </c>
      <c r="AO14" s="4">
        <v>14.984807451411942</v>
      </c>
      <c r="AP14" s="4">
        <v>38.049012118216623</v>
      </c>
      <c r="AQ14" s="4">
        <v>41.047167640740511</v>
      </c>
      <c r="AS14" s="7">
        <f t="shared" si="9"/>
        <v>0.32870398834997655</v>
      </c>
      <c r="AT14" s="7">
        <f t="shared" si="10"/>
        <v>0.4086356992000037</v>
      </c>
      <c r="AU14" s="7">
        <f t="shared" si="11"/>
        <v>1.0375965604637674</v>
      </c>
      <c r="AV14" s="7">
        <f t="shared" si="12"/>
        <v>1.1193562615629937</v>
      </c>
    </row>
    <row r="15" spans="1:48" x14ac:dyDescent="0.35">
      <c r="C15">
        <v>0.17</v>
      </c>
      <c r="D15">
        <v>0.22</v>
      </c>
      <c r="E15">
        <v>7.0000000000000007E-2</v>
      </c>
      <c r="F15">
        <v>0.09</v>
      </c>
      <c r="L15">
        <v>13</v>
      </c>
      <c r="M15" s="4">
        <v>90.424199999999999</v>
      </c>
      <c r="N15" s="4">
        <v>105.25200000000001</v>
      </c>
      <c r="O15" s="4">
        <v>110</v>
      </c>
      <c r="P15" s="4">
        <v>120.13455555555555</v>
      </c>
      <c r="R15" s="4">
        <v>16.6556686889245</v>
      </c>
      <c r="S15" s="4">
        <v>15.932919651683299</v>
      </c>
      <c r="T15" s="4">
        <v>18.404916384022801</v>
      </c>
      <c r="U15" s="4">
        <v>16.396447009426957</v>
      </c>
      <c r="V15" s="4"/>
      <c r="W15" s="4">
        <f t="shared" si="1"/>
        <v>454.20008514697111</v>
      </c>
      <c r="X15" s="4">
        <f t="shared" si="2"/>
        <v>434.49071890140357</v>
      </c>
      <c r="Y15" s="4">
        <f t="shared" si="3"/>
        <v>501.9020697923018</v>
      </c>
      <c r="Z15" s="4">
        <f t="shared" si="4"/>
        <v>447.13110994707313</v>
      </c>
      <c r="AA15" s="4"/>
      <c r="AB15">
        <v>13</v>
      </c>
      <c r="AC15">
        <v>2.4225189178699771</v>
      </c>
      <c r="AD15">
        <v>2.6061207192818019</v>
      </c>
      <c r="AE15">
        <v>1.3820815768856951</v>
      </c>
      <c r="AF15">
        <v>1.2449359462536735</v>
      </c>
      <c r="AH15">
        <v>13</v>
      </c>
      <c r="AI15">
        <f t="shared" si="5"/>
        <v>66.062090890314281</v>
      </c>
      <c r="AJ15">
        <f t="shared" si="6"/>
        <v>71.068912014814742</v>
      </c>
      <c r="AK15">
        <f t="shared" si="7"/>
        <v>37.689364601672906</v>
      </c>
      <c r="AL15">
        <f t="shared" si="8"/>
        <v>33.949403254337675</v>
      </c>
      <c r="AN15" s="4">
        <v>33.259886866631071</v>
      </c>
      <c r="AO15" s="4">
        <v>14.391380348316702</v>
      </c>
      <c r="AP15" s="4">
        <v>47.376194727088304</v>
      </c>
      <c r="AQ15" s="4">
        <v>55.375775212795226</v>
      </c>
      <c r="AS15" s="7">
        <f t="shared" si="9"/>
        <v>0.90699711485302936</v>
      </c>
      <c r="AT15" s="7">
        <f t="shared" si="10"/>
        <v>0.39245294209859649</v>
      </c>
      <c r="AU15" s="7">
        <f t="shared" si="11"/>
        <v>1.291948830207698</v>
      </c>
      <c r="AV15" s="7">
        <f t="shared" si="12"/>
        <v>1.5100973900529258</v>
      </c>
    </row>
    <row r="16" spans="1:48" x14ac:dyDescent="0.35">
      <c r="C16">
        <v>0.17</v>
      </c>
      <c r="D16">
        <v>0.19</v>
      </c>
      <c r="E16">
        <v>7.0000000000000007E-2</v>
      </c>
      <c r="F16">
        <v>0.1</v>
      </c>
      <c r="L16">
        <v>14</v>
      </c>
      <c r="M16" s="4">
        <v>108.28444444444443</v>
      </c>
      <c r="N16" s="4">
        <v>126.56900000000002</v>
      </c>
      <c r="O16" s="4">
        <v>127.34229999999999</v>
      </c>
      <c r="P16" s="4">
        <v>135.23419999999999</v>
      </c>
      <c r="R16" s="4">
        <v>18.5478371249567</v>
      </c>
      <c r="S16" s="4">
        <v>24.435470211239998</v>
      </c>
      <c r="T16" s="4">
        <v>18.609019154171648</v>
      </c>
      <c r="U16" s="4">
        <v>19.106273187431565</v>
      </c>
      <c r="V16" s="4"/>
      <c r="W16" s="4">
        <f t="shared" si="1"/>
        <v>505.79951839756922</v>
      </c>
      <c r="X16" s="4">
        <f t="shared" si="2"/>
        <v>666.35527266051474</v>
      </c>
      <c r="Y16" s="4">
        <f t="shared" si="3"/>
        <v>507.46795233426081</v>
      </c>
      <c r="Z16" s="4">
        <f t="shared" si="4"/>
        <v>521.02806982125878</v>
      </c>
      <c r="AA16" s="4"/>
      <c r="AB16">
        <v>14</v>
      </c>
      <c r="AC16">
        <v>2.9010056508955255</v>
      </c>
      <c r="AD16">
        <v>3.1339460848133851</v>
      </c>
      <c r="AE16">
        <v>1.5999767889841021</v>
      </c>
      <c r="AF16">
        <v>1.4014112422882552</v>
      </c>
      <c r="AH16">
        <v>14</v>
      </c>
      <c r="AI16">
        <f t="shared" si="5"/>
        <v>79.110424099920976</v>
      </c>
      <c r="AJ16">
        <f t="shared" si="6"/>
        <v>85.462709732861015</v>
      </c>
      <c r="AK16">
        <f t="shared" si="7"/>
        <v>43.631367035596462</v>
      </c>
      <c r="AL16">
        <f t="shared" si="8"/>
        <v>38.216484577200717</v>
      </c>
      <c r="AN16" s="4">
        <v>29.4521628750433</v>
      </c>
      <c r="AO16" s="4">
        <v>25.848279788759999</v>
      </c>
      <c r="AP16" s="4">
        <v>45.840980845828369</v>
      </c>
      <c r="AQ16" s="4">
        <v>64.059282368124016</v>
      </c>
      <c r="AS16" s="7">
        <f t="shared" si="9"/>
        <v>0.8031604816024307</v>
      </c>
      <c r="AT16" s="7">
        <f t="shared" si="10"/>
        <v>0.70488258983948515</v>
      </c>
      <c r="AU16" s="7">
        <f t="shared" si="11"/>
        <v>1.2500835476657397</v>
      </c>
      <c r="AV16" s="7">
        <f t="shared" si="12"/>
        <v>1.7468966301787419</v>
      </c>
    </row>
    <row r="17" spans="2:48" x14ac:dyDescent="0.35">
      <c r="C17">
        <v>0.19</v>
      </c>
      <c r="D17">
        <v>0.21</v>
      </c>
      <c r="E17">
        <v>0.08</v>
      </c>
      <c r="F17">
        <v>0.09</v>
      </c>
      <c r="L17">
        <v>15</v>
      </c>
      <c r="M17" s="4">
        <v>107.3242</v>
      </c>
      <c r="N17" s="4">
        <v>134.34533999999999</v>
      </c>
      <c r="O17" s="4">
        <v>145.32419999999999</v>
      </c>
      <c r="P17" s="4">
        <v>179.42439999999999</v>
      </c>
      <c r="R17" s="4">
        <v>20.629695813794299</v>
      </c>
      <c r="S17" s="4">
        <v>29.752614051066701</v>
      </c>
      <c r="T17" s="4">
        <v>20.2846019181315</v>
      </c>
      <c r="U17" s="4">
        <v>22.975923412952021</v>
      </c>
      <c r="V17" s="4"/>
      <c r="W17" s="4">
        <f t="shared" si="1"/>
        <v>562.57180484217054</v>
      </c>
      <c r="X17" s="4">
        <f t="shared" si="2"/>
        <v>811.35378517258891</v>
      </c>
      <c r="Y17" s="4">
        <f t="shared" si="3"/>
        <v>553.16109430744598</v>
      </c>
      <c r="Z17" s="4">
        <f t="shared" si="4"/>
        <v>626.55343147120163</v>
      </c>
      <c r="AA17" s="4"/>
      <c r="AB17">
        <v>15</v>
      </c>
      <c r="AC17">
        <v>2.8752801224148068</v>
      </c>
      <c r="AD17">
        <v>3.3264942624649243</v>
      </c>
      <c r="AE17">
        <v>1.8259081772332011</v>
      </c>
      <c r="AF17">
        <v>1.8593474971628836</v>
      </c>
      <c r="AH17">
        <v>15</v>
      </c>
      <c r="AI17">
        <f t="shared" si="5"/>
        <v>78.408888938251778</v>
      </c>
      <c r="AJ17">
        <f t="shared" si="6"/>
        <v>90.713498537418488</v>
      </c>
      <c r="AK17">
        <f t="shared" si="7"/>
        <v>49.792515993149394</v>
      </c>
      <c r="AL17">
        <f t="shared" si="8"/>
        <v>50.704406247631837</v>
      </c>
      <c r="AN17" s="4">
        <v>32.156970852872362</v>
      </c>
      <c r="AO17" s="4">
        <v>20.600385948933301</v>
      </c>
      <c r="AP17" s="4">
        <v>44.165398081868517</v>
      </c>
      <c r="AQ17" s="4">
        <v>40.189632142603571</v>
      </c>
      <c r="AS17" s="7">
        <f t="shared" si="9"/>
        <v>0.87692059515782927</v>
      </c>
      <c r="AT17" s="7">
        <f t="shared" si="10"/>
        <v>0.56177252482741113</v>
      </c>
      <c r="AU17" s="7">
        <f t="shared" si="11"/>
        <v>1.2043904056925545</v>
      </c>
      <c r="AV17" s="7">
        <f t="shared" si="12"/>
        <v>1.0959712685287994</v>
      </c>
    </row>
    <row r="18" spans="2:48" x14ac:dyDescent="0.35">
      <c r="D18">
        <v>0.22</v>
      </c>
      <c r="E18">
        <v>7.0000000000000007E-2</v>
      </c>
      <c r="L18">
        <v>16</v>
      </c>
      <c r="M18" s="4">
        <v>113.434</v>
      </c>
      <c r="N18" s="4">
        <v>145.2432</v>
      </c>
      <c r="O18" s="4">
        <v>162.99222222222224</v>
      </c>
      <c r="P18" s="4">
        <v>182.56756666666666</v>
      </c>
      <c r="R18" s="4">
        <v>24.825216290133</v>
      </c>
      <c r="S18" s="4">
        <v>31.533902848127269</v>
      </c>
      <c r="T18" s="4">
        <v>22.086986597682355</v>
      </c>
      <c r="U18" s="4">
        <v>24.387553371892004</v>
      </c>
      <c r="V18" s="4"/>
      <c r="W18" s="4">
        <f t="shared" si="1"/>
        <v>676.98364823192685</v>
      </c>
      <c r="X18" s="4">
        <f t="shared" si="2"/>
        <v>859.92953066843063</v>
      </c>
      <c r="Y18" s="4">
        <f t="shared" si="3"/>
        <v>602.31212451879776</v>
      </c>
      <c r="Z18" s="4">
        <f t="shared" si="4"/>
        <v>665.0485804514949</v>
      </c>
      <c r="AA18" s="4"/>
      <c r="AB18">
        <v>16</v>
      </c>
      <c r="AC18">
        <v>3.0389653536294814</v>
      </c>
      <c r="AD18">
        <v>3.5963336834909607</v>
      </c>
      <c r="AE18">
        <v>2.0478958864453864</v>
      </c>
      <c r="AF18">
        <v>1.8919196505312799</v>
      </c>
      <c r="AH18">
        <v>16</v>
      </c>
      <c r="AI18">
        <f t="shared" si="5"/>
        <v>82.872585193475956</v>
      </c>
      <c r="AJ18">
        <f t="shared" si="6"/>
        <v>98.072019548798494</v>
      </c>
      <c r="AK18">
        <f t="shared" si="7"/>
        <v>55.846120823365688</v>
      </c>
      <c r="AL18">
        <f t="shared" si="8"/>
        <v>51.592648869988004</v>
      </c>
      <c r="AN18" s="4">
        <v>29.204783709867002</v>
      </c>
      <c r="AO18" s="4">
        <v>23.466097151872731</v>
      </c>
      <c r="AP18" s="4">
        <v>55.97745784676205</v>
      </c>
      <c r="AQ18" s="4">
        <v>45.612446628107996</v>
      </c>
      <c r="AS18" s="7">
        <f t="shared" si="9"/>
        <v>0.79641445176807313</v>
      </c>
      <c r="AT18" s="7">
        <f t="shared" si="10"/>
        <v>0.63992046933156943</v>
      </c>
      <c r="AU18" s="7">
        <f t="shared" si="11"/>
        <v>1.5265052754812012</v>
      </c>
      <c r="AV18" s="7">
        <f t="shared" si="12"/>
        <v>1.2438514195485051</v>
      </c>
    </row>
    <row r="19" spans="2:48" x14ac:dyDescent="0.35">
      <c r="B19" s="17" t="s">
        <v>148</v>
      </c>
      <c r="C19" s="17">
        <f>STDEV(C10:C17)</f>
        <v>1.7728105208558362E-2</v>
      </c>
      <c r="D19" s="17">
        <f>STDEV(D10:D17)</f>
        <v>1.8850918886280921E-2</v>
      </c>
      <c r="E19" s="17">
        <f>STDEV(E10:E17)</f>
        <v>1.069044967649699E-2</v>
      </c>
      <c r="F19" s="17">
        <f>STDEV(F10:F17)</f>
        <v>7.0710678118654753E-3</v>
      </c>
      <c r="L19">
        <v>17</v>
      </c>
      <c r="M19" s="4">
        <v>133.62222222222223</v>
      </c>
      <c r="N19" s="4">
        <v>148.67555555555555</v>
      </c>
      <c r="O19" s="4">
        <v>169.3535</v>
      </c>
      <c r="P19" s="4">
        <v>199.32423499999999</v>
      </c>
      <c r="R19" s="4">
        <v>27.964958296679502</v>
      </c>
      <c r="S19" s="4">
        <v>34.016243297004195</v>
      </c>
      <c r="T19" s="4">
        <v>23.344364437112038</v>
      </c>
      <c r="U19" s="4">
        <v>26.365829227157302</v>
      </c>
      <c r="V19" s="4"/>
      <c r="W19" s="4">
        <f t="shared" si="1"/>
        <v>762.60441275045002</v>
      </c>
      <c r="X19" s="4">
        <f t="shared" si="2"/>
        <v>927.62295470930439</v>
      </c>
      <c r="Y19" s="4">
        <f t="shared" si="3"/>
        <v>636.6008182000453</v>
      </c>
      <c r="Z19" s="4">
        <f t="shared" si="4"/>
        <v>718.99616302457957</v>
      </c>
      <c r="AA19" s="4"/>
      <c r="AB19">
        <v>17</v>
      </c>
      <c r="AC19">
        <v>3.5798200169994248</v>
      </c>
      <c r="AD19">
        <v>3.6813214550228586</v>
      </c>
      <c r="AE19">
        <v>2.127821384828287</v>
      </c>
      <c r="AF19">
        <v>2.0655664306033987</v>
      </c>
      <c r="AH19">
        <v>17</v>
      </c>
      <c r="AI19">
        <f t="shared" si="5"/>
        <v>97.621691863574313</v>
      </c>
      <c r="AJ19">
        <f t="shared" si="6"/>
        <v>100.38963607847334</v>
      </c>
      <c r="AK19">
        <f t="shared" si="7"/>
        <v>58.025689164267384</v>
      </c>
      <c r="AL19">
        <f t="shared" si="8"/>
        <v>56.327996562554681</v>
      </c>
      <c r="AN19" s="4">
        <v>29.628375036653846</v>
      </c>
      <c r="AO19" s="4">
        <v>25.983756702995805</v>
      </c>
      <c r="AP19" s="4">
        <v>52.190635562887991</v>
      </c>
      <c r="AQ19" s="4">
        <v>40.979490772842695</v>
      </c>
      <c r="AS19" s="7">
        <f t="shared" si="9"/>
        <v>0.80796578724955048</v>
      </c>
      <c r="AT19" s="7">
        <f t="shared" si="10"/>
        <v>0.70857704529069554</v>
      </c>
      <c r="AU19" s="7">
        <f t="shared" si="11"/>
        <v>1.4232386317999555</v>
      </c>
      <c r="AV19" s="7">
        <f t="shared" si="12"/>
        <v>1.1175107133754203</v>
      </c>
    </row>
    <row r="20" spans="2:48" x14ac:dyDescent="0.35">
      <c r="L20">
        <v>18</v>
      </c>
      <c r="M20" s="4">
        <v>140.32423</v>
      </c>
      <c r="N20" s="4">
        <v>160.3535</v>
      </c>
      <c r="O20" s="4">
        <v>175.24332000000001</v>
      </c>
      <c r="P20" s="4">
        <v>210.2423</v>
      </c>
      <c r="R20" s="4">
        <v>30.095405768557757</v>
      </c>
      <c r="S20" s="4">
        <v>36.5876687996019</v>
      </c>
      <c r="T20" s="4">
        <v>25.499037788073501</v>
      </c>
      <c r="U20" s="4">
        <v>27.9889007404857</v>
      </c>
      <c r="V20" s="4"/>
      <c r="W20" s="4">
        <f t="shared" si="1"/>
        <v>820.70171530856999</v>
      </c>
      <c r="X20" s="4">
        <f t="shared" si="2"/>
        <v>997.74572816514376</v>
      </c>
      <c r="Y20" s="4">
        <f t="shared" si="3"/>
        <v>695.35876048076432</v>
      </c>
      <c r="Z20" s="4">
        <f t="shared" si="4"/>
        <v>763.25732319304507</v>
      </c>
      <c r="AA20" s="4"/>
      <c r="AB20">
        <v>18</v>
      </c>
      <c r="AC20">
        <v>3.7593708521672045</v>
      </c>
      <c r="AD20">
        <v>3.9704763687089497</v>
      </c>
      <c r="AE20">
        <v>2.2018233094934954</v>
      </c>
      <c r="AF20">
        <v>2.1787086611562763</v>
      </c>
      <c r="AH20">
        <v>18</v>
      </c>
      <c r="AI20">
        <f t="shared" si="5"/>
        <v>102.51804313859967</v>
      </c>
      <c r="AJ20">
        <f t="shared" si="6"/>
        <v>108.27489057469306</v>
      </c>
      <c r="AK20">
        <f t="shared" si="7"/>
        <v>60.043721649887615</v>
      </c>
      <c r="AL20">
        <f t="shared" si="8"/>
        <v>59.413385189731656</v>
      </c>
      <c r="AN20" s="4">
        <v>29.904594231442243</v>
      </c>
      <c r="AO20" s="4">
        <v>23.4123312003981</v>
      </c>
      <c r="AP20" s="4">
        <v>50.035962211926524</v>
      </c>
      <c r="AQ20" s="4">
        <v>42.351099259514299</v>
      </c>
      <c r="AS20" s="7">
        <f t="shared" si="9"/>
        <v>0.81549828469142993</v>
      </c>
      <c r="AT20" s="7">
        <f t="shared" si="10"/>
        <v>0.63845427183485615</v>
      </c>
      <c r="AU20" s="7">
        <f t="shared" si="11"/>
        <v>1.3644806895192365</v>
      </c>
      <c r="AV20" s="7">
        <f t="shared" si="12"/>
        <v>1.154914476806955</v>
      </c>
    </row>
    <row r="21" spans="2:48" x14ac:dyDescent="0.35">
      <c r="C21">
        <v>8.07</v>
      </c>
      <c r="D21">
        <v>7.74</v>
      </c>
      <c r="E21">
        <v>6.04</v>
      </c>
      <c r="F21">
        <v>8.3000000000000007</v>
      </c>
      <c r="L21">
        <v>19</v>
      </c>
      <c r="M21" s="4">
        <v>149.43534</v>
      </c>
      <c r="N21" s="4">
        <v>175.35235</v>
      </c>
      <c r="O21" s="4">
        <v>185.57566666666665</v>
      </c>
      <c r="P21" s="4">
        <v>229.76566666666668</v>
      </c>
      <c r="R21" s="4">
        <v>31.142071605424235</v>
      </c>
      <c r="S21" s="4">
        <v>38.2631206389255</v>
      </c>
      <c r="T21" s="4">
        <v>27.878290146491601</v>
      </c>
      <c r="U21" s="4">
        <v>30.998784417976001</v>
      </c>
      <c r="V21" s="4"/>
      <c r="W21" s="4">
        <f t="shared" si="1"/>
        <v>849.24429267991889</v>
      </c>
      <c r="X21" s="4">
        <f t="shared" si="2"/>
        <v>1043.4352998234983</v>
      </c>
      <c r="Y21" s="4">
        <f t="shared" si="3"/>
        <v>760.24097229482595</v>
      </c>
      <c r="Z21" s="4">
        <f t="shared" si="4"/>
        <v>845.33685107820554</v>
      </c>
      <c r="AA21" s="4"/>
      <c r="AB21">
        <v>19</v>
      </c>
      <c r="AC21">
        <v>4.0034629905305446</v>
      </c>
      <c r="AD21">
        <v>4.3418594659460554</v>
      </c>
      <c r="AE21">
        <v>2.3316428183480071</v>
      </c>
      <c r="AF21">
        <v>2.3810263110849363</v>
      </c>
      <c r="AH21">
        <v>19</v>
      </c>
      <c r="AI21">
        <f t="shared" si="5"/>
        <v>109.17443575176794</v>
      </c>
      <c r="AJ21">
        <f t="shared" si="6"/>
        <v>118.40250763634893</v>
      </c>
      <c r="AK21">
        <f t="shared" si="7"/>
        <v>63.583899656350155</v>
      </c>
      <c r="AL21">
        <f t="shared" si="8"/>
        <v>64.930587503286219</v>
      </c>
      <c r="AN21" s="4">
        <v>30.203228394575767</v>
      </c>
      <c r="AO21" s="4">
        <v>27.082179361074495</v>
      </c>
      <c r="AP21" s="4">
        <v>47.635459853508358</v>
      </c>
      <c r="AQ21" s="4">
        <v>42.354615582023996</v>
      </c>
      <c r="AS21" s="7">
        <f t="shared" si="9"/>
        <v>0.82364203832008109</v>
      </c>
      <c r="AT21" s="7">
        <f t="shared" si="10"/>
        <v>0.73853103117650143</v>
      </c>
      <c r="AU21" s="7">
        <f t="shared" si="11"/>
        <v>1.299018990205173</v>
      </c>
      <c r="AV21" s="7">
        <f t="shared" si="12"/>
        <v>1.1550103669217944</v>
      </c>
    </row>
    <row r="22" spans="2:48" x14ac:dyDescent="0.35">
      <c r="C22">
        <v>8.9499999999999993</v>
      </c>
      <c r="D22">
        <v>7.37</v>
      </c>
      <c r="E22">
        <v>6.33</v>
      </c>
      <c r="F22">
        <v>5.25</v>
      </c>
      <c r="L22">
        <v>20</v>
      </c>
      <c r="M22" s="4">
        <v>153.64888888888888</v>
      </c>
      <c r="N22" s="4">
        <v>189.04777777777778</v>
      </c>
      <c r="O22" s="4">
        <v>190.32419999999999</v>
      </c>
      <c r="P22" s="4">
        <v>230.32423499999999</v>
      </c>
      <c r="R22" s="4">
        <v>32.978208239593222</v>
      </c>
      <c r="S22" s="4">
        <v>39.591149466582998</v>
      </c>
      <c r="T22" s="4">
        <v>30.753328250293087</v>
      </c>
      <c r="U22" s="4">
        <v>32.831508219873399</v>
      </c>
      <c r="V22" s="4"/>
      <c r="W22" s="4">
        <f t="shared" si="1"/>
        <v>899.3157386937072</v>
      </c>
      <c r="X22" s="4">
        <f t="shared" si="2"/>
        <v>1079.6506459537184</v>
      </c>
      <c r="Y22" s="4">
        <f t="shared" si="3"/>
        <v>838.64326138549245</v>
      </c>
      <c r="Z22" s="4">
        <f t="shared" si="4"/>
        <v>895.31522915594758</v>
      </c>
      <c r="AA22" s="4"/>
      <c r="AB22">
        <v>20</v>
      </c>
      <c r="AC22">
        <v>4.1163465094856848</v>
      </c>
      <c r="AD22">
        <v>4.6809688234033411</v>
      </c>
      <c r="AE22">
        <v>2.3913051859591672</v>
      </c>
      <c r="AF22">
        <v>2.386814668925775</v>
      </c>
      <c r="AH22">
        <v>20</v>
      </c>
      <c r="AI22">
        <f t="shared" si="5"/>
        <v>112.25276931367462</v>
      </c>
      <c r="AJ22">
        <f t="shared" si="6"/>
        <v>127.6500198142091</v>
      </c>
      <c r="AK22">
        <f t="shared" si="7"/>
        <v>65.210892421106493</v>
      </c>
      <c r="AL22">
        <f t="shared" si="8"/>
        <v>65.088436021605887</v>
      </c>
      <c r="AN22" s="4">
        <v>26.574791760406775</v>
      </c>
      <c r="AO22" s="4">
        <v>24.762300533416997</v>
      </c>
      <c r="AP22" s="4">
        <v>46.586671749706916</v>
      </c>
      <c r="AQ22" s="4">
        <v>46.513791780126596</v>
      </c>
      <c r="AS22" s="7">
        <f t="shared" si="9"/>
        <v>0.72469457130629278</v>
      </c>
      <c r="AT22" s="7">
        <f t="shared" si="10"/>
        <v>0.67526793554628151</v>
      </c>
      <c r="AU22" s="7">
        <f t="shared" si="11"/>
        <v>1.2704185386145077</v>
      </c>
      <c r="AV22" s="7">
        <f t="shared" si="12"/>
        <v>1.2684311018440522</v>
      </c>
    </row>
    <row r="23" spans="2:48" x14ac:dyDescent="0.35">
      <c r="C23">
        <v>5.14</v>
      </c>
      <c r="D23">
        <v>8.39</v>
      </c>
      <c r="E23">
        <v>6.04</v>
      </c>
      <c r="F23">
        <v>6</v>
      </c>
      <c r="L23">
        <v>21</v>
      </c>
      <c r="M23" s="4">
        <v>155.4534534</v>
      </c>
      <c r="N23" s="4">
        <v>190.34235000000001</v>
      </c>
      <c r="O23" s="4">
        <v>192.35339999999999</v>
      </c>
      <c r="P23" s="4">
        <v>234.23500000000001</v>
      </c>
      <c r="R23" s="4">
        <v>33.82205875034257</v>
      </c>
      <c r="S23" s="4">
        <v>39.748310823902997</v>
      </c>
      <c r="T23" s="4">
        <v>30.753328250293087</v>
      </c>
      <c r="U23" s="4">
        <v>32.831508219873399</v>
      </c>
      <c r="V23" s="4"/>
      <c r="W23" s="4">
        <f t="shared" si="1"/>
        <v>922.32754212184193</v>
      </c>
      <c r="X23" s="4">
        <f t="shared" si="2"/>
        <v>1083.9364361678347</v>
      </c>
      <c r="Y23" s="4">
        <f t="shared" si="3"/>
        <v>838.64326138549245</v>
      </c>
      <c r="Z23" s="4">
        <f t="shared" si="4"/>
        <v>895.31522915594758</v>
      </c>
      <c r="AA23" s="4"/>
      <c r="AB23">
        <v>21</v>
      </c>
      <c r="AC23">
        <v>4.1646918823690884</v>
      </c>
      <c r="AD23">
        <v>4.7130234303556078</v>
      </c>
      <c r="AE23">
        <v>2.4168008217393169</v>
      </c>
      <c r="AF23">
        <v>2.4273413259174785</v>
      </c>
      <c r="AH23">
        <v>21</v>
      </c>
      <c r="AI23">
        <f t="shared" si="5"/>
        <v>113.57114763220504</v>
      </c>
      <c r="AJ23">
        <f t="shared" si="6"/>
        <v>128.52414894579744</v>
      </c>
      <c r="AK23">
        <f t="shared" si="7"/>
        <v>65.906158408831175</v>
      </c>
      <c r="AL23">
        <f t="shared" si="8"/>
        <v>66.19359795776964</v>
      </c>
      <c r="AN23" s="4">
        <v>26.502941249657432</v>
      </c>
      <c r="AO23" s="4">
        <v>23.504889176097002</v>
      </c>
      <c r="AP23" s="4">
        <v>48.699671749706916</v>
      </c>
      <c r="AQ23" s="4">
        <v>56.986269557904336</v>
      </c>
      <c r="AS23" s="7">
        <f t="shared" si="9"/>
        <v>0.72273520787815815</v>
      </c>
      <c r="AT23" s="7">
        <f t="shared" si="10"/>
        <v>0.64097832783216524</v>
      </c>
      <c r="AU23" s="7">
        <f t="shared" si="11"/>
        <v>1.3280400486145076</v>
      </c>
      <c r="AV23" s="7">
        <f t="shared" si="12"/>
        <v>1.5540155708440513</v>
      </c>
    </row>
    <row r="24" spans="2:48" x14ac:dyDescent="0.35">
      <c r="C24">
        <v>6.05</v>
      </c>
      <c r="D24">
        <v>7.03</v>
      </c>
      <c r="E24">
        <v>5.18</v>
      </c>
      <c r="F24">
        <v>6.01</v>
      </c>
      <c r="L24">
        <v>22</v>
      </c>
      <c r="M24" s="4">
        <v>159.35345000000001</v>
      </c>
      <c r="N24" s="4">
        <v>190.56659999999999</v>
      </c>
      <c r="O24" s="4">
        <v>200.353453</v>
      </c>
      <c r="P24" s="4">
        <v>235.43643599999999</v>
      </c>
      <c r="R24" s="4">
        <v>34.182663033014954</v>
      </c>
      <c r="S24" s="4">
        <v>40.094496475190098</v>
      </c>
      <c r="T24" s="4">
        <v>30.753328250293087</v>
      </c>
      <c r="U24" s="4">
        <v>32.831508219873399</v>
      </c>
      <c r="V24" s="4"/>
      <c r="W24" s="4">
        <f t="shared" si="1"/>
        <v>932.16122091031775</v>
      </c>
      <c r="X24" s="4">
        <f t="shared" si="2"/>
        <v>1093.376918878434</v>
      </c>
      <c r="Y24" s="4">
        <f t="shared" si="3"/>
        <v>838.64326138549245</v>
      </c>
      <c r="Z24" s="4">
        <f t="shared" si="4"/>
        <v>895.31522915594758</v>
      </c>
      <c r="AA24" s="4"/>
      <c r="AB24">
        <v>22</v>
      </c>
      <c r="AC24">
        <v>4.2691751461759964</v>
      </c>
      <c r="AD24">
        <v>4.7185760333588664</v>
      </c>
      <c r="AE24">
        <v>2.5173165114248546</v>
      </c>
      <c r="AF24">
        <v>2.4397916226419003</v>
      </c>
      <c r="AH24">
        <v>22</v>
      </c>
      <c r="AI24">
        <f t="shared" si="5"/>
        <v>116.42040623621942</v>
      </c>
      <c r="AJ24">
        <f t="shared" si="6"/>
        <v>128.67556842969628</v>
      </c>
      <c r="AK24">
        <f t="shared" si="7"/>
        <v>68.647221266555789</v>
      </c>
      <c r="AL24">
        <f t="shared" si="8"/>
        <v>66.533117549444626</v>
      </c>
      <c r="AN24" s="4">
        <v>32.253636966985049</v>
      </c>
      <c r="AO24" s="4">
        <v>29.3408035248099</v>
      </c>
      <c r="AP24" s="4">
        <v>54.481901749706914</v>
      </c>
      <c r="AQ24" s="4">
        <v>62.757634637269476</v>
      </c>
      <c r="AS24" s="7">
        <f t="shared" si="9"/>
        <v>0.87955668008968224</v>
      </c>
      <c r="AT24" s="7">
        <f t="shared" si="10"/>
        <v>0.80012371212156597</v>
      </c>
      <c r="AU24" s="7">
        <f t="shared" si="11"/>
        <v>1.4857214607145075</v>
      </c>
      <c r="AV24" s="7">
        <f t="shared" si="12"/>
        <v>1.7114006965583386</v>
      </c>
    </row>
    <row r="25" spans="2:48" x14ac:dyDescent="0.35">
      <c r="C25">
        <v>6.21</v>
      </c>
      <c r="D25">
        <v>8.73</v>
      </c>
      <c r="E25">
        <v>5.95</v>
      </c>
      <c r="F25">
        <v>6.37</v>
      </c>
      <c r="L25">
        <v>23</v>
      </c>
      <c r="M25" s="4">
        <v>180.57444444444442</v>
      </c>
      <c r="N25" s="4">
        <v>191.94666666666666</v>
      </c>
      <c r="O25" s="4">
        <v>211.36922222222222</v>
      </c>
      <c r="P25" s="4">
        <v>236.8928888888889</v>
      </c>
      <c r="R25" s="4">
        <v>35.604333333333301</v>
      </c>
      <c r="S25" s="4">
        <v>40.36</v>
      </c>
      <c r="T25" s="4">
        <v>30.794444444444501</v>
      </c>
      <c r="U25" s="4">
        <v>33.4</v>
      </c>
      <c r="V25" s="4"/>
      <c r="W25" s="4">
        <f>R25*27.27</f>
        <v>970.93016999999907</v>
      </c>
      <c r="X25" s="4">
        <f t="shared" si="2"/>
        <v>1100.6171999999999</v>
      </c>
      <c r="Y25" s="4">
        <f t="shared" si="3"/>
        <v>839.76450000000148</v>
      </c>
      <c r="Z25" s="4">
        <f t="shared" si="4"/>
        <v>910.81799999999998</v>
      </c>
      <c r="AA25" s="4"/>
      <c r="AB25">
        <v>23</v>
      </c>
      <c r="AC25" s="8">
        <v>4.8376984009869899</v>
      </c>
      <c r="AD25" s="8">
        <v>4.7527475487124002</v>
      </c>
      <c r="AE25" s="8">
        <v>2.6557227995817434</v>
      </c>
      <c r="AF25" s="8">
        <v>2.4548846202146457</v>
      </c>
      <c r="AG25" s="8"/>
      <c r="AH25">
        <v>23</v>
      </c>
      <c r="AI25">
        <f>AC25*27.27</f>
        <v>131.92403539491522</v>
      </c>
      <c r="AJ25">
        <f>AD25*27.27</f>
        <v>129.60742565338714</v>
      </c>
      <c r="AK25">
        <f>AE25*27.27</f>
        <v>72.421560744594146</v>
      </c>
      <c r="AL25">
        <f>AF25*27.27</f>
        <v>66.944703593253394</v>
      </c>
      <c r="AN25" s="4">
        <v>34.395666666666699</v>
      </c>
      <c r="AO25" s="4">
        <v>29.959999999999994</v>
      </c>
      <c r="AP25" s="4">
        <v>56.670955555555501</v>
      </c>
      <c r="AQ25" s="4">
        <v>62.189142857142876</v>
      </c>
      <c r="AS25" s="7">
        <f t="shared" si="9"/>
        <v>0.93796983000000089</v>
      </c>
      <c r="AT25" s="7">
        <f t="shared" si="10"/>
        <v>0.81700919999999977</v>
      </c>
      <c r="AU25" s="7">
        <f t="shared" si="11"/>
        <v>1.5454169579999983</v>
      </c>
      <c r="AV25" s="7">
        <f t="shared" si="12"/>
        <v>1.6958979257142863</v>
      </c>
    </row>
    <row r="26" spans="2:48" x14ac:dyDescent="0.35">
      <c r="C26">
        <v>9.14</v>
      </c>
      <c r="D26">
        <v>9.1199999999999992</v>
      </c>
      <c r="E26">
        <v>6.08</v>
      </c>
      <c r="F26">
        <v>6.68</v>
      </c>
    </row>
    <row r="27" spans="2:48" x14ac:dyDescent="0.35">
      <c r="C27">
        <v>9.9700000000000006</v>
      </c>
      <c r="D27">
        <v>7.07</v>
      </c>
      <c r="E27">
        <v>6.22</v>
      </c>
      <c r="F27">
        <v>7.16</v>
      </c>
    </row>
    <row r="28" spans="2:48" x14ac:dyDescent="0.35">
      <c r="C28">
        <v>5.91</v>
      </c>
      <c r="D28">
        <v>7.9</v>
      </c>
      <c r="E28">
        <v>5.35</v>
      </c>
      <c r="F28">
        <v>6.37</v>
      </c>
    </row>
    <row r="29" spans="2:48" x14ac:dyDescent="0.35">
      <c r="C29">
        <v>6.31</v>
      </c>
      <c r="D29">
        <v>7.69</v>
      </c>
      <c r="F29">
        <v>6.4</v>
      </c>
    </row>
    <row r="30" spans="2:48" x14ac:dyDescent="0.35">
      <c r="B30" s="17" t="s">
        <v>148</v>
      </c>
      <c r="C30" s="17">
        <f>STDEV(C21:C28)</f>
        <v>1.8143475804975031</v>
      </c>
      <c r="D30" s="17">
        <f>STDEV(D21:D28)</f>
        <v>0.77153719473343774</v>
      </c>
      <c r="E30" s="17">
        <f>STDEV(E21:E28)</f>
        <v>0.41097227921809321</v>
      </c>
      <c r="F30" s="17">
        <f>STDEV(F21:F28)</f>
        <v>0.9096270821449034</v>
      </c>
    </row>
    <row r="91" spans="1:3" x14ac:dyDescent="0.35">
      <c r="A91" s="16"/>
      <c r="C91" s="16"/>
    </row>
    <row r="92" spans="1:3" x14ac:dyDescent="0.35">
      <c r="A92" s="16"/>
      <c r="C92" s="16"/>
    </row>
    <row r="93" spans="1:3" x14ac:dyDescent="0.35">
      <c r="A93" s="16"/>
      <c r="C93" s="16"/>
    </row>
    <row r="94" spans="1:3" x14ac:dyDescent="0.35">
      <c r="A94" s="16"/>
      <c r="C94" s="1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Variable&amp;Parameters list</vt:lpstr>
      <vt:lpstr>G_N</vt:lpstr>
      <vt:lpstr>results</vt:lpstr>
      <vt:lpstr>measured values</vt:lpstr>
      <vt:lpstr>Amax</vt:lpstr>
      <vt:lpstr>BCF</vt:lpstr>
      <vt:lpstr>CQYmax</vt:lpstr>
      <vt:lpstr>CQYmin</vt:lpstr>
      <vt:lpstr>CUEmax</vt:lpstr>
      <vt:lpstr>CUEmin</vt:lpstr>
      <vt:lpstr>gA</vt:lpstr>
      <vt:lpstr>MWc</vt:lpstr>
      <vt:lpstr>MWw</vt:lpstr>
      <vt:lpstr>n</vt:lpstr>
      <vt:lpstr>OPF</vt:lpstr>
      <vt:lpstr>pw</vt:lpstr>
      <vt:lpstr>tA</vt:lpstr>
      <vt:lpstr>tE</vt:lpstr>
      <vt:lpstr>tM</vt:lpstr>
      <vt:lpstr>XFRT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Chirico</dc:creator>
  <cp:lastModifiedBy>Donald Coon</cp:lastModifiedBy>
  <dcterms:created xsi:type="dcterms:W3CDTF">2019-06-08T10:54:53Z</dcterms:created>
  <dcterms:modified xsi:type="dcterms:W3CDTF">2023-02-16T18:00:37Z</dcterms:modified>
</cp:coreProperties>
</file>