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codeName="ThisWorkbook" defaultThemeVersion="124226"/>
  <mc:AlternateContent xmlns:mc="http://schemas.openxmlformats.org/markup-compatibility/2006">
    <mc:Choice Requires="x15">
      <x15ac:absPath xmlns:x15ac="http://schemas.microsoft.com/office/spreadsheetml/2010/11/ac" url="C:\Develop\CBP\CBP\Modellini\"/>
    </mc:Choice>
  </mc:AlternateContent>
  <xr:revisionPtr revIDLastSave="0" documentId="10_ncr:8100000_{FC3A30F9-E3DE-47E0-ABE8-60E5478836BD}" xr6:coauthVersionLast="34" xr6:coauthVersionMax="34" xr10:uidLastSave="{00000000-0000-0000-0000-000000000000}"/>
  <bookViews>
    <workbookView xWindow="0" yWindow="0" windowWidth="24000" windowHeight="10092" tabRatio="555" activeTab="2" xr2:uid="{00000000-000D-0000-FFFF-FFFF00000000}"/>
  </bookViews>
  <sheets>
    <sheet name="Rules - NEW" sheetId="22" r:id="rId1"/>
    <sheet name="Product Map - IVASS" sheetId="16" r:id="rId2"/>
    <sheet name="Refund calculator (Other) - NEW" sheetId="18" r:id="rId3"/>
    <sheet name="Refund calculator (Leasing)-NEW" sheetId="21" r:id="rId4"/>
  </sheets>
  <calcPr calcId="162913"/>
</workbook>
</file>

<file path=xl/calcChain.xml><?xml version="1.0" encoding="utf-8"?>
<calcChain xmlns="http://schemas.openxmlformats.org/spreadsheetml/2006/main">
  <c r="D46" i="18" l="1"/>
  <c r="C57" i="18" l="1"/>
  <c r="O89" i="18" l="1"/>
  <c r="P89" i="18"/>
  <c r="N89" i="18"/>
  <c r="C53" i="21"/>
  <c r="C15" i="21"/>
  <c r="C58" i="21" s="1"/>
  <c r="C15" i="18"/>
  <c r="I15" i="18" s="1"/>
  <c r="N13" i="18"/>
  <c r="N11" i="18"/>
  <c r="N10" i="18"/>
  <c r="N29" i="18"/>
  <c r="N9" i="18"/>
  <c r="I13" i="18"/>
  <c r="I11" i="18"/>
  <c r="I10" i="18"/>
  <c r="I29" i="18" s="1"/>
  <c r="I9" i="18"/>
  <c r="C50" i="18"/>
  <c r="E23" i="21"/>
  <c r="E39" i="21" s="1"/>
  <c r="D23" i="21"/>
  <c r="E22" i="21"/>
  <c r="E55" i="21" s="1"/>
  <c r="D22" i="21"/>
  <c r="E21" i="21"/>
  <c r="C21" i="21" s="1"/>
  <c r="D21" i="21"/>
  <c r="E20" i="21"/>
  <c r="D20" i="21"/>
  <c r="C20" i="21" s="1"/>
  <c r="E19" i="21"/>
  <c r="E45" i="21"/>
  <c r="D19" i="21"/>
  <c r="B5" i="18"/>
  <c r="E23" i="18"/>
  <c r="K23" i="18" s="1"/>
  <c r="K38" i="18" s="1"/>
  <c r="E22" i="18"/>
  <c r="E54" i="18" s="1"/>
  <c r="E21" i="18"/>
  <c r="P21" i="18" s="1"/>
  <c r="D23" i="18"/>
  <c r="D38" i="18" s="1"/>
  <c r="D22" i="18"/>
  <c r="D21" i="18"/>
  <c r="J21" i="18" s="1"/>
  <c r="E20" i="18"/>
  <c r="D20" i="18"/>
  <c r="O20" i="18" s="1"/>
  <c r="E19" i="18"/>
  <c r="D19" i="18"/>
  <c r="J19" i="18" s="1"/>
  <c r="C29" i="21"/>
  <c r="C28" i="21"/>
  <c r="BD30" i="16"/>
  <c r="BD29" i="16"/>
  <c r="BD28" i="16"/>
  <c r="B5" i="21" s="1"/>
  <c r="BD27" i="16"/>
  <c r="BD26" i="16"/>
  <c r="BD25" i="16"/>
  <c r="BD24" i="16"/>
  <c r="BD23" i="16"/>
  <c r="BD22" i="16"/>
  <c r="BD21" i="16"/>
  <c r="BD20" i="16"/>
  <c r="BD19" i="16"/>
  <c r="BD18" i="16"/>
  <c r="BD17" i="16"/>
  <c r="BD16" i="16"/>
  <c r="BD15" i="16"/>
  <c r="BD14" i="16"/>
  <c r="BD13" i="16"/>
  <c r="BD12" i="16"/>
  <c r="BD11" i="16"/>
  <c r="BD10" i="16"/>
  <c r="BD9" i="16"/>
  <c r="BD8" i="16"/>
  <c r="BD7" i="16"/>
  <c r="C28" i="18"/>
  <c r="U123" i="18" s="1"/>
  <c r="C29" i="18"/>
  <c r="I107" i="21"/>
  <c r="J128" i="21"/>
  <c r="H136" i="21"/>
  <c r="E38" i="21"/>
  <c r="H143" i="21"/>
  <c r="J147" i="21"/>
  <c r="K96" i="21"/>
  <c r="J134" i="21"/>
  <c r="I115" i="21"/>
  <c r="K130" i="21"/>
  <c r="K129" i="21"/>
  <c r="H104" i="21"/>
  <c r="J108" i="21"/>
  <c r="J141" i="21"/>
  <c r="H137" i="21"/>
  <c r="H92" i="21"/>
  <c r="I149" i="21"/>
  <c r="J104" i="21"/>
  <c r="K121" i="21"/>
  <c r="J135" i="21"/>
  <c r="H118" i="21"/>
  <c r="K104" i="21"/>
  <c r="H111" i="21"/>
  <c r="J136" i="21"/>
  <c r="I96" i="21"/>
  <c r="I131" i="21"/>
  <c r="J93" i="21"/>
  <c r="K98" i="21"/>
  <c r="H148" i="21"/>
  <c r="H131" i="21"/>
  <c r="I125" i="21"/>
  <c r="J112" i="21"/>
  <c r="K145" i="21"/>
  <c r="K89" i="21"/>
  <c r="J125" i="21"/>
  <c r="E31" i="21"/>
  <c r="J97" i="21"/>
  <c r="J129" i="21"/>
  <c r="I111" i="21"/>
  <c r="K101" i="21"/>
  <c r="K133" i="21"/>
  <c r="I104" i="21"/>
  <c r="I136" i="21"/>
  <c r="J98" i="21"/>
  <c r="J114" i="21"/>
  <c r="J130" i="21"/>
  <c r="J146" i="21"/>
  <c r="I113" i="21"/>
  <c r="I145" i="21"/>
  <c r="K140" i="21"/>
  <c r="H103" i="21"/>
  <c r="H135" i="21"/>
  <c r="K126" i="21"/>
  <c r="H96" i="21"/>
  <c r="H128" i="21"/>
  <c r="K112" i="21"/>
  <c r="I142" i="21"/>
  <c r="H117" i="21"/>
  <c r="H149" i="21"/>
  <c r="C30" i="21"/>
  <c r="K146" i="21"/>
  <c r="K90" i="21"/>
  <c r="J101" i="21"/>
  <c r="J123" i="21"/>
  <c r="J143" i="21"/>
  <c r="I119" i="21"/>
  <c r="K95" i="21"/>
  <c r="K115" i="21"/>
  <c r="K137" i="21"/>
  <c r="I108" i="21"/>
  <c r="I148" i="21"/>
  <c r="J110" i="21"/>
  <c r="J132" i="21"/>
  <c r="I93" i="21"/>
  <c r="I137" i="21"/>
  <c r="K148" i="21"/>
  <c r="H115" i="21"/>
  <c r="K110" i="21"/>
  <c r="H100" i="21"/>
  <c r="H140" i="21"/>
  <c r="I110" i="21"/>
  <c r="H121" i="21"/>
  <c r="I114" i="21"/>
  <c r="H134" i="21"/>
  <c r="J68" i="21"/>
  <c r="K68" i="21" s="1"/>
  <c r="T133" i="18"/>
  <c r="V128" i="18"/>
  <c r="J31" i="21"/>
  <c r="K31" i="21" s="1"/>
  <c r="J72" i="21"/>
  <c r="K72" i="21" s="1"/>
  <c r="J66" i="21"/>
  <c r="K66" i="21" s="1"/>
  <c r="J36" i="21"/>
  <c r="K36" i="21" s="1"/>
  <c r="J83" i="21"/>
  <c r="K83" i="21" s="1"/>
  <c r="J95" i="21" l="1"/>
  <c r="J119" i="21"/>
  <c r="K107" i="21"/>
  <c r="J92" i="21"/>
  <c r="I121" i="21"/>
  <c r="K134" i="21"/>
  <c r="H109" i="21"/>
  <c r="I126" i="21"/>
  <c r="I89" i="21"/>
  <c r="K91" i="21"/>
  <c r="J107" i="21"/>
  <c r="H113" i="21"/>
  <c r="K142" i="21"/>
  <c r="I133" i="21"/>
  <c r="J94" i="21"/>
  <c r="K111" i="21"/>
  <c r="J127" i="21"/>
  <c r="I98" i="21"/>
  <c r="H108" i="21"/>
  <c r="J116" i="21"/>
  <c r="H90" i="21"/>
  <c r="I94" i="21"/>
  <c r="H127" i="21"/>
  <c r="J148" i="21"/>
  <c r="I116" i="21"/>
  <c r="I147" i="21"/>
  <c r="J103" i="21"/>
  <c r="H130" i="21"/>
  <c r="H105" i="21"/>
  <c r="H132" i="21"/>
  <c r="K102" i="21"/>
  <c r="I118" i="21"/>
  <c r="I109" i="21"/>
  <c r="J124" i="21"/>
  <c r="I144" i="21"/>
  <c r="K139" i="21"/>
  <c r="K99" i="21"/>
  <c r="I103" i="21"/>
  <c r="J117" i="21"/>
  <c r="K122" i="21"/>
  <c r="H114" i="21"/>
  <c r="H89" i="21"/>
  <c r="H124" i="21"/>
  <c r="H147" i="21"/>
  <c r="K132" i="21"/>
  <c r="I105" i="21"/>
  <c r="J118" i="21"/>
  <c r="I132" i="21"/>
  <c r="K135" i="21"/>
  <c r="K97" i="21"/>
  <c r="J149" i="21"/>
  <c r="J115" i="21"/>
  <c r="H110" i="21"/>
  <c r="H146" i="21"/>
  <c r="H125" i="21"/>
  <c r="K136" i="21"/>
  <c r="H116" i="21"/>
  <c r="K118" i="21"/>
  <c r="H107" i="21"/>
  <c r="K92" i="21"/>
  <c r="I101" i="21"/>
  <c r="J126" i="21"/>
  <c r="J96" i="21"/>
  <c r="I112" i="21"/>
  <c r="K131" i="21"/>
  <c r="K103" i="21"/>
  <c r="I123" i="21"/>
  <c r="J139" i="21"/>
  <c r="J109" i="21"/>
  <c r="J89" i="21"/>
  <c r="J105" i="21"/>
  <c r="J121" i="21"/>
  <c r="J137" i="21"/>
  <c r="I95" i="21"/>
  <c r="I127" i="21"/>
  <c r="K93" i="21"/>
  <c r="K109" i="21"/>
  <c r="K125" i="21"/>
  <c r="K141" i="21"/>
  <c r="J61" i="21"/>
  <c r="K61" i="21" s="1"/>
  <c r="J55" i="21"/>
  <c r="K55" i="21" s="1"/>
  <c r="J56" i="21"/>
  <c r="K56" i="21" s="1"/>
  <c r="J38" i="21"/>
  <c r="K38" i="21" s="1"/>
  <c r="J46" i="21"/>
  <c r="K46" i="21" s="1"/>
  <c r="J84" i="21"/>
  <c r="K84" i="21" s="1"/>
  <c r="H106" i="21"/>
  <c r="K106" i="21"/>
  <c r="H141" i="21"/>
  <c r="H97" i="21"/>
  <c r="K120" i="21"/>
  <c r="H120" i="21"/>
  <c r="I90" i="21"/>
  <c r="H139" i="21"/>
  <c r="H95" i="21"/>
  <c r="K100" i="21"/>
  <c r="I117" i="21"/>
  <c r="J142" i="21"/>
  <c r="J120" i="21"/>
  <c r="J100" i="21"/>
  <c r="I128" i="21"/>
  <c r="K147" i="21"/>
  <c r="K127" i="21"/>
  <c r="K105" i="21"/>
  <c r="I139" i="21"/>
  <c r="I99" i="21"/>
  <c r="J133" i="21"/>
  <c r="J111" i="21"/>
  <c r="J91" i="21"/>
  <c r="H122" i="21"/>
  <c r="H102" i="21"/>
  <c r="H98" i="21"/>
  <c r="H133" i="21"/>
  <c r="H101" i="21"/>
  <c r="K144" i="21"/>
  <c r="H144" i="21"/>
  <c r="H112" i="21"/>
  <c r="I106" i="21"/>
  <c r="K94" i="21"/>
  <c r="H119" i="21"/>
  <c r="I134" i="21"/>
  <c r="K108" i="21"/>
  <c r="I129" i="21"/>
  <c r="I97" i="21"/>
  <c r="J138" i="21"/>
  <c r="J122" i="21"/>
  <c r="J106" i="21"/>
  <c r="J90" i="21"/>
  <c r="I120" i="21"/>
  <c r="K149" i="21"/>
  <c r="K117" i="21"/>
  <c r="I143" i="21"/>
  <c r="J145" i="21"/>
  <c r="J113" i="21"/>
  <c r="H94" i="21"/>
  <c r="I91" i="21"/>
  <c r="K119" i="21"/>
  <c r="I140" i="21"/>
  <c r="J140" i="21"/>
  <c r="I102" i="21"/>
  <c r="I138" i="21"/>
  <c r="H93" i="21"/>
  <c r="K114" i="21"/>
  <c r="J131" i="21"/>
  <c r="K113" i="21"/>
  <c r="J102" i="21"/>
  <c r="I141" i="21"/>
  <c r="I122" i="21"/>
  <c r="H129" i="21"/>
  <c r="J99" i="21"/>
  <c r="I135" i="21"/>
  <c r="I100" i="21"/>
  <c r="J144" i="21"/>
  <c r="H123" i="21"/>
  <c r="K128" i="21"/>
  <c r="I146" i="21"/>
  <c r="K123" i="21"/>
  <c r="K116" i="21"/>
  <c r="H145" i="21"/>
  <c r="K124" i="21"/>
  <c r="H126" i="21"/>
  <c r="I92" i="21"/>
  <c r="H99" i="21"/>
  <c r="I130" i="21"/>
  <c r="I124" i="21"/>
  <c r="H138" i="21"/>
  <c r="K138" i="21"/>
  <c r="H91" i="21"/>
  <c r="K143" i="21"/>
  <c r="H142" i="21"/>
  <c r="J20" i="18"/>
  <c r="J43" i="21"/>
  <c r="K43" i="21" s="1"/>
  <c r="J37" i="21"/>
  <c r="K37" i="21" s="1"/>
  <c r="J59" i="21"/>
  <c r="K59" i="21" s="1"/>
  <c r="J77" i="21"/>
  <c r="K77" i="21" s="1"/>
  <c r="E33" i="21"/>
  <c r="E42" i="21" s="1"/>
  <c r="J45" i="21"/>
  <c r="K45" i="21" s="1"/>
  <c r="J81" i="21"/>
  <c r="K81" i="21" s="1"/>
  <c r="J65" i="21"/>
  <c r="K65" i="21" s="1"/>
  <c r="J79" i="21"/>
  <c r="K79" i="21" s="1"/>
  <c r="J62" i="21"/>
  <c r="K62" i="21" s="1"/>
  <c r="J67" i="21"/>
  <c r="K67" i="21" s="1"/>
  <c r="J53" i="21"/>
  <c r="K53" i="21" s="1"/>
  <c r="E47" i="21"/>
  <c r="E60" i="21" s="1"/>
  <c r="J41" i="21"/>
  <c r="K41" i="21" s="1"/>
  <c r="J71" i="21"/>
  <c r="K71" i="21" s="1"/>
  <c r="J35" i="21"/>
  <c r="K35" i="21" s="1"/>
  <c r="J51" i="21"/>
  <c r="K51" i="21" s="1"/>
  <c r="E34" i="21"/>
  <c r="E50" i="21" s="1"/>
  <c r="E66" i="21" s="1"/>
  <c r="J57" i="21"/>
  <c r="K57" i="21" s="1"/>
  <c r="J58" i="21"/>
  <c r="K58" i="21" s="1"/>
  <c r="J39" i="21"/>
  <c r="K39" i="21" s="1"/>
  <c r="J63" i="21"/>
  <c r="K63" i="21" s="1"/>
  <c r="J44" i="21"/>
  <c r="K44" i="21" s="1"/>
  <c r="J70" i="21"/>
  <c r="K70" i="21" s="1"/>
  <c r="E32" i="21"/>
  <c r="J30" i="21"/>
  <c r="K30" i="21" s="1"/>
  <c r="J87" i="21"/>
  <c r="K87" i="21" s="1"/>
  <c r="J40" i="21"/>
  <c r="K40" i="21" s="1"/>
  <c r="J80" i="21"/>
  <c r="K80" i="21" s="1"/>
  <c r="J52" i="21"/>
  <c r="K52" i="21" s="1"/>
  <c r="J33" i="21"/>
  <c r="K33" i="21" s="1"/>
  <c r="J88" i="21"/>
  <c r="K88" i="21" s="1"/>
  <c r="J29" i="21"/>
  <c r="K29" i="21" s="1"/>
  <c r="E48" i="21"/>
  <c r="E61" i="21" s="1"/>
  <c r="J75" i="21"/>
  <c r="K75" i="21" s="1"/>
  <c r="J86" i="21"/>
  <c r="K86" i="21" s="1"/>
  <c r="J78" i="21"/>
  <c r="K78" i="21" s="1"/>
  <c r="J64" i="21"/>
  <c r="K64" i="21" s="1"/>
  <c r="J49" i="21"/>
  <c r="K49" i="21" s="1"/>
  <c r="E52" i="21"/>
  <c r="E54" i="21" s="1"/>
  <c r="E56" i="21" s="1"/>
  <c r="J32" i="21"/>
  <c r="K32" i="21" s="1"/>
  <c r="J42" i="21"/>
  <c r="K42" i="21" s="1"/>
  <c r="J47" i="21"/>
  <c r="K47" i="21" s="1"/>
  <c r="J50" i="21"/>
  <c r="K50" i="21" s="1"/>
  <c r="J34" i="21"/>
  <c r="K34" i="21" s="1"/>
  <c r="J54" i="21"/>
  <c r="K54" i="21" s="1"/>
  <c r="J48" i="21"/>
  <c r="K48" i="21" s="1"/>
  <c r="J85" i="21"/>
  <c r="K85" i="21" s="1"/>
  <c r="J60" i="21"/>
  <c r="K60" i="21" s="1"/>
  <c r="J73" i="21"/>
  <c r="K73" i="21" s="1"/>
  <c r="J74" i="21"/>
  <c r="K74" i="21" s="1"/>
  <c r="J82" i="21"/>
  <c r="K82" i="21" s="1"/>
  <c r="J69" i="21"/>
  <c r="K69" i="21" s="1"/>
  <c r="J76" i="21"/>
  <c r="K76" i="21" s="1"/>
  <c r="D55" i="21"/>
  <c r="C22" i="21"/>
  <c r="D38" i="21"/>
  <c r="D31" i="21"/>
  <c r="D45" i="21"/>
  <c r="C45" i="21" s="1"/>
  <c r="C19" i="21"/>
  <c r="D39" i="21"/>
  <c r="C23" i="21"/>
  <c r="C39" i="21" s="1"/>
  <c r="V138" i="18"/>
  <c r="D31" i="18"/>
  <c r="S66" i="18" s="1"/>
  <c r="T66" i="18" s="1"/>
  <c r="T149" i="18"/>
  <c r="U138" i="18"/>
  <c r="S117" i="18"/>
  <c r="S106" i="18"/>
  <c r="S97" i="18"/>
  <c r="V94" i="18"/>
  <c r="D44" i="18"/>
  <c r="O19" i="18"/>
  <c r="O31" i="18" s="1"/>
  <c r="S98" i="18"/>
  <c r="S93" i="18"/>
  <c r="T127" i="18"/>
  <c r="T96" i="18"/>
  <c r="E37" i="18"/>
  <c r="S42" i="18"/>
  <c r="T42" i="18" s="1"/>
  <c r="O21" i="18"/>
  <c r="K21" i="18"/>
  <c r="V136" i="18"/>
  <c r="U103" i="18"/>
  <c r="S135" i="18"/>
  <c r="S126" i="18"/>
  <c r="V92" i="18"/>
  <c r="P23" i="18"/>
  <c r="P38" i="18" s="1"/>
  <c r="E31" i="18"/>
  <c r="U85" i="18" s="1"/>
  <c r="V85" i="18" s="1"/>
  <c r="C21" i="18"/>
  <c r="I21" i="18" s="1"/>
  <c r="E38" i="18"/>
  <c r="J31" i="18"/>
  <c r="J44" i="18"/>
  <c r="T151" i="18"/>
  <c r="U110" i="18"/>
  <c r="U111" i="18"/>
  <c r="V129" i="18"/>
  <c r="T128" i="18"/>
  <c r="U143" i="18"/>
  <c r="U112" i="18"/>
  <c r="T146" i="18"/>
  <c r="S101" i="18"/>
  <c r="N28" i="18"/>
  <c r="N30" i="18" s="1"/>
  <c r="S56" i="18"/>
  <c r="T56" i="18" s="1"/>
  <c r="S152" i="18"/>
  <c r="T140" i="18"/>
  <c r="V151" i="18"/>
  <c r="U104" i="18"/>
  <c r="V134" i="18"/>
  <c r="U109" i="18"/>
  <c r="T136" i="18"/>
  <c r="I28" i="18"/>
  <c r="I30" i="18" s="1"/>
  <c r="N15" i="18"/>
  <c r="N50" i="18" s="1"/>
  <c r="V140" i="18"/>
  <c r="U105" i="18"/>
  <c r="U114" i="18"/>
  <c r="U101" i="18"/>
  <c r="V117" i="18"/>
  <c r="S118" i="18"/>
  <c r="U139" i="18"/>
  <c r="S148" i="18"/>
  <c r="T139" i="18"/>
  <c r="T130" i="18"/>
  <c r="U149" i="18"/>
  <c r="U118" i="18"/>
  <c r="U107" i="18"/>
  <c r="S116" i="18"/>
  <c r="V123" i="18"/>
  <c r="V131" i="18"/>
  <c r="T111" i="18"/>
  <c r="S137" i="18"/>
  <c r="U128" i="18"/>
  <c r="T104" i="18"/>
  <c r="S130" i="18"/>
  <c r="V116" i="18"/>
  <c r="T93" i="18"/>
  <c r="S119" i="18"/>
  <c r="U145" i="18"/>
  <c r="U94" i="18"/>
  <c r="U102" i="18"/>
  <c r="U119" i="18"/>
  <c r="V113" i="18"/>
  <c r="V133" i="18"/>
  <c r="T135" i="18"/>
  <c r="U108" i="18"/>
  <c r="T108" i="18"/>
  <c r="S92" i="18"/>
  <c r="V144" i="18"/>
  <c r="S123" i="18"/>
  <c r="S128" i="18"/>
  <c r="U131" i="18"/>
  <c r="S104" i="18"/>
  <c r="V106" i="18"/>
  <c r="T131" i="18"/>
  <c r="U132" i="18"/>
  <c r="S122" i="18"/>
  <c r="V142" i="18"/>
  <c r="S147" i="18"/>
  <c r="U135" i="18"/>
  <c r="U95" i="18"/>
  <c r="V105" i="18"/>
  <c r="V137" i="18"/>
  <c r="S133" i="18"/>
  <c r="T92" i="18"/>
  <c r="S110" i="18"/>
  <c r="T113" i="18"/>
  <c r="U129" i="18"/>
  <c r="U153" i="18"/>
  <c r="S94" i="18"/>
  <c r="S129" i="18"/>
  <c r="V101" i="18"/>
  <c r="T98" i="18"/>
  <c r="V152" i="18"/>
  <c r="U142" i="18"/>
  <c r="V126" i="18"/>
  <c r="S103" i="18"/>
  <c r="U81" i="18"/>
  <c r="V81" i="18" s="1"/>
  <c r="S108" i="18"/>
  <c r="U124" i="18"/>
  <c r="S145" i="18"/>
  <c r="V141" i="18"/>
  <c r="U134" i="18"/>
  <c r="S105" i="18"/>
  <c r="S120" i="18"/>
  <c r="U99" i="18"/>
  <c r="V99" i="18"/>
  <c r="V102" i="18"/>
  <c r="T95" i="18"/>
  <c r="S153" i="18"/>
  <c r="U144" i="18"/>
  <c r="T152" i="18"/>
  <c r="V130" i="18"/>
  <c r="T125" i="18"/>
  <c r="T138" i="18"/>
  <c r="T114" i="18"/>
  <c r="U97" i="18"/>
  <c r="V103" i="18"/>
  <c r="V143" i="18"/>
  <c r="S141" i="18"/>
  <c r="U150" i="18"/>
  <c r="V96" i="18"/>
  <c r="T117" i="18"/>
  <c r="U137" i="18"/>
  <c r="S111" i="18"/>
  <c r="V111" i="18"/>
  <c r="T103" i="18"/>
  <c r="U146" i="18"/>
  <c r="V104" i="18"/>
  <c r="T153" i="18"/>
  <c r="U133" i="18"/>
  <c r="U125" i="18"/>
  <c r="V122" i="18"/>
  <c r="U92" i="18"/>
  <c r="T144" i="18"/>
  <c r="V150" i="18"/>
  <c r="T118" i="18"/>
  <c r="T105" i="18"/>
  <c r="U116" i="18"/>
  <c r="U121" i="18"/>
  <c r="T122" i="18"/>
  <c r="T124" i="18"/>
  <c r="V121" i="18"/>
  <c r="U122" i="18"/>
  <c r="S52" i="18"/>
  <c r="T52" i="18" s="1"/>
  <c r="S85" i="18"/>
  <c r="T85" i="18" s="1"/>
  <c r="S49" i="18"/>
  <c r="T49" i="18" s="1"/>
  <c r="T102" i="18"/>
  <c r="T123" i="18"/>
  <c r="V109" i="18"/>
  <c r="V98" i="18"/>
  <c r="U127" i="18"/>
  <c r="V110" i="18"/>
  <c r="S136" i="18"/>
  <c r="T94" i="18"/>
  <c r="U39" i="18"/>
  <c r="V39" i="18" s="1"/>
  <c r="S62" i="18"/>
  <c r="T62" i="18" s="1"/>
  <c r="U74" i="18"/>
  <c r="V74" i="18" s="1"/>
  <c r="U113" i="18"/>
  <c r="U100" i="18"/>
  <c r="U126" i="18"/>
  <c r="V135" i="18"/>
  <c r="V132" i="18"/>
  <c r="S132" i="18"/>
  <c r="V112" i="18"/>
  <c r="U120" i="18"/>
  <c r="S114" i="18"/>
  <c r="S95" i="18"/>
  <c r="T106" i="18"/>
  <c r="S150" i="18"/>
  <c r="S149" i="18"/>
  <c r="V127" i="18"/>
  <c r="T142" i="18"/>
  <c r="S143" i="18"/>
  <c r="V120" i="18"/>
  <c r="U140" i="18"/>
  <c r="T115" i="18"/>
  <c r="V125" i="18"/>
  <c r="S107" i="18"/>
  <c r="T134" i="18"/>
  <c r="T141" i="18"/>
  <c r="V100" i="18"/>
  <c r="T120" i="18"/>
  <c r="U96" i="18"/>
  <c r="V147" i="18"/>
  <c r="V115" i="18"/>
  <c r="U115" i="18"/>
  <c r="U106" i="18"/>
  <c r="V148" i="18"/>
  <c r="T121" i="18"/>
  <c r="S139" i="18"/>
  <c r="T112" i="18"/>
  <c r="V149" i="18"/>
  <c r="O22" i="18"/>
  <c r="D37" i="18"/>
  <c r="D54" i="18"/>
  <c r="S87" i="18"/>
  <c r="T87" i="18" s="1"/>
  <c r="U72" i="18"/>
  <c r="V72" i="18" s="1"/>
  <c r="V95" i="18"/>
  <c r="S142" i="18"/>
  <c r="T126" i="18"/>
  <c r="T107" i="18"/>
  <c r="S127" i="18"/>
  <c r="S131" i="18"/>
  <c r="S138" i="18"/>
  <c r="T147" i="18"/>
  <c r="V119" i="18"/>
  <c r="U147" i="18"/>
  <c r="T129" i="18"/>
  <c r="T132" i="18"/>
  <c r="S125" i="18"/>
  <c r="V97" i="18"/>
  <c r="S124" i="18"/>
  <c r="T137" i="18"/>
  <c r="S134" i="18"/>
  <c r="U130" i="18"/>
  <c r="V153" i="18"/>
  <c r="V93" i="18"/>
  <c r="T110" i="18"/>
  <c r="U98" i="18"/>
  <c r="T109" i="18"/>
  <c r="S102" i="18"/>
  <c r="U152" i="18"/>
  <c r="S121" i="18"/>
  <c r="V139" i="18"/>
  <c r="V107" i="18"/>
  <c r="S115" i="18"/>
  <c r="U141" i="18"/>
  <c r="V108" i="18"/>
  <c r="K20" i="18"/>
  <c r="P20" i="18"/>
  <c r="C20" i="18"/>
  <c r="S80" i="18"/>
  <c r="T80" i="18" s="1"/>
  <c r="S69" i="18"/>
  <c r="T69" i="18" s="1"/>
  <c r="U64" i="18"/>
  <c r="V64" i="18" s="1"/>
  <c r="T99" i="18"/>
  <c r="V124" i="18"/>
  <c r="U93" i="18"/>
  <c r="U148" i="18"/>
  <c r="S140" i="18"/>
  <c r="T145" i="18"/>
  <c r="T116" i="18"/>
  <c r="T119" i="18"/>
  <c r="S112" i="18"/>
  <c r="S144" i="18"/>
  <c r="T101" i="18"/>
  <c r="T100" i="18"/>
  <c r="V145" i="18"/>
  <c r="U117" i="18"/>
  <c r="U151" i="18"/>
  <c r="T97" i="18"/>
  <c r="T148" i="18"/>
  <c r="S109" i="18"/>
  <c r="V114" i="18"/>
  <c r="S96" i="18"/>
  <c r="C30" i="18"/>
  <c r="S151" i="18"/>
  <c r="V146" i="18"/>
  <c r="S146" i="18"/>
  <c r="U136" i="18"/>
  <c r="T143" i="18"/>
  <c r="V118" i="18"/>
  <c r="S100" i="18"/>
  <c r="S99" i="18"/>
  <c r="S113" i="18"/>
  <c r="J22" i="18"/>
  <c r="J54" i="18" s="1"/>
  <c r="C22" i="18"/>
  <c r="T150" i="18"/>
  <c r="P19" i="18"/>
  <c r="E44" i="18"/>
  <c r="K19" i="18"/>
  <c r="K44" i="18" s="1"/>
  <c r="C19" i="18"/>
  <c r="I50" i="18"/>
  <c r="J23" i="18"/>
  <c r="J38" i="18" s="1"/>
  <c r="C23" i="18"/>
  <c r="O23" i="18"/>
  <c r="P22" i="18"/>
  <c r="K22" i="18"/>
  <c r="S89" i="18" l="1"/>
  <c r="T89" i="18" s="1"/>
  <c r="N21" i="18"/>
  <c r="S36" i="18"/>
  <c r="T36" i="18" s="1"/>
  <c r="S53" i="18"/>
  <c r="T53" i="18" s="1"/>
  <c r="U66" i="18"/>
  <c r="V66" i="18" s="1"/>
  <c r="U33" i="18"/>
  <c r="V33" i="18" s="1"/>
  <c r="U87" i="18"/>
  <c r="V87" i="18" s="1"/>
  <c r="U89" i="18"/>
  <c r="V89" i="18" s="1"/>
  <c r="U47" i="18"/>
  <c r="V47" i="18" s="1"/>
  <c r="U76" i="18"/>
  <c r="V76" i="18" s="1"/>
  <c r="U32" i="18"/>
  <c r="V32" i="18" s="1"/>
  <c r="U83" i="18"/>
  <c r="V83" i="18" s="1"/>
  <c r="U80" i="18"/>
  <c r="V80" i="18" s="1"/>
  <c r="U69" i="18"/>
  <c r="V69" i="18" s="1"/>
  <c r="U51" i="18"/>
  <c r="V51" i="18" s="1"/>
  <c r="U45" i="18"/>
  <c r="V45" i="18" s="1"/>
  <c r="U79" i="18"/>
  <c r="V79" i="18" s="1"/>
  <c r="E47" i="18"/>
  <c r="E53" i="18" s="1"/>
  <c r="E57" i="18" s="1"/>
  <c r="U36" i="18"/>
  <c r="V36" i="18" s="1"/>
  <c r="U70" i="18"/>
  <c r="V70" i="18" s="1"/>
  <c r="U86" i="18"/>
  <c r="V86" i="18" s="1"/>
  <c r="U55" i="18"/>
  <c r="V55" i="18" s="1"/>
  <c r="C31" i="18"/>
  <c r="U60" i="18"/>
  <c r="V60" i="18" s="1"/>
  <c r="U43" i="18"/>
  <c r="V43" i="18" s="1"/>
  <c r="U54" i="18"/>
  <c r="V54" i="18" s="1"/>
  <c r="U46" i="18"/>
  <c r="V46" i="18" s="1"/>
  <c r="U65" i="18"/>
  <c r="V65" i="18" s="1"/>
  <c r="S61" i="18"/>
  <c r="T61" i="18" s="1"/>
  <c r="S39" i="18"/>
  <c r="T39" i="18" s="1"/>
  <c r="J47" i="18"/>
  <c r="S71" i="18"/>
  <c r="T71" i="18" s="1"/>
  <c r="C55" i="21"/>
  <c r="C38" i="21"/>
  <c r="H79" i="21"/>
  <c r="I79" i="21" s="1"/>
  <c r="H86" i="21"/>
  <c r="I86" i="21" s="1"/>
  <c r="H66" i="21"/>
  <c r="I66" i="21" s="1"/>
  <c r="H49" i="21"/>
  <c r="I49" i="21" s="1"/>
  <c r="H42" i="21"/>
  <c r="I42" i="21" s="1"/>
  <c r="D33" i="21"/>
  <c r="H56" i="21"/>
  <c r="I56" i="21" s="1"/>
  <c r="H73" i="21"/>
  <c r="I73" i="21" s="1"/>
  <c r="D47" i="21"/>
  <c r="H40" i="21"/>
  <c r="I40" i="21" s="1"/>
  <c r="H45" i="21"/>
  <c r="I45" i="21" s="1"/>
  <c r="H33" i="21"/>
  <c r="I33" i="21" s="1"/>
  <c r="D48" i="21"/>
  <c r="H43" i="21"/>
  <c r="I43" i="21" s="1"/>
  <c r="H44" i="21"/>
  <c r="I44" i="21" s="1"/>
  <c r="H59" i="21"/>
  <c r="I59" i="21" s="1"/>
  <c r="C31" i="21"/>
  <c r="C52" i="21" s="1"/>
  <c r="C54" i="21" s="1"/>
  <c r="C56" i="21" s="1"/>
  <c r="D52" i="21"/>
  <c r="D54" i="21" s="1"/>
  <c r="D56" i="21" s="1"/>
  <c r="H74" i="21"/>
  <c r="I74" i="21" s="1"/>
  <c r="H75" i="21"/>
  <c r="I75" i="21" s="1"/>
  <c r="H88" i="21"/>
  <c r="I88" i="21" s="1"/>
  <c r="H50" i="21"/>
  <c r="I50" i="21" s="1"/>
  <c r="H85" i="21"/>
  <c r="I85" i="21" s="1"/>
  <c r="H72" i="21"/>
  <c r="I72" i="21" s="1"/>
  <c r="H35" i="21"/>
  <c r="I35" i="21" s="1"/>
  <c r="H67" i="21"/>
  <c r="I67" i="21" s="1"/>
  <c r="H41" i="21"/>
  <c r="I41" i="21" s="1"/>
  <c r="D34" i="21"/>
  <c r="H36" i="21"/>
  <c r="I36" i="21" s="1"/>
  <c r="H87" i="21"/>
  <c r="I87" i="21" s="1"/>
  <c r="H46" i="21"/>
  <c r="I46" i="21" s="1"/>
  <c r="H32" i="21"/>
  <c r="I32" i="21" s="1"/>
  <c r="H81" i="21"/>
  <c r="I81" i="21" s="1"/>
  <c r="H76" i="21"/>
  <c r="I76" i="21" s="1"/>
  <c r="H71" i="21"/>
  <c r="I71" i="21" s="1"/>
  <c r="H30" i="21"/>
  <c r="I30" i="21" s="1"/>
  <c r="H38" i="21"/>
  <c r="I38" i="21" s="1"/>
  <c r="H29" i="21"/>
  <c r="I29" i="21" s="1"/>
  <c r="H65" i="21"/>
  <c r="I65" i="21" s="1"/>
  <c r="H82" i="21"/>
  <c r="I82" i="21" s="1"/>
  <c r="H34" i="21"/>
  <c r="I34" i="21" s="1"/>
  <c r="H60" i="21"/>
  <c r="I60" i="21" s="1"/>
  <c r="H64" i="21"/>
  <c r="I64" i="21" s="1"/>
  <c r="H37" i="21"/>
  <c r="I37" i="21" s="1"/>
  <c r="H51" i="21"/>
  <c r="I51" i="21" s="1"/>
  <c r="H57" i="21"/>
  <c r="I57" i="21" s="1"/>
  <c r="H61" i="21"/>
  <c r="I61" i="21" s="1"/>
  <c r="H77" i="21"/>
  <c r="I77" i="21" s="1"/>
  <c r="H84" i="21"/>
  <c r="I84" i="21" s="1"/>
  <c r="H83" i="21"/>
  <c r="I83" i="21" s="1"/>
  <c r="H55" i="21"/>
  <c r="I55" i="21" s="1"/>
  <c r="H69" i="21"/>
  <c r="I69" i="21" s="1"/>
  <c r="H68" i="21"/>
  <c r="I68" i="21" s="1"/>
  <c r="D32" i="21"/>
  <c r="H63" i="21"/>
  <c r="I63" i="21" s="1"/>
  <c r="H39" i="21"/>
  <c r="I39" i="21" s="1"/>
  <c r="H31" i="21"/>
  <c r="I31" i="21" s="1"/>
  <c r="H58" i="21"/>
  <c r="I58" i="21" s="1"/>
  <c r="H70" i="21"/>
  <c r="I70" i="21" s="1"/>
  <c r="H53" i="21"/>
  <c r="I53" i="21" s="1"/>
  <c r="H54" i="21"/>
  <c r="I54" i="21" s="1"/>
  <c r="H62" i="21"/>
  <c r="I62" i="21" s="1"/>
  <c r="H47" i="21"/>
  <c r="I47" i="21" s="1"/>
  <c r="H80" i="21"/>
  <c r="I80" i="21" s="1"/>
  <c r="H52" i="21"/>
  <c r="I52" i="21" s="1"/>
  <c r="H48" i="21"/>
  <c r="I48" i="21" s="1"/>
  <c r="H78" i="21"/>
  <c r="I78" i="21" s="1"/>
  <c r="E40" i="21"/>
  <c r="E43" i="21" s="1"/>
  <c r="E46" i="21"/>
  <c r="E59" i="21" s="1"/>
  <c r="E49" i="21"/>
  <c r="E64" i="21" s="1"/>
  <c r="E65" i="21" s="1"/>
  <c r="S46" i="18"/>
  <c r="T46" i="18" s="1"/>
  <c r="S64" i="18"/>
  <c r="T64" i="18" s="1"/>
  <c r="S83" i="18"/>
  <c r="T83" i="18" s="1"/>
  <c r="S67" i="18"/>
  <c r="T67" i="18" s="1"/>
  <c r="S37" i="18"/>
  <c r="T37" i="18" s="1"/>
  <c r="D33" i="18"/>
  <c r="D41" i="18" s="1"/>
  <c r="S70" i="18"/>
  <c r="T70" i="18" s="1"/>
  <c r="S72" i="18"/>
  <c r="T72" i="18" s="1"/>
  <c r="S35" i="18"/>
  <c r="T35" i="18" s="1"/>
  <c r="S48" i="18"/>
  <c r="T48" i="18" s="1"/>
  <c r="S68" i="18"/>
  <c r="T68" i="18" s="1"/>
  <c r="S51" i="18"/>
  <c r="T51" i="18" s="1"/>
  <c r="S74" i="18"/>
  <c r="T74" i="18" s="1"/>
  <c r="S81" i="18"/>
  <c r="T81" i="18" s="1"/>
  <c r="S75" i="18"/>
  <c r="T75" i="18" s="1"/>
  <c r="S40" i="18"/>
  <c r="T40" i="18" s="1"/>
  <c r="S41" i="18"/>
  <c r="T41" i="18" s="1"/>
  <c r="S76" i="18"/>
  <c r="T76" i="18" s="1"/>
  <c r="S79" i="18"/>
  <c r="T79" i="18" s="1"/>
  <c r="S78" i="18"/>
  <c r="T78" i="18" s="1"/>
  <c r="S31" i="18"/>
  <c r="T31" i="18" s="1"/>
  <c r="S55" i="18"/>
  <c r="T55" i="18" s="1"/>
  <c r="D47" i="18"/>
  <c r="D53" i="18" s="1"/>
  <c r="D57" i="18" s="1"/>
  <c r="S90" i="18"/>
  <c r="T90" i="18" s="1"/>
  <c r="S45" i="18"/>
  <c r="T45" i="18" s="1"/>
  <c r="S77" i="18"/>
  <c r="T77" i="18" s="1"/>
  <c r="S88" i="18"/>
  <c r="T88" i="18" s="1"/>
  <c r="S60" i="18"/>
  <c r="T60" i="18" s="1"/>
  <c r="S73" i="18"/>
  <c r="T73" i="18" s="1"/>
  <c r="S32" i="18"/>
  <c r="T32" i="18" s="1"/>
  <c r="S54" i="18"/>
  <c r="T54" i="18" s="1"/>
  <c r="S33" i="18"/>
  <c r="T33" i="18" s="1"/>
  <c r="U41" i="18"/>
  <c r="V41" i="18" s="1"/>
  <c r="S44" i="18"/>
  <c r="T44" i="18" s="1"/>
  <c r="S34" i="18"/>
  <c r="T34" i="18" s="1"/>
  <c r="U90" i="18"/>
  <c r="V90" i="18" s="1"/>
  <c r="S47" i="18"/>
  <c r="T47" i="18" s="1"/>
  <c r="S84" i="18"/>
  <c r="T84" i="18" s="1"/>
  <c r="D32" i="18"/>
  <c r="D48" i="18" s="1"/>
  <c r="U73" i="18"/>
  <c r="V73" i="18" s="1"/>
  <c r="S91" i="18"/>
  <c r="T91" i="18" s="1"/>
  <c r="S86" i="18"/>
  <c r="T86" i="18" s="1"/>
  <c r="S50" i="18"/>
  <c r="T50" i="18" s="1"/>
  <c r="U34" i="18"/>
  <c r="V34" i="18" s="1"/>
  <c r="S63" i="18"/>
  <c r="T63" i="18" s="1"/>
  <c r="S57" i="18"/>
  <c r="T57" i="18" s="1"/>
  <c r="S65" i="18"/>
  <c r="T65" i="18" s="1"/>
  <c r="S82" i="18"/>
  <c r="T82" i="18" s="1"/>
  <c r="U40" i="18"/>
  <c r="V40" i="18" s="1"/>
  <c r="S38" i="18"/>
  <c r="T38" i="18" s="1"/>
  <c r="J46" i="18"/>
  <c r="S43" i="18"/>
  <c r="T43" i="18" s="1"/>
  <c r="E46" i="18"/>
  <c r="E52" i="18" s="1"/>
  <c r="E56" i="18" s="1"/>
  <c r="U42" i="18"/>
  <c r="V42" i="18" s="1"/>
  <c r="U88" i="18"/>
  <c r="V88" i="18" s="1"/>
  <c r="U62" i="18"/>
  <c r="V62" i="18" s="1"/>
  <c r="U37" i="18"/>
  <c r="V37" i="18" s="1"/>
  <c r="U56" i="18"/>
  <c r="V56" i="18" s="1"/>
  <c r="U61" i="18"/>
  <c r="V61" i="18" s="1"/>
  <c r="U49" i="18"/>
  <c r="V49" i="18" s="1"/>
  <c r="U38" i="18"/>
  <c r="V38" i="18" s="1"/>
  <c r="U71" i="18"/>
  <c r="V71" i="18" s="1"/>
  <c r="E32" i="18"/>
  <c r="C32" i="18" s="1"/>
  <c r="U31" i="18"/>
  <c r="V31" i="18" s="1"/>
  <c r="U53" i="18"/>
  <c r="V53" i="18" s="1"/>
  <c r="O44" i="18"/>
  <c r="O47" i="18"/>
  <c r="O46" i="18"/>
  <c r="O52" i="18" s="1"/>
  <c r="O56" i="18" s="1"/>
  <c r="I44" i="18"/>
  <c r="U91" i="18"/>
  <c r="V91" i="18" s="1"/>
  <c r="U84" i="18"/>
  <c r="V84" i="18" s="1"/>
  <c r="O32" i="18"/>
  <c r="O45" i="18" s="1"/>
  <c r="U78" i="18"/>
  <c r="V78" i="18" s="1"/>
  <c r="U35" i="18"/>
  <c r="V35" i="18" s="1"/>
  <c r="U77" i="18"/>
  <c r="V77" i="18" s="1"/>
  <c r="U67" i="18"/>
  <c r="V67" i="18" s="1"/>
  <c r="U50" i="18"/>
  <c r="V50" i="18" s="1"/>
  <c r="U63" i="18"/>
  <c r="V63" i="18" s="1"/>
  <c r="U48" i="18"/>
  <c r="V48" i="18" s="1"/>
  <c r="U75" i="18"/>
  <c r="V75" i="18" s="1"/>
  <c r="U44" i="18"/>
  <c r="V44" i="18" s="1"/>
  <c r="E33" i="18"/>
  <c r="E41" i="18" s="1"/>
  <c r="U68" i="18"/>
  <c r="V68" i="18" s="1"/>
  <c r="U57" i="18"/>
  <c r="V57" i="18" s="1"/>
  <c r="U52" i="18"/>
  <c r="V52" i="18" s="1"/>
  <c r="U82" i="18"/>
  <c r="V82" i="18" s="1"/>
  <c r="O53" i="18"/>
  <c r="O57" i="18" s="1"/>
  <c r="K31" i="18"/>
  <c r="K47" i="18" s="1"/>
  <c r="J33" i="18"/>
  <c r="J41" i="18" s="1"/>
  <c r="O38" i="18"/>
  <c r="O33" i="18"/>
  <c r="F44" i="18"/>
  <c r="C44" i="18"/>
  <c r="E13" i="18" s="1"/>
  <c r="J37" i="18"/>
  <c r="C47" i="18"/>
  <c r="K54" i="18"/>
  <c r="K37" i="18"/>
  <c r="C38" i="18"/>
  <c r="N23" i="18"/>
  <c r="N38" i="18" s="1"/>
  <c r="I23" i="18"/>
  <c r="I38" i="18" s="1"/>
  <c r="P31" i="18"/>
  <c r="P44" i="18"/>
  <c r="D45" i="18"/>
  <c r="J52" i="18"/>
  <c r="J56" i="18" s="1"/>
  <c r="J32" i="18"/>
  <c r="P37" i="18"/>
  <c r="P54" i="18"/>
  <c r="N19" i="18"/>
  <c r="I19" i="18"/>
  <c r="I20" i="18"/>
  <c r="N20" i="18"/>
  <c r="O37" i="18"/>
  <c r="O54" i="18"/>
  <c r="O66" i="18" s="1"/>
  <c r="J53" i="18"/>
  <c r="J57" i="18" s="1"/>
  <c r="C54" i="18"/>
  <c r="C37" i="18"/>
  <c r="N22" i="18"/>
  <c r="I22" i="18"/>
  <c r="D52" i="18"/>
  <c r="D56" i="18" s="1"/>
  <c r="C56" i="18" s="1"/>
  <c r="D39" i="18" l="1"/>
  <c r="C53" i="18"/>
  <c r="C33" i="18"/>
  <c r="C41" i="18" s="1"/>
  <c r="N44" i="18"/>
  <c r="D49" i="21"/>
  <c r="D64" i="21" s="1"/>
  <c r="D65" i="21" s="1"/>
  <c r="C32" i="21"/>
  <c r="D46" i="21"/>
  <c r="D40" i="21"/>
  <c r="C33" i="21"/>
  <c r="C42" i="21" s="1"/>
  <c r="D42" i="21"/>
  <c r="D61" i="21"/>
  <c r="C48" i="21"/>
  <c r="C61" i="21" s="1"/>
  <c r="C47" i="21"/>
  <c r="C60" i="21" s="1"/>
  <c r="D60" i="21"/>
  <c r="C34" i="21"/>
  <c r="C50" i="21" s="1"/>
  <c r="C66" i="21" s="1"/>
  <c r="D50" i="21"/>
  <c r="D66" i="21" s="1"/>
  <c r="C52" i="18"/>
  <c r="C46" i="18"/>
  <c r="E39" i="18"/>
  <c r="E42" i="18" s="1"/>
  <c r="P66" i="18"/>
  <c r="K46" i="18"/>
  <c r="K52" i="18" s="1"/>
  <c r="K56" i="18" s="1"/>
  <c r="I56" i="18" s="1"/>
  <c r="E48" i="18"/>
  <c r="E45" i="18"/>
  <c r="E51" i="18" s="1"/>
  <c r="O39" i="18"/>
  <c r="K53" i="18"/>
  <c r="K57" i="18" s="1"/>
  <c r="I57" i="18" s="1"/>
  <c r="I47" i="18"/>
  <c r="I53" i="18" s="1"/>
  <c r="K33" i="18"/>
  <c r="O48" i="18"/>
  <c r="I31" i="18"/>
  <c r="K32" i="18"/>
  <c r="K48" i="18" s="1"/>
  <c r="I37" i="18"/>
  <c r="I54" i="18"/>
  <c r="N66" i="18" s="1"/>
  <c r="D51" i="18"/>
  <c r="O61" i="18" s="1"/>
  <c r="O51" i="18"/>
  <c r="N54" i="18"/>
  <c r="N37" i="18"/>
  <c r="J39" i="18"/>
  <c r="J42" i="18" s="1"/>
  <c r="J48" i="18"/>
  <c r="J45" i="18"/>
  <c r="C39" i="18"/>
  <c r="C48" i="18"/>
  <c r="P46" i="18"/>
  <c r="P33" i="18"/>
  <c r="P41" i="18" s="1"/>
  <c r="P47" i="18"/>
  <c r="N31" i="18"/>
  <c r="P32" i="18"/>
  <c r="D42" i="18"/>
  <c r="O41" i="18"/>
  <c r="D43" i="21" l="1"/>
  <c r="K45" i="18"/>
  <c r="K51" i="18" s="1"/>
  <c r="P62" i="18" s="1"/>
  <c r="I32" i="18"/>
  <c r="I39" i="18" s="1"/>
  <c r="C42" i="18"/>
  <c r="O42" i="18"/>
  <c r="C45" i="18"/>
  <c r="D59" i="21"/>
  <c r="C46" i="21"/>
  <c r="C59" i="21" s="1"/>
  <c r="C40" i="21"/>
  <c r="C43" i="21" s="1"/>
  <c r="C49" i="21"/>
  <c r="C64" i="21" s="1"/>
  <c r="C65" i="21" s="1"/>
  <c r="I46" i="18"/>
  <c r="I52" i="18" s="1"/>
  <c r="K55" i="18"/>
  <c r="P69" i="18" s="1"/>
  <c r="O55" i="18"/>
  <c r="O70" i="18" s="1"/>
  <c r="O63" i="18"/>
  <c r="K39" i="18"/>
  <c r="E55" i="18"/>
  <c r="P68" i="18" s="1"/>
  <c r="P61" i="18"/>
  <c r="K41" i="18"/>
  <c r="I33" i="18"/>
  <c r="I41" i="18" s="1"/>
  <c r="C51" i="18"/>
  <c r="D55" i="18"/>
  <c r="O68" i="18" s="1"/>
  <c r="P53" i="18"/>
  <c r="P57" i="18" s="1"/>
  <c r="N57" i="18" s="1"/>
  <c r="N47" i="18"/>
  <c r="N53" i="18" s="1"/>
  <c r="I48" i="18"/>
  <c r="N33" i="18"/>
  <c r="N41" i="18" s="1"/>
  <c r="P45" i="18"/>
  <c r="P39" i="18"/>
  <c r="P42" i="18" s="1"/>
  <c r="P48" i="18"/>
  <c r="N32" i="18"/>
  <c r="P52" i="18"/>
  <c r="P56" i="18" s="1"/>
  <c r="N56" i="18" s="1"/>
  <c r="N46" i="18"/>
  <c r="N52" i="18" s="1"/>
  <c r="J51" i="18"/>
  <c r="I45" i="18"/>
  <c r="I51" i="18" s="1"/>
  <c r="K42" i="18" l="1"/>
  <c r="I55" i="18"/>
  <c r="N69" i="18" s="1"/>
  <c r="N62" i="18"/>
  <c r="J55" i="18"/>
  <c r="O69" i="18" s="1"/>
  <c r="O62" i="18"/>
  <c r="C55" i="18"/>
  <c r="N68" i="18" s="1"/>
  <c r="N61" i="18"/>
  <c r="I42" i="18"/>
  <c r="P51" i="18"/>
  <c r="N45" i="18"/>
  <c r="N51" i="18" s="1"/>
  <c r="N48" i="18"/>
  <c r="N39" i="18"/>
  <c r="N42" i="18" s="1"/>
  <c r="O64" i="18" l="1"/>
  <c r="N55" i="18"/>
  <c r="N70" i="18" s="1"/>
  <c r="N63" i="18"/>
  <c r="N64" i="18" s="1"/>
  <c r="P55" i="18"/>
  <c r="P70" i="18" s="1"/>
  <c r="P63" i="18"/>
  <c r="P64"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B4" authorId="0" shapeId="0" xr:uid="{00000000-0006-0000-0000-000001000000}">
      <text>
        <r>
          <rPr>
            <b/>
            <sz val="9"/>
            <color indexed="81"/>
            <rFont val="Tahoma"/>
            <family val="2"/>
          </rPr>
          <t>Haberka, Anna:</t>
        </r>
        <r>
          <rPr>
            <sz val="9"/>
            <color indexed="81"/>
            <rFont val="Tahoma"/>
            <family val="2"/>
          </rPr>
          <t xml:space="preserve">
Single Premium Products (Non-Leasing)
</t>
        </r>
      </text>
    </comment>
    <comment ref="B32" authorId="0" shapeId="0" xr:uid="{00000000-0006-0000-0000-00000200000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S4" authorId="0" shapeId="0" xr:uid="{00000000-0006-0000-0100-000001000000}">
      <text>
        <r>
          <rPr>
            <b/>
            <sz val="9"/>
            <color indexed="81"/>
            <rFont val="Tahoma"/>
            <family val="2"/>
          </rPr>
          <t>Haberka, Anna:</t>
        </r>
        <r>
          <rPr>
            <sz val="9"/>
            <color indexed="81"/>
            <rFont val="Tahoma"/>
            <family val="2"/>
          </rPr>
          <t xml:space="preserve">
</t>
        </r>
        <r>
          <rPr>
            <sz val="12"/>
            <color indexed="81"/>
            <rFont val="Tahoma"/>
            <family val="2"/>
          </rPr>
          <t>The trigger for the Payment of the Over-Commission is: 
  In case the average age of the insured persons entering the policy during the observation period is minor or equal than 52 years the parties shall pay over commission to the Distributor expressed in a percentage of the taxable premiums collected after the participation in the policies, net of earlier cancellation and of other portfolio negative movements (CLOLA1 Auto Loan Senior and CLOLP1 Personal Loan Senior shall be 0% and all other Products shall be 15%)</t>
        </r>
      </text>
    </comment>
    <comment ref="W4" authorId="0" shapeId="0" xr:uid="{00000000-0006-0000-0100-000002000000}">
      <text>
        <r>
          <rPr>
            <b/>
            <sz val="9"/>
            <color indexed="81"/>
            <rFont val="Tahoma"/>
            <family val="2"/>
          </rPr>
          <t>Haberka, Anna:</t>
        </r>
        <r>
          <rPr>
            <sz val="9"/>
            <color indexed="81"/>
            <rFont val="Tahoma"/>
            <family val="2"/>
          </rPr>
          <t xml:space="preserve">
</t>
        </r>
        <r>
          <rPr>
            <sz val="12"/>
            <color indexed="81"/>
            <rFont val="Tahoma"/>
            <family val="2"/>
          </rPr>
          <t>Cooling off period also know as Withrawal period
The cooling off period for the old products sold prior 22nd February 2016 was initially 30 days and then for different products at differen times was extended to 60 months. Please refer to the old Product Library for details.</t>
        </r>
      </text>
    </comment>
    <comment ref="BF4" authorId="0" shapeId="0" xr:uid="{00000000-0006-0000-0100-00000300000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G4" authorId="0" shapeId="0" xr:uid="{00000000-0006-0000-0100-00000400000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Haberka, Anna</author>
    <author>Haberka, Anna (CNP Santander)</author>
  </authors>
  <commentList>
    <comment ref="B13" authorId="0" shapeId="0" xr:uid="{00000000-0006-0000-0200-00000100000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Premium.</t>
        </r>
      </text>
    </comment>
    <comment ref="B14" authorId="1" shapeId="0" xr:uid="{00000000-0006-0000-0200-000002000000}">
      <text>
        <r>
          <rPr>
            <b/>
            <sz val="9"/>
            <color indexed="81"/>
            <rFont val="Tahoma"/>
            <family val="2"/>
          </rPr>
          <t>Haberka, Anna (CNP Santander):</t>
        </r>
        <r>
          <rPr>
            <sz val="9"/>
            <color indexed="81"/>
            <rFont val="Tahoma"/>
            <family val="2"/>
          </rPr>
          <t xml:space="preserve">
</t>
        </r>
        <r>
          <rPr>
            <sz val="12"/>
            <color indexed="81"/>
            <rFont val="Tahoma"/>
            <family val="2"/>
          </rPr>
          <t xml:space="preserve">Loan Amount which the end customer repaid quicker.
E.g. if the customer should repay on a monthly basis €500 but repaus €3500 it means that he/she repaid quicker €6000. Loan amount repaid earlier here = €3000.
</t>
        </r>
      </text>
    </comment>
    <comment ref="O14" authorId="1" shapeId="0" xr:uid="{00000000-0006-0000-0200-000003000000}">
      <text>
        <r>
          <rPr>
            <b/>
            <sz val="9"/>
            <color indexed="81"/>
            <rFont val="Tahoma"/>
            <family val="2"/>
          </rPr>
          <t>Haberka, Anna (CNP Santander):</t>
        </r>
        <r>
          <rPr>
            <sz val="9"/>
            <color indexed="81"/>
            <rFont val="Tahoma"/>
            <family val="2"/>
          </rPr>
          <t xml:space="preserve">
</t>
        </r>
        <r>
          <rPr>
            <sz val="12"/>
            <color indexed="81"/>
            <rFont val="Tahoma"/>
            <family val="2"/>
          </rPr>
          <t>Ensure that in case of one Partial Cancellation only the cell I14 is set to zero too.</t>
        </r>
      </text>
    </comment>
    <comment ref="B22" authorId="0" shapeId="0" xr:uid="{00000000-0006-0000-0200-000004000000}">
      <text>
        <r>
          <rPr>
            <b/>
            <sz val="8"/>
            <color indexed="81"/>
            <rFont val="Tahoma"/>
            <family val="2"/>
          </rPr>
          <t>Haberka, Anna:</t>
        </r>
        <r>
          <rPr>
            <sz val="8"/>
            <color indexed="81"/>
            <rFont val="Tahoma"/>
            <family val="2"/>
          </rPr>
          <t xml:space="preserve">
Early Termination cost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Haberka, Anna</author>
    <author>Haberka, Anna (CNP Santander)</author>
  </authors>
  <commentList>
    <comment ref="B13" authorId="0" shapeId="0" xr:uid="{00000000-0006-0000-0300-00000100000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14" authorId="1" shapeId="0" xr:uid="{00000000-0006-0000-0300-000002000000}">
      <text>
        <r>
          <rPr>
            <b/>
            <sz val="9"/>
            <color indexed="81"/>
            <rFont val="Tahoma"/>
            <family val="2"/>
          </rPr>
          <t>Haberka, Anna (CNP Santander):</t>
        </r>
        <r>
          <rPr>
            <sz val="9"/>
            <color indexed="81"/>
            <rFont val="Tahoma"/>
            <family val="2"/>
          </rPr>
          <t xml:space="preserve">
</t>
        </r>
        <r>
          <rPr>
            <sz val="12"/>
            <color indexed="81"/>
            <rFont val="Tahoma"/>
            <family val="2"/>
          </rPr>
          <t xml:space="preserve">Loan Amount which the end customer repaid quicker.
E.g. if the customer should repay on a monthly basis €500 but repaus €3500 it means that he/she repaid quicker €6000. Loan amount repaid earlier here = €3000.
</t>
        </r>
      </text>
    </comment>
    <comment ref="B22" authorId="0" shapeId="0" xr:uid="{00000000-0006-0000-0300-000003000000}">
      <text>
        <r>
          <rPr>
            <b/>
            <sz val="8"/>
            <color indexed="81"/>
            <rFont val="Tahoma"/>
            <family val="2"/>
          </rPr>
          <t>Haberka, Anna:</t>
        </r>
        <r>
          <rPr>
            <sz val="8"/>
            <color indexed="81"/>
            <rFont val="Tahoma"/>
            <family val="2"/>
          </rPr>
          <t xml:space="preserve">
Early Termination cost</t>
        </r>
      </text>
    </comment>
  </commentList>
</comments>
</file>

<file path=xl/sharedStrings.xml><?xml version="1.0" encoding="utf-8"?>
<sst xmlns="http://schemas.openxmlformats.org/spreadsheetml/2006/main" count="1366" uniqueCount="510">
  <si>
    <t>Costs</t>
  </si>
  <si>
    <t>Life</t>
  </si>
  <si>
    <t>Non-Life</t>
  </si>
  <si>
    <t>Insured amount:</t>
  </si>
  <si>
    <t>Personal Loan informations:</t>
  </si>
  <si>
    <t>Rules for reimbursement</t>
  </si>
  <si>
    <t>Definitions:</t>
  </si>
  <si>
    <t>with:</t>
  </si>
  <si>
    <t>with</t>
  </si>
  <si>
    <t>Subscription date:</t>
  </si>
  <si>
    <t>Senior</t>
  </si>
  <si>
    <t>Leasing</t>
  </si>
  <si>
    <t>where:</t>
  </si>
  <si>
    <r>
      <rPr>
        <b/>
        <sz val="11"/>
        <rFont val="Calibri"/>
        <family val="2"/>
      </rPr>
      <t>Residual duration in months</t>
    </r>
    <r>
      <rPr>
        <sz val="11"/>
        <rFont val="Calibri"/>
        <family val="2"/>
      </rPr>
      <t xml:space="preserve"> = Initial Duration in months - ((Date of the Early Termination - Start date of the cover)/365.25)*12</t>
    </r>
  </si>
  <si>
    <r>
      <rPr>
        <b/>
        <sz val="11"/>
        <rFont val="Calibri"/>
        <family val="2"/>
      </rPr>
      <t xml:space="preserve">Initial Duration in months </t>
    </r>
    <r>
      <rPr>
        <sz val="11"/>
        <rFont val="Calibri"/>
        <family val="2"/>
      </rPr>
      <t>= ((Start Date of the Cover - End date of the cover)/365.25)*12</t>
    </r>
  </si>
  <si>
    <t xml:space="preserve"> </t>
  </si>
  <si>
    <t xml:space="preserve">δ </t>
  </si>
  <si>
    <r>
      <t>ε</t>
    </r>
    <r>
      <rPr>
        <sz val="12"/>
        <color indexed="8"/>
        <rFont val="Arial Narrow"/>
        <family val="2"/>
      </rPr>
      <t xml:space="preserve"> </t>
    </r>
  </si>
  <si>
    <t>ET Refund</t>
  </si>
  <si>
    <t>if t ≤ p</t>
  </si>
  <si>
    <t>if t &gt; p</t>
  </si>
  <si>
    <t>εc</t>
  </si>
  <si>
    <t>Reimbursements following the formula in the Annex to the Distribution Agreement</t>
  </si>
  <si>
    <t>Product Map</t>
  </si>
  <si>
    <t>ITALY</t>
  </si>
  <si>
    <t>currently there is NO Tax on Life covers in Italy</t>
  </si>
  <si>
    <t>TPA: Cardif till April 2017</t>
  </si>
  <si>
    <t>TPA: CBP from May 2017</t>
  </si>
  <si>
    <t>Final Premium to the Customer</t>
  </si>
  <si>
    <t>Channel</t>
  </si>
  <si>
    <r>
      <t>SCB Tariff</t>
    </r>
    <r>
      <rPr>
        <b/>
        <sz val="11"/>
        <color indexed="60"/>
        <rFont val="Calibri"/>
        <family val="2"/>
      </rPr>
      <t xml:space="preserve"> (</t>
    </r>
    <r>
      <rPr>
        <b/>
        <u/>
        <sz val="11"/>
        <color indexed="60"/>
        <rFont val="Calibri"/>
        <family val="2"/>
      </rPr>
      <t>for TPA: Cardif</t>
    </r>
    <r>
      <rPr>
        <b/>
        <sz val="11"/>
        <color indexed="60"/>
        <rFont val="Calibri"/>
        <family val="2"/>
      </rPr>
      <t>)</t>
    </r>
  </si>
  <si>
    <t>PRODUCT NAME (for TPA: Cardif)</t>
  </si>
  <si>
    <r>
      <t xml:space="preserve">IP Product code </t>
    </r>
    <r>
      <rPr>
        <b/>
        <u/>
        <sz val="11"/>
        <color indexed="8"/>
        <rFont val="Calibri"/>
        <family val="2"/>
      </rPr>
      <t>TPA: Cardif</t>
    </r>
    <r>
      <rPr>
        <b/>
        <sz val="11"/>
        <color indexed="60"/>
        <rFont val="Calibri"/>
        <family val="2"/>
      </rPr>
      <t xml:space="preserve"> (</t>
    </r>
    <r>
      <rPr>
        <b/>
        <u/>
        <sz val="11"/>
        <color indexed="60"/>
        <rFont val="Calibri"/>
        <family val="2"/>
      </rPr>
      <t>IP can handle</t>
    </r>
    <r>
      <rPr>
        <b/>
        <sz val="11"/>
        <color indexed="60"/>
        <rFont val="Calibri"/>
        <family val="2"/>
      </rPr>
      <t xml:space="preserve"> </t>
    </r>
    <r>
      <rPr>
        <b/>
        <u/>
        <sz val="11"/>
        <color indexed="60"/>
        <rFont val="Calibri"/>
        <family val="2"/>
      </rPr>
      <t>max. 5 characters)</t>
    </r>
    <r>
      <rPr>
        <sz val="11"/>
        <color indexed="60"/>
        <rFont val="Calibri"/>
        <family val="2"/>
      </rPr>
      <t/>
    </r>
  </si>
  <si>
    <r>
      <t>SCB Tariff</t>
    </r>
    <r>
      <rPr>
        <b/>
        <sz val="11"/>
        <color indexed="60"/>
        <rFont val="Calibri"/>
        <family val="2"/>
      </rPr>
      <t xml:space="preserve"> (</t>
    </r>
    <r>
      <rPr>
        <b/>
        <u/>
        <sz val="11"/>
        <color indexed="60"/>
        <rFont val="Calibri"/>
        <family val="2"/>
      </rPr>
      <t>for TPA: CBP</t>
    </r>
    <r>
      <rPr>
        <b/>
        <sz val="11"/>
        <color indexed="60"/>
        <rFont val="Calibri"/>
        <family val="2"/>
      </rPr>
      <t>)</t>
    </r>
  </si>
  <si>
    <t>PRODUCT NAME (for TPA: CBP)</t>
  </si>
  <si>
    <r>
      <t xml:space="preserve">IP Product code </t>
    </r>
    <r>
      <rPr>
        <b/>
        <u/>
        <sz val="11"/>
        <color indexed="8"/>
        <rFont val="Calibri"/>
        <family val="2"/>
      </rPr>
      <t>TPA: CBP</t>
    </r>
    <r>
      <rPr>
        <sz val="11"/>
        <color indexed="60"/>
        <rFont val="Calibri"/>
        <family val="2"/>
      </rPr>
      <t/>
    </r>
  </si>
  <si>
    <t>Employment Status for Policy</t>
  </si>
  <si>
    <t>Life Policy No</t>
  </si>
  <si>
    <t>Non-Life Policy No</t>
  </si>
  <si>
    <t>Total Premium (incl. tax)</t>
  </si>
  <si>
    <t>Life Premium</t>
  </si>
  <si>
    <t>Non-Life Premium (incl. tax)</t>
  </si>
  <si>
    <t>Tax on Life business</t>
  </si>
  <si>
    <t>Tax on Non-Life business</t>
  </si>
  <si>
    <t>Premium Frequency</t>
  </si>
  <si>
    <t>Base Commission (Distribution)</t>
  </si>
  <si>
    <t>Over-Commission (Distribution)</t>
  </si>
  <si>
    <t>Tax on Commission</t>
  </si>
  <si>
    <t>Duration (typical)</t>
  </si>
  <si>
    <t>Max. Duration</t>
  </si>
  <si>
    <t>Cooling Off Period</t>
  </si>
  <si>
    <t>Cooling Off Refund</t>
  </si>
  <si>
    <t>Right to Cancel Policy</t>
  </si>
  <si>
    <t>Min Entry Age</t>
  </si>
  <si>
    <t>Max Entry Age</t>
  </si>
  <si>
    <t>Max Age Expiry</t>
  </si>
  <si>
    <t>Max Loan</t>
  </si>
  <si>
    <t>All covers</t>
  </si>
  <si>
    <t>Total ET cost per LIFE part of policy</t>
  </si>
  <si>
    <t>Total ET cost per Non-LIFE part of policy</t>
  </si>
  <si>
    <t>Total Early Termination Charge per policy</t>
  </si>
  <si>
    <t>LIFE: ET fees (SCB's part)</t>
  </si>
  <si>
    <t>LIFE: ET fees (CNP SI 's part)</t>
  </si>
  <si>
    <t>Non-LIFE: ET fees (SCB's part)</t>
  </si>
  <si>
    <t>Non-LIFE: ET fees (CNP SI 's part)</t>
  </si>
  <si>
    <t>Total Insurer's Loadings on Early Termination:</t>
  </si>
  <si>
    <t>Insurer retention - acq</t>
  </si>
  <si>
    <t>Insurer retention - admin</t>
  </si>
  <si>
    <t>Death</t>
  </si>
  <si>
    <t>PTD</t>
  </si>
  <si>
    <t>Acc Death</t>
  </si>
  <si>
    <t>Life (Net Tax)</t>
  </si>
  <si>
    <t>Life Price (incl. tax)</t>
  </si>
  <si>
    <t>TTD net Tax</t>
  </si>
  <si>
    <t>IU net tax</t>
  </si>
  <si>
    <t>APTD net tax</t>
  </si>
  <si>
    <t>Non-Life (Net Tax)</t>
  </si>
  <si>
    <t>Non-Life (Net tax)</t>
  </si>
  <si>
    <t>TTD incl. tax</t>
  </si>
  <si>
    <t>IU incl. tax</t>
  </si>
  <si>
    <t>APTD incl. tax</t>
  </si>
  <si>
    <t>Non-Life incl. tax</t>
  </si>
  <si>
    <t>Total Price (Incl. tax)</t>
  </si>
  <si>
    <t>Personal</t>
  </si>
  <si>
    <t>CL45P1A</t>
  </si>
  <si>
    <t>CL45P1A Personal Loan</t>
  </si>
  <si>
    <t>45P1A</t>
  </si>
  <si>
    <t>CL45P2A</t>
  </si>
  <si>
    <t>PERSONAL LOAN CPI 4.5%</t>
  </si>
  <si>
    <t>45P2A</t>
  </si>
  <si>
    <t>Private Sector Employees</t>
  </si>
  <si>
    <t>0105/28</t>
  </si>
  <si>
    <t>0105/29</t>
  </si>
  <si>
    <t>Single Premium</t>
  </si>
  <si>
    <t>Till 31/12/2012: 4.6%
From 01/01/2013: 0%</t>
  </si>
  <si>
    <t>0-24mths</t>
  </si>
  <si>
    <t>120mths</t>
  </si>
  <si>
    <t>60 days</t>
  </si>
  <si>
    <t>100% Premium net of tax (2.5% on Non-Life premium)</t>
  </si>
  <si>
    <t>On repayment of loan or change in employment status</t>
  </si>
  <si>
    <t>D, PTD, IU</t>
  </si>
  <si>
    <t>CL45P1B</t>
  </si>
  <si>
    <t>CL45P1B Personal Loan</t>
  </si>
  <si>
    <t>45P1B</t>
  </si>
  <si>
    <t>CL45P2B</t>
  </si>
  <si>
    <t>45P2B</t>
  </si>
  <si>
    <t>Public Sector/Self Employed/Non-Workers</t>
  </si>
  <si>
    <t>0106/28</t>
  </si>
  <si>
    <t>0106/29</t>
  </si>
  <si>
    <t>Till 31/12/2012: 4.6% 
From 01/01/2013: 0%</t>
  </si>
  <si>
    <t>On repayment of loan.</t>
  </si>
  <si>
    <t>D, PTD, AD, TD</t>
  </si>
  <si>
    <t>CL60P1A</t>
  </si>
  <si>
    <t>CL60P1A Personal Loan</t>
  </si>
  <si>
    <t>60P1A</t>
  </si>
  <si>
    <t>CL60P2A</t>
  </si>
  <si>
    <t>PERSONAL LOAN CPI 6.0%</t>
  </si>
  <si>
    <t>60P2A</t>
  </si>
  <si>
    <t>25-36mths</t>
  </si>
  <si>
    <t>CL60P1B</t>
  </si>
  <si>
    <t>CL60P1B Personal Loan</t>
  </si>
  <si>
    <t>60P1B</t>
  </si>
  <si>
    <t>CL60P2B</t>
  </si>
  <si>
    <t>60P2B</t>
  </si>
  <si>
    <t>CL80P1A</t>
  </si>
  <si>
    <t>CL80P1A Personal Loan</t>
  </si>
  <si>
    <t>80P1A</t>
  </si>
  <si>
    <t>CL80P2A</t>
  </si>
  <si>
    <t>PERSONAL LOAN CPI 8.0%</t>
  </si>
  <si>
    <t>80P2A</t>
  </si>
  <si>
    <t>37-79mths</t>
  </si>
  <si>
    <t>CL80P1B</t>
  </si>
  <si>
    <t>CL80P1B Personal Loan</t>
  </si>
  <si>
    <t>80P1B</t>
  </si>
  <si>
    <t>CL80P2B</t>
  </si>
  <si>
    <t>80P2B</t>
  </si>
  <si>
    <t>CL10P1A</t>
  </si>
  <si>
    <t>CL10P1A Personal Loan</t>
  </si>
  <si>
    <t>10P1A</t>
  </si>
  <si>
    <t>CL10P2A</t>
  </si>
  <si>
    <t>CPI PERSONAL LOANS 10%</t>
  </si>
  <si>
    <t>10P2A</t>
  </si>
  <si>
    <t>80-120mths</t>
  </si>
  <si>
    <t>CL10P1B</t>
  </si>
  <si>
    <t>CL10P1B Personal Loan</t>
  </si>
  <si>
    <t>10P1B</t>
  </si>
  <si>
    <t>CL10P2B</t>
  </si>
  <si>
    <t>10P2B</t>
  </si>
  <si>
    <t>Auto</t>
  </si>
  <si>
    <t>CL45A1A</t>
  </si>
  <si>
    <t>CL45A1A Auto Loan</t>
  </si>
  <si>
    <t>45A1A</t>
  </si>
  <si>
    <t>CL45A2A</t>
  </si>
  <si>
    <t>AUTO CPI 4.5%</t>
  </si>
  <si>
    <t>45A2A</t>
  </si>
  <si>
    <t>0-47mths</t>
  </si>
  <si>
    <t>CL45A1B</t>
  </si>
  <si>
    <t>CL45A1B Auto Loan</t>
  </si>
  <si>
    <t>45A1B</t>
  </si>
  <si>
    <t>CL45A2B</t>
  </si>
  <si>
    <t>45A2B</t>
  </si>
  <si>
    <t>CL60A1A</t>
  </si>
  <si>
    <t>CL60A1A Auto Loan</t>
  </si>
  <si>
    <t>60A1A</t>
  </si>
  <si>
    <t>CL60A2A</t>
  </si>
  <si>
    <t>AUTO CPI 6.0%</t>
  </si>
  <si>
    <t>60A2A</t>
  </si>
  <si>
    <t>48-72mths</t>
  </si>
  <si>
    <t>CL60A1B</t>
  </si>
  <si>
    <t>CL60A1B Auto Loan</t>
  </si>
  <si>
    <t>60A1B</t>
  </si>
  <si>
    <t>CL60A2B</t>
  </si>
  <si>
    <t>60A2B</t>
  </si>
  <si>
    <t>CL80A1A</t>
  </si>
  <si>
    <t>CL80A1A Auto Loan</t>
  </si>
  <si>
    <t>80A1A</t>
  </si>
  <si>
    <t>CL80A2A</t>
  </si>
  <si>
    <t>AUTO CPI 8.0%</t>
  </si>
  <si>
    <t>80A2A</t>
  </si>
  <si>
    <t>73-120mths</t>
  </si>
  <si>
    <t>CL80A1B</t>
  </si>
  <si>
    <t>CL80A1B Auto Loan</t>
  </si>
  <si>
    <t>80A1B</t>
  </si>
  <si>
    <t>CL80A2B</t>
  </si>
  <si>
    <t>80A2B</t>
  </si>
  <si>
    <t>Finalised (Durables)</t>
  </si>
  <si>
    <t>CL35F1A</t>
  </si>
  <si>
    <t>CL35F1A Durables Loan</t>
  </si>
  <si>
    <t>35F1A</t>
  </si>
  <si>
    <t>CL35F2A</t>
  </si>
  <si>
    <t>FINALISED CPI 3.5%</t>
  </si>
  <si>
    <t>35F2A</t>
  </si>
  <si>
    <t>CL35F1B</t>
  </si>
  <si>
    <t>CL35F1B Durables Loan</t>
  </si>
  <si>
    <t>35F1B</t>
  </si>
  <si>
    <t>CL35F2B</t>
  </si>
  <si>
    <t>35F2B</t>
  </si>
  <si>
    <t>CL45F1A</t>
  </si>
  <si>
    <t>CL45F1A Durables Loan</t>
  </si>
  <si>
    <t>45F1A</t>
  </si>
  <si>
    <t>CL45F2A</t>
  </si>
  <si>
    <t>FINALISED CPI 4.5%</t>
  </si>
  <si>
    <t>45F2A</t>
  </si>
  <si>
    <t>25-60mths</t>
  </si>
  <si>
    <t>CL45F1B</t>
  </si>
  <si>
    <t>CL45F1B Durables Loan</t>
  </si>
  <si>
    <t>45F1B</t>
  </si>
  <si>
    <t>CL45F2B</t>
  </si>
  <si>
    <t>45F2B</t>
  </si>
  <si>
    <t>CL60F1A</t>
  </si>
  <si>
    <t>CL60F1A Durables Loan</t>
  </si>
  <si>
    <t>60F1A</t>
  </si>
  <si>
    <t>CL60F2A</t>
  </si>
  <si>
    <t>FINALISED CPI 6.0%</t>
  </si>
  <si>
    <t>60F2A</t>
  </si>
  <si>
    <t>61-84mths</t>
  </si>
  <si>
    <t>CL60F1B</t>
  </si>
  <si>
    <t>CL60F1B Durables Loan</t>
  </si>
  <si>
    <t>60F1B</t>
  </si>
  <si>
    <t>CL60F2B</t>
  </si>
  <si>
    <t>60F2B</t>
  </si>
  <si>
    <t>LP45C1</t>
  </si>
  <si>
    <t xml:space="preserve">LP45C1  Leasing Protection </t>
  </si>
  <si>
    <t>45C1</t>
  </si>
  <si>
    <t>LP45C2</t>
  </si>
  <si>
    <t>LEASING CPI 4.5%</t>
  </si>
  <si>
    <t>P45C2</t>
  </si>
  <si>
    <t>0107/28</t>
  </si>
  <si>
    <t>0107/29</t>
  </si>
  <si>
    <t>Single Premium for us, however the insured pays the premium to SCB on a monthly basis</t>
  </si>
  <si>
    <t>0-72mths</t>
  </si>
  <si>
    <t>72mths</t>
  </si>
  <si>
    <t>D, PTD, TD</t>
  </si>
  <si>
    <t>LP45F1</t>
  </si>
  <si>
    <t xml:space="preserve">LP45F1  Leasing Protection </t>
  </si>
  <si>
    <t>45F1</t>
  </si>
  <si>
    <t>LP45F2</t>
  </si>
  <si>
    <t>P45F2</t>
  </si>
  <si>
    <t>CLOLA1</t>
  </si>
  <si>
    <t xml:space="preserve">CLOLP1  Personal Loan Senior </t>
  </si>
  <si>
    <t>LOLA1</t>
  </si>
  <si>
    <t>SENIOR AUTO CPI 8.0%</t>
  </si>
  <si>
    <t>LOLA2</t>
  </si>
  <si>
    <t>0108/28</t>
  </si>
  <si>
    <t>0108/29</t>
  </si>
  <si>
    <t>0-120mths</t>
  </si>
  <si>
    <t>D, PTDA</t>
  </si>
  <si>
    <t>CLOLP1</t>
  </si>
  <si>
    <t xml:space="preserve">CLOLA1 Auto Loan Senior </t>
  </si>
  <si>
    <t>LOLP1</t>
  </si>
  <si>
    <t>SENIOR PERSONAL LOAN CPI 8.0%</t>
  </si>
  <si>
    <t>LOLP2</t>
  </si>
  <si>
    <t>Master Policy Code</t>
  </si>
  <si>
    <t>CNPSIL</t>
  </si>
  <si>
    <t>CNPSIE</t>
  </si>
  <si>
    <t>Designed for</t>
  </si>
  <si>
    <t>Public Sector/Self Empoyed/Non-Workers</t>
  </si>
  <si>
    <t>Leasing Protection</t>
  </si>
  <si>
    <t>CNP SI (IP) Product Code</t>
  </si>
  <si>
    <t>Total</t>
  </si>
  <si>
    <t>Full Product name</t>
  </si>
  <si>
    <t xml:space="preserve"> Of which: ET fees to be paid to Contractor (SCB)</t>
  </si>
  <si>
    <t>ultimate cost to CNP SI</t>
  </si>
  <si>
    <t>Commissions to be recovered (clawed back) from SCB</t>
  </si>
  <si>
    <t>84mths</t>
  </si>
  <si>
    <t>Calculations following the NEW formula</t>
  </si>
  <si>
    <t>COMM) Commission Portion of the Refund</t>
  </si>
  <si>
    <t>PR) Premium to be reimbursed to Adherent</t>
  </si>
  <si>
    <r>
      <rPr>
        <b/>
        <sz val="11"/>
        <color indexed="8"/>
        <rFont val="Calibri"/>
        <family val="2"/>
      </rPr>
      <t>D)</t>
    </r>
    <r>
      <rPr>
        <sz val="11"/>
        <color indexed="8"/>
        <rFont val="Calibri"/>
        <family val="2"/>
      </rPr>
      <t xml:space="preserve"> Initial duration  of the insurance cover (= Duration of the loan) (in months) </t>
    </r>
  </si>
  <si>
    <r>
      <rPr>
        <b/>
        <sz val="11"/>
        <color indexed="8"/>
        <rFont val="Calibri"/>
        <family val="2"/>
      </rPr>
      <t>t)</t>
    </r>
    <r>
      <rPr>
        <sz val="11"/>
        <color indexed="8"/>
        <rFont val="Calibri"/>
        <family val="2"/>
      </rPr>
      <t xml:space="preserve"> Time passed to the date of reimbursement request (in months)</t>
    </r>
  </si>
  <si>
    <r>
      <rPr>
        <b/>
        <sz val="11"/>
        <color indexed="8"/>
        <rFont val="Calibri"/>
        <family val="2"/>
      </rPr>
      <t>r)</t>
    </r>
    <r>
      <rPr>
        <sz val="11"/>
        <color indexed="8"/>
        <rFont val="Calibri"/>
        <family val="2"/>
      </rPr>
      <t xml:space="preserve"> Residual duration  (D-t) (in months)</t>
    </r>
  </si>
  <si>
    <t>Anticipated ET date:</t>
  </si>
  <si>
    <t>Initial Policy End date:</t>
  </si>
  <si>
    <t>Please fill in the cells in grey</t>
  </si>
  <si>
    <t xml:space="preserve">Taxes (%) </t>
  </si>
  <si>
    <t>Gross Written Premium incl. tax (%)</t>
  </si>
  <si>
    <r>
      <rPr>
        <b/>
        <sz val="12"/>
        <color indexed="8"/>
        <rFont val="Calibri"/>
        <family val="2"/>
      </rPr>
      <t>δ</t>
    </r>
    <r>
      <rPr>
        <b/>
        <sz val="11"/>
        <color indexed="8"/>
        <rFont val="Calibri"/>
        <family val="2"/>
      </rPr>
      <t xml:space="preserve"> = Base commission ( %)</t>
    </r>
  </si>
  <si>
    <r>
      <rPr>
        <b/>
        <sz val="12"/>
        <rFont val="Calibri"/>
        <family val="2"/>
      </rPr>
      <t>ε</t>
    </r>
    <r>
      <rPr>
        <b/>
        <sz val="11"/>
        <rFont val="Calibri"/>
        <family val="2"/>
      </rPr>
      <t xml:space="preserve">  = Total ET costs (€)</t>
    </r>
  </si>
  <si>
    <r>
      <rPr>
        <b/>
        <sz val="12"/>
        <rFont val="Calibri"/>
        <family val="2"/>
      </rPr>
      <t>εc</t>
    </r>
    <r>
      <rPr>
        <b/>
        <sz val="11"/>
        <rFont val="Calibri"/>
        <family val="2"/>
      </rPr>
      <t xml:space="preserve"> = ET incured by Contractor (€)</t>
    </r>
  </si>
  <si>
    <t>Non-Leasing</t>
  </si>
  <si>
    <r>
      <t>Premium to be reimbursed to Contractor</t>
    </r>
    <r>
      <rPr>
        <b/>
        <sz val="10"/>
        <color indexed="8"/>
        <rFont val="Calibri"/>
        <family val="2"/>
      </rPr>
      <t xml:space="preserve"> (SCB)</t>
    </r>
  </si>
  <si>
    <t>PR) Premium to be reimbursed to  Contractor (SCB)</t>
  </si>
  <si>
    <r>
      <rPr>
        <b/>
        <sz val="11"/>
        <color indexed="8"/>
        <rFont val="Calibri"/>
        <family val="2"/>
      </rPr>
      <t>PT)</t>
    </r>
    <r>
      <rPr>
        <sz val="11"/>
        <color indexed="8"/>
        <rFont val="Calibri"/>
        <family val="2"/>
      </rPr>
      <t xml:space="preserve">  Net premium paid by the Adherent (Insured) (excl. tax)</t>
    </r>
  </si>
  <si>
    <r>
      <t>Premium to be reimbursed to Adherent</t>
    </r>
    <r>
      <rPr>
        <b/>
        <sz val="10"/>
        <color indexed="8"/>
        <rFont val="Calibri"/>
        <family val="2"/>
      </rPr>
      <t xml:space="preserve"> (Insured)</t>
    </r>
  </si>
  <si>
    <t>Total ET Fees charged to Adherent (Insured)</t>
  </si>
  <si>
    <t>Ultimate cost to CNP SI</t>
  </si>
  <si>
    <r>
      <t xml:space="preserve">D) </t>
    </r>
    <r>
      <rPr>
        <sz val="11"/>
        <color indexed="8"/>
        <rFont val="Calibri"/>
        <family val="2"/>
      </rPr>
      <t xml:space="preserve">Initial duration  of the insurance cover (= Duration of the loan) (in months) </t>
    </r>
  </si>
  <si>
    <r>
      <t xml:space="preserve">t) </t>
    </r>
    <r>
      <rPr>
        <sz val="11"/>
        <color indexed="8"/>
        <rFont val="Calibri"/>
        <family val="2"/>
      </rPr>
      <t>Time passed to the date of reimbursement request (in months)</t>
    </r>
  </si>
  <si>
    <r>
      <t xml:space="preserve">r) </t>
    </r>
    <r>
      <rPr>
        <sz val="11"/>
        <color indexed="8"/>
        <rFont val="Calibri"/>
        <family val="2"/>
      </rPr>
      <t>Residual duration  (D-t) (in months)</t>
    </r>
  </si>
  <si>
    <r>
      <t xml:space="preserve">δ </t>
    </r>
    <r>
      <rPr>
        <sz val="11"/>
        <color indexed="8"/>
        <rFont val="Calibri"/>
        <family val="2"/>
      </rPr>
      <t>= Base commission (43.0%)</t>
    </r>
  </si>
  <si>
    <r>
      <rPr>
        <b/>
        <sz val="12"/>
        <color indexed="8"/>
        <rFont val="Calibri"/>
        <family val="2"/>
      </rPr>
      <t>ε</t>
    </r>
    <r>
      <rPr>
        <b/>
        <sz val="11"/>
        <color indexed="8"/>
        <rFont val="Calibri"/>
        <family val="2"/>
      </rPr>
      <t xml:space="preserve">  </t>
    </r>
    <r>
      <rPr>
        <sz val="11"/>
        <color indexed="8"/>
        <rFont val="Calibri"/>
        <family val="2"/>
      </rPr>
      <t>= Total ET costs (€) :</t>
    </r>
  </si>
  <si>
    <t>*</t>
  </si>
  <si>
    <r>
      <t xml:space="preserve">€25.0 </t>
    </r>
    <r>
      <rPr>
        <sz val="11"/>
        <color indexed="8"/>
        <rFont val="Calibri"/>
        <family val="2"/>
      </rPr>
      <t>for Personal Loans, Auto,Senior products</t>
    </r>
  </si>
  <si>
    <r>
      <t xml:space="preserve">€17.50 </t>
    </r>
    <r>
      <rPr>
        <sz val="11"/>
        <color indexed="8"/>
        <rFont val="Calibri"/>
        <family val="2"/>
      </rPr>
      <t>for Finalised/ Durables Loans</t>
    </r>
  </si>
  <si>
    <r>
      <t xml:space="preserve">PR) </t>
    </r>
    <r>
      <rPr>
        <sz val="11"/>
        <color indexed="8"/>
        <rFont val="Calibri"/>
        <family val="2"/>
      </rPr>
      <t>Premium to be reimbursed to Adherent</t>
    </r>
  </si>
  <si>
    <r>
      <t xml:space="preserve">COMM) </t>
    </r>
    <r>
      <rPr>
        <sz val="11"/>
        <color indexed="8"/>
        <rFont val="Calibri"/>
        <family val="2"/>
      </rPr>
      <t>Commission Portion of the Refund to be recovered from Contractor (SCB)</t>
    </r>
  </si>
  <si>
    <r>
      <t xml:space="preserve">PT = </t>
    </r>
    <r>
      <rPr>
        <sz val="11"/>
        <color indexed="8"/>
        <rFont val="Calibri"/>
        <family val="2"/>
      </rPr>
      <t>Net tax premium (paid by the Adherent excl. tax)</t>
    </r>
  </si>
  <si>
    <r>
      <rPr>
        <b/>
        <sz val="11"/>
        <color indexed="8"/>
        <rFont val="Calibri"/>
        <family val="2"/>
      </rPr>
      <t>PPR</t>
    </r>
    <r>
      <rPr>
        <sz val="11"/>
        <color indexed="8"/>
        <rFont val="Calibri"/>
        <family val="2"/>
      </rPr>
      <t xml:space="preserve"> </t>
    </r>
    <r>
      <rPr>
        <b/>
        <sz val="11"/>
        <color indexed="8"/>
        <rFont val="Calibri"/>
        <family val="2"/>
      </rPr>
      <t xml:space="preserve">= </t>
    </r>
    <r>
      <rPr>
        <sz val="11"/>
        <color indexed="8"/>
        <rFont val="Calibri"/>
        <family val="2"/>
      </rPr>
      <t>The pure premium refunded to the Adherent</t>
    </r>
  </si>
  <si>
    <t>1) NON-LIFE premium to reimburse to Adherent (Insured)</t>
  </si>
  <si>
    <r>
      <t xml:space="preserve">PR </t>
    </r>
    <r>
      <rPr>
        <sz val="11"/>
        <color indexed="8"/>
        <rFont val="Calibri"/>
        <family val="2"/>
      </rPr>
      <t>= (PT x (1 - δ) + PT x δ) x (D-t)/D – ε = PT x (D-t)/D – ε</t>
    </r>
    <r>
      <rPr>
        <b/>
        <sz val="11"/>
        <color indexed="8"/>
        <rFont val="Calibri"/>
        <family val="2"/>
      </rPr>
      <t xml:space="preserve">
</t>
    </r>
  </si>
  <si>
    <t>2) LIFE premium to reimburse to Adherent (Insured)</t>
  </si>
  <si>
    <r>
      <t>PR =</t>
    </r>
    <r>
      <rPr>
        <sz val="11"/>
        <color indexed="8"/>
        <rFont val="Calibri"/>
        <family val="2"/>
      </rPr>
      <t xml:space="preserve"> PT x δ x (D-t)/D + PPR – ε</t>
    </r>
    <r>
      <rPr>
        <b/>
        <sz val="11"/>
        <color indexed="8"/>
        <rFont val="Calibri"/>
        <family val="2"/>
      </rPr>
      <t xml:space="preserve">
</t>
    </r>
  </si>
  <si>
    <r>
      <t xml:space="preserve">PPR </t>
    </r>
    <r>
      <rPr>
        <sz val="11"/>
        <color indexed="8"/>
        <rFont val="Calibri"/>
        <family val="2"/>
      </rPr>
      <t>= PT x (1 - δ) x ((D – t + 1) x (D – t)) / (D x (D + 1))</t>
    </r>
    <r>
      <rPr>
        <b/>
        <sz val="11"/>
        <color indexed="8"/>
        <rFont val="Calibri"/>
        <family val="2"/>
      </rPr>
      <t xml:space="preserve">
</t>
    </r>
  </si>
  <si>
    <t>3) Commission to recover from SCB</t>
  </si>
  <si>
    <r>
      <t xml:space="preserve">       Comm =</t>
    </r>
    <r>
      <rPr>
        <sz val="11"/>
        <color indexed="8"/>
        <rFont val="Calibri"/>
        <family val="2"/>
      </rPr>
      <t xml:space="preserve"> PT x δ x (D-t)/D  - εc </t>
    </r>
  </si>
  <si>
    <r>
      <rPr>
        <b/>
        <sz val="12"/>
        <color indexed="8"/>
        <rFont val="Calibri"/>
        <family val="2"/>
      </rPr>
      <t>ε</t>
    </r>
    <r>
      <rPr>
        <b/>
        <sz val="11"/>
        <color indexed="8"/>
        <rFont val="Calibri"/>
        <family val="2"/>
      </rPr>
      <t xml:space="preserve">  </t>
    </r>
    <r>
      <rPr>
        <sz val="11"/>
        <color indexed="8"/>
        <rFont val="Calibri"/>
        <family val="2"/>
      </rPr>
      <t>= Total ET costs (</t>
    </r>
    <r>
      <rPr>
        <b/>
        <sz val="11"/>
        <color indexed="8"/>
        <rFont val="Calibri"/>
        <family val="2"/>
      </rPr>
      <t>€20.50</t>
    </r>
    <r>
      <rPr>
        <sz val="11"/>
        <color indexed="8"/>
        <rFont val="Calibri"/>
        <family val="2"/>
      </rPr>
      <t>)</t>
    </r>
  </si>
  <si>
    <r>
      <rPr>
        <b/>
        <sz val="11"/>
        <color indexed="8"/>
        <rFont val="Calibri"/>
        <family val="2"/>
      </rPr>
      <t>PPC</t>
    </r>
    <r>
      <rPr>
        <sz val="11"/>
        <color indexed="8"/>
        <rFont val="Calibri"/>
        <family val="2"/>
      </rPr>
      <t xml:space="preserve"> = The pure premium refunded to the Contractor</t>
    </r>
  </si>
  <si>
    <t>1) NON-LIFE premium to reimburse to Contractor (SCB)</t>
  </si>
  <si>
    <r>
      <t xml:space="preserve">PPC </t>
    </r>
    <r>
      <rPr>
        <sz val="11"/>
        <color indexed="8"/>
        <rFont val="Calibri"/>
        <family val="2"/>
      </rPr>
      <t>= PT x (1 - δ) x (D−t)/D – ε + εc</t>
    </r>
    <r>
      <rPr>
        <b/>
        <sz val="11"/>
        <color indexed="8"/>
        <rFont val="Calibri"/>
        <family val="2"/>
      </rPr>
      <t xml:space="preserve">
</t>
    </r>
  </si>
  <si>
    <t>2) LIFE premium to reimburse to Contractor (SCB)</t>
  </si>
  <si>
    <r>
      <t xml:space="preserve">PPC </t>
    </r>
    <r>
      <rPr>
        <sz val="11"/>
        <color indexed="8"/>
        <rFont val="Calibri"/>
        <family val="2"/>
      </rPr>
      <t>= PT x (1 - δ) x (D−t)/D – ε + εc</t>
    </r>
    <r>
      <rPr>
        <b/>
        <sz val="11"/>
        <color indexed="8"/>
        <rFont val="Calibri"/>
        <family val="2"/>
      </rPr>
      <t xml:space="preserve">
</t>
    </r>
    <r>
      <rPr>
        <sz val="11"/>
        <color indexed="8"/>
        <rFont val="Calibri"/>
        <family val="2"/>
      </rPr>
      <t xml:space="preserve">
</t>
    </r>
  </si>
  <si>
    <r>
      <t xml:space="preserve">       Comm =</t>
    </r>
    <r>
      <rPr>
        <sz val="11"/>
        <color indexed="8"/>
        <rFont val="Calibri"/>
        <family val="2"/>
      </rPr>
      <t xml:space="preserve"> PT x δ x (D-t)/D  - εc </t>
    </r>
  </si>
  <si>
    <t>PPC) Pure Premium refunded to Contractor (SCB)</t>
  </si>
  <si>
    <t>Non-Life refund after ET charges</t>
  </si>
  <si>
    <r>
      <t xml:space="preserve">Non-Life refund </t>
    </r>
    <r>
      <rPr>
        <b/>
        <u/>
        <sz val="11"/>
        <color indexed="8"/>
        <rFont val="Calibri"/>
        <family val="2"/>
      </rPr>
      <t xml:space="preserve">before </t>
    </r>
    <r>
      <rPr>
        <b/>
        <sz val="11"/>
        <color indexed="8"/>
        <rFont val="Calibri"/>
        <family val="2"/>
      </rPr>
      <t>ET charges</t>
    </r>
  </si>
  <si>
    <r>
      <t xml:space="preserve">Life refund </t>
    </r>
    <r>
      <rPr>
        <b/>
        <u/>
        <sz val="11"/>
        <color indexed="8"/>
        <rFont val="Calibri"/>
        <family val="2"/>
      </rPr>
      <t xml:space="preserve">before </t>
    </r>
    <r>
      <rPr>
        <b/>
        <sz val="11"/>
        <color indexed="8"/>
        <rFont val="Calibri"/>
        <family val="2"/>
      </rPr>
      <t>ET charges</t>
    </r>
  </si>
  <si>
    <t>time lapsed</t>
  </si>
  <si>
    <r>
      <t xml:space="preserve">Life refund </t>
    </r>
    <r>
      <rPr>
        <b/>
        <u/>
        <sz val="11"/>
        <color indexed="8"/>
        <rFont val="Calibri"/>
        <family val="2"/>
      </rPr>
      <t>after</t>
    </r>
    <r>
      <rPr>
        <b/>
        <sz val="11"/>
        <color indexed="8"/>
        <rFont val="Calibri"/>
        <family val="2"/>
      </rPr>
      <t xml:space="preserve"> ET charges</t>
    </r>
  </si>
  <si>
    <t>GWP incl. tax</t>
  </si>
  <si>
    <r>
      <t xml:space="preserve">Refund </t>
    </r>
    <r>
      <rPr>
        <b/>
        <u/>
        <sz val="11"/>
        <rFont val="Calibri"/>
        <family val="2"/>
      </rPr>
      <t>before</t>
    </r>
    <r>
      <rPr>
        <b/>
        <sz val="11"/>
        <rFont val="Calibri"/>
        <family val="2"/>
      </rPr>
      <t xml:space="preserve"> the ET charge</t>
    </r>
  </si>
  <si>
    <t>Commission part of the Refund before the ET charge</t>
  </si>
  <si>
    <r>
      <t xml:space="preserve">Refund </t>
    </r>
    <r>
      <rPr>
        <b/>
        <u/>
        <sz val="11"/>
        <rFont val="Calibri"/>
        <family val="2"/>
      </rPr>
      <t>after</t>
    </r>
    <r>
      <rPr>
        <b/>
        <sz val="11"/>
        <rFont val="Calibri"/>
        <family val="2"/>
      </rPr>
      <t xml:space="preserve"> the ET charge (PR: Premium to be reimbursed to  Contractor (SCB))</t>
    </r>
  </si>
  <si>
    <t>Premium part of the Refund before the ET charge</t>
  </si>
  <si>
    <t>CLAGEA2B</t>
  </si>
  <si>
    <t>CLAGEP2B</t>
  </si>
  <si>
    <r>
      <t xml:space="preserve">PERSONAL LOANS </t>
    </r>
    <r>
      <rPr>
        <b/>
        <u/>
        <sz val="11"/>
        <color indexed="8"/>
        <rFont val="Calibri"/>
        <family val="2"/>
      </rPr>
      <t>(MEDIOLANUM)</t>
    </r>
  </si>
  <si>
    <t>n/a</t>
  </si>
  <si>
    <t xml:space="preserve">CL45M2A 
</t>
  </si>
  <si>
    <t>45M2A</t>
  </si>
  <si>
    <t xml:space="preserve">CL45M2B
</t>
  </si>
  <si>
    <t>45M2B</t>
  </si>
  <si>
    <r>
      <t>0113</t>
    </r>
    <r>
      <rPr>
        <sz val="11"/>
        <color indexed="8"/>
        <rFont val="Calibri"/>
        <family val="2"/>
      </rPr>
      <t>/28</t>
    </r>
  </si>
  <si>
    <r>
      <t>0113</t>
    </r>
    <r>
      <rPr>
        <sz val="11"/>
        <color indexed="8"/>
        <rFont val="Calibri"/>
        <family val="2"/>
      </rPr>
      <t>/29</t>
    </r>
  </si>
  <si>
    <r>
      <t>0114</t>
    </r>
    <r>
      <rPr>
        <sz val="11"/>
        <color indexed="8"/>
        <rFont val="Calibri"/>
        <family val="2"/>
      </rPr>
      <t>/28</t>
    </r>
  </si>
  <si>
    <r>
      <t>0114</t>
    </r>
    <r>
      <rPr>
        <sz val="11"/>
        <color indexed="8"/>
        <rFont val="Calibri"/>
        <family val="2"/>
      </rPr>
      <t>/29</t>
    </r>
  </si>
  <si>
    <t xml:space="preserve">
From 01/01/2013: 0%</t>
  </si>
  <si>
    <t>From 01/01/2013: 0%</t>
  </si>
  <si>
    <t>On repayment of loan or change in employment status only</t>
  </si>
  <si>
    <t xml:space="preserve">64   ALB
</t>
  </si>
  <si>
    <t>69 ALB</t>
  </si>
  <si>
    <t>On repayment of loan only.</t>
  </si>
  <si>
    <t>MEDIOLANUM PERSONAL LOAN CPI 4.5% , (Private Sector Employees)</t>
  </si>
  <si>
    <t>MEDIOLANUM PERSONAL LOAN CPI 4.5% , (Public Sector/Self Employed/Non-Workers)</t>
  </si>
  <si>
    <t>CL45M2A3</t>
  </si>
  <si>
    <t>45M3A</t>
  </si>
  <si>
    <t xml:space="preserve"> MEDIOLANUM PERSONAL LOAN CPI 4.5%</t>
  </si>
  <si>
    <t>tbc</t>
  </si>
  <si>
    <t>N/A</t>
  </si>
  <si>
    <t>CL45M2B3</t>
  </si>
  <si>
    <t>45M3B</t>
  </si>
  <si>
    <t>Personal Loans</t>
  </si>
  <si>
    <t>CL45P2A3</t>
  </si>
  <si>
    <t>45P3A</t>
  </si>
  <si>
    <t xml:space="preserve"> PERSONAL LOAN CPI 4.5%</t>
  </si>
  <si>
    <t>CL45P2B3</t>
  </si>
  <si>
    <t>45P3B</t>
  </si>
  <si>
    <t>CL60P2A3</t>
  </si>
  <si>
    <t>60P3A</t>
  </si>
  <si>
    <t xml:space="preserve"> PERSONAL LOAN CPI 6.0%</t>
  </si>
  <si>
    <t>CL60P2B3</t>
  </si>
  <si>
    <t>60P3B</t>
  </si>
  <si>
    <t>CL80P2A3</t>
  </si>
  <si>
    <t>80P3A</t>
  </si>
  <si>
    <t xml:space="preserve"> PERSONAL LOAN CPI 8.0%</t>
  </si>
  <si>
    <t>CL80P2B3</t>
  </si>
  <si>
    <t>80P3B</t>
  </si>
  <si>
    <t>CL10P2A3</t>
  </si>
  <si>
    <t>10P3A</t>
  </si>
  <si>
    <t xml:space="preserve"> CPI PERSONAL LOANS 10%</t>
  </si>
  <si>
    <t>CL10P2B3</t>
  </si>
  <si>
    <t>10P3B</t>
  </si>
  <si>
    <t>Auto Loans</t>
  </si>
  <si>
    <t>CL45A2A3</t>
  </si>
  <si>
    <t>45A3A</t>
  </si>
  <si>
    <t xml:space="preserve"> AUTO CPI 4.5%</t>
  </si>
  <si>
    <t>71 ALB</t>
  </si>
  <si>
    <t>CL45A2B3</t>
  </si>
  <si>
    <t>45A3B</t>
  </si>
  <si>
    <t>CL60A2A3</t>
  </si>
  <si>
    <t>60A3A</t>
  </si>
  <si>
    <t xml:space="preserve"> AUTO CPI 6.0%</t>
  </si>
  <si>
    <t>CL60A2B3</t>
  </si>
  <si>
    <t>60A3B</t>
  </si>
  <si>
    <t>CL80A2A3</t>
  </si>
  <si>
    <t>80A3A</t>
  </si>
  <si>
    <t xml:space="preserve"> AUTO CPI 8.0%</t>
  </si>
  <si>
    <t>CL80A2B3</t>
  </si>
  <si>
    <t>80A3B</t>
  </si>
  <si>
    <t>CL35F2A3</t>
  </si>
  <si>
    <t>35F3A</t>
  </si>
  <si>
    <t xml:space="preserve"> FINALISED CPI 3.5%</t>
  </si>
  <si>
    <t>84mths%</t>
  </si>
  <si>
    <t>CL35F2B3</t>
  </si>
  <si>
    <t>35F3B</t>
  </si>
  <si>
    <t>CL45F2A3</t>
  </si>
  <si>
    <t>45F3A</t>
  </si>
  <si>
    <t xml:space="preserve"> FINALISED CPI 4.5%</t>
  </si>
  <si>
    <t>CL45F2B3</t>
  </si>
  <si>
    <t>45F3B</t>
  </si>
  <si>
    <t>CL60F2A3</t>
  </si>
  <si>
    <t>60F3A</t>
  </si>
  <si>
    <t xml:space="preserve"> FINALISED CPI 6.0%</t>
  </si>
  <si>
    <t>CL60F2B3</t>
  </si>
  <si>
    <t>60F3B</t>
  </si>
  <si>
    <t>LP45C23</t>
  </si>
  <si>
    <t>P45C3</t>
  </si>
  <si>
    <t xml:space="preserve"> LEASING CPI 4.5%</t>
  </si>
  <si>
    <t>LP45F23</t>
  </si>
  <si>
    <t>P45F3</t>
  </si>
  <si>
    <t>CLAGEA2B3</t>
  </si>
  <si>
    <t>LOLA3</t>
  </si>
  <si>
    <t xml:space="preserve"> SENIOR AUTO CPI 8.0%</t>
  </si>
  <si>
    <t>74 ALB</t>
  </si>
  <si>
    <t>CLAGEP2B3</t>
  </si>
  <si>
    <t>LOLP3</t>
  </si>
  <si>
    <t xml:space="preserve"> SENIOR PERSONAL LOAN CPI 8.0%</t>
  </si>
  <si>
    <t>PLAN55</t>
  </si>
  <si>
    <t>IVASS</t>
  </si>
  <si>
    <t xml:space="preserve">0.00%
</t>
  </si>
  <si>
    <r>
      <rPr>
        <b/>
        <sz val="11"/>
        <color indexed="8"/>
        <rFont val="Calibri"/>
        <family val="2"/>
      </rPr>
      <t>ALB</t>
    </r>
    <r>
      <rPr>
        <sz val="11"/>
        <color theme="1"/>
        <rFont val="Calibri"/>
        <family val="2"/>
        <scheme val="minor"/>
      </rPr>
      <t xml:space="preserve"> = Age at Last Birthday</t>
    </r>
  </si>
  <si>
    <t>MEDIOLANUM PERSONAL LOAN CPI 4.5% , (Private Sector Employees) - PLAN 55</t>
  </si>
  <si>
    <t>MEDIOLANUM PERSONAL LOAN CPI 4.5% , (Public Sector/Self Employed/Non-Workers) - PLAN 55</t>
  </si>
  <si>
    <t>PERSONAL LOAN CPI 4.5% , (Private Sector Employees) - PLAN 55</t>
  </si>
  <si>
    <t>PERSONAL LOAN CPI 4.5% , (Public Sector/Self Employed/Non-Workers) - PLAN 55</t>
  </si>
  <si>
    <t>PERSONAL LOAN CPI 6.0% , (Private Sector Employees) - PLAN 55</t>
  </si>
  <si>
    <t>PERSONAL LOAN CPI 6.0% , (Public Sector/Self Employed/Non-Workers) - PLAN 55</t>
  </si>
  <si>
    <t>PERSONAL LOAN CPI 8.0% , (Private Sector Employees) - PLAN 55</t>
  </si>
  <si>
    <t>PERSONAL LOAN CPI 8.0% , (Public Sector/Self Employed/Non-Workers) - PLAN 55</t>
  </si>
  <si>
    <t>CPI PERSONAL LOANS 10% , (Private Sector Employees) - PLAN 55</t>
  </si>
  <si>
    <t>CPI PERSONAL LOANS 10% , (Public Sector/Self Employed/Non-Workers) - PLAN 55</t>
  </si>
  <si>
    <t>AUTO CPI 4.5% , (Private Sector Employees) - PLAN 55</t>
  </si>
  <si>
    <t>AUTO CPI 4.5% , (Public Sector/Self Employed/Non-Workers) - PLAN 55</t>
  </si>
  <si>
    <t>AUTO CPI 6.0% , (Private Sector Employees) - PLAN 55</t>
  </si>
  <si>
    <t>AUTO CPI 6.0% , (Public Sector/Self Employed/Non-Workers) - PLAN 55</t>
  </si>
  <si>
    <t>AUTO CPI 8.0% , (Private Sector Employees) - PLAN 55</t>
  </si>
  <si>
    <t>AUTO CPI 8.0% , (Public Sector/Self Employed/Non-Workers) - PLAN 55</t>
  </si>
  <si>
    <t>FINALISED CPI 3.5% , (Private Sector Employees) - PLAN 55</t>
  </si>
  <si>
    <t>FINALISED CPI 3.5% , (Public Sector/Self Employed/Non-Workers) - PLAN 55</t>
  </si>
  <si>
    <t>FINALISED CPI 4.5% , (Private Sector Employees) - PLAN 55</t>
  </si>
  <si>
    <t>FINALISED CPI 4.5% , (Public Sector/Self Employed/Non-Workers) - PLAN 55</t>
  </si>
  <si>
    <t>FINALISED CPI 6.0% , (Private Sector Employees) - PLAN 55</t>
  </si>
  <si>
    <t>FINALISED CPI 6.0% , (Public Sector/Self Employed/Non-Workers) - PLAN 55</t>
  </si>
  <si>
    <t>LEASING CPI 4.5% - PLAN 55</t>
  </si>
  <si>
    <t>SENIOR AUTO CPI 8.0% - PLAN 55</t>
  </si>
  <si>
    <t>SENIOR PERSONAL LOAN CPI 8.0% - PLAN 55</t>
  </si>
  <si>
    <t xml:space="preserve">Tax </t>
  </si>
  <si>
    <t>`</t>
  </si>
  <si>
    <t>Full ET REFUND:</t>
  </si>
  <si>
    <r>
      <t xml:space="preserve">1st Partial Cancellation refund </t>
    </r>
    <r>
      <rPr>
        <b/>
        <u/>
        <sz val="11"/>
        <rFont val="Calibri"/>
        <family val="2"/>
      </rPr>
      <t xml:space="preserve">after </t>
    </r>
    <r>
      <rPr>
        <b/>
        <sz val="11"/>
        <rFont val="Calibri"/>
        <family val="2"/>
      </rPr>
      <t>ET charge</t>
    </r>
  </si>
  <si>
    <r>
      <t xml:space="preserve">Full ET Refund </t>
    </r>
    <r>
      <rPr>
        <b/>
        <u/>
        <sz val="11"/>
        <rFont val="Calibri"/>
        <family val="2"/>
      </rPr>
      <t>after</t>
    </r>
    <r>
      <rPr>
        <b/>
        <sz val="11"/>
        <rFont val="Calibri"/>
        <family val="2"/>
      </rPr>
      <t xml:space="preserve">  ET charge</t>
    </r>
  </si>
  <si>
    <t>(Early Loan Repayment amount/ Initial Insured Capital) ratio</t>
  </si>
  <si>
    <t>Early Loan Repayment amount (where applicable)</t>
  </si>
  <si>
    <t>Anticipated ET or Partial Cancellation date:</t>
  </si>
  <si>
    <t>ET charges</t>
  </si>
  <si>
    <t>(Sum of Early Loan Repayment amount/ Initial Insured Capital) ratio</t>
  </si>
  <si>
    <t>Subsequent Cancellation (ET)</t>
  </si>
  <si>
    <t>&lt;-- ET date if there is no 2nd Partial Cancellation</t>
  </si>
  <si>
    <t>&lt;-- set to 0  for ET (when there is no 2nd Partial Cancellation)</t>
  </si>
  <si>
    <t>&lt;-- set to 0 for ET</t>
  </si>
  <si>
    <t>Premium part of the 1st Partial Refund before the ET charge</t>
  </si>
  <si>
    <t>Commission part of the 1st Partial Refund before the ET charge</t>
  </si>
  <si>
    <t>(2nd Early Loan Repayment amount/ Initial Insured Capital) ratio</t>
  </si>
  <si>
    <t>&lt;-- ET date</t>
  </si>
  <si>
    <t>to be used for 2nd Partial Cancellation only</t>
  </si>
  <si>
    <t>To be used for ET followed previous Partial Cancellation(s)</t>
  </si>
  <si>
    <t>Sum of all Early Loan Repayments</t>
  </si>
  <si>
    <r>
      <t>ET Refund following 2 Partial Cancellations</t>
    </r>
    <r>
      <rPr>
        <b/>
        <u/>
        <sz val="11"/>
        <rFont val="Calibri"/>
        <family val="2"/>
      </rPr>
      <t xml:space="preserve"> after</t>
    </r>
    <r>
      <rPr>
        <b/>
        <sz val="11"/>
        <rFont val="Calibri"/>
        <family val="2"/>
      </rPr>
      <t xml:space="preserve"> additional ET charges</t>
    </r>
  </si>
  <si>
    <t>Premium part of the 1st Partial Reimbursement before the ET charge</t>
  </si>
  <si>
    <t>Commission part of the 1st Partial Reimbursement before the ET charge</t>
  </si>
  <si>
    <t>Sum of monthly Premiums net of tax</t>
  </si>
  <si>
    <t>[1- (Early Loan Repayment amount/ Initial Insured Capital)] ratio</t>
  </si>
  <si>
    <r>
      <t>ET Refund following partial Cancellation</t>
    </r>
    <r>
      <rPr>
        <u/>
        <sz val="11"/>
        <rFont val="Calibri"/>
        <family val="2"/>
      </rPr>
      <t xml:space="preserve"> before</t>
    </r>
    <r>
      <rPr>
        <sz val="11"/>
        <rFont val="Calibri"/>
        <family val="2"/>
      </rPr>
      <t xml:space="preserve"> ET emmission charges</t>
    </r>
  </si>
  <si>
    <r>
      <t xml:space="preserve">ET Refund following partial Cancellation </t>
    </r>
    <r>
      <rPr>
        <b/>
        <u/>
        <sz val="11"/>
        <rFont val="Calibri"/>
        <family val="2"/>
      </rPr>
      <t>after</t>
    </r>
    <r>
      <rPr>
        <b/>
        <i/>
        <sz val="11"/>
        <rFont val="Calibri"/>
        <family val="2"/>
      </rPr>
      <t xml:space="preserve"> </t>
    </r>
    <r>
      <rPr>
        <b/>
        <sz val="11"/>
        <rFont val="Calibri"/>
        <family val="2"/>
      </rPr>
      <t>ET emmission charges</t>
    </r>
  </si>
  <si>
    <t>PPC) Pure Premium refunded to Contractor (SCB) (in case of ET following Partial Cancellation)</t>
  </si>
  <si>
    <r>
      <t xml:space="preserve">1st Partial cancellation Refund </t>
    </r>
    <r>
      <rPr>
        <b/>
        <u/>
        <sz val="11"/>
        <color theme="1"/>
        <rFont val="Calibri"/>
        <family val="2"/>
      </rPr>
      <t>before</t>
    </r>
    <r>
      <rPr>
        <b/>
        <sz val="11"/>
        <color theme="1"/>
        <rFont val="Calibri"/>
        <family val="2"/>
      </rPr>
      <t xml:space="preserve"> the ET charge</t>
    </r>
  </si>
  <si>
    <r>
      <t>2nd partial Cancellation Refund</t>
    </r>
    <r>
      <rPr>
        <b/>
        <u/>
        <sz val="11"/>
        <rFont val="Calibri"/>
        <family val="2"/>
      </rPr>
      <t xml:space="preserve"> after</t>
    </r>
    <r>
      <rPr>
        <b/>
        <sz val="11"/>
        <rFont val="Calibri"/>
        <family val="2"/>
      </rPr>
      <t xml:space="preserve"> ET charges</t>
    </r>
  </si>
  <si>
    <t>Premium part of the 2nd Partial Refund before the ET charge</t>
  </si>
  <si>
    <t>Commission part of the 2nd Partial Refund before the ET charge</t>
  </si>
  <si>
    <r>
      <t xml:space="preserve">2nd Partial cancellation Refund </t>
    </r>
    <r>
      <rPr>
        <b/>
        <u/>
        <sz val="11"/>
        <color theme="1"/>
        <rFont val="Calibri"/>
        <family val="2"/>
      </rPr>
      <t>before</t>
    </r>
    <r>
      <rPr>
        <b/>
        <sz val="11"/>
        <color theme="1"/>
        <rFont val="Calibri"/>
        <family val="2"/>
      </rPr>
      <t xml:space="preserve"> any ET charges</t>
    </r>
  </si>
  <si>
    <t>Premium part of the ET Refund following partial Cancellation(s) before ET charge</t>
  </si>
  <si>
    <t>Commission part of the ET Refund following Partial Cancellation(s) before ET charge</t>
  </si>
  <si>
    <r>
      <t xml:space="preserve">ET Refund after Partial Cancellation(s) </t>
    </r>
    <r>
      <rPr>
        <b/>
        <u/>
        <sz val="11"/>
        <color theme="1"/>
        <rFont val="Calibri"/>
        <family val="2"/>
      </rPr>
      <t>before</t>
    </r>
    <r>
      <rPr>
        <b/>
        <sz val="11"/>
        <color theme="1"/>
        <rFont val="Calibri"/>
        <family val="2"/>
      </rPr>
      <t xml:space="preserve"> the ET charge</t>
    </r>
  </si>
  <si>
    <r>
      <t xml:space="preserve">Full ET Refund </t>
    </r>
    <r>
      <rPr>
        <u/>
        <sz val="11"/>
        <rFont val="Calibri"/>
        <family val="2"/>
      </rPr>
      <t>after</t>
    </r>
    <r>
      <rPr>
        <sz val="11"/>
        <rFont val="Calibri"/>
        <family val="2"/>
      </rPr>
      <t xml:space="preserve">  ET charge</t>
    </r>
  </si>
  <si>
    <r>
      <t xml:space="preserve">Full ET Refund </t>
    </r>
    <r>
      <rPr>
        <u/>
        <sz val="11"/>
        <rFont val="Calibri"/>
        <family val="2"/>
      </rPr>
      <t xml:space="preserve">after </t>
    </r>
    <r>
      <rPr>
        <sz val="11"/>
        <rFont val="Calibri"/>
        <family val="2"/>
      </rPr>
      <t xml:space="preserve"> ET charge</t>
    </r>
  </si>
  <si>
    <t>SUMMARY</t>
  </si>
  <si>
    <t>1st Partial Cancellation refund before ET charges</t>
  </si>
  <si>
    <t>2nd Partial Cancellation refund before ET charges</t>
  </si>
  <si>
    <t>ET Refund following Partial Cancellation(s) before ET charges</t>
  </si>
  <si>
    <t>Total of all Refunds payable to customer after ET charges</t>
  </si>
  <si>
    <r>
      <t xml:space="preserve">1st Partial Cancellation refund </t>
    </r>
    <r>
      <rPr>
        <u/>
        <sz val="11"/>
        <rFont val="Calibri"/>
        <family val="2"/>
      </rPr>
      <t>after</t>
    </r>
    <r>
      <rPr>
        <sz val="11"/>
        <rFont val="Calibri"/>
        <family val="2"/>
      </rPr>
      <t xml:space="preserve"> ET charges</t>
    </r>
  </si>
  <si>
    <r>
      <t xml:space="preserve">2nd Partial Cancellation refund </t>
    </r>
    <r>
      <rPr>
        <u/>
        <sz val="11"/>
        <rFont val="Calibri"/>
        <family val="2"/>
      </rPr>
      <t>after</t>
    </r>
    <r>
      <rPr>
        <sz val="11"/>
        <rFont val="Calibri"/>
        <family val="2"/>
      </rPr>
      <t xml:space="preserve"> ET charges</t>
    </r>
  </si>
  <si>
    <r>
      <t xml:space="preserve">ET Refund following Partial Cancellation(s) </t>
    </r>
    <r>
      <rPr>
        <u/>
        <sz val="11"/>
        <rFont val="Calibri"/>
        <family val="2"/>
      </rPr>
      <t>after ET charges</t>
    </r>
  </si>
  <si>
    <r>
      <t xml:space="preserve">Total of all Refunds </t>
    </r>
    <r>
      <rPr>
        <b/>
        <u/>
        <sz val="11"/>
        <rFont val="Calibri"/>
        <family val="2"/>
      </rPr>
      <t>before</t>
    </r>
    <r>
      <rPr>
        <b/>
        <sz val="11"/>
        <rFont val="Calibri"/>
        <family val="2"/>
      </rPr>
      <t xml:space="preserve"> ET charges</t>
    </r>
  </si>
  <si>
    <r>
      <t xml:space="preserve">Total of all Refunds payable to customer </t>
    </r>
    <r>
      <rPr>
        <b/>
        <u/>
        <sz val="11"/>
        <rFont val="Calibri"/>
        <family val="2"/>
      </rPr>
      <t>after</t>
    </r>
    <r>
      <rPr>
        <b/>
        <sz val="11"/>
        <rFont val="Calibri"/>
        <family val="2"/>
      </rPr>
      <t xml:space="preserve"> ET charges</t>
    </r>
  </si>
  <si>
    <t>Total of all ET charged for all Cancelaltions</t>
  </si>
  <si>
    <t>Please note that due to negative maounts it is possible that in the reports the amounts will be totalled (Life + Non-Life) and the resulting amount will be reported for the company for which the final Refund amount was positive.</t>
  </si>
  <si>
    <t>1st Partial Cancellation refund after ET charges</t>
  </si>
  <si>
    <t>2nd Partial Cancellation refund after ET charges</t>
  </si>
  <si>
    <t>ET Refund following Partial Cancellation(s) after ET charges</t>
  </si>
  <si>
    <t>harcoded sample:</t>
  </si>
  <si>
    <t>calculations:</t>
  </si>
  <si>
    <t>reporting &amp; anctual payments:</t>
  </si>
  <si>
    <r>
      <t xml:space="preserve">1st Partial cancellation Reimbursement </t>
    </r>
    <r>
      <rPr>
        <b/>
        <u/>
        <sz val="11"/>
        <color theme="1"/>
        <rFont val="Calibri"/>
        <family val="2"/>
      </rPr>
      <t>before</t>
    </r>
    <r>
      <rPr>
        <b/>
        <sz val="11"/>
        <color theme="1"/>
        <rFont val="Calibri"/>
        <family val="2"/>
      </rPr>
      <t xml:space="preserve"> the ET charge</t>
    </r>
  </si>
  <si>
    <r>
      <t xml:space="preserve">1st Partial Cancellation Reimbursement </t>
    </r>
    <r>
      <rPr>
        <b/>
        <u/>
        <sz val="11"/>
        <rFont val="Calibri"/>
        <family val="2"/>
      </rPr>
      <t>before</t>
    </r>
    <r>
      <rPr>
        <b/>
        <sz val="11"/>
        <rFont val="Calibri"/>
        <family val="2"/>
      </rPr>
      <t xml:space="preserve"> ET charge</t>
    </r>
  </si>
  <si>
    <r>
      <t xml:space="preserve">Please note that in case of </t>
    </r>
    <r>
      <rPr>
        <b/>
        <sz val="11"/>
        <color rgb="FF000000"/>
        <rFont val="Calibri"/>
        <family val="2"/>
        <scheme val="minor"/>
      </rPr>
      <t xml:space="preserve">leasing </t>
    </r>
    <r>
      <rPr>
        <sz val="11"/>
        <color rgb="FF000000"/>
        <rFont val="Calibri"/>
        <family val="2"/>
        <scheme val="minor"/>
      </rPr>
      <t xml:space="preserve">partial </t>
    </r>
    <r>
      <rPr>
        <b/>
        <sz val="11"/>
        <color indexed="8"/>
        <rFont val="Calibri"/>
        <family val="2"/>
      </rPr>
      <t xml:space="preserve">early termination </t>
    </r>
    <r>
      <rPr>
        <sz val="11"/>
        <color indexed="8"/>
        <rFont val="Calibri"/>
        <family val="2"/>
      </rPr>
      <t>we can only charge the client for the emission costs (8 euro life + 8 eur non life) as the subscription form doesn’t report the extinction costs.</t>
    </r>
  </si>
  <si>
    <t>1st Partial Cancellation Reimbursementafter ET charge</t>
  </si>
  <si>
    <r>
      <t xml:space="preserve">Premium part of the 1st Partial Refund </t>
    </r>
    <r>
      <rPr>
        <u/>
        <sz val="11"/>
        <color theme="0" tint="-0.499984740745262"/>
        <rFont val="Calibri"/>
        <family val="2"/>
      </rPr>
      <t>afte</t>
    </r>
    <r>
      <rPr>
        <sz val="11"/>
        <color theme="0" tint="-0.499984740745262"/>
        <rFont val="Calibri"/>
        <family val="2"/>
      </rPr>
      <t>r the ET charge</t>
    </r>
  </si>
  <si>
    <r>
      <t xml:space="preserve">Commission part of the 1st Partial Refund </t>
    </r>
    <r>
      <rPr>
        <u/>
        <sz val="11"/>
        <color theme="0" tint="-0.499984740745262"/>
        <rFont val="Calibri"/>
        <family val="2"/>
      </rPr>
      <t>after</t>
    </r>
    <r>
      <rPr>
        <sz val="11"/>
        <color theme="0" tint="-0.499984740745262"/>
        <rFont val="Calibri"/>
        <family val="2"/>
      </rPr>
      <t xml:space="preserve"> the ET charge</t>
    </r>
  </si>
  <si>
    <t>Financed amount:</t>
  </si>
  <si>
    <r>
      <t xml:space="preserve">Commission part of the 1st Partial Refund </t>
    </r>
    <r>
      <rPr>
        <u/>
        <sz val="11"/>
        <color theme="1"/>
        <rFont val="Calibri"/>
        <family val="2"/>
      </rPr>
      <t>after</t>
    </r>
    <r>
      <rPr>
        <sz val="11"/>
        <color theme="1"/>
        <rFont val="Calibri"/>
        <family val="2"/>
      </rPr>
      <t xml:space="preserve"> the ET charge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</si>
</sst>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7" formatCode="&quot;€&quot;\ #,##0.00;\-&quot;€&quot;\ #,##0.00"/>
    <numFmt numFmtId="43" formatCode="_-* #,##0.00_-;\-* #,##0.00_-;_-* &quot;-&quot;??_-;_-@_-"/>
    <numFmt numFmtId="164" formatCode="0.0000%"/>
    <numFmt numFmtId="165" formatCode="0.000%"/>
    <numFmt numFmtId="166" formatCode="0.000000%"/>
    <numFmt numFmtId="167" formatCode="#,##0.00_ ;\-#,##0.00\ "/>
    <numFmt numFmtId="168" formatCode="0.0%"/>
    <numFmt numFmtId="169" formatCode="0.0000"/>
    <numFmt numFmtId="170" formatCode="#,##0.0000000000000_ ;\-#,##0.0000000000000\ "/>
    <numFmt numFmtId="171" formatCode="[$€-2]\ #,##0;[Red]\-[$€-2]\ #,##0"/>
    <numFmt numFmtId="172" formatCode="[$€-1809]#,##0.00"/>
    <numFmt numFmtId="173" formatCode="_-* #,##0_-;\-* #,##0_-;_-* &quot;-&quot;??_-;_-@_-"/>
    <numFmt numFmtId="174" formatCode="#,##0_ ;\-#,##0\ "/>
    <numFmt numFmtId="175" formatCode="_-[$€-2]\ * #,##0.00_-;\-[$€-2]\ * #,##0.00_-;_-[$€-2]\ * &quot;-&quot;??_-;_-@_-"/>
    <numFmt numFmtId="176" formatCode="_-[$€-2]\ * #,##0_-;\-[$€-2]\ * #,##0_-;_-[$€-2]\ * &quot;-&quot;??_-;_-@_-"/>
    <numFmt numFmtId="177" formatCode="0.000"/>
  </numFmts>
  <fonts count="73" x14ac:knownFonts="1">
    <font>
      <sz val="11"/>
      <color theme="1"/>
      <name val="Calibri"/>
      <family val="2"/>
      <scheme val="minor"/>
    </font>
    <font>
      <sz val="11"/>
      <color indexed="8"/>
      <name val="Calibri"/>
      <family val="2"/>
    </font>
    <font>
      <b/>
      <sz val="11"/>
      <color indexed="8"/>
      <name val="Calibri"/>
      <family val="2"/>
    </font>
    <font>
      <b/>
      <sz val="11"/>
      <name val="Calibri"/>
      <family val="2"/>
    </font>
    <font>
      <b/>
      <sz val="11"/>
      <color indexed="9"/>
      <name val="Calibri"/>
      <family val="2"/>
    </font>
    <font>
      <b/>
      <sz val="14"/>
      <color indexed="9"/>
      <name val="Calibri"/>
      <family val="2"/>
    </font>
    <font>
      <b/>
      <u/>
      <sz val="14"/>
      <color indexed="9"/>
      <name val="Calibri"/>
      <family val="2"/>
    </font>
    <font>
      <sz val="11"/>
      <name val="Calibri"/>
      <family val="2"/>
    </font>
    <font>
      <b/>
      <sz val="12"/>
      <name val="Calibri"/>
      <family val="2"/>
    </font>
    <font>
      <b/>
      <sz val="10"/>
      <name val="Calibri"/>
      <family val="2"/>
    </font>
    <font>
      <sz val="11"/>
      <color indexed="8"/>
      <name val="Calibri"/>
      <family val="2"/>
    </font>
    <font>
      <sz val="10"/>
      <color indexed="18"/>
      <name val="Arial"/>
      <family val="2"/>
    </font>
    <font>
      <b/>
      <sz val="8"/>
      <color indexed="81"/>
      <name val="Tahoma"/>
      <family val="2"/>
    </font>
    <font>
      <sz val="8"/>
      <color indexed="81"/>
      <name val="Tahoma"/>
      <family val="2"/>
    </font>
    <font>
      <u/>
      <sz val="11"/>
      <name val="Calibri"/>
      <family val="2"/>
    </font>
    <font>
      <sz val="11"/>
      <color indexed="8"/>
      <name val="Calibri"/>
      <family val="2"/>
    </font>
    <font>
      <sz val="11"/>
      <color indexed="81"/>
      <name val="Tahoma"/>
      <family val="2"/>
    </font>
    <font>
      <sz val="12"/>
      <color indexed="8"/>
      <name val="Arial Narrow"/>
      <family val="2"/>
    </font>
    <font>
      <sz val="11"/>
      <color indexed="60"/>
      <name val="Calibri"/>
      <family val="2"/>
    </font>
    <font>
      <b/>
      <sz val="11"/>
      <color indexed="60"/>
      <name val="Calibri"/>
      <family val="2"/>
    </font>
    <font>
      <b/>
      <u/>
      <sz val="11"/>
      <color indexed="60"/>
      <name val="Calibri"/>
      <family val="2"/>
    </font>
    <font>
      <b/>
      <u/>
      <sz val="11"/>
      <color indexed="8"/>
      <name val="Calibri"/>
      <family val="2"/>
    </font>
    <font>
      <b/>
      <sz val="9"/>
      <color indexed="81"/>
      <name val="Tahoma"/>
      <family val="2"/>
    </font>
    <font>
      <sz val="9"/>
      <color indexed="81"/>
      <name val="Tahoma"/>
      <family val="2"/>
    </font>
    <font>
      <sz val="12"/>
      <color indexed="81"/>
      <name val="Tahoma"/>
      <family val="2"/>
    </font>
    <font>
      <b/>
      <sz val="10"/>
      <color indexed="8"/>
      <name val="Calibri"/>
      <family val="2"/>
    </font>
    <font>
      <sz val="12"/>
      <color indexed="9"/>
      <name val="Calibri"/>
      <family val="2"/>
    </font>
    <font>
      <b/>
      <sz val="12"/>
      <color indexed="8"/>
      <name val="Calibri"/>
      <family val="2"/>
    </font>
    <font>
      <b/>
      <u/>
      <sz val="11"/>
      <name val="Calibri"/>
      <family val="2"/>
    </font>
    <font>
      <u/>
      <sz val="12"/>
      <color indexed="81"/>
      <name val="Tahoma"/>
      <family val="2"/>
    </font>
    <font>
      <b/>
      <i/>
      <sz val="11"/>
      <name val="Calibri"/>
      <family val="2"/>
    </font>
    <font>
      <sz val="11"/>
      <color theme="1"/>
      <name val="Calibri"/>
      <family val="2"/>
      <scheme val="minor"/>
    </font>
    <font>
      <b/>
      <sz val="11"/>
      <color theme="1"/>
      <name val="Calibri"/>
      <family val="2"/>
      <scheme val="minor"/>
    </font>
    <font>
      <b/>
      <sz val="12"/>
      <color theme="1"/>
      <name val="Arial Narrow"/>
      <family val="2"/>
    </font>
    <font>
      <sz val="11"/>
      <color theme="4" tint="0.39997558519241921"/>
      <name val="Calibri"/>
      <family val="2"/>
    </font>
    <font>
      <sz val="11"/>
      <color rgb="FFC00000"/>
      <name val="Calibri"/>
      <family val="2"/>
    </font>
    <font>
      <b/>
      <sz val="11"/>
      <color theme="1"/>
      <name val="Calibri"/>
      <family val="2"/>
    </font>
    <font>
      <sz val="11"/>
      <color theme="0" tint="-0.499984740745262"/>
      <name val="Calibri"/>
      <family val="2"/>
    </font>
    <font>
      <sz val="9"/>
      <color theme="1"/>
      <name val="Arial Narrow"/>
      <family val="2"/>
    </font>
    <font>
      <sz val="11"/>
      <color theme="1"/>
      <name val="Calibri"/>
      <family val="2"/>
    </font>
    <font>
      <b/>
      <sz val="11"/>
      <color rgb="FF0070C0"/>
      <name val="Calibri"/>
      <family val="2"/>
    </font>
    <font>
      <b/>
      <sz val="24"/>
      <color theme="1"/>
      <name val="Calibri"/>
      <family val="2"/>
      <scheme val="minor"/>
    </font>
    <font>
      <sz val="11"/>
      <color rgb="FF0070C0"/>
      <name val="Calibri"/>
      <family val="2"/>
      <scheme val="minor"/>
    </font>
    <font>
      <b/>
      <sz val="11"/>
      <color rgb="FFC00000"/>
      <name val="Calibri"/>
      <family val="2"/>
      <scheme val="minor"/>
    </font>
    <font>
      <b/>
      <sz val="11"/>
      <name val="Calibri"/>
      <family val="2"/>
      <scheme val="minor"/>
    </font>
    <font>
      <sz val="10"/>
      <color theme="1"/>
      <name val="Calibri"/>
      <family val="2"/>
      <scheme val="minor"/>
    </font>
    <font>
      <b/>
      <sz val="10"/>
      <color theme="1"/>
      <name val="Calibri"/>
      <family val="2"/>
      <scheme val="minor"/>
    </font>
    <font>
      <b/>
      <sz val="22"/>
      <color theme="1"/>
      <name val="Calibri"/>
      <family val="2"/>
      <scheme val="minor"/>
    </font>
    <font>
      <b/>
      <sz val="10"/>
      <color theme="1"/>
      <name val="Calibri"/>
      <family val="2"/>
    </font>
    <font>
      <sz val="11"/>
      <color theme="0"/>
      <name val="Calibri"/>
      <family val="2"/>
    </font>
    <font>
      <b/>
      <sz val="11"/>
      <color theme="0"/>
      <name val="Calibri"/>
      <family val="2"/>
    </font>
    <font>
      <sz val="11"/>
      <color rgb="FF0070C0"/>
      <name val="Calibri"/>
      <family val="2"/>
    </font>
    <font>
      <b/>
      <sz val="9"/>
      <color theme="1"/>
      <name val="Arial Narrow"/>
      <family val="2"/>
    </font>
    <font>
      <b/>
      <strike/>
      <sz val="9"/>
      <color theme="1"/>
      <name val="Cambria"/>
      <family val="1"/>
    </font>
    <font>
      <strike/>
      <sz val="9"/>
      <color theme="1"/>
      <name val="Cambria"/>
      <family val="1"/>
    </font>
    <font>
      <strike/>
      <u/>
      <sz val="9"/>
      <color theme="1"/>
      <name val="Cambria"/>
      <family val="1"/>
    </font>
    <font>
      <strike/>
      <sz val="9"/>
      <color rgb="FFFF0000"/>
      <name val="Cambria"/>
      <family val="1"/>
    </font>
    <font>
      <b/>
      <sz val="14"/>
      <color theme="0" tint="-0.34998626667073579"/>
      <name val="Calibri"/>
      <family val="2"/>
    </font>
    <font>
      <b/>
      <sz val="10"/>
      <color rgb="FFC00000"/>
      <name val="Calibri"/>
      <family val="2"/>
      <scheme val="minor"/>
    </font>
    <font>
      <sz val="11"/>
      <color rgb="FFC00000"/>
      <name val="Calibri"/>
      <family val="2"/>
      <scheme val="minor"/>
    </font>
    <font>
      <b/>
      <sz val="11"/>
      <color rgb="FFFF0000"/>
      <name val="Calibri"/>
      <family val="2"/>
    </font>
    <font>
      <b/>
      <sz val="12"/>
      <color rgb="FFC00000"/>
      <name val="Calibri"/>
      <family val="2"/>
      <scheme val="minor"/>
    </font>
    <font>
      <b/>
      <sz val="11"/>
      <color rgb="FFC00000"/>
      <name val="Calibri"/>
      <family val="2"/>
    </font>
    <font>
      <b/>
      <sz val="12"/>
      <color theme="1"/>
      <name val="Calibri"/>
      <family val="2"/>
    </font>
    <font>
      <b/>
      <sz val="14"/>
      <color theme="1"/>
      <name val="Calibri"/>
      <family val="2"/>
    </font>
    <font>
      <sz val="11"/>
      <color theme="0" tint="-0.34998626667073579"/>
      <name val="Calibri"/>
      <family val="2"/>
    </font>
    <font>
      <sz val="11"/>
      <color rgb="FF000000"/>
      <name val="Calibri"/>
      <family val="2"/>
      <scheme val="minor"/>
    </font>
    <font>
      <b/>
      <u/>
      <sz val="11"/>
      <color theme="1"/>
      <name val="Calibri"/>
      <family val="2"/>
    </font>
    <font>
      <b/>
      <sz val="11"/>
      <color rgb="FF000000"/>
      <name val="Calibri"/>
      <family val="2"/>
      <scheme val="minor"/>
    </font>
    <font>
      <u/>
      <sz val="11"/>
      <color theme="0" tint="-0.499984740745262"/>
      <name val="Calibri"/>
      <family val="2"/>
    </font>
    <font>
      <b/>
      <sz val="14"/>
      <color theme="0" tint="-0.499984740745262"/>
      <name val="Calibri"/>
      <family val="2"/>
    </font>
    <font>
      <b/>
      <sz val="14"/>
      <color theme="0" tint="-0.249977111117893"/>
      <name val="Calibri"/>
      <family val="2"/>
    </font>
    <font>
      <u/>
      <sz val="11"/>
      <color theme="1"/>
      <name val="Calibri"/>
      <family val="2"/>
    </font>
  </fonts>
  <fills count="39">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gray0625"/>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CCCCFF"/>
        <bgColor indexed="64"/>
      </patternFill>
    </fill>
    <fill>
      <patternFill patternType="gray0625">
        <bgColor theme="7" tint="0.59999389629810485"/>
      </patternFill>
    </fill>
    <fill>
      <patternFill patternType="gray0625">
        <bgColor rgb="FFCCCCFF"/>
      </patternFill>
    </fill>
    <fill>
      <gradientFill degree="90">
        <stop position="0">
          <color theme="4" tint="0.80001220740379042"/>
        </stop>
        <stop position="1">
          <color theme="4"/>
        </stop>
      </gradientFill>
    </fill>
    <fill>
      <gradientFill degree="90">
        <stop position="0">
          <color theme="9" tint="0.80001220740379042"/>
        </stop>
        <stop position="1">
          <color theme="9" tint="0.40000610370189521"/>
        </stop>
      </gradientFill>
    </fill>
    <fill>
      <gradientFill degree="90">
        <stop position="0">
          <color theme="5" tint="0.80001220740379042"/>
        </stop>
        <stop position="1">
          <color theme="5" tint="0.40000610370189521"/>
        </stop>
      </gradientFill>
    </fill>
    <fill>
      <patternFill patternType="solid">
        <fgColor rgb="FFFF0000"/>
        <bgColor indexed="64"/>
      </patternFill>
    </fill>
    <fill>
      <patternFill patternType="solid">
        <fgColor rgb="FFCCFFFF"/>
        <bgColor indexed="64"/>
      </patternFill>
    </fill>
    <fill>
      <patternFill patternType="solid">
        <fgColor rgb="FFFFFF99"/>
        <bgColor indexed="64"/>
      </patternFill>
    </fill>
    <fill>
      <patternFill patternType="gray0625">
        <bgColor theme="3" tint="0.59999389629810485"/>
      </patternFill>
    </fill>
    <fill>
      <patternFill patternType="solid">
        <fgColor theme="3" tint="0.59999389629810485"/>
        <bgColor indexed="64"/>
      </patternFill>
    </fill>
    <fill>
      <patternFill patternType="gray0625">
        <bgColor theme="4" tint="0.59999389629810485"/>
      </patternFill>
    </fill>
    <fill>
      <patternFill patternType="solid">
        <fgColor theme="4" tint="0.59999389629810485"/>
        <bgColor indexed="64"/>
      </patternFill>
    </fill>
    <fill>
      <patternFill patternType="solid">
        <fgColor theme="2" tint="-9.9948118533890809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9" tint="-0.249977111117893"/>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bgColor indexed="64"/>
      </patternFill>
    </fill>
  </fills>
  <borders count="152">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slantDashDot">
        <color indexed="64"/>
      </left>
      <right style="thin">
        <color indexed="64"/>
      </right>
      <top style="thin">
        <color indexed="64"/>
      </top>
      <bottom style="medium">
        <color indexed="64"/>
      </bottom>
      <diagonal/>
    </border>
    <border>
      <left style="thin">
        <color indexed="64"/>
      </left>
      <right style="slantDashDot">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thin">
        <color indexed="64"/>
      </top>
      <bottom/>
      <diagonal/>
    </border>
    <border>
      <left/>
      <right/>
      <top/>
      <bottom style="medium">
        <color theme="1"/>
      </bottom>
      <diagonal/>
    </border>
    <border>
      <left style="medium">
        <color indexed="64"/>
      </left>
      <right/>
      <top/>
      <bottom style="medium">
        <color theme="1"/>
      </bottom>
      <diagonal/>
    </border>
    <border>
      <left style="medium">
        <color indexed="64"/>
      </left>
      <right style="medium">
        <color indexed="64"/>
      </right>
      <top style="medium">
        <color indexed="64"/>
      </top>
      <bottom style="medium">
        <color theme="1"/>
      </bottom>
      <diagonal/>
    </border>
    <border>
      <left style="medium">
        <color indexed="64"/>
      </left>
      <right style="medium">
        <color indexed="64"/>
      </right>
      <top/>
      <bottom style="medium">
        <color theme="1"/>
      </bottom>
      <diagonal/>
    </border>
    <border>
      <left style="medium">
        <color indexed="64"/>
      </left>
      <right style="slantDashDot">
        <color indexed="64"/>
      </right>
      <top style="medium">
        <color theme="1"/>
      </top>
      <bottom style="medium">
        <color theme="1"/>
      </bottom>
      <diagonal/>
    </border>
    <border>
      <left/>
      <right style="medium">
        <color indexed="64"/>
      </right>
      <top/>
      <bottom style="medium">
        <color theme="1"/>
      </bottom>
      <diagonal/>
    </border>
    <border>
      <left style="medium">
        <color indexed="64"/>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medium">
        <color indexed="64"/>
      </left>
      <right/>
      <top style="medium">
        <color theme="1"/>
      </top>
      <bottom style="thin">
        <color theme="1"/>
      </bottom>
      <diagonal/>
    </border>
    <border>
      <left style="thin">
        <color theme="1"/>
      </left>
      <right/>
      <top style="medium">
        <color theme="1"/>
      </top>
      <bottom style="thin">
        <color theme="1"/>
      </bottom>
      <diagonal/>
    </border>
    <border>
      <left/>
      <right/>
      <top style="medium">
        <color theme="1"/>
      </top>
      <bottom style="thin">
        <color theme="1"/>
      </bottom>
      <diagonal/>
    </border>
    <border>
      <left style="thin">
        <color theme="1"/>
      </left>
      <right style="thin">
        <color theme="1"/>
      </right>
      <top/>
      <bottom style="thin">
        <color theme="1"/>
      </bottom>
      <diagonal/>
    </border>
    <border>
      <left/>
      <right style="thin">
        <color theme="1"/>
      </right>
      <top/>
      <bottom style="thin">
        <color theme="1"/>
      </bottom>
      <diagonal/>
    </border>
    <border>
      <left style="thin">
        <color theme="1"/>
      </left>
      <right style="slantDashDot">
        <color indexed="64"/>
      </right>
      <top/>
      <bottom style="thin">
        <color theme="1"/>
      </bottom>
      <diagonal/>
    </border>
    <border>
      <left style="thin">
        <color theme="1"/>
      </left>
      <right style="slantDashDot">
        <color indexed="64"/>
      </right>
      <top style="medium">
        <color theme="1"/>
      </top>
      <bottom style="thin">
        <color theme="1"/>
      </bottom>
      <diagonal/>
    </border>
    <border>
      <left style="medium">
        <color indexed="64"/>
      </left>
      <right style="thin">
        <color indexed="64"/>
      </right>
      <top/>
      <bottom style="thin">
        <color theme="1"/>
      </bottom>
      <diagonal/>
    </border>
    <border>
      <left style="thin">
        <color indexed="64"/>
      </left>
      <right style="thin">
        <color indexed="64"/>
      </right>
      <top/>
      <bottom style="thin">
        <color theme="1"/>
      </bottom>
      <diagonal/>
    </border>
    <border>
      <left style="medium">
        <color indexed="64"/>
      </left>
      <right/>
      <top/>
      <bottom style="thin">
        <color theme="1"/>
      </bottom>
      <diagonal/>
    </border>
    <border>
      <left style="thin">
        <color indexed="64"/>
      </left>
      <right/>
      <top/>
      <bottom style="thin">
        <color theme="1"/>
      </bottom>
      <diagonal/>
    </border>
    <border>
      <left style="medium">
        <color indexed="64"/>
      </left>
      <right style="thin">
        <color indexed="64"/>
      </right>
      <top style="thin">
        <color theme="1"/>
      </top>
      <bottom style="thin">
        <color theme="1"/>
      </bottom>
      <diagonal/>
    </border>
    <border>
      <left/>
      <right style="thin">
        <color indexed="64"/>
      </right>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slantDashDot">
        <color indexed="64"/>
      </right>
      <top style="thin">
        <color theme="1"/>
      </top>
      <bottom style="thin">
        <color theme="1"/>
      </bottom>
      <diagonal/>
    </border>
    <border>
      <left style="medium">
        <color indexed="64"/>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indexed="64"/>
      </left>
      <right style="thin">
        <color indexed="64"/>
      </right>
      <top style="thin">
        <color theme="1"/>
      </top>
      <bottom style="medium">
        <color theme="1"/>
      </bottom>
      <diagonal/>
    </border>
    <border>
      <left/>
      <right style="thin">
        <color theme="1"/>
      </right>
      <top style="thin">
        <color theme="1"/>
      </top>
      <bottom style="medium">
        <color theme="1"/>
      </bottom>
      <diagonal/>
    </border>
    <border>
      <left style="medium">
        <color indexed="64"/>
      </left>
      <right style="thin">
        <color theme="1"/>
      </right>
      <top/>
      <bottom style="thin">
        <color theme="1"/>
      </bottom>
      <diagonal/>
    </border>
    <border>
      <left style="medium">
        <color indexed="64"/>
      </left>
      <right/>
      <top style="thin">
        <color theme="1"/>
      </top>
      <bottom style="medium">
        <color theme="1"/>
      </bottom>
      <diagonal/>
    </border>
    <border>
      <left style="thin">
        <color theme="1"/>
      </left>
      <right/>
      <top style="thin">
        <color theme="1"/>
      </top>
      <bottom style="medium">
        <color theme="1"/>
      </bottom>
      <diagonal/>
    </border>
    <border>
      <left style="thin">
        <color theme="1"/>
      </left>
      <right/>
      <top/>
      <bottom style="thin">
        <color theme="1"/>
      </bottom>
      <diagonal/>
    </border>
    <border>
      <left/>
      <right style="medium">
        <color theme="1"/>
      </right>
      <top/>
      <bottom/>
      <diagonal/>
    </border>
    <border>
      <left/>
      <right/>
      <top style="medium">
        <color theme="1"/>
      </top>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top style="thin">
        <color theme="1"/>
      </top>
      <bottom style="medium">
        <color indexed="64"/>
      </bottom>
      <diagonal/>
    </border>
    <border>
      <left style="medium">
        <color indexed="64"/>
      </left>
      <right style="medium">
        <color indexed="64"/>
      </right>
      <top/>
      <bottom style="thin">
        <color theme="1"/>
      </bottom>
      <diagonal/>
    </border>
    <border>
      <left/>
      <right/>
      <top style="thin">
        <color theme="1"/>
      </top>
      <bottom style="medium">
        <color theme="1"/>
      </bottom>
      <diagonal/>
    </border>
    <border>
      <left style="thin">
        <color indexed="64"/>
      </left>
      <right style="medium">
        <color indexed="64"/>
      </right>
      <top style="medium">
        <color theme="1"/>
      </top>
      <bottom style="medium">
        <color theme="1"/>
      </bottom>
      <diagonal/>
    </border>
    <border>
      <left/>
      <right style="thin">
        <color theme="1"/>
      </right>
      <top style="medium">
        <color theme="1"/>
      </top>
      <bottom style="thin">
        <color indexed="64"/>
      </bottom>
      <diagonal/>
    </border>
    <border>
      <left/>
      <right style="thin">
        <color theme="1"/>
      </right>
      <top style="thin">
        <color indexed="64"/>
      </top>
      <bottom style="thin">
        <color indexed="64"/>
      </bottom>
      <diagonal/>
    </border>
    <border>
      <left/>
      <right style="thin">
        <color theme="1"/>
      </right>
      <top/>
      <bottom style="medium">
        <color theme="1"/>
      </bottom>
      <diagonal/>
    </border>
    <border>
      <left/>
      <right style="thin">
        <color theme="1"/>
      </right>
      <top/>
      <bottom style="thin">
        <color indexed="64"/>
      </bottom>
      <diagonal/>
    </border>
    <border>
      <left/>
      <right style="thin">
        <color theme="1"/>
      </right>
      <top style="thin">
        <color indexed="64"/>
      </top>
      <bottom style="medium">
        <color theme="1"/>
      </bottom>
      <diagonal/>
    </border>
    <border>
      <left style="thin">
        <color theme="1"/>
      </left>
      <right style="thin">
        <color theme="1"/>
      </right>
      <top style="thin">
        <color indexed="64"/>
      </top>
      <bottom style="medium">
        <color indexed="64"/>
      </bottom>
      <diagonal/>
    </border>
    <border>
      <left style="medium">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medium">
        <color indexed="64"/>
      </right>
      <top style="thin">
        <color indexed="64"/>
      </top>
      <bottom style="thin">
        <color theme="1"/>
      </bottom>
      <diagonal/>
    </border>
    <border>
      <left style="medium">
        <color indexed="64"/>
      </left>
      <right/>
      <top style="thin">
        <color theme="1"/>
      </top>
      <bottom style="medium">
        <color indexed="64"/>
      </bottom>
      <diagonal/>
    </border>
    <border>
      <left style="thin">
        <color theme="1"/>
      </left>
      <right style="medium">
        <color indexed="64"/>
      </right>
      <top style="medium">
        <color theme="1"/>
      </top>
      <bottom style="thin">
        <color theme="1"/>
      </bottom>
      <diagonal/>
    </border>
    <border>
      <left style="thin">
        <color theme="1"/>
      </left>
      <right style="thin">
        <color indexed="64"/>
      </right>
      <top style="medium">
        <color theme="1"/>
      </top>
      <bottom style="thin">
        <color theme="1"/>
      </bottom>
      <diagonal/>
    </border>
    <border>
      <left/>
      <right style="thin">
        <color indexed="64"/>
      </right>
      <top style="medium">
        <color theme="1"/>
      </top>
      <bottom style="thin">
        <color theme="1"/>
      </bottom>
      <diagonal/>
    </border>
    <border>
      <left style="medium">
        <color indexed="64"/>
      </left>
      <right style="thin">
        <color indexed="64"/>
      </right>
      <top style="thin">
        <color theme="1"/>
      </top>
      <bottom style="medium">
        <color indexed="64"/>
      </bottom>
      <diagonal/>
    </border>
    <border>
      <left style="thin">
        <color indexed="64"/>
      </left>
      <right style="thin">
        <color indexed="64"/>
      </right>
      <top style="thin">
        <color theme="1"/>
      </top>
      <bottom style="medium">
        <color indexed="64"/>
      </bottom>
      <diagonal/>
    </border>
    <border>
      <left style="thin">
        <color indexed="64"/>
      </left>
      <right style="medium">
        <color indexed="64"/>
      </right>
      <top style="thin">
        <color theme="1"/>
      </top>
      <bottom style="medium">
        <color indexed="64"/>
      </bottom>
      <diagonal/>
    </border>
    <border>
      <left/>
      <right style="thin">
        <color indexed="64"/>
      </right>
      <top style="thin">
        <color theme="1"/>
      </top>
      <bottom style="medium">
        <color indexed="64"/>
      </bottom>
      <diagonal/>
    </border>
    <border>
      <left style="medium">
        <color indexed="64"/>
      </left>
      <right style="thin">
        <color indexed="64"/>
      </right>
      <top style="medium">
        <color theme="1"/>
      </top>
      <bottom style="thin">
        <color theme="1"/>
      </bottom>
      <diagonal/>
    </border>
    <border>
      <left style="thin">
        <color indexed="64"/>
      </left>
      <right style="medium">
        <color indexed="64"/>
      </right>
      <top/>
      <bottom style="thin">
        <color theme="1"/>
      </bottom>
      <diagonal/>
    </border>
    <border>
      <left style="thin">
        <color theme="1"/>
      </left>
      <right style="medium">
        <color indexed="64"/>
      </right>
      <top style="thin">
        <color theme="1"/>
      </top>
      <bottom style="medium">
        <color theme="1"/>
      </bottom>
      <diagonal/>
    </border>
    <border>
      <left style="thin">
        <color theme="1"/>
      </left>
      <right style="medium">
        <color indexed="64"/>
      </right>
      <top/>
      <bottom style="thin">
        <color theme="1"/>
      </bottom>
      <diagonal/>
    </border>
    <border>
      <left style="thin">
        <color theme="1"/>
      </left>
      <right style="medium">
        <color indexed="64"/>
      </right>
      <top style="thin">
        <color theme="1"/>
      </top>
      <bottom style="medium">
        <color indexed="64"/>
      </bottom>
      <diagonal/>
    </border>
    <border>
      <left style="thin">
        <color indexed="64"/>
      </left>
      <right style="thin">
        <color indexed="64"/>
      </right>
      <top style="medium">
        <color theme="1"/>
      </top>
      <bottom style="thin">
        <color theme="1"/>
      </bottom>
      <diagonal/>
    </border>
    <border>
      <left/>
      <right/>
      <top/>
      <bottom style="thin">
        <color theme="1"/>
      </bottom>
      <diagonal/>
    </border>
    <border>
      <left style="thin">
        <color indexed="64"/>
      </left>
      <right/>
      <top style="thin">
        <color theme="1"/>
      </top>
      <bottom style="thin">
        <color theme="1"/>
      </bottom>
      <diagonal/>
    </border>
    <border>
      <left style="thin">
        <color indexed="64"/>
      </left>
      <right style="medium">
        <color indexed="64"/>
      </right>
      <top style="thin">
        <color theme="1"/>
      </top>
      <bottom style="thin">
        <color theme="1"/>
      </bottom>
      <diagonal/>
    </border>
    <border>
      <left style="thin">
        <color indexed="64"/>
      </left>
      <right style="thin">
        <color indexed="64"/>
      </right>
      <top style="thin">
        <color theme="1"/>
      </top>
      <bottom style="medium">
        <color theme="1"/>
      </bottom>
      <diagonal/>
    </border>
    <border>
      <left style="thin">
        <color indexed="64"/>
      </left>
      <right style="medium">
        <color indexed="64"/>
      </right>
      <top style="thin">
        <color theme="1"/>
      </top>
      <bottom style="medium">
        <color theme="1"/>
      </bottom>
      <diagonal/>
    </border>
    <border>
      <left style="thin">
        <color indexed="64"/>
      </left>
      <right style="medium">
        <color indexed="64"/>
      </right>
      <top style="medium">
        <color theme="1"/>
      </top>
      <bottom style="thin">
        <color theme="1"/>
      </bottom>
      <diagonal/>
    </border>
    <border>
      <left/>
      <right style="medium">
        <color theme="1"/>
      </right>
      <top/>
      <bottom style="medium">
        <color theme="1"/>
      </bottom>
      <diagonal/>
    </border>
    <border>
      <left/>
      <right/>
      <top style="thin">
        <color theme="1"/>
      </top>
      <bottom style="medium">
        <color indexed="64"/>
      </bottom>
      <diagonal/>
    </border>
    <border>
      <left style="medium">
        <color indexed="64"/>
      </left>
      <right style="thin">
        <color theme="1"/>
      </right>
      <top style="medium">
        <color indexed="64"/>
      </top>
      <bottom style="thin">
        <color theme="1"/>
      </bottom>
      <diagonal/>
    </border>
    <border>
      <left style="slantDashDot">
        <color indexed="64"/>
      </left>
      <right style="thin">
        <color indexed="64"/>
      </right>
      <top style="medium">
        <color theme="1"/>
      </top>
      <bottom style="thin">
        <color indexed="64"/>
      </bottom>
      <diagonal/>
    </border>
    <border>
      <left style="thin">
        <color indexed="64"/>
      </left>
      <right style="slantDashDot">
        <color indexed="64"/>
      </right>
      <top style="medium">
        <color theme="1"/>
      </top>
      <bottom style="thin">
        <color indexed="64"/>
      </bottom>
      <diagonal/>
    </border>
    <border>
      <left style="thin">
        <color theme="1"/>
      </left>
      <right style="slantDashDot">
        <color indexed="64"/>
      </right>
      <top style="thin">
        <color theme="1"/>
      </top>
      <bottom style="medium">
        <color theme="1"/>
      </bottom>
      <diagonal/>
    </border>
    <border>
      <left style="medium">
        <color indexed="64"/>
      </left>
      <right style="medium">
        <color indexed="64"/>
      </right>
      <top style="thin">
        <color theme="1"/>
      </top>
      <bottom style="medium">
        <color theme="1"/>
      </bottom>
      <diagonal/>
    </border>
    <border>
      <left style="medium">
        <color indexed="64"/>
      </left>
      <right style="medium">
        <color indexed="64"/>
      </right>
      <top style="thin">
        <color theme="1"/>
      </top>
      <bottom style="medium">
        <color indexed="64"/>
      </bottom>
      <diagonal/>
    </border>
    <border>
      <left style="thin">
        <color indexed="64"/>
      </left>
      <right style="thin">
        <color indexed="64"/>
      </right>
      <top style="thin">
        <color theme="1"/>
      </top>
      <bottom style="thin">
        <color theme="1"/>
      </bottom>
      <diagonal/>
    </border>
    <border>
      <left style="medium">
        <color indexed="64"/>
      </left>
      <right style="medium">
        <color indexed="64"/>
      </right>
      <top style="medium">
        <color theme="1"/>
      </top>
      <bottom/>
      <diagonal/>
    </border>
    <border>
      <left style="medium">
        <color indexed="64"/>
      </left>
      <right/>
      <top style="medium">
        <color theme="1"/>
      </top>
      <bottom/>
      <diagonal/>
    </border>
    <border>
      <left/>
      <right style="thin">
        <color theme="1"/>
      </right>
      <top/>
      <bottom/>
      <diagonal/>
    </border>
    <border>
      <left style="medium">
        <color theme="1"/>
      </left>
      <right style="medium">
        <color indexed="64"/>
      </right>
      <top/>
      <bottom/>
      <diagonal/>
    </border>
    <border>
      <left style="medium">
        <color theme="1"/>
      </left>
      <right style="medium">
        <color indexed="64"/>
      </right>
      <top/>
      <bottom style="double">
        <color indexed="64"/>
      </bottom>
      <diagonal/>
    </border>
  </borders>
  <cellStyleXfs count="5">
    <xf numFmtId="0" fontId="0" fillId="0" borderId="0"/>
    <xf numFmtId="43" fontId="10" fillId="0" borderId="0" applyFont="0" applyFill="0" applyBorder="0" applyAlignment="0" applyProtection="0"/>
    <xf numFmtId="43" fontId="31" fillId="0" borderId="0" applyFont="0" applyFill="0" applyBorder="0" applyAlignment="0" applyProtection="0"/>
    <xf numFmtId="9" fontId="15" fillId="0" borderId="0" applyFont="0" applyFill="0" applyBorder="0" applyAlignment="0" applyProtection="0"/>
    <xf numFmtId="9" fontId="31" fillId="0" borderId="0" applyFont="0" applyFill="0" applyBorder="0" applyAlignment="0" applyProtection="0"/>
  </cellStyleXfs>
  <cellXfs count="1065">
    <xf numFmtId="0" fontId="0" fillId="0" borderId="0" xfId="0"/>
    <xf numFmtId="0" fontId="2" fillId="0" borderId="0" xfId="0" applyFont="1" applyAlignment="1">
      <alignment horizontal="left"/>
    </xf>
    <xf numFmtId="0" fontId="6"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7" fillId="0" borderId="0" xfId="0" applyFont="1" applyBorder="1"/>
    <xf numFmtId="10" fontId="7" fillId="0" borderId="0" xfId="0" applyNumberFormat="1" applyFont="1" applyBorder="1"/>
    <xf numFmtId="10" fontId="7" fillId="0" borderId="0" xfId="0" applyNumberFormat="1" applyFont="1" applyFill="1" applyBorder="1"/>
    <xf numFmtId="0" fontId="7" fillId="0" borderId="0" xfId="0" applyFont="1" applyFill="1" applyBorder="1"/>
    <xf numFmtId="10" fontId="7" fillId="0" borderId="1" xfId="0" applyNumberFormat="1" applyFont="1" applyFill="1" applyBorder="1"/>
    <xf numFmtId="0" fontId="5" fillId="0" borderId="0" xfId="0" applyFont="1" applyFill="1" applyBorder="1" applyAlignment="1">
      <alignment horizontal="center"/>
    </xf>
    <xf numFmtId="0" fontId="4" fillId="0" borderId="0" xfId="0" applyFont="1" applyFill="1" applyBorder="1" applyAlignment="1">
      <alignment horizontal="center"/>
    </xf>
    <xf numFmtId="0" fontId="3" fillId="0" borderId="2" xfId="0" applyFont="1" applyBorder="1"/>
    <xf numFmtId="0" fontId="3" fillId="0" borderId="3" xfId="0" applyFont="1" applyBorder="1"/>
    <xf numFmtId="0" fontId="3" fillId="0" borderId="3" xfId="0" applyFont="1" applyFill="1" applyBorder="1"/>
    <xf numFmtId="0" fontId="3" fillId="0" borderId="4" xfId="0" applyFont="1" applyFill="1" applyBorder="1"/>
    <xf numFmtId="7" fontId="3" fillId="2" borderId="1" xfId="0" applyNumberFormat="1" applyFont="1" applyFill="1" applyBorder="1"/>
    <xf numFmtId="2" fontId="7" fillId="0" borderId="0" xfId="0" applyNumberFormat="1" applyFont="1" applyBorder="1"/>
    <xf numFmtId="0" fontId="14" fillId="0" borderId="0" xfId="0" applyFont="1" applyBorder="1"/>
    <xf numFmtId="165" fontId="11"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top" wrapText="1"/>
    </xf>
    <xf numFmtId="166" fontId="7" fillId="0" borderId="0" xfId="0" applyNumberFormat="1" applyFont="1" applyFill="1" applyBorder="1"/>
    <xf numFmtId="10" fontId="7" fillId="0" borderId="0" xfId="0" applyNumberFormat="1" applyFont="1" applyFill="1" applyBorder="1" applyAlignment="1">
      <alignment horizontal="center"/>
    </xf>
    <xf numFmtId="0" fontId="7" fillId="0" borderId="0" xfId="0" applyFont="1" applyFill="1" applyBorder="1" applyAlignment="1">
      <alignment horizontal="center"/>
    </xf>
    <xf numFmtId="7" fontId="7" fillId="0" borderId="5" xfId="0" applyNumberFormat="1" applyFont="1" applyFill="1" applyBorder="1"/>
    <xf numFmtId="7" fontId="7" fillId="0" borderId="6" xfId="0" applyNumberFormat="1" applyFont="1" applyFill="1" applyBorder="1"/>
    <xf numFmtId="0" fontId="0" fillId="0" borderId="0" xfId="0" applyAlignment="1">
      <alignment vertical="center" wrapText="1"/>
    </xf>
    <xf numFmtId="10" fontId="7" fillId="0" borderId="5" xfId="0" applyNumberFormat="1" applyFont="1" applyFill="1" applyBorder="1"/>
    <xf numFmtId="0" fontId="33" fillId="0" borderId="0" xfId="0" applyFont="1" applyAlignment="1">
      <alignment horizontal="center"/>
    </xf>
    <xf numFmtId="170" fontId="7" fillId="0" borderId="0" xfId="0" applyNumberFormat="1" applyFont="1" applyBorder="1"/>
    <xf numFmtId="4" fontId="34" fillId="0" borderId="0" xfId="0" applyNumberFormat="1" applyFont="1" applyBorder="1"/>
    <xf numFmtId="167" fontId="34" fillId="0" borderId="0" xfId="0" applyNumberFormat="1" applyFont="1" applyBorder="1"/>
    <xf numFmtId="0" fontId="34" fillId="0" borderId="0" xfId="0" applyFont="1" applyBorder="1"/>
    <xf numFmtId="0" fontId="34" fillId="0" borderId="0" xfId="0" applyFont="1" applyFill="1" applyBorder="1"/>
    <xf numFmtId="0" fontId="35" fillId="0" borderId="0" xfId="0" applyFont="1" applyFill="1" applyBorder="1"/>
    <xf numFmtId="0" fontId="7" fillId="0" borderId="0" xfId="0" applyFont="1" applyFill="1" applyBorder="1" applyAlignment="1">
      <alignment horizontal="left"/>
    </xf>
    <xf numFmtId="7" fontId="36" fillId="3" borderId="7" xfId="0" applyNumberFormat="1" applyFont="1" applyFill="1" applyBorder="1"/>
    <xf numFmtId="167" fontId="37" fillId="0" borderId="0" xfId="0" applyNumberFormat="1" applyFont="1" applyBorder="1"/>
    <xf numFmtId="0" fontId="38" fillId="0" borderId="0" xfId="0" applyFont="1" applyAlignment="1">
      <alignment horizontal="justify" vertical="center"/>
    </xf>
    <xf numFmtId="0" fontId="39" fillId="0" borderId="2" xfId="0" applyFont="1" applyFill="1" applyBorder="1" applyAlignment="1">
      <alignment horizontal="left" wrapText="1" indent="1"/>
    </xf>
    <xf numFmtId="0" fontId="39" fillId="0" borderId="3" xfId="0" applyFont="1" applyFill="1" applyBorder="1" applyAlignment="1">
      <alignment horizontal="left" indent="1"/>
    </xf>
    <xf numFmtId="0" fontId="36" fillId="0" borderId="0" xfId="0" applyFont="1" applyBorder="1" applyAlignment="1">
      <alignment horizontal="left"/>
    </xf>
    <xf numFmtId="0" fontId="37" fillId="0" borderId="0" xfId="0" applyFont="1" applyBorder="1"/>
    <xf numFmtId="7" fontId="40" fillId="0" borderId="0" xfId="0" applyNumberFormat="1" applyFont="1" applyFill="1" applyBorder="1"/>
    <xf numFmtId="0" fontId="41" fillId="0" borderId="0" xfId="0" applyFont="1"/>
    <xf numFmtId="0" fontId="32" fillId="0" borderId="0" xfId="0" applyFont="1" applyBorder="1"/>
    <xf numFmtId="0" fontId="42" fillId="0" borderId="0" xfId="0" applyFont="1"/>
    <xf numFmtId="0" fontId="0" fillId="0" borderId="68" xfId="0" applyBorder="1"/>
    <xf numFmtId="0" fontId="0" fillId="0" borderId="8" xfId="0" applyBorder="1"/>
    <xf numFmtId="0" fontId="32" fillId="5" borderId="69" xfId="0" applyFont="1" applyFill="1" applyBorder="1" applyAlignment="1">
      <alignment vertical="center" wrapText="1"/>
    </xf>
    <xf numFmtId="0" fontId="32" fillId="5" borderId="70" xfId="0" applyFont="1" applyFill="1" applyBorder="1" applyAlignment="1">
      <alignment vertical="center" wrapText="1"/>
    </xf>
    <xf numFmtId="0" fontId="43" fillId="5" borderId="70" xfId="0" applyFont="1" applyFill="1" applyBorder="1" applyAlignment="1">
      <alignment vertical="center" wrapText="1"/>
    </xf>
    <xf numFmtId="0" fontId="32" fillId="6" borderId="70" xfId="0" applyFont="1" applyFill="1" applyBorder="1" applyAlignment="1">
      <alignment vertical="center" wrapText="1"/>
    </xf>
    <xf numFmtId="0" fontId="43" fillId="6" borderId="70" xfId="0" applyFont="1" applyFill="1" applyBorder="1" applyAlignment="1">
      <alignment vertical="center" wrapText="1"/>
    </xf>
    <xf numFmtId="0" fontId="32" fillId="5" borderId="68" xfId="0" applyFont="1" applyFill="1" applyBorder="1" applyAlignment="1">
      <alignment vertical="center" wrapText="1"/>
    </xf>
    <xf numFmtId="0" fontId="32" fillId="5" borderId="9" xfId="0" applyFont="1" applyFill="1" applyBorder="1" applyAlignment="1">
      <alignment vertical="center" wrapText="1"/>
    </xf>
    <xf numFmtId="0" fontId="32" fillId="5" borderId="71" xfId="0" applyFont="1" applyFill="1" applyBorder="1" applyAlignment="1">
      <alignment horizontal="right" vertical="center" wrapText="1"/>
    </xf>
    <xf numFmtId="0" fontId="32" fillId="5" borderId="72" xfId="0" applyFont="1" applyFill="1" applyBorder="1" applyAlignment="1">
      <alignment vertical="center" wrapText="1"/>
    </xf>
    <xf numFmtId="0" fontId="32" fillId="5" borderId="73" xfId="0" applyFont="1" applyFill="1" applyBorder="1" applyAlignment="1">
      <alignment vertical="center" wrapText="1"/>
    </xf>
    <xf numFmtId="164" fontId="44" fillId="0" borderId="10" xfId="4" applyNumberFormat="1" applyFont="1" applyBorder="1" applyAlignment="1">
      <alignment vertical="center" wrapText="1"/>
    </xf>
    <xf numFmtId="164" fontId="44" fillId="0" borderId="11" xfId="4" applyNumberFormat="1" applyFont="1" applyBorder="1" applyAlignment="1">
      <alignment vertical="center" wrapText="1"/>
    </xf>
    <xf numFmtId="164" fontId="44" fillId="0" borderId="12" xfId="4" applyNumberFormat="1" applyFont="1" applyBorder="1" applyAlignment="1">
      <alignment vertical="center" wrapText="1"/>
    </xf>
    <xf numFmtId="164" fontId="44" fillId="5" borderId="13" xfId="4" applyNumberFormat="1" applyFont="1" applyFill="1" applyBorder="1" applyAlignment="1">
      <alignment vertical="center" wrapText="1"/>
    </xf>
    <xf numFmtId="164" fontId="44" fillId="7" borderId="14" xfId="4" applyNumberFormat="1" applyFont="1" applyFill="1" applyBorder="1" applyAlignment="1">
      <alignment vertical="center" wrapText="1"/>
    </xf>
    <xf numFmtId="164" fontId="44" fillId="6" borderId="11" xfId="4" applyNumberFormat="1" applyFont="1" applyFill="1" applyBorder="1" applyAlignment="1">
      <alignment vertical="center" wrapText="1"/>
    </xf>
    <xf numFmtId="164" fontId="44" fillId="8" borderId="14" xfId="4" applyNumberFormat="1" applyFont="1" applyFill="1" applyBorder="1" applyAlignment="1">
      <alignment vertical="center" wrapText="1"/>
    </xf>
    <xf numFmtId="0" fontId="0" fillId="0" borderId="0" xfId="0" applyAlignment="1">
      <alignment vertical="center"/>
    </xf>
    <xf numFmtId="0" fontId="32" fillId="9" borderId="74" xfId="0" applyFont="1" applyFill="1" applyBorder="1" applyAlignment="1">
      <alignment vertical="center"/>
    </xf>
    <xf numFmtId="0" fontId="45" fillId="9" borderId="75" xfId="0" applyFont="1" applyFill="1" applyBorder="1" applyAlignment="1">
      <alignment vertical="center"/>
    </xf>
    <xf numFmtId="0" fontId="46" fillId="9" borderId="76" xfId="0" applyFont="1" applyFill="1" applyBorder="1" applyAlignment="1">
      <alignment vertical="center"/>
    </xf>
    <xf numFmtId="0" fontId="45" fillId="9" borderId="77" xfId="0" applyFont="1" applyFill="1" applyBorder="1" applyAlignment="1">
      <alignment vertical="center"/>
    </xf>
    <xf numFmtId="0" fontId="0" fillId="9" borderId="78" xfId="0" applyFill="1" applyBorder="1" applyAlignment="1">
      <alignment vertical="center" wrapText="1"/>
    </xf>
    <xf numFmtId="0" fontId="0" fillId="9" borderId="79" xfId="0" applyFill="1" applyBorder="1" applyAlignment="1">
      <alignment horizontal="right" vertical="center" wrapText="1"/>
    </xf>
    <xf numFmtId="10" fontId="0" fillId="9" borderId="75" xfId="0" applyNumberFormat="1" applyFill="1" applyBorder="1" applyAlignment="1">
      <alignment vertical="center"/>
    </xf>
    <xf numFmtId="164" fontId="31" fillId="9" borderId="75" xfId="4" applyNumberFormat="1" applyFont="1" applyFill="1" applyBorder="1" applyAlignment="1">
      <alignment vertical="center"/>
    </xf>
    <xf numFmtId="168" fontId="31" fillId="9" borderId="75" xfId="4" applyNumberFormat="1" applyFont="1" applyFill="1" applyBorder="1" applyAlignment="1">
      <alignment vertical="center"/>
    </xf>
    <xf numFmtId="168" fontId="0" fillId="9" borderId="75" xfId="0" applyNumberFormat="1" applyFill="1" applyBorder="1" applyAlignment="1">
      <alignment vertical="center" wrapText="1"/>
    </xf>
    <xf numFmtId="0" fontId="0" fillId="9" borderId="75" xfId="0" applyFill="1" applyBorder="1" applyAlignment="1">
      <alignment vertical="center"/>
    </xf>
    <xf numFmtId="0" fontId="0" fillId="9" borderId="79" xfId="0" applyFill="1" applyBorder="1" applyAlignment="1">
      <alignment vertical="center"/>
    </xf>
    <xf numFmtId="0" fontId="0" fillId="9" borderId="79" xfId="0" applyFill="1" applyBorder="1" applyAlignment="1">
      <alignment vertical="center" wrapText="1"/>
    </xf>
    <xf numFmtId="171" fontId="0" fillId="9" borderId="79" xfId="0" applyNumberFormat="1" applyFill="1" applyBorder="1" applyAlignment="1">
      <alignment vertical="center"/>
    </xf>
    <xf numFmtId="10" fontId="0" fillId="9" borderId="79" xfId="0" applyNumberFormat="1" applyFill="1" applyBorder="1" applyAlignment="1">
      <alignment vertical="center" wrapText="1"/>
    </xf>
    <xf numFmtId="172" fontId="45" fillId="9" borderId="80" xfId="0" applyNumberFormat="1" applyFont="1" applyFill="1" applyBorder="1" applyAlignment="1">
      <alignment vertical="center" wrapText="1"/>
    </xf>
    <xf numFmtId="172" fontId="45" fillId="9" borderId="79" xfId="0" applyNumberFormat="1" applyFont="1" applyFill="1" applyBorder="1" applyAlignment="1">
      <alignment vertical="center" wrapText="1"/>
    </xf>
    <xf numFmtId="172" fontId="32" fillId="9" borderId="81" xfId="0" applyNumberFormat="1" applyFont="1" applyFill="1" applyBorder="1" applyAlignment="1">
      <alignment vertical="center" wrapText="1"/>
    </xf>
    <xf numFmtId="172" fontId="0" fillId="9" borderId="80" xfId="0" applyNumberFormat="1" applyFill="1" applyBorder="1" applyAlignment="1">
      <alignment vertical="center" wrapText="1"/>
    </xf>
    <xf numFmtId="172" fontId="0" fillId="9" borderId="82" xfId="0" applyNumberFormat="1" applyFill="1" applyBorder="1" applyAlignment="1">
      <alignment vertical="center" wrapText="1"/>
    </xf>
    <xf numFmtId="172" fontId="0" fillId="9" borderId="81" xfId="0" applyNumberFormat="1" applyFill="1" applyBorder="1" applyAlignment="1">
      <alignment vertical="center" wrapText="1"/>
    </xf>
    <xf numFmtId="10" fontId="0" fillId="9" borderId="80" xfId="0" applyNumberFormat="1" applyFill="1" applyBorder="1" applyAlignment="1">
      <alignment vertical="center" wrapText="1"/>
    </xf>
    <xf numFmtId="10" fontId="31" fillId="9" borderId="79" xfId="4" applyNumberFormat="1" applyFont="1" applyFill="1" applyBorder="1" applyAlignment="1">
      <alignment vertical="center" wrapText="1"/>
    </xf>
    <xf numFmtId="0" fontId="32" fillId="10" borderId="83" xfId="0" applyFont="1" applyFill="1" applyBorder="1" applyAlignment="1">
      <alignment vertical="center"/>
    </xf>
    <xf numFmtId="0" fontId="45" fillId="10" borderId="84" xfId="0" applyFont="1" applyFill="1" applyBorder="1" applyAlignment="1">
      <alignment vertical="center"/>
    </xf>
    <xf numFmtId="0" fontId="46" fillId="10" borderId="85" xfId="0" applyFont="1" applyFill="1" applyBorder="1" applyAlignment="1">
      <alignment vertical="center"/>
    </xf>
    <xf numFmtId="0" fontId="45" fillId="10" borderId="86" xfId="0" applyFont="1" applyFill="1" applyBorder="1" applyAlignment="1">
      <alignment vertical="center"/>
    </xf>
    <xf numFmtId="0" fontId="0" fillId="10" borderId="87" xfId="0" applyFill="1" applyBorder="1" applyAlignment="1">
      <alignment vertical="center" wrapText="1"/>
    </xf>
    <xf numFmtId="0" fontId="0" fillId="10" borderId="88" xfId="0" applyFill="1" applyBorder="1" applyAlignment="1">
      <alignment horizontal="right" vertical="center" wrapText="1"/>
    </xf>
    <xf numFmtId="10" fontId="0" fillId="10" borderId="84" xfId="0" applyNumberFormat="1" applyFill="1" applyBorder="1" applyAlignment="1">
      <alignment vertical="center"/>
    </xf>
    <xf numFmtId="164" fontId="31" fillId="10" borderId="84" xfId="4" applyNumberFormat="1" applyFont="1" applyFill="1" applyBorder="1" applyAlignment="1">
      <alignment vertical="center"/>
    </xf>
    <xf numFmtId="168" fontId="31" fillId="10" borderId="84" xfId="4" applyNumberFormat="1" applyFont="1" applyFill="1" applyBorder="1" applyAlignment="1">
      <alignment vertical="center"/>
    </xf>
    <xf numFmtId="10" fontId="31" fillId="10" borderId="84" xfId="4" applyNumberFormat="1" applyFont="1" applyFill="1" applyBorder="1" applyAlignment="1">
      <alignment vertical="center"/>
    </xf>
    <xf numFmtId="168" fontId="0" fillId="10" borderId="84" xfId="0" applyNumberFormat="1" applyFill="1" applyBorder="1" applyAlignment="1">
      <alignment vertical="center" wrapText="1"/>
    </xf>
    <xf numFmtId="0" fontId="0" fillId="10" borderId="84" xfId="0" applyFill="1" applyBorder="1" applyAlignment="1">
      <alignment vertical="center"/>
    </xf>
    <xf numFmtId="0" fontId="0" fillId="10" borderId="89" xfId="0" applyFill="1" applyBorder="1" applyAlignment="1">
      <alignment vertical="center"/>
    </xf>
    <xf numFmtId="0" fontId="0" fillId="10" borderId="89" xfId="0" applyFill="1" applyBorder="1" applyAlignment="1">
      <alignment vertical="center" wrapText="1"/>
    </xf>
    <xf numFmtId="173" fontId="31" fillId="10" borderId="89" xfId="2" applyNumberFormat="1" applyFont="1" applyFill="1" applyBorder="1" applyAlignment="1">
      <alignment vertical="center"/>
    </xf>
    <xf numFmtId="10" fontId="0" fillId="10" borderId="89" xfId="0" applyNumberFormat="1" applyFill="1" applyBorder="1" applyAlignment="1">
      <alignment vertical="center" wrapText="1"/>
    </xf>
    <xf numFmtId="172" fontId="45" fillId="10" borderId="90" xfId="0" applyNumberFormat="1" applyFont="1" applyFill="1" applyBorder="1" applyAlignment="1">
      <alignment vertical="center" wrapText="1"/>
    </xf>
    <xf numFmtId="172" fontId="45" fillId="10" borderId="89" xfId="0" applyNumberFormat="1" applyFont="1" applyFill="1" applyBorder="1" applyAlignment="1">
      <alignment vertical="center" wrapText="1"/>
    </xf>
    <xf numFmtId="172" fontId="32" fillId="10" borderId="91" xfId="0" applyNumberFormat="1" applyFont="1" applyFill="1" applyBorder="1" applyAlignment="1">
      <alignment vertical="center" wrapText="1"/>
    </xf>
    <xf numFmtId="172" fontId="0" fillId="10" borderId="90" xfId="0" applyNumberFormat="1" applyFill="1" applyBorder="1" applyAlignment="1">
      <alignment vertical="center" wrapText="1"/>
    </xf>
    <xf numFmtId="172" fontId="0" fillId="10" borderId="91" xfId="0" applyNumberFormat="1" applyFill="1" applyBorder="1" applyAlignment="1">
      <alignment vertical="center" wrapText="1"/>
    </xf>
    <xf numFmtId="10" fontId="0" fillId="10" borderId="90" xfId="0" applyNumberFormat="1" applyFill="1" applyBorder="1" applyAlignment="1">
      <alignment vertical="center" wrapText="1"/>
    </xf>
    <xf numFmtId="10" fontId="31" fillId="10" borderId="89" xfId="4" applyNumberFormat="1" applyFont="1" applyFill="1" applyBorder="1" applyAlignment="1">
      <alignment vertical="center" wrapText="1"/>
    </xf>
    <xf numFmtId="0" fontId="32" fillId="9" borderId="83" xfId="0" applyFont="1" applyFill="1" applyBorder="1" applyAlignment="1">
      <alignment vertical="center"/>
    </xf>
    <xf numFmtId="0" fontId="45" fillId="9" borderId="84" xfId="0" applyFont="1" applyFill="1" applyBorder="1"/>
    <xf numFmtId="0" fontId="46" fillId="9" borderId="85" xfId="0" applyFont="1" applyFill="1" applyBorder="1"/>
    <xf numFmtId="0" fontId="45" fillId="9" borderId="86" xfId="0" applyFont="1" applyFill="1" applyBorder="1"/>
    <xf numFmtId="0" fontId="0" fillId="9" borderId="83" xfId="0" applyFill="1" applyBorder="1" applyAlignment="1">
      <alignment vertical="center" wrapText="1"/>
    </xf>
    <xf numFmtId="0" fontId="0" fillId="9" borderId="88" xfId="0" applyFill="1" applyBorder="1" applyAlignment="1">
      <alignment horizontal="right" vertical="center" wrapText="1"/>
    </xf>
    <xf numFmtId="10" fontId="0" fillId="9" borderId="84" xfId="0" applyNumberFormat="1" applyFill="1" applyBorder="1"/>
    <xf numFmtId="164" fontId="31" fillId="9" borderId="84" xfId="4" applyNumberFormat="1" applyFont="1" applyFill="1" applyBorder="1"/>
    <xf numFmtId="168" fontId="31" fillId="9" borderId="84" xfId="4" applyNumberFormat="1" applyFont="1" applyFill="1" applyBorder="1"/>
    <xf numFmtId="10" fontId="31" fillId="9" borderId="84" xfId="4" applyNumberFormat="1" applyFont="1" applyFill="1" applyBorder="1"/>
    <xf numFmtId="168" fontId="0" fillId="9" borderId="84" xfId="0" applyNumberFormat="1" applyFill="1" applyBorder="1" applyAlignment="1">
      <alignment wrapText="1"/>
    </xf>
    <xf numFmtId="0" fontId="0" fillId="9" borderId="84" xfId="0" applyFill="1" applyBorder="1"/>
    <xf numFmtId="0" fontId="0" fillId="9" borderId="89" xfId="0" applyFill="1" applyBorder="1" applyAlignment="1">
      <alignment vertical="center"/>
    </xf>
    <xf numFmtId="0" fontId="0" fillId="9" borderId="89" xfId="0" applyFill="1" applyBorder="1" applyAlignment="1">
      <alignment vertical="center" wrapText="1"/>
    </xf>
    <xf numFmtId="0" fontId="0" fillId="9" borderId="89" xfId="0" applyFill="1" applyBorder="1"/>
    <xf numFmtId="173" fontId="31" fillId="9" borderId="89" xfId="2" applyNumberFormat="1" applyFont="1" applyFill="1" applyBorder="1"/>
    <xf numFmtId="0" fontId="45" fillId="10" borderId="84" xfId="0" applyFont="1" applyFill="1" applyBorder="1"/>
    <xf numFmtId="0" fontId="46" fillId="10" borderId="85" xfId="0" applyFont="1" applyFill="1" applyBorder="1"/>
    <xf numFmtId="0" fontId="45" fillId="10" borderId="86" xfId="0" applyFont="1" applyFill="1" applyBorder="1"/>
    <xf numFmtId="0" fontId="0" fillId="10" borderId="83" xfId="0" applyFill="1" applyBorder="1" applyAlignment="1">
      <alignment vertical="center" wrapText="1"/>
    </xf>
    <xf numFmtId="10" fontId="0" fillId="10" borderId="84" xfId="0" applyNumberFormat="1" applyFill="1" applyBorder="1"/>
    <xf numFmtId="164" fontId="31" fillId="10" borderId="84" xfId="4" applyNumberFormat="1" applyFont="1" applyFill="1" applyBorder="1"/>
    <xf numFmtId="168" fontId="31" fillId="10" borderId="84" xfId="4" applyNumberFormat="1" applyFont="1" applyFill="1" applyBorder="1"/>
    <xf numFmtId="10" fontId="31" fillId="10" borderId="84" xfId="4" applyNumberFormat="1" applyFont="1" applyFill="1" applyBorder="1"/>
    <xf numFmtId="168" fontId="0" fillId="10" borderId="84" xfId="0" applyNumberFormat="1" applyFill="1" applyBorder="1" applyAlignment="1">
      <alignment wrapText="1"/>
    </xf>
    <xf numFmtId="0" fontId="0" fillId="10" borderId="84" xfId="0" applyFill="1" applyBorder="1"/>
    <xf numFmtId="0" fontId="0" fillId="10" borderId="89" xfId="0" applyFill="1" applyBorder="1"/>
    <xf numFmtId="173" fontId="31" fillId="10" borderId="89" xfId="2" applyNumberFormat="1" applyFont="1" applyFill="1" applyBorder="1"/>
    <xf numFmtId="0" fontId="32" fillId="10" borderId="92" xfId="0" applyFont="1" applyFill="1" applyBorder="1" applyAlignment="1">
      <alignment vertical="center"/>
    </xf>
    <xf numFmtId="0" fontId="45" fillId="10" borderId="93" xfId="0" applyFont="1" applyFill="1" applyBorder="1"/>
    <xf numFmtId="0" fontId="46" fillId="10" borderId="92" xfId="0" applyFont="1" applyFill="1" applyBorder="1"/>
    <xf numFmtId="0" fontId="0" fillId="10" borderId="94" xfId="0" applyFill="1" applyBorder="1" applyAlignment="1">
      <alignment vertical="center" wrapText="1"/>
    </xf>
    <xf numFmtId="0" fontId="0" fillId="10" borderId="95" xfId="0" applyFill="1" applyBorder="1" applyAlignment="1">
      <alignment horizontal="right" vertical="center" wrapText="1"/>
    </xf>
    <xf numFmtId="0" fontId="0" fillId="10" borderId="93" xfId="0" applyFill="1" applyBorder="1" applyAlignment="1">
      <alignment horizontal="right" vertical="center" wrapText="1"/>
    </xf>
    <xf numFmtId="10" fontId="0" fillId="10" borderId="93" xfId="0" applyNumberFormat="1" applyFill="1" applyBorder="1"/>
    <xf numFmtId="164" fontId="31" fillId="10" borderId="93" xfId="4" applyNumberFormat="1" applyFont="1" applyFill="1" applyBorder="1"/>
    <xf numFmtId="168" fontId="31" fillId="10" borderId="93" xfId="4" applyNumberFormat="1" applyFont="1" applyFill="1" applyBorder="1"/>
    <xf numFmtId="10" fontId="31" fillId="10" borderId="93" xfId="4" applyNumberFormat="1" applyFont="1" applyFill="1" applyBorder="1"/>
    <xf numFmtId="168" fontId="0" fillId="10" borderId="93" xfId="0" applyNumberFormat="1" applyFill="1" applyBorder="1" applyAlignment="1">
      <alignment wrapText="1"/>
    </xf>
    <xf numFmtId="0" fontId="0" fillId="10" borderId="93" xfId="0" applyFill="1" applyBorder="1"/>
    <xf numFmtId="0" fontId="0" fillId="10" borderId="93" xfId="0" applyFill="1" applyBorder="1" applyAlignment="1">
      <alignment vertical="center"/>
    </xf>
    <xf numFmtId="0" fontId="0" fillId="10" borderId="93" xfId="0" applyFill="1" applyBorder="1" applyAlignment="1">
      <alignment vertical="center" wrapText="1"/>
    </xf>
    <xf numFmtId="173" fontId="31" fillId="10" borderId="93" xfId="2" applyNumberFormat="1" applyFont="1" applyFill="1" applyBorder="1"/>
    <xf numFmtId="0" fontId="32" fillId="11" borderId="96" xfId="0" applyFont="1" applyFill="1" applyBorder="1" applyAlignment="1">
      <alignment vertical="center"/>
    </xf>
    <xf numFmtId="0" fontId="45" fillId="11" borderId="79" xfId="0" applyFont="1" applyFill="1" applyBorder="1"/>
    <xf numFmtId="0" fontId="46" fillId="11" borderId="96" xfId="0" applyFont="1" applyFill="1" applyBorder="1"/>
    <xf numFmtId="0" fontId="0" fillId="11" borderId="83" xfId="0" applyFill="1" applyBorder="1" applyAlignment="1">
      <alignment vertical="center" wrapText="1"/>
    </xf>
    <xf numFmtId="0" fontId="0" fillId="11" borderId="80" xfId="0" applyFill="1" applyBorder="1" applyAlignment="1">
      <alignment horizontal="right" vertical="center" wrapText="1"/>
    </xf>
    <xf numFmtId="0" fontId="0" fillId="11" borderId="79" xfId="0" applyFill="1" applyBorder="1" applyAlignment="1">
      <alignment horizontal="right" vertical="center" wrapText="1"/>
    </xf>
    <xf numFmtId="10" fontId="0" fillId="11" borderId="79" xfId="0" applyNumberFormat="1" applyFill="1" applyBorder="1"/>
    <xf numFmtId="164" fontId="31" fillId="11" borderId="79" xfId="4" applyNumberFormat="1" applyFont="1" applyFill="1" applyBorder="1"/>
    <xf numFmtId="168" fontId="31" fillId="11" borderId="79" xfId="4" applyNumberFormat="1" applyFont="1" applyFill="1" applyBorder="1"/>
    <xf numFmtId="10" fontId="31" fillId="11" borderId="79" xfId="4" applyNumberFormat="1" applyFont="1" applyFill="1" applyBorder="1"/>
    <xf numFmtId="168" fontId="0" fillId="11" borderId="79" xfId="0" applyNumberFormat="1" applyFill="1" applyBorder="1" applyAlignment="1">
      <alignment wrapText="1"/>
    </xf>
    <xf numFmtId="0" fontId="0" fillId="11" borderId="79" xfId="0" applyFill="1" applyBorder="1"/>
    <xf numFmtId="0" fontId="0" fillId="11" borderId="79" xfId="0" applyFill="1" applyBorder="1" applyAlignment="1">
      <alignment vertical="center"/>
    </xf>
    <xf numFmtId="0" fontId="0" fillId="11" borderId="79" xfId="0" applyFill="1" applyBorder="1" applyAlignment="1">
      <alignment vertical="center" wrapText="1"/>
    </xf>
    <xf numFmtId="173" fontId="31" fillId="11" borderId="79" xfId="2" applyNumberFormat="1" applyFont="1" applyFill="1" applyBorder="1"/>
    <xf numFmtId="0" fontId="32" fillId="12" borderId="83" xfId="0" applyFont="1" applyFill="1" applyBorder="1" applyAlignment="1">
      <alignment vertical="center"/>
    </xf>
    <xf numFmtId="0" fontId="45" fillId="12" borderId="84" xfId="0" applyFont="1" applyFill="1" applyBorder="1"/>
    <xf numFmtId="0" fontId="46" fillId="12" borderId="85" xfId="0" applyFont="1" applyFill="1" applyBorder="1"/>
    <xf numFmtId="0" fontId="45" fillId="12" borderId="86" xfId="0" applyFont="1" applyFill="1" applyBorder="1"/>
    <xf numFmtId="0" fontId="0" fillId="12" borderId="83" xfId="0" applyFill="1" applyBorder="1" applyAlignment="1">
      <alignment vertical="center" wrapText="1"/>
    </xf>
    <xf numFmtId="0" fontId="0" fillId="12" borderId="88" xfId="0" applyFill="1" applyBorder="1" applyAlignment="1">
      <alignment horizontal="right" vertical="center" wrapText="1"/>
    </xf>
    <xf numFmtId="10" fontId="0" fillId="12" borderId="84" xfId="0" applyNumberFormat="1" applyFill="1" applyBorder="1"/>
    <xf numFmtId="164" fontId="31" fillId="12" borderId="84" xfId="4" applyNumberFormat="1" applyFont="1" applyFill="1" applyBorder="1"/>
    <xf numFmtId="168" fontId="31" fillId="12" borderId="84" xfId="4" applyNumberFormat="1" applyFont="1" applyFill="1" applyBorder="1"/>
    <xf numFmtId="10" fontId="31" fillId="12" borderId="84" xfId="4" applyNumberFormat="1" applyFont="1" applyFill="1" applyBorder="1"/>
    <xf numFmtId="168" fontId="0" fillId="12" borderId="84" xfId="0" applyNumberFormat="1" applyFill="1" applyBorder="1" applyAlignment="1">
      <alignment wrapText="1"/>
    </xf>
    <xf numFmtId="0" fontId="0" fillId="12" borderId="89" xfId="0" applyFill="1" applyBorder="1" applyAlignment="1">
      <alignment vertical="center"/>
    </xf>
    <xf numFmtId="0" fontId="0" fillId="12" borderId="89" xfId="0" applyFill="1" applyBorder="1" applyAlignment="1">
      <alignment vertical="center" wrapText="1"/>
    </xf>
    <xf numFmtId="0" fontId="0" fillId="12" borderId="89" xfId="0" applyFill="1" applyBorder="1"/>
    <xf numFmtId="173" fontId="31" fillId="12" borderId="89" xfId="2" applyNumberFormat="1" applyFont="1" applyFill="1" applyBorder="1"/>
    <xf numFmtId="0" fontId="32" fillId="11" borderId="83" xfId="0" applyFont="1" applyFill="1" applyBorder="1" applyAlignment="1">
      <alignment vertical="center"/>
    </xf>
    <xf numFmtId="0" fontId="45" fillId="11" borderId="84" xfId="0" applyFont="1" applyFill="1" applyBorder="1"/>
    <xf numFmtId="0" fontId="46" fillId="11" borderId="85" xfId="0" applyFont="1" applyFill="1" applyBorder="1"/>
    <xf numFmtId="0" fontId="45" fillId="11" borderId="86" xfId="0" applyFont="1" applyFill="1" applyBorder="1"/>
    <xf numFmtId="0" fontId="0" fillId="11" borderId="88" xfId="0" applyFill="1" applyBorder="1" applyAlignment="1">
      <alignment horizontal="right" vertical="center" wrapText="1"/>
    </xf>
    <xf numFmtId="10" fontId="0" fillId="11" borderId="84" xfId="0" applyNumberFormat="1" applyFill="1" applyBorder="1"/>
    <xf numFmtId="164" fontId="31" fillId="11" borderId="84" xfId="4" applyNumberFormat="1" applyFont="1" applyFill="1" applyBorder="1"/>
    <xf numFmtId="168" fontId="31" fillId="11" borderId="84" xfId="4" applyNumberFormat="1" applyFont="1" applyFill="1" applyBorder="1"/>
    <xf numFmtId="10" fontId="31" fillId="11" borderId="84" xfId="4" applyNumberFormat="1" applyFont="1" applyFill="1" applyBorder="1"/>
    <xf numFmtId="168" fontId="0" fillId="11" borderId="84" xfId="0" applyNumberFormat="1" applyFill="1" applyBorder="1" applyAlignment="1">
      <alignment wrapText="1"/>
    </xf>
    <xf numFmtId="0" fontId="0" fillId="11" borderId="84" xfId="0" applyFill="1" applyBorder="1"/>
    <xf numFmtId="0" fontId="0" fillId="11" borderId="89" xfId="0" applyFill="1" applyBorder="1" applyAlignment="1">
      <alignment vertical="center"/>
    </xf>
    <xf numFmtId="0" fontId="0" fillId="11" borderId="89" xfId="0" applyFill="1" applyBorder="1" applyAlignment="1">
      <alignment vertical="center" wrapText="1"/>
    </xf>
    <xf numFmtId="0" fontId="0" fillId="11" borderId="89" xfId="0" applyFill="1" applyBorder="1"/>
    <xf numFmtId="173" fontId="31" fillId="11" borderId="89" xfId="2" applyNumberFormat="1" applyFont="1" applyFill="1" applyBorder="1"/>
    <xf numFmtId="0" fontId="32" fillId="12" borderId="92" xfId="0" applyFont="1" applyFill="1" applyBorder="1" applyAlignment="1">
      <alignment vertical="center"/>
    </xf>
    <xf numFmtId="0" fontId="45" fillId="12" borderId="93" xfId="0" applyFont="1" applyFill="1" applyBorder="1"/>
    <xf numFmtId="0" fontId="46" fillId="12" borderId="92" xfId="0" applyFont="1" applyFill="1" applyBorder="1"/>
    <xf numFmtId="0" fontId="0" fillId="12" borderId="94" xfId="0" applyFill="1" applyBorder="1" applyAlignment="1">
      <alignment vertical="center" wrapText="1"/>
    </xf>
    <xf numFmtId="0" fontId="0" fillId="12" borderId="95" xfId="0" applyFill="1" applyBorder="1" applyAlignment="1">
      <alignment horizontal="right" vertical="center" wrapText="1"/>
    </xf>
    <xf numFmtId="0" fontId="0" fillId="12" borderId="93" xfId="0" applyFill="1" applyBorder="1" applyAlignment="1">
      <alignment horizontal="right" vertical="center" wrapText="1"/>
    </xf>
    <xf numFmtId="10" fontId="0" fillId="12" borderId="93" xfId="0" applyNumberFormat="1" applyFill="1" applyBorder="1"/>
    <xf numFmtId="164" fontId="31" fillId="12" borderId="93" xfId="4" applyNumberFormat="1" applyFont="1" applyFill="1" applyBorder="1"/>
    <xf numFmtId="168" fontId="31" fillId="12" borderId="93" xfId="4" applyNumberFormat="1" applyFont="1" applyFill="1" applyBorder="1"/>
    <xf numFmtId="10" fontId="31" fillId="12" borderId="93" xfId="4" applyNumberFormat="1" applyFont="1" applyFill="1" applyBorder="1"/>
    <xf numFmtId="168" fontId="0" fillId="12" borderId="93" xfId="0" applyNumberFormat="1" applyFill="1" applyBorder="1" applyAlignment="1">
      <alignment wrapText="1"/>
    </xf>
    <xf numFmtId="0" fontId="0" fillId="12" borderId="93" xfId="0" applyFill="1" applyBorder="1"/>
    <xf numFmtId="0" fontId="0" fillId="12" borderId="93" xfId="0" applyFill="1" applyBorder="1" applyAlignment="1">
      <alignment vertical="center"/>
    </xf>
    <xf numFmtId="0" fontId="0" fillId="12" borderId="93" xfId="0" applyFill="1" applyBorder="1" applyAlignment="1">
      <alignment vertical="center" wrapText="1"/>
    </xf>
    <xf numFmtId="173" fontId="31" fillId="12" borderId="93" xfId="2" applyNumberFormat="1" applyFont="1" applyFill="1" applyBorder="1"/>
    <xf numFmtId="0" fontId="32" fillId="13" borderId="96" xfId="0" applyFont="1" applyFill="1" applyBorder="1" applyAlignment="1">
      <alignment vertical="center"/>
    </xf>
    <xf numFmtId="0" fontId="45" fillId="13" borderId="79" xfId="0" applyFont="1" applyFill="1" applyBorder="1"/>
    <xf numFmtId="0" fontId="46" fillId="13" borderId="96" xfId="0" applyFont="1" applyFill="1" applyBorder="1"/>
    <xf numFmtId="0" fontId="0" fillId="13" borderId="83" xfId="0" applyFill="1" applyBorder="1" applyAlignment="1">
      <alignment vertical="center" wrapText="1"/>
    </xf>
    <xf numFmtId="0" fontId="0" fillId="13" borderId="80" xfId="0" applyFill="1" applyBorder="1" applyAlignment="1">
      <alignment horizontal="right" vertical="center" wrapText="1"/>
    </xf>
    <xf numFmtId="0" fontId="0" fillId="13" borderId="79" xfId="0" applyFill="1" applyBorder="1" applyAlignment="1">
      <alignment horizontal="right" vertical="center" wrapText="1"/>
    </xf>
    <xf numFmtId="10" fontId="0" fillId="13" borderId="79" xfId="0" applyNumberFormat="1" applyFill="1" applyBorder="1"/>
    <xf numFmtId="0" fontId="0" fillId="13" borderId="79" xfId="0" applyFill="1" applyBorder="1"/>
    <xf numFmtId="168" fontId="31" fillId="13" borderId="79" xfId="4" applyNumberFormat="1" applyFont="1" applyFill="1" applyBorder="1"/>
    <xf numFmtId="168" fontId="0" fillId="13" borderId="79" xfId="0" applyNumberFormat="1" applyFill="1" applyBorder="1" applyAlignment="1">
      <alignment wrapText="1"/>
    </xf>
    <xf numFmtId="10" fontId="0" fillId="13" borderId="79" xfId="0" applyNumberFormat="1" applyFill="1" applyBorder="1" applyAlignment="1">
      <alignment vertical="center"/>
    </xf>
    <xf numFmtId="10" fontId="0" fillId="13" borderId="79" xfId="0" applyNumberFormat="1" applyFill="1" applyBorder="1" applyAlignment="1">
      <alignment vertical="center" wrapText="1"/>
    </xf>
    <xf numFmtId="173" fontId="31" fillId="13" borderId="79" xfId="2" applyNumberFormat="1" applyFont="1" applyFill="1" applyBorder="1"/>
    <xf numFmtId="0" fontId="0" fillId="13" borderId="79" xfId="0" applyFill="1" applyBorder="1" applyAlignment="1">
      <alignment vertical="center"/>
    </xf>
    <xf numFmtId="0" fontId="32" fillId="14" borderId="83" xfId="0" applyFont="1" applyFill="1" applyBorder="1" applyAlignment="1">
      <alignment vertical="center"/>
    </xf>
    <xf numFmtId="0" fontId="45" fillId="14" borderId="84" xfId="0" applyFont="1" applyFill="1" applyBorder="1"/>
    <xf numFmtId="0" fontId="46" fillId="14" borderId="85" xfId="0" applyFont="1" applyFill="1" applyBorder="1"/>
    <xf numFmtId="0" fontId="45" fillId="14" borderId="86" xfId="0" applyFont="1" applyFill="1" applyBorder="1"/>
    <xf numFmtId="0" fontId="0" fillId="14" borderId="83" xfId="0" applyFill="1" applyBorder="1" applyAlignment="1">
      <alignment vertical="center" wrapText="1"/>
    </xf>
    <xf numFmtId="0" fontId="0" fillId="14" borderId="88" xfId="0" applyFill="1" applyBorder="1" applyAlignment="1">
      <alignment horizontal="right" vertical="center" wrapText="1"/>
    </xf>
    <xf numFmtId="10" fontId="31" fillId="14" borderId="84" xfId="4" applyNumberFormat="1" applyFont="1" applyFill="1" applyBorder="1"/>
    <xf numFmtId="0" fontId="0" fillId="14" borderId="84" xfId="0" applyFill="1" applyBorder="1"/>
    <xf numFmtId="168" fontId="31" fillId="14" borderId="84" xfId="4" applyNumberFormat="1" applyFont="1" applyFill="1" applyBorder="1"/>
    <xf numFmtId="10" fontId="0" fillId="14" borderId="84" xfId="0" applyNumberFormat="1" applyFill="1" applyBorder="1"/>
    <xf numFmtId="168" fontId="0" fillId="14" borderId="84" xfId="0" applyNumberFormat="1" applyFill="1" applyBorder="1" applyAlignment="1">
      <alignment wrapText="1"/>
    </xf>
    <xf numFmtId="10" fontId="0" fillId="14" borderId="89" xfId="0" applyNumberFormat="1" applyFill="1" applyBorder="1" applyAlignment="1">
      <alignment vertical="center"/>
    </xf>
    <xf numFmtId="10" fontId="0" fillId="14" borderId="89" xfId="0" applyNumberFormat="1" applyFill="1" applyBorder="1" applyAlignment="1">
      <alignment vertical="center" wrapText="1"/>
    </xf>
    <xf numFmtId="0" fontId="0" fillId="14" borderId="89" xfId="0" applyFill="1" applyBorder="1"/>
    <xf numFmtId="173" fontId="31" fillId="14" borderId="89" xfId="2" applyNumberFormat="1" applyFont="1" applyFill="1" applyBorder="1"/>
    <xf numFmtId="0" fontId="0" fillId="14" borderId="89" xfId="0" applyFill="1" applyBorder="1" applyAlignment="1">
      <alignment vertical="center"/>
    </xf>
    <xf numFmtId="0" fontId="32" fillId="13" borderId="83" xfId="0" applyFont="1" applyFill="1" applyBorder="1" applyAlignment="1">
      <alignment vertical="center"/>
    </xf>
    <xf numFmtId="0" fontId="45" fillId="13" borderId="84" xfId="0" applyFont="1" applyFill="1" applyBorder="1"/>
    <xf numFmtId="0" fontId="46" fillId="13" borderId="85" xfId="0" applyFont="1" applyFill="1" applyBorder="1"/>
    <xf numFmtId="0" fontId="45" fillId="13" borderId="86" xfId="0" applyFont="1" applyFill="1" applyBorder="1"/>
    <xf numFmtId="0" fontId="0" fillId="13" borderId="88" xfId="0" applyFill="1" applyBorder="1" applyAlignment="1">
      <alignment horizontal="right" vertical="center" wrapText="1"/>
    </xf>
    <xf numFmtId="10" fontId="0" fillId="13" borderId="84" xfId="0" applyNumberFormat="1" applyFill="1" applyBorder="1"/>
    <xf numFmtId="0" fontId="0" fillId="13" borderId="84" xfId="0" applyFill="1" applyBorder="1"/>
    <xf numFmtId="168" fontId="31" fillId="13" borderId="84" xfId="4" applyNumberFormat="1" applyFont="1" applyFill="1" applyBorder="1"/>
    <xf numFmtId="168" fontId="0" fillId="13" borderId="84" xfId="0" applyNumberFormat="1" applyFill="1" applyBorder="1" applyAlignment="1">
      <alignment wrapText="1"/>
    </xf>
    <xf numFmtId="10" fontId="0" fillId="13" borderId="89" xfId="0" applyNumberFormat="1" applyFill="1" applyBorder="1" applyAlignment="1">
      <alignment vertical="center"/>
    </xf>
    <xf numFmtId="10" fontId="0" fillId="13" borderId="89" xfId="0" applyNumberFormat="1" applyFill="1" applyBorder="1" applyAlignment="1">
      <alignment vertical="center" wrapText="1"/>
    </xf>
    <xf numFmtId="0" fontId="0" fillId="13" borderId="89" xfId="0" applyFill="1" applyBorder="1"/>
    <xf numFmtId="173" fontId="31" fillId="13" borderId="89" xfId="2" applyNumberFormat="1" applyFont="1" applyFill="1" applyBorder="1"/>
    <xf numFmtId="0" fontId="0" fillId="13" borderId="89" xfId="0" applyFill="1" applyBorder="1" applyAlignment="1">
      <alignment vertical="center"/>
    </xf>
    <xf numFmtId="0" fontId="32" fillId="14" borderId="92" xfId="0" applyFont="1" applyFill="1" applyBorder="1" applyAlignment="1">
      <alignment vertical="center"/>
    </xf>
    <xf numFmtId="0" fontId="45" fillId="14" borderId="93" xfId="0" applyFont="1" applyFill="1" applyBorder="1"/>
    <xf numFmtId="0" fontId="46" fillId="14" borderId="97" xfId="0" applyFont="1" applyFill="1" applyBorder="1"/>
    <xf numFmtId="0" fontId="45" fillId="14" borderId="98" xfId="0" applyFont="1" applyFill="1" applyBorder="1"/>
    <xf numFmtId="0" fontId="0" fillId="14" borderId="94" xfId="0" applyFill="1" applyBorder="1" applyAlignment="1">
      <alignment vertical="center" wrapText="1"/>
    </xf>
    <xf numFmtId="0" fontId="0" fillId="14" borderId="95" xfId="0" applyFill="1" applyBorder="1" applyAlignment="1">
      <alignment horizontal="right" vertical="center" wrapText="1"/>
    </xf>
    <xf numFmtId="0" fontId="0" fillId="14" borderId="93" xfId="0" applyFill="1" applyBorder="1" applyAlignment="1">
      <alignment horizontal="right" vertical="center" wrapText="1"/>
    </xf>
    <xf numFmtId="10" fontId="31" fillId="14" borderId="93" xfId="4" applyNumberFormat="1" applyFont="1" applyFill="1" applyBorder="1"/>
    <xf numFmtId="0" fontId="0" fillId="14" borderId="93" xfId="0" applyFill="1" applyBorder="1"/>
    <xf numFmtId="168" fontId="31" fillId="14" borderId="93" xfId="4" applyNumberFormat="1" applyFont="1" applyFill="1" applyBorder="1"/>
    <xf numFmtId="10" fontId="0" fillId="14" borderId="93" xfId="0" applyNumberFormat="1" applyFill="1" applyBorder="1"/>
    <xf numFmtId="168" fontId="0" fillId="14" borderId="93" xfId="0" applyNumberFormat="1" applyFill="1" applyBorder="1" applyAlignment="1">
      <alignment wrapText="1"/>
    </xf>
    <xf numFmtId="10" fontId="0" fillId="14" borderId="93" xfId="0" applyNumberFormat="1" applyFill="1" applyBorder="1" applyAlignment="1">
      <alignment vertical="center"/>
    </xf>
    <xf numFmtId="10" fontId="0" fillId="14" borderId="93" xfId="0" applyNumberFormat="1" applyFill="1" applyBorder="1" applyAlignment="1">
      <alignment vertical="center" wrapText="1"/>
    </xf>
    <xf numFmtId="173" fontId="31" fillId="14" borderId="93" xfId="2" applyNumberFormat="1" applyFont="1" applyFill="1" applyBorder="1"/>
    <xf numFmtId="0" fontId="0" fillId="14" borderId="93" xfId="0" applyFill="1" applyBorder="1" applyAlignment="1">
      <alignment vertical="center"/>
    </xf>
    <xf numFmtId="0" fontId="32" fillId="15" borderId="96" xfId="0" applyFont="1" applyFill="1" applyBorder="1" applyAlignment="1">
      <alignment vertical="center"/>
    </xf>
    <xf numFmtId="0" fontId="45" fillId="15" borderId="79" xfId="0" applyFont="1" applyFill="1" applyBorder="1"/>
    <xf numFmtId="0" fontId="46" fillId="15" borderId="85" xfId="0" applyFont="1" applyFill="1" applyBorder="1"/>
    <xf numFmtId="0" fontId="45" fillId="15" borderId="99" xfId="0" applyFont="1" applyFill="1" applyBorder="1"/>
    <xf numFmtId="0" fontId="0" fillId="15" borderId="80" xfId="0" applyFill="1" applyBorder="1" applyAlignment="1">
      <alignment horizontal="right" vertical="center" wrapText="1"/>
    </xf>
    <xf numFmtId="0" fontId="0" fillId="15" borderId="79" xfId="0" applyFill="1" applyBorder="1" applyAlignment="1">
      <alignment horizontal="right" vertical="center" wrapText="1"/>
    </xf>
    <xf numFmtId="10" fontId="0" fillId="15" borderId="79" xfId="0" applyNumberFormat="1" applyFill="1" applyBorder="1"/>
    <xf numFmtId="164" fontId="31" fillId="15" borderId="79" xfId="4" applyNumberFormat="1" applyFont="1" applyFill="1" applyBorder="1"/>
    <xf numFmtId="168" fontId="31" fillId="15" borderId="79" xfId="4" applyNumberFormat="1" applyFont="1" applyFill="1" applyBorder="1"/>
    <xf numFmtId="10" fontId="31" fillId="15" borderId="79" xfId="4" applyNumberFormat="1" applyFont="1" applyFill="1" applyBorder="1"/>
    <xf numFmtId="164" fontId="31" fillId="15" borderId="79" xfId="4" applyNumberFormat="1" applyFont="1" applyFill="1" applyBorder="1" applyAlignment="1">
      <alignment wrapText="1"/>
    </xf>
    <xf numFmtId="168" fontId="0" fillId="15" borderId="79" xfId="0" applyNumberFormat="1" applyFill="1" applyBorder="1" applyAlignment="1">
      <alignment wrapText="1"/>
    </xf>
    <xf numFmtId="0" fontId="0" fillId="15" borderId="79" xfId="0" applyFill="1" applyBorder="1"/>
    <xf numFmtId="0" fontId="0" fillId="15" borderId="79" xfId="0" applyFill="1" applyBorder="1" applyAlignment="1">
      <alignment vertical="center"/>
    </xf>
    <xf numFmtId="0" fontId="0" fillId="15" borderId="79" xfId="0" applyFill="1" applyBorder="1" applyAlignment="1">
      <alignment vertical="center" wrapText="1"/>
    </xf>
    <xf numFmtId="173" fontId="31" fillId="15" borderId="79" xfId="2" applyNumberFormat="1" applyFont="1" applyFill="1" applyBorder="1"/>
    <xf numFmtId="0" fontId="32" fillId="15" borderId="92" xfId="0" applyFont="1" applyFill="1" applyBorder="1" applyAlignment="1">
      <alignment vertical="center"/>
    </xf>
    <xf numFmtId="0" fontId="45" fillId="15" borderId="93" xfId="0" applyFont="1" applyFill="1" applyBorder="1"/>
    <xf numFmtId="0" fontId="46" fillId="15" borderId="97" xfId="0" applyFont="1" applyFill="1" applyBorder="1"/>
    <xf numFmtId="0" fontId="45" fillId="15" borderId="98" xfId="0" applyFont="1" applyFill="1" applyBorder="1"/>
    <xf numFmtId="0" fontId="0" fillId="15" borderId="95" xfId="0" applyFill="1" applyBorder="1" applyAlignment="1">
      <alignment horizontal="right" vertical="center" wrapText="1"/>
    </xf>
    <xf numFmtId="0" fontId="0" fillId="15" borderId="93" xfId="0" applyFill="1" applyBorder="1" applyAlignment="1">
      <alignment horizontal="right" vertical="center" wrapText="1"/>
    </xf>
    <xf numFmtId="10" fontId="0" fillId="15" borderId="93" xfId="0" applyNumberFormat="1" applyFill="1" applyBorder="1"/>
    <xf numFmtId="164" fontId="31" fillId="15" borderId="93" xfId="4" applyNumberFormat="1" applyFont="1" applyFill="1" applyBorder="1"/>
    <xf numFmtId="168" fontId="31" fillId="15" borderId="93" xfId="4" applyNumberFormat="1" applyFont="1" applyFill="1" applyBorder="1"/>
    <xf numFmtId="10" fontId="31" fillId="15" borderId="93" xfId="4" applyNumberFormat="1" applyFont="1" applyFill="1" applyBorder="1"/>
    <xf numFmtId="164" fontId="31" fillId="15" borderId="93" xfId="4" applyNumberFormat="1" applyFont="1" applyFill="1" applyBorder="1" applyAlignment="1">
      <alignment wrapText="1"/>
    </xf>
    <xf numFmtId="168" fontId="0" fillId="15" borderId="93" xfId="0" applyNumberFormat="1" applyFill="1" applyBorder="1" applyAlignment="1">
      <alignment wrapText="1"/>
    </xf>
    <xf numFmtId="0" fontId="0" fillId="15" borderId="93" xfId="0" applyFill="1" applyBorder="1"/>
    <xf numFmtId="0" fontId="0" fillId="15" borderId="93" xfId="0" applyFill="1" applyBorder="1" applyAlignment="1">
      <alignment vertical="center"/>
    </xf>
    <xf numFmtId="0" fontId="0" fillId="15" borderId="93" xfId="0" applyFill="1" applyBorder="1" applyAlignment="1">
      <alignment vertical="center" wrapText="1"/>
    </xf>
    <xf numFmtId="173" fontId="31" fillId="15" borderId="93" xfId="2" applyNumberFormat="1" applyFont="1" applyFill="1" applyBorder="1"/>
    <xf numFmtId="0" fontId="0" fillId="0" borderId="100" xfId="0" applyBorder="1"/>
    <xf numFmtId="0" fontId="47" fillId="16" borderId="101" xfId="0" applyFont="1" applyFill="1" applyBorder="1" applyAlignment="1">
      <alignment vertical="center"/>
    </xf>
    <xf numFmtId="0" fontId="32" fillId="16" borderId="96" xfId="0" applyFont="1" applyFill="1" applyBorder="1" applyAlignment="1">
      <alignment vertical="center"/>
    </xf>
    <xf numFmtId="0" fontId="45" fillId="16" borderId="79" xfId="0" applyFont="1" applyFill="1" applyBorder="1"/>
    <xf numFmtId="0" fontId="45" fillId="16" borderId="99" xfId="0" applyFont="1" applyFill="1" applyBorder="1"/>
    <xf numFmtId="0" fontId="0" fillId="16" borderId="80" xfId="0" applyFill="1" applyBorder="1" applyAlignment="1">
      <alignment horizontal="right" vertical="center" wrapText="1"/>
    </xf>
    <xf numFmtId="0" fontId="0" fillId="16" borderId="79" xfId="0" applyFill="1" applyBorder="1" applyAlignment="1">
      <alignment horizontal="right" vertical="center" wrapText="1"/>
    </xf>
    <xf numFmtId="10" fontId="0" fillId="16" borderId="79" xfId="0" applyNumberFormat="1" applyFill="1" applyBorder="1"/>
    <xf numFmtId="164" fontId="31" fillId="16" borderId="79" xfId="4" applyNumberFormat="1" applyFont="1" applyFill="1" applyBorder="1"/>
    <xf numFmtId="168" fontId="31" fillId="16" borderId="79" xfId="4" applyNumberFormat="1" applyFont="1" applyFill="1" applyBorder="1"/>
    <xf numFmtId="10" fontId="31" fillId="16" borderId="79" xfId="4" applyNumberFormat="1" applyFont="1" applyFill="1" applyBorder="1"/>
    <xf numFmtId="168" fontId="0" fillId="16" borderId="79" xfId="0" applyNumberFormat="1" applyFill="1" applyBorder="1" applyAlignment="1">
      <alignment wrapText="1"/>
    </xf>
    <xf numFmtId="0" fontId="0" fillId="16" borderId="79" xfId="0" applyFill="1" applyBorder="1"/>
    <xf numFmtId="0" fontId="0" fillId="16" borderId="79" xfId="0" applyFill="1" applyBorder="1" applyAlignment="1">
      <alignment vertical="center"/>
    </xf>
    <xf numFmtId="0" fontId="0" fillId="16" borderId="79" xfId="0" applyFill="1" applyBorder="1" applyAlignment="1">
      <alignment vertical="center" wrapText="1"/>
    </xf>
    <xf numFmtId="173" fontId="31" fillId="16" borderId="79" xfId="2" applyNumberFormat="1" applyFont="1" applyFill="1" applyBorder="1"/>
    <xf numFmtId="0" fontId="47" fillId="16" borderId="8" xfId="0" applyFont="1" applyFill="1" applyBorder="1" applyAlignment="1">
      <alignment vertical="center"/>
    </xf>
    <xf numFmtId="0" fontId="32" fillId="16" borderId="102" xfId="0" applyFont="1" applyFill="1" applyBorder="1" applyAlignment="1">
      <alignment vertical="center"/>
    </xf>
    <xf numFmtId="0" fontId="45" fillId="16" borderId="103" xfId="0" applyFont="1" applyFill="1" applyBorder="1"/>
    <xf numFmtId="0" fontId="45" fillId="16" borderId="104" xfId="0" applyFont="1" applyFill="1" applyBorder="1"/>
    <xf numFmtId="0" fontId="0" fillId="16" borderId="93" xfId="0" applyFill="1" applyBorder="1" applyAlignment="1">
      <alignment horizontal="right" vertical="center" wrapText="1"/>
    </xf>
    <xf numFmtId="10" fontId="0" fillId="16" borderId="93" xfId="0" applyNumberFormat="1" applyFill="1" applyBorder="1"/>
    <xf numFmtId="164" fontId="31" fillId="16" borderId="93" xfId="4" applyNumberFormat="1" applyFont="1" applyFill="1" applyBorder="1"/>
    <xf numFmtId="168" fontId="31" fillId="16" borderId="93" xfId="4" applyNumberFormat="1" applyFont="1" applyFill="1" applyBorder="1"/>
    <xf numFmtId="10" fontId="31" fillId="16" borderId="93" xfId="4" applyNumberFormat="1" applyFont="1" applyFill="1" applyBorder="1"/>
    <xf numFmtId="168" fontId="0" fillId="16" borderId="93" xfId="0" applyNumberFormat="1" applyFill="1" applyBorder="1" applyAlignment="1">
      <alignment wrapText="1"/>
    </xf>
    <xf numFmtId="0" fontId="0" fillId="16" borderId="93" xfId="0" applyFill="1" applyBorder="1"/>
    <xf numFmtId="0" fontId="0" fillId="16" borderId="93" xfId="0" applyFill="1" applyBorder="1" applyAlignment="1">
      <alignment vertical="center"/>
    </xf>
    <xf numFmtId="0" fontId="0" fillId="16" borderId="93" xfId="0" applyFill="1" applyBorder="1" applyAlignment="1">
      <alignment vertical="center" wrapText="1"/>
    </xf>
    <xf numFmtId="173" fontId="31" fillId="16" borderId="93" xfId="2" applyNumberFormat="1" applyFont="1" applyFill="1" applyBorder="1"/>
    <xf numFmtId="0" fontId="36" fillId="0" borderId="0" xfId="0" applyFont="1" applyBorder="1" applyAlignment="1">
      <alignment horizontal="center" vertical="center" wrapText="1"/>
    </xf>
    <xf numFmtId="0" fontId="36" fillId="0" borderId="5" xfId="0" applyFont="1" applyBorder="1" applyAlignment="1">
      <alignment vertical="center" wrapText="1"/>
    </xf>
    <xf numFmtId="0" fontId="32" fillId="0" borderId="5" xfId="0" applyFont="1" applyBorder="1"/>
    <xf numFmtId="0" fontId="39" fillId="0" borderId="5" xfId="0" applyFont="1" applyBorder="1" applyAlignment="1">
      <alignment vertical="center" wrapText="1"/>
    </xf>
    <xf numFmtId="0" fontId="0" fillId="0" borderId="5" xfId="0" applyBorder="1"/>
    <xf numFmtId="0" fontId="0" fillId="0" borderId="0" xfId="0" applyBorder="1"/>
    <xf numFmtId="7" fontId="7" fillId="0" borderId="1" xfId="0" applyNumberFormat="1" applyFont="1" applyFill="1" applyBorder="1"/>
    <xf numFmtId="7" fontId="7" fillId="0" borderId="7" xfId="0" applyNumberFormat="1" applyFont="1" applyFill="1" applyBorder="1"/>
    <xf numFmtId="0" fontId="7" fillId="5" borderId="5" xfId="0" applyFont="1" applyFill="1" applyBorder="1"/>
    <xf numFmtId="167" fontId="7" fillId="0" borderId="0" xfId="0" applyNumberFormat="1" applyFont="1" applyFill="1" applyBorder="1"/>
    <xf numFmtId="0" fontId="3" fillId="0" borderId="0" xfId="0" applyFont="1" applyFill="1" applyBorder="1"/>
    <xf numFmtId="0" fontId="3" fillId="0" borderId="2" xfId="0" applyFont="1" applyFill="1" applyBorder="1" applyAlignment="1">
      <alignment vertical="center"/>
    </xf>
    <xf numFmtId="0" fontId="3" fillId="0" borderId="15" xfId="0" applyFont="1" applyFill="1" applyBorder="1" applyAlignment="1">
      <alignment vertical="center"/>
    </xf>
    <xf numFmtId="14" fontId="7" fillId="5" borderId="16" xfId="0" applyNumberFormat="1" applyFont="1" applyFill="1" applyBorder="1" applyAlignment="1">
      <alignment vertical="center"/>
    </xf>
    <xf numFmtId="0" fontId="3" fillId="0" borderId="3" xfId="0" applyFont="1" applyFill="1" applyBorder="1" applyAlignment="1">
      <alignment vertical="center"/>
    </xf>
    <xf numFmtId="14" fontId="7" fillId="5" borderId="1" xfId="0" applyNumberFormat="1" applyFont="1" applyFill="1" applyBorder="1" applyAlignment="1">
      <alignment vertical="center"/>
    </xf>
    <xf numFmtId="0" fontId="3" fillId="0" borderId="4" xfId="0" applyFont="1" applyFill="1" applyBorder="1" applyAlignment="1">
      <alignment vertical="center"/>
    </xf>
    <xf numFmtId="0" fontId="7" fillId="5" borderId="17" xfId="0" applyFont="1" applyFill="1" applyBorder="1" applyAlignment="1">
      <alignment horizontal="right" vertical="center"/>
    </xf>
    <xf numFmtId="0" fontId="45" fillId="10" borderId="105" xfId="0" applyFont="1" applyFill="1" applyBorder="1" applyAlignment="1">
      <alignment vertical="center"/>
    </xf>
    <xf numFmtId="0" fontId="32" fillId="5" borderId="14" xfId="0" applyFont="1" applyFill="1" applyBorder="1" applyAlignment="1">
      <alignment vertical="center" wrapText="1"/>
    </xf>
    <xf numFmtId="10" fontId="32" fillId="5" borderId="14" xfId="4" applyNumberFormat="1" applyFont="1" applyFill="1" applyBorder="1" applyAlignment="1">
      <alignment vertical="center" wrapText="1"/>
    </xf>
    <xf numFmtId="43" fontId="7" fillId="0" borderId="0" xfId="1" applyFont="1" applyBorder="1"/>
    <xf numFmtId="0" fontId="36" fillId="0" borderId="3" xfId="0" applyFont="1" applyBorder="1"/>
    <xf numFmtId="10" fontId="39" fillId="0" borderId="5" xfId="0" applyNumberFormat="1" applyFont="1" applyFill="1" applyBorder="1"/>
    <xf numFmtId="0" fontId="0" fillId="17" borderId="83" xfId="0" applyFill="1" applyBorder="1" applyAlignment="1">
      <alignment vertical="center" wrapText="1"/>
    </xf>
    <xf numFmtId="0" fontId="0" fillId="17" borderId="94" xfId="0" applyFill="1" applyBorder="1" applyAlignment="1">
      <alignment vertical="center" wrapText="1"/>
    </xf>
    <xf numFmtId="0" fontId="0" fillId="18" borderId="83" xfId="0" applyFill="1" applyBorder="1" applyAlignment="1">
      <alignment vertical="center" wrapText="1"/>
    </xf>
    <xf numFmtId="0" fontId="0" fillId="18" borderId="106" xfId="0" applyFill="1" applyBorder="1" applyAlignment="1">
      <alignment vertical="center" wrapText="1"/>
    </xf>
    <xf numFmtId="0" fontId="36" fillId="0" borderId="0" xfId="0" applyFont="1" applyBorder="1" applyAlignment="1">
      <alignment vertical="center"/>
    </xf>
    <xf numFmtId="167" fontId="3" fillId="0" borderId="18" xfId="0" applyNumberFormat="1" applyFont="1" applyBorder="1" applyAlignment="1">
      <alignment vertical="center"/>
    </xf>
    <xf numFmtId="0" fontId="32" fillId="5" borderId="107" xfId="0" applyFont="1" applyFill="1" applyBorder="1" applyAlignment="1">
      <alignment horizontal="right" vertical="center" wrapText="1"/>
    </xf>
    <xf numFmtId="0" fontId="0" fillId="19" borderId="108" xfId="0" applyFill="1" applyBorder="1" applyAlignment="1">
      <alignment vertical="center"/>
    </xf>
    <xf numFmtId="0" fontId="0" fillId="19" borderId="109" xfId="0" applyFill="1" applyBorder="1" applyAlignment="1">
      <alignment vertical="center"/>
    </xf>
    <xf numFmtId="0" fontId="0" fillId="20" borderId="110" xfId="0" applyFill="1" applyBorder="1" applyAlignment="1">
      <alignment vertical="center"/>
    </xf>
    <xf numFmtId="10" fontId="0" fillId="21" borderId="111" xfId="0" applyNumberFormat="1" applyFill="1" applyBorder="1" applyAlignment="1">
      <alignment vertical="center"/>
    </xf>
    <xf numFmtId="10" fontId="0" fillId="21" borderId="109" xfId="0" applyNumberFormat="1" applyFill="1" applyBorder="1" applyAlignment="1">
      <alignment vertical="center"/>
    </xf>
    <xf numFmtId="10" fontId="0" fillId="21" borderId="112" xfId="0" applyNumberFormat="1" applyFill="1" applyBorder="1" applyAlignment="1">
      <alignment vertical="center"/>
    </xf>
    <xf numFmtId="0" fontId="0" fillId="15" borderId="109" xfId="0" applyFill="1" applyBorder="1" applyAlignment="1">
      <alignment vertical="center"/>
    </xf>
    <xf numFmtId="0" fontId="0" fillId="15" borderId="112" xfId="0" applyFill="1" applyBorder="1" applyAlignment="1">
      <alignment vertical="center"/>
    </xf>
    <xf numFmtId="0" fontId="0" fillId="16" borderId="111" xfId="0" applyFill="1" applyBorder="1" applyAlignment="1">
      <alignment vertical="center"/>
    </xf>
    <xf numFmtId="0" fontId="0" fillId="16" borderId="112" xfId="0" applyFill="1" applyBorder="1" applyAlignment="1">
      <alignment vertical="center"/>
    </xf>
    <xf numFmtId="0" fontId="0" fillId="12" borderId="90" xfId="0" applyFill="1" applyBorder="1" applyAlignment="1">
      <alignment vertical="center"/>
    </xf>
    <xf numFmtId="0" fontId="0" fillId="11" borderId="90" xfId="0" applyFill="1" applyBorder="1" applyAlignment="1">
      <alignment vertical="center"/>
    </xf>
    <xf numFmtId="0" fontId="0" fillId="20" borderId="5" xfId="0" applyFill="1" applyBorder="1" applyAlignment="1">
      <alignment vertical="center"/>
    </xf>
    <xf numFmtId="0" fontId="0" fillId="11" borderId="99" xfId="0" applyFill="1" applyBorder="1"/>
    <xf numFmtId="0" fontId="0" fillId="12" borderId="86" xfId="0" applyFill="1" applyBorder="1"/>
    <xf numFmtId="0" fontId="0" fillId="11" borderId="86" xfId="0" applyFill="1" applyBorder="1"/>
    <xf numFmtId="0" fontId="0" fillId="11" borderId="80" xfId="0" applyFill="1" applyBorder="1" applyAlignment="1">
      <alignment vertical="center"/>
    </xf>
    <xf numFmtId="0" fontId="0" fillId="20" borderId="19" xfId="0" applyFill="1" applyBorder="1" applyAlignment="1">
      <alignment vertical="center"/>
    </xf>
    <xf numFmtId="0" fontId="0" fillId="19" borderId="113" xfId="0" applyFill="1" applyBorder="1" applyAlignment="1">
      <alignment vertical="center"/>
    </xf>
    <xf numFmtId="0" fontId="4" fillId="0" borderId="0" xfId="0" applyFont="1" applyFill="1" applyBorder="1" applyAlignment="1"/>
    <xf numFmtId="0" fontId="7" fillId="0" borderId="0" xfId="0" applyFont="1" applyFill="1" applyBorder="1" applyAlignment="1"/>
    <xf numFmtId="2" fontId="39" fillId="0" borderId="5" xfId="0" applyNumberFormat="1" applyFont="1" applyFill="1" applyBorder="1"/>
    <xf numFmtId="7" fontId="3" fillId="2" borderId="5" xfId="0" applyNumberFormat="1" applyFont="1" applyFill="1" applyBorder="1"/>
    <xf numFmtId="0" fontId="9" fillId="0" borderId="20" xfId="0" applyFont="1" applyFill="1" applyBorder="1"/>
    <xf numFmtId="0" fontId="48" fillId="0" borderId="21" xfId="0" applyFont="1" applyBorder="1" applyAlignment="1">
      <alignment horizontal="right"/>
    </xf>
    <xf numFmtId="0" fontId="9" fillId="0" borderId="21" xfId="0" applyFont="1" applyFill="1" applyBorder="1" applyAlignment="1"/>
    <xf numFmtId="7" fontId="7" fillId="0" borderId="22" xfId="0" applyNumberFormat="1" applyFont="1" applyBorder="1"/>
    <xf numFmtId="7" fontId="39" fillId="0" borderId="23" xfId="0" applyNumberFormat="1" applyFont="1" applyBorder="1"/>
    <xf numFmtId="7" fontId="8" fillId="2" borderId="23" xfId="0" applyNumberFormat="1" applyFont="1" applyFill="1" applyBorder="1"/>
    <xf numFmtId="7" fontId="9" fillId="3" borderId="9" xfId="0" applyNumberFormat="1" applyFont="1" applyFill="1" applyBorder="1"/>
    <xf numFmtId="0" fontId="39" fillId="0" borderId="15" xfId="0" applyFont="1" applyFill="1" applyBorder="1" applyAlignment="1">
      <alignment horizontal="left" indent="1"/>
    </xf>
    <xf numFmtId="4" fontId="39" fillId="0" borderId="19" xfId="0" applyNumberFormat="1" applyFont="1" applyBorder="1"/>
    <xf numFmtId="0" fontId="39" fillId="0" borderId="4" xfId="0" applyFont="1" applyFill="1" applyBorder="1" applyAlignment="1">
      <alignment horizontal="left" indent="1"/>
    </xf>
    <xf numFmtId="2" fontId="39" fillId="0" borderId="6" xfId="0" applyNumberFormat="1" applyFont="1" applyFill="1" applyBorder="1"/>
    <xf numFmtId="0" fontId="35" fillId="0" borderId="0" xfId="0" applyFont="1" applyFill="1" applyBorder="1" applyAlignment="1">
      <alignment horizontal="right"/>
    </xf>
    <xf numFmtId="4" fontId="7" fillId="0" borderId="24" xfId="0" applyNumberFormat="1" applyFont="1" applyBorder="1"/>
    <xf numFmtId="7" fontId="3" fillId="2" borderId="25" xfId="0" applyNumberFormat="1" applyFont="1" applyFill="1" applyBorder="1"/>
    <xf numFmtId="0" fontId="9" fillId="0" borderId="0" xfId="0" applyFont="1" applyFill="1" applyBorder="1"/>
    <xf numFmtId="7" fontId="8" fillId="0" borderId="0" xfId="0" applyNumberFormat="1" applyFont="1" applyFill="1" applyBorder="1"/>
    <xf numFmtId="7" fontId="9" fillId="0" borderId="0" xfId="0" applyNumberFormat="1" applyFont="1" applyFill="1" applyBorder="1"/>
    <xf numFmtId="2" fontId="39" fillId="4" borderId="0" xfId="0" applyNumberFormat="1" applyFont="1" applyFill="1" applyBorder="1"/>
    <xf numFmtId="2" fontId="39" fillId="4" borderId="26" xfId="0" applyNumberFormat="1" applyFont="1" applyFill="1" applyBorder="1"/>
    <xf numFmtId="0" fontId="40" fillId="0" borderId="0" xfId="0" applyFont="1" applyFill="1" applyBorder="1" applyAlignment="1"/>
    <xf numFmtId="2" fontId="39" fillId="4" borderId="27" xfId="0" applyNumberFormat="1" applyFont="1" applyFill="1" applyBorder="1"/>
    <xf numFmtId="2" fontId="39" fillId="4" borderId="28" xfId="0" applyNumberFormat="1" applyFont="1" applyFill="1" applyBorder="1"/>
    <xf numFmtId="4" fontId="39" fillId="0" borderId="16" xfId="0" applyNumberFormat="1" applyFont="1" applyFill="1" applyBorder="1"/>
    <xf numFmtId="7" fontId="36" fillId="3" borderId="29" xfId="0" applyNumberFormat="1" applyFont="1" applyFill="1" applyBorder="1"/>
    <xf numFmtId="7" fontId="36" fillId="3" borderId="6" xfId="0" applyNumberFormat="1" applyFont="1" applyFill="1" applyBorder="1"/>
    <xf numFmtId="7" fontId="7" fillId="0" borderId="30" xfId="0" applyNumberFormat="1" applyFont="1" applyBorder="1"/>
    <xf numFmtId="7" fontId="39" fillId="0" borderId="31" xfId="0" applyNumberFormat="1" applyFont="1" applyBorder="1"/>
    <xf numFmtId="7" fontId="8" fillId="2" borderId="31" xfId="0" applyNumberFormat="1" applyFont="1" applyFill="1" applyBorder="1"/>
    <xf numFmtId="7" fontId="9" fillId="3" borderId="32" xfId="0" applyNumberFormat="1" applyFont="1" applyFill="1" applyBorder="1"/>
    <xf numFmtId="0" fontId="49" fillId="0" borderId="0" xfId="0" applyFont="1" applyFill="1" applyBorder="1"/>
    <xf numFmtId="164" fontId="4" fillId="22" borderId="33" xfId="0" applyNumberFormat="1" applyFont="1" applyFill="1" applyBorder="1" applyAlignment="1">
      <alignment horizontal="center" vertical="top" wrapText="1"/>
    </xf>
    <xf numFmtId="164" fontId="4" fillId="22" borderId="13" xfId="0" applyNumberFormat="1" applyFont="1" applyFill="1" applyBorder="1" applyAlignment="1">
      <alignment horizontal="center" vertical="top" wrapText="1"/>
    </xf>
    <xf numFmtId="165" fontId="7" fillId="0" borderId="34" xfId="0" applyNumberFormat="1" applyFont="1" applyFill="1" applyBorder="1"/>
    <xf numFmtId="165" fontId="7" fillId="0" borderId="17" xfId="0" applyNumberFormat="1" applyFont="1" applyFill="1" applyBorder="1"/>
    <xf numFmtId="10" fontId="39" fillId="0" borderId="1" xfId="0" applyNumberFormat="1" applyFont="1" applyFill="1" applyBorder="1"/>
    <xf numFmtId="1" fontId="39" fillId="0" borderId="34" xfId="0" applyNumberFormat="1" applyFont="1" applyBorder="1"/>
    <xf numFmtId="1" fontId="39" fillId="4" borderId="35" xfId="0" applyNumberFormat="1" applyFont="1" applyFill="1" applyBorder="1"/>
    <xf numFmtId="1" fontId="39" fillId="4" borderId="36" xfId="0" applyNumberFormat="1" applyFont="1" applyFill="1" applyBorder="1"/>
    <xf numFmtId="0" fontId="26" fillId="0" borderId="0" xfId="0" applyFont="1" applyFill="1" applyBorder="1" applyAlignment="1"/>
    <xf numFmtId="0" fontId="5" fillId="0" borderId="0" xfId="0" applyFont="1" applyFill="1" applyBorder="1" applyAlignment="1"/>
    <xf numFmtId="0" fontId="3" fillId="23" borderId="4" xfId="0" applyFont="1" applyFill="1" applyBorder="1" applyAlignment="1">
      <alignment horizontal="left" indent="1"/>
    </xf>
    <xf numFmtId="0" fontId="9" fillId="23" borderId="37" xfId="0" applyFont="1" applyFill="1" applyBorder="1"/>
    <xf numFmtId="0" fontId="3" fillId="24" borderId="3" xfId="0" applyFont="1" applyFill="1" applyBorder="1" applyAlignment="1">
      <alignment horizontal="left" indent="1"/>
    </xf>
    <xf numFmtId="0" fontId="9" fillId="24" borderId="21" xfId="0" applyFont="1" applyFill="1" applyBorder="1"/>
    <xf numFmtId="0" fontId="50" fillId="22" borderId="38" xfId="0" applyFont="1" applyFill="1" applyBorder="1" applyAlignment="1">
      <alignment horizontal="center"/>
    </xf>
    <xf numFmtId="0" fontId="4" fillId="22" borderId="38" xfId="0" applyFont="1" applyFill="1" applyBorder="1" applyAlignment="1">
      <alignment horizontal="center"/>
    </xf>
    <xf numFmtId="0" fontId="51" fillId="0" borderId="0" xfId="0" applyFont="1" applyFill="1" applyBorder="1" applyAlignment="1">
      <alignment horizontal="center" vertical="center"/>
    </xf>
    <xf numFmtId="0" fontId="1" fillId="0" borderId="0" xfId="0" applyFont="1"/>
    <xf numFmtId="0" fontId="1" fillId="0" borderId="0" xfId="0" applyFont="1" applyFill="1" applyAlignment="1">
      <alignment wrapText="1"/>
    </xf>
    <xf numFmtId="0" fontId="52" fillId="0" borderId="0" xfId="0" applyFont="1" applyFill="1" applyAlignment="1">
      <alignment horizontal="justify" vertical="center" wrapText="1"/>
    </xf>
    <xf numFmtId="0" fontId="1" fillId="0" borderId="0" xfId="0" applyFont="1" applyFill="1" applyBorder="1"/>
    <xf numFmtId="0" fontId="52" fillId="0" borderId="0" xfId="0" applyFont="1" applyFill="1" applyBorder="1" applyAlignment="1">
      <alignment horizontal="justify" vertical="center" wrapText="1"/>
    </xf>
    <xf numFmtId="0" fontId="0" fillId="0" borderId="0" xfId="0" applyFill="1" applyBorder="1"/>
    <xf numFmtId="0" fontId="1" fillId="0" borderId="0" xfId="0" applyFont="1" applyFill="1"/>
    <xf numFmtId="0" fontId="36" fillId="0" borderId="39" xfId="0" applyFont="1" applyBorder="1" applyAlignment="1">
      <alignment horizontal="right"/>
    </xf>
    <xf numFmtId="0" fontId="36" fillId="0" borderId="27" xfId="0" applyFont="1" applyBorder="1" applyAlignment="1">
      <alignment horizontal="left"/>
    </xf>
    <xf numFmtId="0" fontId="2" fillId="0" borderId="39" xfId="0" applyFont="1" applyBorder="1" applyAlignment="1">
      <alignment horizontal="right"/>
    </xf>
    <xf numFmtId="0" fontId="2" fillId="0" borderId="0" xfId="0" applyFont="1" applyBorder="1" applyAlignment="1"/>
    <xf numFmtId="0" fontId="2" fillId="0" borderId="27" xfId="0" applyFont="1" applyBorder="1" applyAlignment="1"/>
    <xf numFmtId="0" fontId="52" fillId="0" borderId="0" xfId="0" applyFont="1" applyFill="1" applyAlignment="1">
      <alignment horizontal="left" vertical="center" wrapText="1"/>
    </xf>
    <xf numFmtId="0" fontId="1" fillId="0" borderId="0" xfId="0" applyFont="1" applyAlignment="1">
      <alignment horizontal="left"/>
    </xf>
    <xf numFmtId="0" fontId="53" fillId="0" borderId="0" xfId="0" applyFont="1" applyFill="1" applyAlignment="1">
      <alignment horizontal="justify" vertical="center" wrapText="1"/>
    </xf>
    <xf numFmtId="0" fontId="54" fillId="0" borderId="0" xfId="0" applyFont="1" applyFill="1" applyAlignment="1">
      <alignment horizontal="justify" vertical="center" wrapText="1"/>
    </xf>
    <xf numFmtId="0" fontId="55" fillId="0" borderId="0" xfId="0" applyFont="1" applyFill="1" applyAlignment="1">
      <alignment horizontal="justify" vertical="center" wrapText="1"/>
    </xf>
    <xf numFmtId="0" fontId="56" fillId="0" borderId="0" xfId="0" applyFont="1" applyFill="1" applyAlignment="1">
      <alignment horizontal="justify" vertical="center" wrapText="1"/>
    </xf>
    <xf numFmtId="0" fontId="1" fillId="0" borderId="0" xfId="0" applyFont="1" applyAlignment="1">
      <alignment wrapText="1"/>
    </xf>
    <xf numFmtId="0" fontId="3" fillId="0" borderId="37" xfId="0" applyFont="1" applyFill="1" applyBorder="1" applyAlignment="1">
      <alignment horizontal="left" indent="1"/>
    </xf>
    <xf numFmtId="7" fontId="3" fillId="0" borderId="26" xfId="0" applyNumberFormat="1" applyFont="1" applyFill="1" applyBorder="1"/>
    <xf numFmtId="7" fontId="3" fillId="0" borderId="9" xfId="0" applyNumberFormat="1" applyFont="1" applyFill="1" applyBorder="1"/>
    <xf numFmtId="7" fontId="3" fillId="0" borderId="40" xfId="0" applyNumberFormat="1" applyFont="1" applyFill="1" applyBorder="1"/>
    <xf numFmtId="0" fontId="3" fillId="23" borderId="114" xfId="0" applyFont="1" applyFill="1" applyBorder="1" applyAlignment="1">
      <alignment horizontal="left" indent="1"/>
    </xf>
    <xf numFmtId="7" fontId="36" fillId="3" borderId="115" xfId="0" applyNumberFormat="1" applyFont="1" applyFill="1" applyBorder="1"/>
    <xf numFmtId="7" fontId="36" fillId="3" borderId="116" xfId="0" applyNumberFormat="1" applyFont="1" applyFill="1" applyBorder="1"/>
    <xf numFmtId="7" fontId="36" fillId="3" borderId="117" xfId="0" applyNumberFormat="1" applyFont="1" applyFill="1" applyBorder="1"/>
    <xf numFmtId="0" fontId="9" fillId="0" borderId="0" xfId="0" applyFont="1" applyFill="1" applyBorder="1" applyAlignment="1">
      <alignment horizontal="left"/>
    </xf>
    <xf numFmtId="14" fontId="57" fillId="0" borderId="0" xfId="0" applyNumberFormat="1" applyFont="1" applyFill="1" applyBorder="1" applyAlignment="1">
      <alignment horizontal="center"/>
    </xf>
    <xf numFmtId="174" fontId="39" fillId="0" borderId="0" xfId="0" applyNumberFormat="1" applyFont="1" applyFill="1" applyBorder="1"/>
    <xf numFmtId="174" fontId="7" fillId="0" borderId="0" xfId="0" applyNumberFormat="1" applyFont="1" applyFill="1" applyBorder="1"/>
    <xf numFmtId="2" fontId="7" fillId="0" borderId="0" xfId="0" applyNumberFormat="1" applyFont="1" applyFill="1" applyBorder="1"/>
    <xf numFmtId="43" fontId="7" fillId="0" borderId="0" xfId="0" applyNumberFormat="1" applyFont="1" applyBorder="1"/>
    <xf numFmtId="2" fontId="36" fillId="0" borderId="0" xfId="0" applyNumberFormat="1" applyFont="1" applyFill="1" applyBorder="1" applyAlignment="1">
      <alignment horizontal="center"/>
    </xf>
    <xf numFmtId="2" fontId="7" fillId="0" borderId="0" xfId="1" applyNumberFormat="1" applyFont="1" applyBorder="1" applyAlignment="1">
      <alignment horizontal="right"/>
    </xf>
    <xf numFmtId="173" fontId="36" fillId="0" borderId="0" xfId="1" applyNumberFormat="1" applyFont="1" applyFill="1" applyBorder="1" applyAlignment="1">
      <alignment horizontal="center"/>
    </xf>
    <xf numFmtId="0" fontId="7" fillId="0" borderId="0" xfId="0" applyFont="1" applyBorder="1" applyAlignment="1">
      <alignment horizontal="center"/>
    </xf>
    <xf numFmtId="0" fontId="3" fillId="0" borderId="0" xfId="0" applyFont="1" applyBorder="1"/>
    <xf numFmtId="7" fontId="3" fillId="0" borderId="0" xfId="0" applyNumberFormat="1" applyFont="1" applyBorder="1"/>
    <xf numFmtId="43" fontId="3" fillId="0" borderId="0" xfId="0" applyNumberFormat="1" applyFont="1" applyBorder="1"/>
    <xf numFmtId="43" fontId="3" fillId="0" borderId="0" xfId="1" applyFont="1" applyBorder="1"/>
    <xf numFmtId="0" fontId="3" fillId="0" borderId="41" xfId="0" applyFont="1" applyBorder="1"/>
    <xf numFmtId="43" fontId="3" fillId="0" borderId="41" xfId="1" applyFont="1" applyBorder="1"/>
    <xf numFmtId="167" fontId="3" fillId="0" borderId="0" xfId="0" applyNumberFormat="1" applyFont="1" applyBorder="1" applyAlignment="1">
      <alignment vertical="center"/>
    </xf>
    <xf numFmtId="7" fontId="9" fillId="0" borderId="0" xfId="0" applyNumberFormat="1" applyFont="1" applyFill="1" applyBorder="1" applyAlignment="1">
      <alignment horizontal="right"/>
    </xf>
    <xf numFmtId="0" fontId="46" fillId="16" borderId="85" xfId="0" applyFont="1" applyFill="1" applyBorder="1"/>
    <xf numFmtId="0" fontId="46" fillId="16" borderId="118" xfId="0" applyFont="1" applyFill="1" applyBorder="1"/>
    <xf numFmtId="0" fontId="32" fillId="25" borderId="74" xfId="0" applyFont="1" applyFill="1" applyBorder="1" applyAlignment="1">
      <alignment horizontal="center" vertical="center" wrapText="1"/>
    </xf>
    <xf numFmtId="0" fontId="45" fillId="25" borderId="75" xfId="0" applyFont="1" applyFill="1" applyBorder="1" applyAlignment="1">
      <alignment horizontal="center" vertical="center"/>
    </xf>
    <xf numFmtId="0" fontId="58" fillId="25" borderId="119" xfId="0" applyFont="1" applyFill="1" applyBorder="1" applyAlignment="1">
      <alignment horizontal="center" vertical="center"/>
    </xf>
    <xf numFmtId="0" fontId="45" fillId="25" borderId="120" xfId="0" applyFont="1" applyFill="1" applyBorder="1" applyAlignment="1">
      <alignment horizontal="center" vertical="center"/>
    </xf>
    <xf numFmtId="0" fontId="58" fillId="26" borderId="121" xfId="0" applyFont="1" applyFill="1" applyBorder="1" applyAlignment="1">
      <alignment horizontal="center" vertical="center"/>
    </xf>
    <xf numFmtId="0" fontId="32" fillId="27" borderId="122" xfId="0" applyFont="1" applyFill="1" applyBorder="1" applyAlignment="1">
      <alignment horizontal="center" vertical="center" wrapText="1"/>
    </xf>
    <xf numFmtId="0" fontId="45" fillId="27" borderId="123" xfId="0" applyFont="1" applyFill="1" applyBorder="1" applyAlignment="1">
      <alignment horizontal="center" vertical="center"/>
    </xf>
    <xf numFmtId="0" fontId="58" fillId="27" borderId="124" xfId="0" applyFont="1" applyFill="1" applyBorder="1" applyAlignment="1">
      <alignment horizontal="center" vertical="center"/>
    </xf>
    <xf numFmtId="0" fontId="58" fillId="28" borderId="125" xfId="0" applyFont="1" applyFill="1" applyBorder="1" applyAlignment="1">
      <alignment horizontal="center" vertical="center"/>
    </xf>
    <xf numFmtId="0" fontId="0" fillId="26" borderId="126" xfId="0" applyFill="1" applyBorder="1" applyAlignment="1">
      <alignment vertical="center" wrapText="1"/>
    </xf>
    <xf numFmtId="0" fontId="0" fillId="28" borderId="122" xfId="0" applyFill="1" applyBorder="1" applyAlignment="1">
      <alignment vertical="center" wrapText="1"/>
    </xf>
    <xf numFmtId="0" fontId="0" fillId="26" borderId="79" xfId="0" applyFont="1" applyFill="1" applyBorder="1" applyAlignment="1">
      <alignment horizontal="right" vertical="center" wrapText="1"/>
    </xf>
    <xf numFmtId="10" fontId="0" fillId="26" borderId="75" xfId="0" applyNumberFormat="1" applyFill="1" applyBorder="1" applyAlignment="1">
      <alignment vertical="center"/>
    </xf>
    <xf numFmtId="164" fontId="31" fillId="26" borderId="75" xfId="4" applyNumberFormat="1" applyFont="1" applyFill="1" applyBorder="1" applyAlignment="1">
      <alignment vertical="center"/>
    </xf>
    <xf numFmtId="168" fontId="31" fillId="26" borderId="75" xfId="4" applyNumberFormat="1" applyFont="1" applyFill="1" applyBorder="1" applyAlignment="1">
      <alignment vertical="center"/>
    </xf>
    <xf numFmtId="0" fontId="0" fillId="28" borderId="125" xfId="0" applyFont="1" applyFill="1" applyBorder="1" applyAlignment="1">
      <alignment horizontal="right" vertical="center" wrapText="1"/>
    </xf>
    <xf numFmtId="10" fontId="0" fillId="28" borderId="123" xfId="0" applyNumberFormat="1" applyFill="1" applyBorder="1" applyAlignment="1">
      <alignment vertical="center"/>
    </xf>
    <xf numFmtId="164" fontId="31" fillId="28" borderId="123" xfId="4" applyNumberFormat="1" applyFont="1" applyFill="1" applyBorder="1" applyAlignment="1">
      <alignment vertical="center"/>
    </xf>
    <xf numFmtId="168" fontId="31" fillId="28" borderId="123" xfId="4" applyNumberFormat="1" applyFont="1" applyFill="1" applyBorder="1" applyAlignment="1">
      <alignment vertical="center"/>
    </xf>
    <xf numFmtId="10" fontId="31" fillId="28" borderId="123" xfId="4" applyNumberFormat="1" applyFont="1" applyFill="1" applyBorder="1" applyAlignment="1">
      <alignment vertical="center"/>
    </xf>
    <xf numFmtId="168" fontId="0" fillId="26" borderId="75" xfId="0" applyNumberFormat="1" applyFill="1" applyBorder="1" applyAlignment="1">
      <alignment vertical="center" wrapText="1"/>
    </xf>
    <xf numFmtId="0" fontId="0" fillId="26" borderId="75" xfId="0" applyFill="1" applyBorder="1" applyAlignment="1">
      <alignment vertical="center"/>
    </xf>
    <xf numFmtId="0" fontId="0" fillId="26" borderId="77" xfId="0" applyFill="1" applyBorder="1" applyAlignment="1">
      <alignment vertical="center"/>
    </xf>
    <xf numFmtId="168" fontId="0" fillId="28" borderId="123" xfId="0" applyNumberFormat="1" applyFill="1" applyBorder="1" applyAlignment="1">
      <alignment vertical="center" wrapText="1"/>
    </xf>
    <xf numFmtId="0" fontId="0" fillId="28" borderId="123" xfId="0" applyFill="1" applyBorder="1" applyAlignment="1">
      <alignment vertical="center"/>
    </xf>
    <xf numFmtId="0" fontId="0" fillId="28" borderId="104" xfId="0" applyFill="1" applyBorder="1" applyAlignment="1">
      <alignment vertical="center"/>
    </xf>
    <xf numFmtId="0" fontId="0" fillId="26" borderId="5" xfId="0" applyFont="1" applyFill="1" applyBorder="1" applyAlignment="1">
      <alignment vertical="center" wrapText="1"/>
    </xf>
    <xf numFmtId="0" fontId="0" fillId="26" borderId="5" xfId="0" applyFont="1" applyFill="1" applyBorder="1" applyAlignment="1">
      <alignment horizontal="center" vertical="center" wrapText="1"/>
    </xf>
    <xf numFmtId="0" fontId="0" fillId="28" borderId="6" xfId="0" applyFont="1" applyFill="1" applyBorder="1" applyAlignment="1">
      <alignment vertical="center" wrapText="1"/>
    </xf>
    <xf numFmtId="0" fontId="0" fillId="28" borderId="6" xfId="0" applyFont="1" applyFill="1" applyBorder="1" applyAlignment="1">
      <alignment horizontal="center" vertical="center" wrapText="1"/>
    </xf>
    <xf numFmtId="0" fontId="45" fillId="9" borderId="105" xfId="0" applyFont="1" applyFill="1" applyBorder="1" applyAlignment="1">
      <alignment vertical="center"/>
    </xf>
    <xf numFmtId="164" fontId="44" fillId="6" borderId="10" xfId="4" applyNumberFormat="1" applyFont="1" applyFill="1" applyBorder="1" applyAlignment="1">
      <alignment vertical="center" wrapText="1"/>
    </xf>
    <xf numFmtId="164" fontId="44" fillId="5" borderId="14" xfId="4" applyNumberFormat="1" applyFont="1" applyFill="1" applyBorder="1" applyAlignment="1">
      <alignment vertical="center" wrapText="1"/>
    </xf>
    <xf numFmtId="10" fontId="31" fillId="26" borderId="19" xfId="3" applyNumberFormat="1" applyFont="1" applyFill="1" applyBorder="1" applyAlignment="1">
      <alignment horizontal="right" vertical="center" wrapText="1"/>
    </xf>
    <xf numFmtId="10" fontId="31" fillId="28" borderId="6" xfId="3" applyNumberFormat="1" applyFont="1" applyFill="1" applyBorder="1" applyAlignment="1">
      <alignment horizontal="right" vertical="center" wrapText="1"/>
    </xf>
    <xf numFmtId="0" fontId="0" fillId="26" borderId="42" xfId="0" applyFont="1" applyFill="1" applyBorder="1" applyAlignment="1">
      <alignment horizontal="left" vertical="center" wrapText="1"/>
    </xf>
    <xf numFmtId="0" fontId="0" fillId="28" borderId="43" xfId="0" applyFont="1" applyFill="1" applyBorder="1" applyAlignment="1">
      <alignment horizontal="left" vertical="center" wrapText="1"/>
    </xf>
    <xf numFmtId="10" fontId="31" fillId="26" borderId="44" xfId="3" applyNumberFormat="1" applyFont="1" applyFill="1" applyBorder="1" applyAlignment="1">
      <alignment horizontal="right" vertical="center" wrapText="1"/>
    </xf>
    <xf numFmtId="10" fontId="31" fillId="28" borderId="45" xfId="3" applyNumberFormat="1" applyFont="1" applyFill="1" applyBorder="1" applyAlignment="1">
      <alignment horizontal="right" vertical="center" wrapText="1"/>
    </xf>
    <xf numFmtId="0" fontId="58" fillId="9" borderId="119" xfId="0" applyFont="1" applyFill="1" applyBorder="1" applyAlignment="1">
      <alignment horizontal="center" vertical="center"/>
    </xf>
    <xf numFmtId="0" fontId="58" fillId="10" borderId="127" xfId="0" applyFont="1" applyFill="1" applyBorder="1" applyAlignment="1">
      <alignment horizontal="center" vertical="center"/>
    </xf>
    <xf numFmtId="0" fontId="58" fillId="9" borderId="127" xfId="0" applyFont="1" applyFill="1" applyBorder="1" applyAlignment="1">
      <alignment horizontal="center"/>
    </xf>
    <xf numFmtId="0" fontId="58" fillId="10" borderId="127" xfId="0" applyFont="1" applyFill="1" applyBorder="1" applyAlignment="1">
      <alignment horizontal="center"/>
    </xf>
    <xf numFmtId="0" fontId="58" fillId="10" borderId="128" xfId="0" applyFont="1" applyFill="1" applyBorder="1" applyAlignment="1">
      <alignment horizontal="center"/>
    </xf>
    <xf numFmtId="0" fontId="58" fillId="11" borderId="129" xfId="0" applyFont="1" applyFill="1" applyBorder="1" applyAlignment="1">
      <alignment horizontal="center"/>
    </xf>
    <xf numFmtId="0" fontId="58" fillId="12" borderId="127" xfId="0" applyFont="1" applyFill="1" applyBorder="1" applyAlignment="1">
      <alignment horizontal="center"/>
    </xf>
    <xf numFmtId="0" fontId="58" fillId="11" borderId="127" xfId="0" applyFont="1" applyFill="1" applyBorder="1" applyAlignment="1">
      <alignment horizontal="center"/>
    </xf>
    <xf numFmtId="0" fontId="58" fillId="12" borderId="128" xfId="0" applyFont="1" applyFill="1" applyBorder="1" applyAlignment="1">
      <alignment horizontal="center"/>
    </xf>
    <xf numFmtId="0" fontId="58" fillId="13" borderId="129" xfId="0" applyFont="1" applyFill="1" applyBorder="1" applyAlignment="1">
      <alignment horizontal="center"/>
    </xf>
    <xf numFmtId="0" fontId="58" fillId="14" borderId="127" xfId="0" applyFont="1" applyFill="1" applyBorder="1" applyAlignment="1">
      <alignment horizontal="center"/>
    </xf>
    <xf numFmtId="0" fontId="58" fillId="13" borderId="127" xfId="0" applyFont="1" applyFill="1" applyBorder="1" applyAlignment="1">
      <alignment horizontal="center"/>
    </xf>
    <xf numFmtId="0" fontId="58" fillId="14" borderId="128" xfId="0" applyFont="1" applyFill="1" applyBorder="1" applyAlignment="1">
      <alignment horizontal="center"/>
    </xf>
    <xf numFmtId="0" fontId="58" fillId="15" borderId="129" xfId="0" applyFont="1" applyFill="1" applyBorder="1" applyAlignment="1">
      <alignment horizontal="center"/>
    </xf>
    <xf numFmtId="0" fontId="58" fillId="15" borderId="128" xfId="0" applyFont="1" applyFill="1" applyBorder="1" applyAlignment="1">
      <alignment horizontal="center"/>
    </xf>
    <xf numFmtId="0" fontId="58" fillId="16" borderId="129" xfId="0" applyFont="1" applyFill="1" applyBorder="1" applyAlignment="1">
      <alignment horizontal="center"/>
    </xf>
    <xf numFmtId="0" fontId="58" fillId="16" borderId="130" xfId="0" applyFont="1" applyFill="1" applyBorder="1" applyAlignment="1">
      <alignment horizontal="center"/>
    </xf>
    <xf numFmtId="10" fontId="39" fillId="0" borderId="5" xfId="0" applyNumberFormat="1" applyFont="1" applyFill="1" applyBorder="1" applyAlignment="1">
      <alignment horizontal="right"/>
    </xf>
    <xf numFmtId="10" fontId="39" fillId="0" borderId="1" xfId="0" applyNumberFormat="1" applyFont="1" applyFill="1" applyBorder="1" applyAlignment="1">
      <alignment horizontal="right"/>
    </xf>
    <xf numFmtId="10" fontId="39" fillId="26" borderId="75" xfId="0" applyNumberFormat="1" applyFont="1" applyFill="1" applyBorder="1" applyAlignment="1">
      <alignment vertical="center" wrapText="1"/>
    </xf>
    <xf numFmtId="10" fontId="0" fillId="28" borderId="123" xfId="0" applyNumberFormat="1" applyFont="1" applyFill="1" applyBorder="1" applyAlignment="1">
      <alignment vertical="center" wrapText="1"/>
    </xf>
    <xf numFmtId="0" fontId="4" fillId="22" borderId="38" xfId="0" applyFont="1" applyFill="1" applyBorder="1" applyAlignment="1">
      <alignment horizontal="left"/>
    </xf>
    <xf numFmtId="0" fontId="0" fillId="0" borderId="0" xfId="0" applyFill="1" applyAlignment="1">
      <alignment vertical="center" wrapText="1"/>
    </xf>
    <xf numFmtId="0" fontId="58" fillId="26" borderId="131" xfId="0" applyFont="1" applyFill="1" applyBorder="1" applyAlignment="1">
      <alignment horizontal="center" vertical="center"/>
    </xf>
    <xf numFmtId="0" fontId="45" fillId="26" borderId="132" xfId="0" applyFont="1" applyFill="1" applyBorder="1" applyAlignment="1">
      <alignment horizontal="center" vertical="center" wrapText="1"/>
    </xf>
    <xf numFmtId="0" fontId="59" fillId="26" borderId="79" xfId="0" applyFont="1" applyFill="1" applyBorder="1" applyAlignment="1">
      <alignment horizontal="center" vertical="center" wrapText="1"/>
    </xf>
    <xf numFmtId="0" fontId="58" fillId="28" borderId="123" xfId="0" applyFont="1" applyFill="1" applyBorder="1" applyAlignment="1">
      <alignment horizontal="center" vertical="center"/>
    </xf>
    <xf numFmtId="0" fontId="59" fillId="28" borderId="125" xfId="0" applyFont="1" applyFill="1" applyBorder="1" applyAlignment="1">
      <alignment horizontal="center" vertical="center" wrapText="1"/>
    </xf>
    <xf numFmtId="0" fontId="32" fillId="9" borderId="96" xfId="0" applyFont="1" applyFill="1" applyBorder="1" applyAlignment="1">
      <alignment vertical="center"/>
    </xf>
    <xf numFmtId="0" fontId="45" fillId="9" borderId="79" xfId="0" applyFont="1" applyFill="1" applyBorder="1" applyAlignment="1">
      <alignment horizontal="center" vertical="center"/>
    </xf>
    <xf numFmtId="0" fontId="58" fillId="9" borderId="129" xfId="0" applyFont="1" applyFill="1" applyBorder="1" applyAlignment="1">
      <alignment horizontal="center" vertical="center"/>
    </xf>
    <xf numFmtId="0" fontId="58" fillId="9" borderId="84" xfId="0" applyFont="1" applyFill="1" applyBorder="1" applyAlignment="1">
      <alignment horizontal="center" vertical="center"/>
    </xf>
    <xf numFmtId="0" fontId="45" fillId="9" borderId="132" xfId="0" applyFont="1" applyFill="1" applyBorder="1" applyAlignment="1">
      <alignment horizontal="center" vertical="center"/>
    </xf>
    <xf numFmtId="0" fontId="59" fillId="9" borderId="79" xfId="0" applyFont="1" applyFill="1" applyBorder="1" applyAlignment="1">
      <alignment horizontal="center" vertical="center" wrapText="1"/>
    </xf>
    <xf numFmtId="10" fontId="0" fillId="9" borderId="79" xfId="0" applyNumberFormat="1" applyFill="1" applyBorder="1" applyAlignment="1">
      <alignment vertical="center"/>
    </xf>
    <xf numFmtId="164" fontId="31" fillId="9" borderId="79" xfId="4" applyNumberFormat="1" applyFont="1" applyFill="1" applyBorder="1" applyAlignment="1">
      <alignment vertical="center"/>
    </xf>
    <xf numFmtId="168" fontId="31" fillId="9" borderId="79" xfId="4" applyNumberFormat="1" applyFont="1" applyFill="1" applyBorder="1" applyAlignment="1">
      <alignment vertical="center"/>
    </xf>
    <xf numFmtId="168" fontId="0" fillId="9" borderId="79" xfId="0" applyNumberFormat="1" applyFill="1" applyBorder="1" applyAlignment="1">
      <alignment vertical="center" wrapText="1"/>
    </xf>
    <xf numFmtId="0" fontId="0" fillId="9" borderId="79" xfId="0" applyFill="1" applyBorder="1" applyAlignment="1">
      <alignment horizontal="center" vertical="center"/>
    </xf>
    <xf numFmtId="0" fontId="45" fillId="10" borderId="84" xfId="0" applyFont="1" applyFill="1" applyBorder="1" applyAlignment="1">
      <alignment horizontal="center" vertical="center"/>
    </xf>
    <xf numFmtId="0" fontId="58" fillId="10" borderId="84" xfId="0" applyFont="1" applyFill="1" applyBorder="1" applyAlignment="1">
      <alignment horizontal="center" vertical="center"/>
    </xf>
    <xf numFmtId="0" fontId="45" fillId="10" borderId="133" xfId="0" applyFont="1" applyFill="1" applyBorder="1" applyAlignment="1">
      <alignment horizontal="center" vertical="center"/>
    </xf>
    <xf numFmtId="0" fontId="59" fillId="10" borderId="88" xfId="0" applyFont="1" applyFill="1" applyBorder="1" applyAlignment="1">
      <alignment horizontal="center" vertical="center" wrapText="1"/>
    </xf>
    <xf numFmtId="0" fontId="0" fillId="10" borderId="89" xfId="0" applyFill="1" applyBorder="1" applyAlignment="1">
      <alignment horizontal="center" vertical="center"/>
    </xf>
    <xf numFmtId="0" fontId="45" fillId="9" borderId="84" xfId="0" applyFont="1" applyFill="1" applyBorder="1" applyAlignment="1">
      <alignment horizontal="center" vertical="center"/>
    </xf>
    <xf numFmtId="0" fontId="58" fillId="9" borderId="127" xfId="0" applyFont="1" applyFill="1" applyBorder="1" applyAlignment="1">
      <alignment horizontal="center" vertical="center"/>
    </xf>
    <xf numFmtId="0" fontId="45" fillId="9" borderId="86" xfId="0" applyFont="1" applyFill="1" applyBorder="1" applyAlignment="1">
      <alignment horizontal="center" vertical="center"/>
    </xf>
    <xf numFmtId="0" fontId="59" fillId="9" borderId="88" xfId="0" applyFont="1" applyFill="1" applyBorder="1" applyAlignment="1">
      <alignment horizontal="center" vertical="center" wrapText="1"/>
    </xf>
    <xf numFmtId="0" fontId="0" fillId="9" borderId="89" xfId="0" applyFill="1" applyBorder="1" applyAlignment="1">
      <alignment horizontal="center"/>
    </xf>
    <xf numFmtId="10" fontId="0" fillId="9" borderId="89" xfId="0" applyNumberFormat="1" applyFill="1" applyBorder="1" applyAlignment="1">
      <alignment vertical="center" wrapText="1"/>
    </xf>
    <xf numFmtId="0" fontId="45" fillId="10" borderId="86" xfId="0" applyFont="1" applyFill="1" applyBorder="1" applyAlignment="1">
      <alignment horizontal="center" vertical="center"/>
    </xf>
    <xf numFmtId="0" fontId="0" fillId="10" borderId="89" xfId="0" applyFill="1" applyBorder="1" applyAlignment="1">
      <alignment horizontal="center"/>
    </xf>
    <xf numFmtId="0" fontId="45" fillId="9" borderId="134" xfId="0" applyFont="1" applyFill="1" applyBorder="1" applyAlignment="1">
      <alignment horizontal="center" vertical="center"/>
    </xf>
    <xf numFmtId="0" fontId="45" fillId="10" borderId="127" xfId="0" applyFont="1" applyFill="1" applyBorder="1" applyAlignment="1">
      <alignment horizontal="center" vertical="center"/>
    </xf>
    <xf numFmtId="0" fontId="45" fillId="9" borderId="127" xfId="0" applyFont="1" applyFill="1" applyBorder="1" applyAlignment="1">
      <alignment horizontal="center" vertical="center"/>
    </xf>
    <xf numFmtId="0" fontId="45" fillId="10" borderId="93" xfId="0" applyFont="1" applyFill="1" applyBorder="1" applyAlignment="1">
      <alignment horizontal="center" vertical="center"/>
    </xf>
    <xf numFmtId="0" fontId="58" fillId="10" borderId="128" xfId="0" applyFont="1" applyFill="1" applyBorder="1" applyAlignment="1">
      <alignment horizontal="center" vertical="center"/>
    </xf>
    <xf numFmtId="0" fontId="58" fillId="10" borderId="135" xfId="0" applyFont="1" applyFill="1" applyBorder="1" applyAlignment="1">
      <alignment horizontal="center" vertical="center"/>
    </xf>
    <xf numFmtId="0" fontId="45" fillId="10" borderId="136" xfId="0" applyFont="1" applyFill="1" applyBorder="1" applyAlignment="1">
      <alignment horizontal="center" vertical="center"/>
    </xf>
    <xf numFmtId="0" fontId="59" fillId="10" borderId="93" xfId="0" applyFont="1" applyFill="1" applyBorder="1" applyAlignment="1">
      <alignment horizontal="center" vertical="center" wrapText="1"/>
    </xf>
    <xf numFmtId="10" fontId="0" fillId="10" borderId="93" xfId="0" applyNumberFormat="1" applyFill="1" applyBorder="1" applyAlignment="1">
      <alignment vertical="center" wrapText="1"/>
    </xf>
    <xf numFmtId="0" fontId="0" fillId="10" borderId="93" xfId="0" applyFill="1" applyBorder="1" applyAlignment="1">
      <alignment horizontal="center"/>
    </xf>
    <xf numFmtId="0" fontId="45" fillId="11" borderId="79" xfId="0" applyFont="1" applyFill="1" applyBorder="1" applyAlignment="1">
      <alignment horizontal="center" vertical="center"/>
    </xf>
    <xf numFmtId="0" fontId="58" fillId="11" borderId="129" xfId="0" applyFont="1" applyFill="1" applyBorder="1" applyAlignment="1">
      <alignment horizontal="center" vertical="center"/>
    </xf>
    <xf numFmtId="0" fontId="58" fillId="11" borderId="84" xfId="0" applyFont="1" applyFill="1" applyBorder="1" applyAlignment="1">
      <alignment horizontal="center" vertical="center"/>
    </xf>
    <xf numFmtId="0" fontId="45" fillId="11" borderId="137" xfId="0" applyFont="1" applyFill="1" applyBorder="1" applyAlignment="1">
      <alignment horizontal="center" vertical="center"/>
    </xf>
    <xf numFmtId="0" fontId="59" fillId="11" borderId="79" xfId="0" applyFont="1" applyFill="1" applyBorder="1" applyAlignment="1">
      <alignment horizontal="center" vertical="center" wrapText="1"/>
    </xf>
    <xf numFmtId="10" fontId="0" fillId="11" borderId="79" xfId="0" applyNumberFormat="1" applyFill="1" applyBorder="1" applyAlignment="1">
      <alignment vertical="center" wrapText="1"/>
    </xf>
    <xf numFmtId="0" fontId="0" fillId="11" borderId="79" xfId="0" applyFill="1" applyBorder="1" applyAlignment="1">
      <alignment horizontal="center"/>
    </xf>
    <xf numFmtId="0" fontId="45" fillId="12" borderId="84" xfId="0" applyFont="1" applyFill="1" applyBorder="1" applyAlignment="1">
      <alignment horizontal="center" vertical="center"/>
    </xf>
    <xf numFmtId="0" fontId="58" fillId="12" borderId="127" xfId="0" applyFont="1" applyFill="1" applyBorder="1" applyAlignment="1">
      <alignment horizontal="center" vertical="center"/>
    </xf>
    <xf numFmtId="0" fontId="58" fillId="12" borderId="84" xfId="0" applyFont="1" applyFill="1" applyBorder="1" applyAlignment="1">
      <alignment horizontal="center" vertical="center"/>
    </xf>
    <xf numFmtId="0" fontId="45" fillId="12" borderId="127" xfId="0" applyFont="1" applyFill="1" applyBorder="1" applyAlignment="1">
      <alignment horizontal="center" vertical="center"/>
    </xf>
    <xf numFmtId="0" fontId="59" fillId="12" borderId="88" xfId="0" applyFont="1" applyFill="1" applyBorder="1" applyAlignment="1">
      <alignment horizontal="center" vertical="center" wrapText="1"/>
    </xf>
    <xf numFmtId="0" fontId="0" fillId="12" borderId="84" xfId="0" applyFill="1" applyBorder="1"/>
    <xf numFmtId="0" fontId="0" fillId="12" borderId="89" xfId="0" applyFill="1" applyBorder="1" applyAlignment="1">
      <alignment horizontal="center"/>
    </xf>
    <xf numFmtId="10" fontId="0" fillId="12" borderId="89" xfId="0" applyNumberFormat="1" applyFill="1" applyBorder="1" applyAlignment="1">
      <alignment vertical="center" wrapText="1"/>
    </xf>
    <xf numFmtId="0" fontId="45" fillId="11" borderId="84" xfId="0" applyFont="1" applyFill="1" applyBorder="1" applyAlignment="1">
      <alignment horizontal="center" vertical="center"/>
    </xf>
    <xf numFmtId="0" fontId="58" fillId="11" borderId="127" xfId="0" applyFont="1" applyFill="1" applyBorder="1" applyAlignment="1">
      <alignment horizontal="center" vertical="center"/>
    </xf>
    <xf numFmtId="0" fontId="45" fillId="11" borderId="127" xfId="0" applyFont="1" applyFill="1" applyBorder="1" applyAlignment="1">
      <alignment horizontal="center" vertical="center"/>
    </xf>
    <xf numFmtId="0" fontId="59" fillId="11" borderId="88" xfId="0" applyFont="1" applyFill="1" applyBorder="1" applyAlignment="1">
      <alignment horizontal="center" vertical="center" wrapText="1"/>
    </xf>
    <xf numFmtId="0" fontId="0" fillId="11" borderId="89" xfId="0" applyFill="1" applyBorder="1" applyAlignment="1">
      <alignment horizontal="center"/>
    </xf>
    <xf numFmtId="10" fontId="0" fillId="11" borderId="89" xfId="0" applyNumberFormat="1" applyFill="1" applyBorder="1" applyAlignment="1">
      <alignment vertical="center" wrapText="1"/>
    </xf>
    <xf numFmtId="0" fontId="45" fillId="11" borderId="134" xfId="0" applyFont="1" applyFill="1" applyBorder="1" applyAlignment="1">
      <alignment horizontal="center" vertical="center"/>
    </xf>
    <xf numFmtId="0" fontId="45" fillId="12" borderId="93" xfId="0" applyFont="1" applyFill="1" applyBorder="1" applyAlignment="1">
      <alignment horizontal="center" vertical="center"/>
    </xf>
    <xf numFmtId="0" fontId="58" fillId="12" borderId="128" xfId="0" applyFont="1" applyFill="1" applyBorder="1" applyAlignment="1">
      <alignment horizontal="center" vertical="center"/>
    </xf>
    <xf numFmtId="0" fontId="58" fillId="12" borderId="135" xfId="0" applyFont="1" applyFill="1" applyBorder="1" applyAlignment="1">
      <alignment horizontal="center" vertical="center"/>
    </xf>
    <xf numFmtId="0" fontId="45" fillId="12" borderId="136" xfId="0" applyFont="1" applyFill="1" applyBorder="1" applyAlignment="1">
      <alignment horizontal="center" vertical="center"/>
    </xf>
    <xf numFmtId="0" fontId="59" fillId="12" borderId="93" xfId="0" applyFont="1" applyFill="1" applyBorder="1" applyAlignment="1">
      <alignment horizontal="center" vertical="center" wrapText="1"/>
    </xf>
    <xf numFmtId="10" fontId="0" fillId="12" borderId="93" xfId="0" applyNumberFormat="1" applyFill="1" applyBorder="1" applyAlignment="1">
      <alignment vertical="center" wrapText="1"/>
    </xf>
    <xf numFmtId="0" fontId="0" fillId="12" borderId="93" xfId="0" applyFill="1" applyBorder="1" applyAlignment="1">
      <alignment horizontal="center"/>
    </xf>
    <xf numFmtId="0" fontId="45" fillId="13" borderId="79" xfId="0" applyFont="1" applyFill="1" applyBorder="1" applyAlignment="1">
      <alignment horizontal="center" vertical="center"/>
    </xf>
    <xf numFmtId="0" fontId="58" fillId="13" borderId="129" xfId="0" applyFont="1" applyFill="1" applyBorder="1" applyAlignment="1">
      <alignment horizontal="center" vertical="center"/>
    </xf>
    <xf numFmtId="0" fontId="58" fillId="13" borderId="84" xfId="0" applyFont="1" applyFill="1" applyBorder="1" applyAlignment="1">
      <alignment horizontal="center" vertical="center"/>
    </xf>
    <xf numFmtId="0" fontId="45" fillId="13" borderId="127" xfId="0" applyFont="1" applyFill="1" applyBorder="1" applyAlignment="1">
      <alignment horizontal="center" vertical="center"/>
    </xf>
    <xf numFmtId="0" fontId="59" fillId="13" borderId="79" xfId="0" applyFont="1" applyFill="1" applyBorder="1" applyAlignment="1">
      <alignment horizontal="center" vertical="center" wrapText="1"/>
    </xf>
    <xf numFmtId="0" fontId="0" fillId="13" borderId="79" xfId="0" applyFill="1" applyBorder="1" applyAlignment="1">
      <alignment horizontal="center"/>
    </xf>
    <xf numFmtId="0" fontId="45" fillId="14" borderId="84" xfId="0" applyFont="1" applyFill="1" applyBorder="1" applyAlignment="1">
      <alignment horizontal="center" vertical="center"/>
    </xf>
    <xf numFmtId="0" fontId="58" fillId="14" borderId="127" xfId="0" applyFont="1" applyFill="1" applyBorder="1" applyAlignment="1">
      <alignment horizontal="center" vertical="center"/>
    </xf>
    <xf numFmtId="0" fontId="58" fillId="14" borderId="84" xfId="0" applyFont="1" applyFill="1" applyBorder="1" applyAlignment="1">
      <alignment horizontal="center" vertical="center"/>
    </xf>
    <xf numFmtId="0" fontId="45" fillId="14" borderId="134" xfId="0" applyFont="1" applyFill="1" applyBorder="1" applyAlignment="1">
      <alignment horizontal="center" vertical="center"/>
    </xf>
    <xf numFmtId="0" fontId="59" fillId="14" borderId="88" xfId="0" applyFont="1" applyFill="1" applyBorder="1" applyAlignment="1">
      <alignment horizontal="center" vertical="center" wrapText="1"/>
    </xf>
    <xf numFmtId="0" fontId="0" fillId="14" borderId="89" xfId="0" applyFill="1" applyBorder="1" applyAlignment="1">
      <alignment horizontal="center"/>
    </xf>
    <xf numFmtId="0" fontId="45" fillId="13" borderId="84" xfId="0" applyFont="1" applyFill="1" applyBorder="1" applyAlignment="1">
      <alignment horizontal="center" vertical="center"/>
    </xf>
    <xf numFmtId="0" fontId="58" fillId="13" borderId="127" xfId="0" applyFont="1" applyFill="1" applyBorder="1" applyAlignment="1">
      <alignment horizontal="center" vertical="center"/>
    </xf>
    <xf numFmtId="0" fontId="59" fillId="13" borderId="88" xfId="0" applyFont="1" applyFill="1" applyBorder="1" applyAlignment="1">
      <alignment horizontal="center" vertical="center" wrapText="1"/>
    </xf>
    <xf numFmtId="0" fontId="0" fillId="13" borderId="89" xfId="0" applyFill="1" applyBorder="1" applyAlignment="1">
      <alignment horizontal="center"/>
    </xf>
    <xf numFmtId="0" fontId="45" fillId="14" borderId="127" xfId="0" applyFont="1" applyFill="1" applyBorder="1" applyAlignment="1">
      <alignment horizontal="center" vertical="center"/>
    </xf>
    <xf numFmtId="0" fontId="0" fillId="14" borderId="87" xfId="0" applyFill="1" applyBorder="1" applyAlignment="1">
      <alignment vertical="center" wrapText="1"/>
    </xf>
    <xf numFmtId="0" fontId="45" fillId="14" borderId="93" xfId="0" applyFont="1" applyFill="1" applyBorder="1" applyAlignment="1">
      <alignment horizontal="center" vertical="center"/>
    </xf>
    <xf numFmtId="0" fontId="58" fillId="14" borderId="128" xfId="0" applyFont="1" applyFill="1" applyBorder="1" applyAlignment="1">
      <alignment horizontal="center" vertical="center"/>
    </xf>
    <xf numFmtId="0" fontId="58" fillId="14" borderId="135" xfId="0" applyFont="1" applyFill="1" applyBorder="1" applyAlignment="1">
      <alignment horizontal="center" vertical="center"/>
    </xf>
    <xf numFmtId="0" fontId="45" fillId="14" borderId="106" xfId="0" applyFont="1" applyFill="1" applyBorder="1" applyAlignment="1">
      <alignment horizontal="center" vertical="center"/>
    </xf>
    <xf numFmtId="0" fontId="59" fillId="14" borderId="93" xfId="0" applyFont="1" applyFill="1" applyBorder="1" applyAlignment="1">
      <alignment horizontal="center" vertical="center" wrapText="1"/>
    </xf>
    <xf numFmtId="0" fontId="0" fillId="14" borderId="93" xfId="0" applyFill="1" applyBorder="1" applyAlignment="1">
      <alignment horizontal="center"/>
    </xf>
    <xf numFmtId="0" fontId="45" fillId="15" borderId="79" xfId="0" applyFont="1" applyFill="1" applyBorder="1" applyAlignment="1">
      <alignment horizontal="center" vertical="center"/>
    </xf>
    <xf numFmtId="0" fontId="58" fillId="15" borderId="129" xfId="0" applyFont="1" applyFill="1" applyBorder="1" applyAlignment="1">
      <alignment horizontal="center" vertical="center"/>
    </xf>
    <xf numFmtId="0" fontId="58" fillId="15" borderId="84" xfId="0" applyFont="1" applyFill="1" applyBorder="1" applyAlignment="1">
      <alignment horizontal="center" vertical="center"/>
    </xf>
    <xf numFmtId="0" fontId="45" fillId="15" borderId="132" xfId="0" applyFont="1" applyFill="1" applyBorder="1" applyAlignment="1">
      <alignment horizontal="center" vertical="center"/>
    </xf>
    <xf numFmtId="0" fontId="0" fillId="15" borderId="83" xfId="0" applyFill="1" applyBorder="1" applyAlignment="1">
      <alignment vertical="center" wrapText="1"/>
    </xf>
    <xf numFmtId="0" fontId="59" fillId="15" borderId="79" xfId="0" applyFont="1" applyFill="1" applyBorder="1" applyAlignment="1">
      <alignment horizontal="center" vertical="center" wrapText="1"/>
    </xf>
    <xf numFmtId="10" fontId="0" fillId="15" borderId="79" xfId="0" applyNumberFormat="1" applyFill="1" applyBorder="1" applyAlignment="1">
      <alignment vertical="center" wrapText="1"/>
    </xf>
    <xf numFmtId="0" fontId="0" fillId="15" borderId="79" xfId="0" applyFill="1" applyBorder="1" applyAlignment="1">
      <alignment horizontal="center"/>
    </xf>
    <xf numFmtId="0" fontId="45" fillId="15" borderId="93" xfId="0" applyFont="1" applyFill="1" applyBorder="1" applyAlignment="1">
      <alignment horizontal="center" vertical="center"/>
    </xf>
    <xf numFmtId="0" fontId="58" fillId="15" borderId="128" xfId="0" applyFont="1" applyFill="1" applyBorder="1" applyAlignment="1">
      <alignment horizontal="center" vertical="center"/>
    </xf>
    <xf numFmtId="0" fontId="58" fillId="15" borderId="135" xfId="0" applyFont="1" applyFill="1" applyBorder="1" applyAlignment="1">
      <alignment horizontal="center" vertical="center"/>
    </xf>
    <xf numFmtId="0" fontId="45" fillId="15" borderId="106" xfId="0" applyFont="1" applyFill="1" applyBorder="1" applyAlignment="1">
      <alignment horizontal="center" vertical="center"/>
    </xf>
    <xf numFmtId="0" fontId="0" fillId="15" borderId="94" xfId="0" applyFill="1" applyBorder="1" applyAlignment="1">
      <alignment vertical="center" wrapText="1"/>
    </xf>
    <xf numFmtId="0" fontId="59" fillId="15" borderId="93" xfId="0" applyFont="1" applyFill="1" applyBorder="1" applyAlignment="1">
      <alignment horizontal="center" vertical="center" wrapText="1"/>
    </xf>
    <xf numFmtId="10" fontId="0" fillId="15" borderId="93" xfId="0" applyNumberFormat="1" applyFill="1" applyBorder="1" applyAlignment="1">
      <alignment vertical="center" wrapText="1"/>
    </xf>
    <xf numFmtId="0" fontId="0" fillId="15" borderId="93" xfId="0" applyFill="1" applyBorder="1" applyAlignment="1">
      <alignment horizontal="center"/>
    </xf>
    <xf numFmtId="0" fontId="45" fillId="16" borderId="79" xfId="0" applyFont="1" applyFill="1" applyBorder="1" applyAlignment="1">
      <alignment horizontal="center" vertical="center"/>
    </xf>
    <xf numFmtId="0" fontId="58" fillId="16" borderId="129" xfId="0" applyFont="1" applyFill="1" applyBorder="1" applyAlignment="1">
      <alignment horizontal="center" vertical="center"/>
    </xf>
    <xf numFmtId="0" fontId="58" fillId="16" borderId="84" xfId="0" applyFont="1" applyFill="1" applyBorder="1" applyAlignment="1">
      <alignment horizontal="center" vertical="center"/>
    </xf>
    <xf numFmtId="0" fontId="45" fillId="16" borderId="132" xfId="0" applyFont="1" applyFill="1" applyBorder="1" applyAlignment="1">
      <alignment horizontal="center" vertical="center"/>
    </xf>
    <xf numFmtId="0" fontId="0" fillId="16" borderId="83" xfId="0" applyFill="1" applyBorder="1" applyAlignment="1">
      <alignment vertical="center" wrapText="1"/>
    </xf>
    <xf numFmtId="0" fontId="59" fillId="16" borderId="79" xfId="0" applyFont="1" applyFill="1" applyBorder="1" applyAlignment="1">
      <alignment horizontal="center" vertical="center" wrapText="1"/>
    </xf>
    <xf numFmtId="0" fontId="0" fillId="16" borderId="79" xfId="0" applyFill="1" applyBorder="1" applyAlignment="1">
      <alignment horizontal="center"/>
    </xf>
    <xf numFmtId="10" fontId="0" fillId="16" borderId="79" xfId="0" applyNumberFormat="1" applyFill="1" applyBorder="1" applyAlignment="1">
      <alignment vertical="center" wrapText="1"/>
    </xf>
    <xf numFmtId="0" fontId="45" fillId="16" borderId="103" xfId="0" applyFont="1" applyFill="1" applyBorder="1" applyAlignment="1">
      <alignment horizontal="center" vertical="center"/>
    </xf>
    <xf numFmtId="0" fontId="58" fillId="16" borderId="130" xfId="0" applyFont="1" applyFill="1" applyBorder="1" applyAlignment="1">
      <alignment horizontal="center" vertical="center"/>
    </xf>
    <xf numFmtId="0" fontId="58" fillId="16" borderId="123" xfId="0" applyFont="1" applyFill="1" applyBorder="1" applyAlignment="1">
      <alignment horizontal="center" vertical="center"/>
    </xf>
    <xf numFmtId="0" fontId="0" fillId="16" borderId="94" xfId="0" applyFill="1" applyBorder="1" applyAlignment="1">
      <alignment vertical="center" wrapText="1"/>
    </xf>
    <xf numFmtId="0" fontId="59" fillId="16" borderId="93" xfId="0" applyFont="1" applyFill="1" applyBorder="1" applyAlignment="1">
      <alignment horizontal="center" vertical="center" wrapText="1"/>
    </xf>
    <xf numFmtId="0" fontId="0" fillId="16" borderId="93" xfId="0" applyFill="1" applyBorder="1" applyAlignment="1">
      <alignment horizontal="center"/>
    </xf>
    <xf numFmtId="10" fontId="0" fillId="16" borderId="93" xfId="0" applyNumberFormat="1" applyFill="1" applyBorder="1" applyAlignment="1">
      <alignment vertical="center" wrapText="1"/>
    </xf>
    <xf numFmtId="0" fontId="0" fillId="0" borderId="138" xfId="0" applyBorder="1"/>
    <xf numFmtId="0" fontId="46" fillId="9" borderId="132" xfId="0" applyFont="1" applyFill="1" applyBorder="1" applyAlignment="1">
      <alignment horizontal="left" vertical="center"/>
    </xf>
    <xf numFmtId="0" fontId="46" fillId="10" borderId="132" xfId="0" applyFont="1" applyFill="1" applyBorder="1" applyAlignment="1">
      <alignment horizontal="left" vertical="center"/>
    </xf>
    <xf numFmtId="0" fontId="46" fillId="10" borderId="106" xfId="0" applyFont="1" applyFill="1" applyBorder="1" applyAlignment="1">
      <alignment horizontal="left" vertical="center"/>
    </xf>
    <xf numFmtId="0" fontId="46" fillId="11" borderId="132" xfId="0" applyFont="1" applyFill="1" applyBorder="1" applyAlignment="1">
      <alignment horizontal="left" vertical="center"/>
    </xf>
    <xf numFmtId="0" fontId="46" fillId="12" borderId="132" xfId="0" applyFont="1" applyFill="1" applyBorder="1" applyAlignment="1">
      <alignment horizontal="left" vertical="center"/>
    </xf>
    <xf numFmtId="0" fontId="46" fillId="12" borderId="106" xfId="0" applyFont="1" applyFill="1" applyBorder="1" applyAlignment="1">
      <alignment horizontal="left" vertical="center"/>
    </xf>
    <xf numFmtId="0" fontId="46" fillId="13" borderId="132" xfId="0" applyFont="1" applyFill="1" applyBorder="1" applyAlignment="1">
      <alignment horizontal="left" vertical="center"/>
    </xf>
    <xf numFmtId="0" fontId="46" fillId="14" borderId="132" xfId="0" applyFont="1" applyFill="1" applyBorder="1" applyAlignment="1">
      <alignment horizontal="left" vertical="center"/>
    </xf>
    <xf numFmtId="0" fontId="45" fillId="28" borderId="139" xfId="0" applyFont="1" applyFill="1" applyBorder="1" applyAlignment="1">
      <alignment horizontal="left" vertical="center" wrapText="1"/>
    </xf>
    <xf numFmtId="0" fontId="46" fillId="26" borderId="140" xfId="0" applyFont="1" applyFill="1" applyBorder="1" applyAlignment="1">
      <alignment horizontal="left" vertical="center"/>
    </xf>
    <xf numFmtId="0" fontId="46" fillId="28" borderId="102" xfId="0" applyFont="1" applyFill="1" applyBorder="1" applyAlignment="1">
      <alignment horizontal="left" vertical="center"/>
    </xf>
    <xf numFmtId="0" fontId="46" fillId="9" borderId="140" xfId="0" applyFont="1" applyFill="1" applyBorder="1" applyAlignment="1">
      <alignment horizontal="left" vertical="center"/>
    </xf>
    <xf numFmtId="0" fontId="46" fillId="14" borderId="92" xfId="0" applyFont="1" applyFill="1" applyBorder="1" applyAlignment="1">
      <alignment horizontal="left" vertical="center"/>
    </xf>
    <xf numFmtId="0" fontId="46" fillId="15" borderId="96" xfId="0" applyFont="1" applyFill="1" applyBorder="1" applyAlignment="1">
      <alignment horizontal="left" vertical="center"/>
    </xf>
    <xf numFmtId="0" fontId="46" fillId="15" borderId="92" xfId="0" applyFont="1" applyFill="1" applyBorder="1" applyAlignment="1">
      <alignment horizontal="left" vertical="center"/>
    </xf>
    <xf numFmtId="0" fontId="46" fillId="16" borderId="96" xfId="0" applyFont="1" applyFill="1" applyBorder="1" applyAlignment="1">
      <alignment horizontal="left" vertical="center"/>
    </xf>
    <xf numFmtId="0" fontId="46" fillId="16" borderId="102" xfId="0" applyFont="1" applyFill="1" applyBorder="1" applyAlignment="1">
      <alignment horizontal="left" vertical="center"/>
    </xf>
    <xf numFmtId="0" fontId="45" fillId="16" borderId="139" xfId="0" applyFont="1" applyFill="1" applyBorder="1" applyAlignment="1">
      <alignment horizontal="left" vertical="center" wrapText="1"/>
    </xf>
    <xf numFmtId="173" fontId="31" fillId="26" borderId="5" xfId="1" applyNumberFormat="1" applyFont="1" applyFill="1" applyBorder="1" applyAlignment="1">
      <alignment vertical="center" wrapText="1"/>
    </xf>
    <xf numFmtId="173" fontId="31" fillId="28" borderId="6" xfId="1" applyNumberFormat="1" applyFont="1" applyFill="1" applyBorder="1" applyAlignment="1">
      <alignment vertical="center" wrapText="1"/>
    </xf>
    <xf numFmtId="173" fontId="31" fillId="9" borderId="79" xfId="1" applyNumberFormat="1" applyFont="1" applyFill="1" applyBorder="1" applyAlignment="1">
      <alignment vertical="center"/>
    </xf>
    <xf numFmtId="173" fontId="31" fillId="10" borderId="89" xfId="1" applyNumberFormat="1" applyFont="1" applyFill="1" applyBorder="1" applyAlignment="1">
      <alignment vertical="center"/>
    </xf>
    <xf numFmtId="173" fontId="31" fillId="9" borderId="89" xfId="1" applyNumberFormat="1" applyFont="1" applyFill="1" applyBorder="1"/>
    <xf numFmtId="173" fontId="31" fillId="10" borderId="89" xfId="1" applyNumberFormat="1" applyFont="1" applyFill="1" applyBorder="1"/>
    <xf numFmtId="173" fontId="31" fillId="10" borderId="93" xfId="1" applyNumberFormat="1" applyFont="1" applyFill="1" applyBorder="1"/>
    <xf numFmtId="173" fontId="31" fillId="11" borderId="79" xfId="1" applyNumberFormat="1" applyFont="1" applyFill="1" applyBorder="1"/>
    <xf numFmtId="173" fontId="31" fillId="12" borderId="89" xfId="1" applyNumberFormat="1" applyFont="1" applyFill="1" applyBorder="1"/>
    <xf numFmtId="173" fontId="31" fillId="11" borderId="89" xfId="1" applyNumberFormat="1" applyFont="1" applyFill="1" applyBorder="1"/>
    <xf numFmtId="173" fontId="31" fillId="12" borderId="93" xfId="1" applyNumberFormat="1" applyFont="1" applyFill="1" applyBorder="1"/>
    <xf numFmtId="175" fontId="0" fillId="26" borderId="5" xfId="0" applyNumberFormat="1" applyFont="1" applyFill="1" applyBorder="1" applyAlignment="1">
      <alignment horizontal="center" vertical="center" wrapText="1"/>
    </xf>
    <xf numFmtId="175" fontId="0" fillId="26" borderId="141" xfId="0" applyNumberFormat="1" applyFont="1" applyFill="1" applyBorder="1" applyAlignment="1">
      <alignment horizontal="center" vertical="center" wrapText="1"/>
    </xf>
    <xf numFmtId="175" fontId="0" fillId="26" borderId="142" xfId="0" applyNumberFormat="1" applyFont="1" applyFill="1" applyBorder="1" applyAlignment="1">
      <alignment horizontal="center" vertical="center" wrapText="1"/>
    </xf>
    <xf numFmtId="175" fontId="0" fillId="26" borderId="46" xfId="0" applyNumberFormat="1" applyFont="1" applyFill="1" applyBorder="1" applyAlignment="1">
      <alignment horizontal="center" vertical="center" wrapText="1"/>
    </xf>
    <xf numFmtId="175" fontId="0" fillId="28" borderId="6" xfId="0" applyNumberFormat="1" applyFont="1" applyFill="1" applyBorder="1" applyAlignment="1">
      <alignment horizontal="center" vertical="center" wrapText="1"/>
    </xf>
    <xf numFmtId="175" fontId="0" fillId="28" borderId="45" xfId="0" applyNumberFormat="1" applyFont="1" applyFill="1" applyBorder="1" applyAlignment="1">
      <alignment horizontal="center" vertical="center" wrapText="1"/>
    </xf>
    <xf numFmtId="175" fontId="0" fillId="28" borderId="29" xfId="0" applyNumberFormat="1" applyFont="1" applyFill="1" applyBorder="1" applyAlignment="1">
      <alignment horizontal="center" vertical="center" wrapText="1"/>
    </xf>
    <xf numFmtId="175" fontId="0" fillId="28" borderId="47" xfId="0" applyNumberFormat="1" applyFont="1" applyFill="1" applyBorder="1" applyAlignment="1">
      <alignment horizontal="center" vertical="center" wrapText="1"/>
    </xf>
    <xf numFmtId="175" fontId="32" fillId="26" borderId="25" xfId="0" applyNumberFormat="1" applyFont="1" applyFill="1" applyBorder="1" applyAlignment="1">
      <alignment horizontal="center" vertical="center" wrapText="1"/>
    </xf>
    <xf numFmtId="175" fontId="32" fillId="28" borderId="48" xfId="0" applyNumberFormat="1" applyFont="1" applyFill="1" applyBorder="1" applyAlignment="1">
      <alignment horizontal="center" vertical="center" wrapText="1"/>
    </xf>
    <xf numFmtId="0" fontId="45" fillId="9" borderId="105" xfId="0" applyFont="1" applyFill="1" applyBorder="1" applyAlignment="1">
      <alignment vertical="center" wrapText="1"/>
    </xf>
    <xf numFmtId="0" fontId="45" fillId="10" borderId="105" xfId="0" applyFont="1" applyFill="1" applyBorder="1" applyAlignment="1">
      <alignment vertical="center" wrapText="1"/>
    </xf>
    <xf numFmtId="164" fontId="31" fillId="0" borderId="49" xfId="4" applyNumberFormat="1" applyFont="1" applyFill="1" applyBorder="1" applyAlignment="1">
      <alignment vertical="center"/>
    </xf>
    <xf numFmtId="164" fontId="31" fillId="0" borderId="50" xfId="4" applyNumberFormat="1" applyFont="1" applyFill="1" applyBorder="1" applyAlignment="1">
      <alignment vertical="center"/>
    </xf>
    <xf numFmtId="164" fontId="31" fillId="0" borderId="51" xfId="4" applyNumberFormat="1" applyFont="1" applyFill="1" applyBorder="1" applyAlignment="1">
      <alignment vertical="center"/>
    </xf>
    <xf numFmtId="164" fontId="31" fillId="5" borderId="17" xfId="4" applyNumberFormat="1" applyFont="1" applyFill="1" applyBorder="1" applyAlignment="1">
      <alignment vertical="center"/>
    </xf>
    <xf numFmtId="164" fontId="31" fillId="7" borderId="42" xfId="4" applyNumberFormat="1" applyFont="1" applyFill="1" applyBorder="1" applyAlignment="1">
      <alignment vertical="center"/>
    </xf>
    <xf numFmtId="164" fontId="31" fillId="0" borderId="49" xfId="4" applyNumberFormat="1" applyFont="1" applyBorder="1" applyAlignment="1">
      <alignment vertical="center"/>
    </xf>
    <xf numFmtId="164" fontId="31" fillId="0" borderId="50" xfId="4" applyNumberFormat="1" applyFont="1" applyBorder="1" applyAlignment="1">
      <alignment vertical="center"/>
    </xf>
    <xf numFmtId="164" fontId="31" fillId="0" borderId="51" xfId="4" applyNumberFormat="1" applyFont="1" applyBorder="1" applyAlignment="1">
      <alignment vertical="center"/>
    </xf>
    <xf numFmtId="164" fontId="0" fillId="0" borderId="41" xfId="0" applyNumberFormat="1" applyFont="1" applyBorder="1" applyAlignment="1">
      <alignment vertical="center"/>
    </xf>
    <xf numFmtId="164" fontId="0" fillId="29" borderId="52" xfId="0" applyNumberFormat="1" applyFont="1" applyFill="1" applyBorder="1" applyAlignment="1">
      <alignment vertical="center"/>
    </xf>
    <xf numFmtId="164" fontId="31" fillId="7" borderId="52" xfId="4" applyNumberFormat="1" applyFont="1" applyFill="1" applyBorder="1" applyAlignment="1">
      <alignment vertical="center"/>
    </xf>
    <xf numFmtId="164" fontId="31" fillId="0" borderId="53" xfId="4" applyNumberFormat="1" applyFont="1" applyFill="1" applyBorder="1" applyAlignment="1">
      <alignment vertical="center"/>
    </xf>
    <xf numFmtId="164" fontId="31" fillId="0" borderId="41" xfId="4" applyNumberFormat="1" applyFont="1" applyFill="1" applyBorder="1" applyAlignment="1">
      <alignment vertical="center"/>
    </xf>
    <xf numFmtId="164" fontId="31" fillId="0" borderId="44" xfId="4" applyNumberFormat="1" applyFont="1" applyFill="1" applyBorder="1" applyAlignment="1">
      <alignment vertical="center"/>
    </xf>
    <xf numFmtId="164" fontId="31" fillId="5" borderId="16" xfId="4" applyNumberFormat="1" applyFont="1" applyFill="1" applyBorder="1" applyAlignment="1">
      <alignment vertical="center"/>
    </xf>
    <xf numFmtId="164" fontId="31" fillId="0" borderId="53" xfId="4" applyNumberFormat="1" applyFont="1" applyBorder="1" applyAlignment="1">
      <alignment vertical="center"/>
    </xf>
    <xf numFmtId="164" fontId="31" fillId="0" borderId="41" xfId="4" applyNumberFormat="1" applyFont="1" applyBorder="1" applyAlignment="1">
      <alignment vertical="center"/>
    </xf>
    <xf numFmtId="164" fontId="31" fillId="0" borderId="44" xfId="4" applyNumberFormat="1" applyFont="1" applyBorder="1" applyAlignment="1">
      <alignment vertical="center"/>
    </xf>
    <xf numFmtId="164" fontId="0" fillId="0" borderId="54" xfId="0" applyNumberFormat="1" applyFont="1" applyBorder="1" applyAlignment="1">
      <alignment vertical="center"/>
    </xf>
    <xf numFmtId="164" fontId="0" fillId="0" borderId="55" xfId="0" applyNumberFormat="1" applyFont="1" applyBorder="1" applyAlignment="1">
      <alignment vertical="center"/>
    </xf>
    <xf numFmtId="164" fontId="0" fillId="29" borderId="43" xfId="0" applyNumberFormat="1" applyFont="1" applyFill="1" applyBorder="1" applyAlignment="1">
      <alignment vertical="center"/>
    </xf>
    <xf numFmtId="164" fontId="31" fillId="7" borderId="43" xfId="4" applyNumberFormat="1" applyFont="1" applyFill="1" applyBorder="1" applyAlignment="1">
      <alignment vertical="center"/>
    </xf>
    <xf numFmtId="172" fontId="45" fillId="9" borderId="90" xfId="0" applyNumberFormat="1" applyFont="1" applyFill="1" applyBorder="1" applyAlignment="1">
      <alignment vertical="center" wrapText="1"/>
    </xf>
    <xf numFmtId="172" fontId="45" fillId="9" borderId="89" xfId="0" applyNumberFormat="1" applyFont="1" applyFill="1" applyBorder="1" applyAlignment="1">
      <alignment vertical="center" wrapText="1"/>
    </xf>
    <xf numFmtId="172" fontId="32" fillId="9" borderId="91" xfId="0" applyNumberFormat="1" applyFont="1" applyFill="1" applyBorder="1" applyAlignment="1">
      <alignment vertical="center" wrapText="1"/>
    </xf>
    <xf numFmtId="172" fontId="0" fillId="9" borderId="90" xfId="0" applyNumberFormat="1" applyFill="1" applyBorder="1" applyAlignment="1">
      <alignment vertical="center" wrapText="1"/>
    </xf>
    <xf numFmtId="172" fontId="0" fillId="9" borderId="91" xfId="0" applyNumberFormat="1" applyFill="1" applyBorder="1" applyAlignment="1">
      <alignment vertical="center" wrapText="1"/>
    </xf>
    <xf numFmtId="10" fontId="0" fillId="9" borderId="90" xfId="0" applyNumberFormat="1" applyFill="1" applyBorder="1" applyAlignment="1">
      <alignment vertical="center" wrapText="1"/>
    </xf>
    <xf numFmtId="10" fontId="31" fillId="9" borderId="89" xfId="4" applyNumberFormat="1" applyFont="1" applyFill="1" applyBorder="1" applyAlignment="1">
      <alignment vertical="center" wrapText="1"/>
    </xf>
    <xf numFmtId="172" fontId="45" fillId="10" borderId="95" xfId="0" applyNumberFormat="1" applyFont="1" applyFill="1" applyBorder="1" applyAlignment="1">
      <alignment vertical="center" wrapText="1"/>
    </xf>
    <xf numFmtId="172" fontId="45" fillId="10" borderId="93" xfId="0" applyNumberFormat="1" applyFont="1" applyFill="1" applyBorder="1" applyAlignment="1">
      <alignment vertical="center" wrapText="1"/>
    </xf>
    <xf numFmtId="172" fontId="32" fillId="10" borderId="143" xfId="0" applyNumberFormat="1" applyFont="1" applyFill="1" applyBorder="1" applyAlignment="1">
      <alignment vertical="center" wrapText="1"/>
    </xf>
    <xf numFmtId="172" fontId="0" fillId="10" borderId="95" xfId="0" applyNumberFormat="1" applyFill="1" applyBorder="1" applyAlignment="1">
      <alignment vertical="center" wrapText="1"/>
    </xf>
    <xf numFmtId="172" fontId="0" fillId="10" borderId="143" xfId="0" applyNumberFormat="1" applyFill="1" applyBorder="1" applyAlignment="1">
      <alignment vertical="center" wrapText="1"/>
    </xf>
    <xf numFmtId="164" fontId="31" fillId="0" borderId="56" xfId="4" applyNumberFormat="1" applyFont="1" applyBorder="1" applyAlignment="1">
      <alignment vertical="center"/>
    </xf>
    <xf numFmtId="164" fontId="31" fillId="0" borderId="8" xfId="4" applyNumberFormat="1" applyFont="1" applyBorder="1" applyAlignment="1">
      <alignment vertical="center"/>
    </xf>
    <xf numFmtId="164" fontId="31" fillId="0" borderId="32" xfId="4" applyNumberFormat="1" applyFont="1" applyBorder="1" applyAlignment="1">
      <alignment vertical="center"/>
    </xf>
    <xf numFmtId="164" fontId="31" fillId="5" borderId="40" xfId="4" applyNumberFormat="1" applyFont="1" applyFill="1" applyBorder="1" applyAlignment="1">
      <alignment vertical="center"/>
    </xf>
    <xf numFmtId="164" fontId="31" fillId="7" borderId="57" xfId="4" applyNumberFormat="1" applyFont="1" applyFill="1" applyBorder="1" applyAlignment="1">
      <alignment vertical="center"/>
    </xf>
    <xf numFmtId="164" fontId="0" fillId="0" borderId="8" xfId="0" applyNumberFormat="1" applyFont="1" applyBorder="1" applyAlignment="1">
      <alignment vertical="center"/>
    </xf>
    <xf numFmtId="164" fontId="0" fillId="29" borderId="57" xfId="0" applyNumberFormat="1" applyFont="1" applyFill="1" applyBorder="1" applyAlignment="1">
      <alignment vertical="center"/>
    </xf>
    <xf numFmtId="0" fontId="45" fillId="10" borderId="144" xfId="0" applyFont="1" applyFill="1" applyBorder="1" applyAlignment="1">
      <alignment vertical="center"/>
    </xf>
    <xf numFmtId="10" fontId="0" fillId="10" borderId="95" xfId="0" applyNumberFormat="1" applyFill="1" applyBorder="1" applyAlignment="1">
      <alignment vertical="center" wrapText="1"/>
    </xf>
    <xf numFmtId="10" fontId="31" fillId="10" borderId="93" xfId="4" applyNumberFormat="1" applyFont="1" applyFill="1" applyBorder="1" applyAlignment="1">
      <alignment vertical="center" wrapText="1"/>
    </xf>
    <xf numFmtId="172" fontId="45" fillId="11" borderId="80" xfId="0" applyNumberFormat="1" applyFont="1" applyFill="1" applyBorder="1" applyAlignment="1">
      <alignment vertical="center" wrapText="1"/>
    </xf>
    <xf numFmtId="172" fontId="45" fillId="11" borderId="79" xfId="0" applyNumberFormat="1" applyFont="1" applyFill="1" applyBorder="1" applyAlignment="1">
      <alignment vertical="center" wrapText="1"/>
    </xf>
    <xf numFmtId="172" fontId="32" fillId="11" borderId="81" xfId="0" applyNumberFormat="1" applyFont="1" applyFill="1" applyBorder="1" applyAlignment="1">
      <alignment vertical="center" wrapText="1"/>
    </xf>
    <xf numFmtId="172" fontId="0" fillId="11" borderId="80" xfId="0" applyNumberFormat="1" applyFill="1" applyBorder="1" applyAlignment="1">
      <alignment vertical="center" wrapText="1"/>
    </xf>
    <xf numFmtId="172" fontId="0" fillId="11" borderId="81" xfId="0" applyNumberFormat="1" applyFill="1" applyBorder="1" applyAlignment="1">
      <alignment vertical="center" wrapText="1"/>
    </xf>
    <xf numFmtId="172" fontId="0" fillId="11" borderId="82" xfId="0" applyNumberFormat="1" applyFill="1" applyBorder="1" applyAlignment="1">
      <alignment vertical="center" wrapText="1"/>
    </xf>
    <xf numFmtId="0" fontId="45" fillId="11" borderId="105" xfId="0" applyFont="1" applyFill="1" applyBorder="1" applyAlignment="1">
      <alignment vertical="center"/>
    </xf>
    <xf numFmtId="10" fontId="0" fillId="11" borderId="80" xfId="0" applyNumberFormat="1" applyFill="1" applyBorder="1" applyAlignment="1">
      <alignment vertical="center" wrapText="1"/>
    </xf>
    <xf numFmtId="10" fontId="31" fillId="11" borderId="79" xfId="4" applyNumberFormat="1" applyFont="1" applyFill="1" applyBorder="1" applyAlignment="1">
      <alignment vertical="center" wrapText="1"/>
    </xf>
    <xf numFmtId="172" fontId="45" fillId="12" borderId="90" xfId="0" applyNumberFormat="1" applyFont="1" applyFill="1" applyBorder="1" applyAlignment="1">
      <alignment vertical="center" wrapText="1"/>
    </xf>
    <xf numFmtId="172" fontId="45" fillId="12" borderId="89" xfId="0" applyNumberFormat="1" applyFont="1" applyFill="1" applyBorder="1" applyAlignment="1">
      <alignment vertical="center" wrapText="1"/>
    </xf>
    <xf numFmtId="172" fontId="32" fillId="12" borderId="91" xfId="0" applyNumberFormat="1" applyFont="1" applyFill="1" applyBorder="1" applyAlignment="1">
      <alignment vertical="center" wrapText="1"/>
    </xf>
    <xf numFmtId="172" fontId="0" fillId="12" borderId="90" xfId="0" applyNumberFormat="1" applyFill="1" applyBorder="1" applyAlignment="1">
      <alignment vertical="center" wrapText="1"/>
    </xf>
    <xf numFmtId="172" fontId="0" fillId="12" borderId="91" xfId="0" applyNumberFormat="1" applyFill="1" applyBorder="1" applyAlignment="1">
      <alignment vertical="center" wrapText="1"/>
    </xf>
    <xf numFmtId="0" fontId="45" fillId="12" borderId="105" xfId="0" applyFont="1" applyFill="1" applyBorder="1" applyAlignment="1">
      <alignment vertical="center"/>
    </xf>
    <xf numFmtId="10" fontId="0" fillId="12" borderId="90" xfId="0" applyNumberFormat="1" applyFill="1" applyBorder="1" applyAlignment="1">
      <alignment vertical="center" wrapText="1"/>
    </xf>
    <xf numFmtId="10" fontId="31" fillId="12" borderId="89" xfId="4" applyNumberFormat="1" applyFont="1" applyFill="1" applyBorder="1" applyAlignment="1">
      <alignment vertical="center" wrapText="1"/>
    </xf>
    <xf numFmtId="172" fontId="45" fillId="11" borderId="90" xfId="0" applyNumberFormat="1" applyFont="1" applyFill="1" applyBorder="1" applyAlignment="1">
      <alignment vertical="center" wrapText="1"/>
    </xf>
    <xf numFmtId="172" fontId="45" fillId="11" borderId="89" xfId="0" applyNumberFormat="1" applyFont="1" applyFill="1" applyBorder="1" applyAlignment="1">
      <alignment vertical="center" wrapText="1"/>
    </xf>
    <xf numFmtId="172" fontId="32" fillId="11" borderId="91" xfId="0" applyNumberFormat="1" applyFont="1" applyFill="1" applyBorder="1" applyAlignment="1">
      <alignment vertical="center" wrapText="1"/>
    </xf>
    <xf numFmtId="172" fontId="0" fillId="11" borderId="90" xfId="0" applyNumberFormat="1" applyFill="1" applyBorder="1" applyAlignment="1">
      <alignment vertical="center" wrapText="1"/>
    </xf>
    <xf numFmtId="172" fontId="0" fillId="11" borderId="91" xfId="0" applyNumberFormat="1" applyFill="1" applyBorder="1" applyAlignment="1">
      <alignment vertical="center" wrapText="1"/>
    </xf>
    <xf numFmtId="10" fontId="0" fillId="11" borderId="90" xfId="0" applyNumberFormat="1" applyFill="1" applyBorder="1" applyAlignment="1">
      <alignment vertical="center" wrapText="1"/>
    </xf>
    <xf numFmtId="10" fontId="31" fillId="11" borderId="89" xfId="4" applyNumberFormat="1" applyFont="1" applyFill="1" applyBorder="1" applyAlignment="1">
      <alignment vertical="center" wrapText="1"/>
    </xf>
    <xf numFmtId="172" fontId="45" fillId="12" borderId="95" xfId="0" applyNumberFormat="1" applyFont="1" applyFill="1" applyBorder="1" applyAlignment="1">
      <alignment vertical="center" wrapText="1"/>
    </xf>
    <xf numFmtId="172" fontId="45" fillId="12" borderId="93" xfId="0" applyNumberFormat="1" applyFont="1" applyFill="1" applyBorder="1" applyAlignment="1">
      <alignment vertical="center" wrapText="1"/>
    </xf>
    <xf numFmtId="172" fontId="32" fillId="12" borderId="143" xfId="0" applyNumberFormat="1" applyFont="1" applyFill="1" applyBorder="1" applyAlignment="1">
      <alignment vertical="center" wrapText="1"/>
    </xf>
    <xf numFmtId="172" fontId="0" fillId="12" borderId="95" xfId="0" applyNumberFormat="1" applyFill="1" applyBorder="1" applyAlignment="1">
      <alignment vertical="center" wrapText="1"/>
    </xf>
    <xf numFmtId="172" fontId="0" fillId="12" borderId="143" xfId="0" applyNumberFormat="1" applyFill="1" applyBorder="1" applyAlignment="1">
      <alignment vertical="center" wrapText="1"/>
    </xf>
    <xf numFmtId="0" fontId="45" fillId="12" borderId="144" xfId="0" applyFont="1" applyFill="1" applyBorder="1" applyAlignment="1">
      <alignment vertical="center"/>
    </xf>
    <xf numFmtId="10" fontId="0" fillId="12" borderId="95" xfId="0" applyNumberFormat="1" applyFill="1" applyBorder="1" applyAlignment="1">
      <alignment vertical="center" wrapText="1"/>
    </xf>
    <xf numFmtId="10" fontId="31" fillId="12" borderId="93" xfId="4" applyNumberFormat="1" applyFont="1" applyFill="1" applyBorder="1" applyAlignment="1">
      <alignment vertical="center" wrapText="1"/>
    </xf>
    <xf numFmtId="172" fontId="45" fillId="13" borderId="80" xfId="0" applyNumberFormat="1" applyFont="1" applyFill="1" applyBorder="1" applyAlignment="1">
      <alignment vertical="center" wrapText="1"/>
    </xf>
    <xf numFmtId="172" fontId="45" fillId="13" borderId="79" xfId="0" applyNumberFormat="1" applyFont="1" applyFill="1" applyBorder="1" applyAlignment="1">
      <alignment vertical="center" wrapText="1"/>
    </xf>
    <xf numFmtId="172" fontId="32" fillId="13" borderId="81" xfId="0" applyNumberFormat="1" applyFont="1" applyFill="1" applyBorder="1" applyAlignment="1">
      <alignment vertical="center" wrapText="1"/>
    </xf>
    <xf numFmtId="172" fontId="0" fillId="13" borderId="80" xfId="0" applyNumberFormat="1" applyFill="1" applyBorder="1" applyAlignment="1">
      <alignment vertical="center" wrapText="1"/>
    </xf>
    <xf numFmtId="172" fontId="0" fillId="13" borderId="81" xfId="0" applyNumberFormat="1" applyFill="1" applyBorder="1" applyAlignment="1">
      <alignment vertical="center" wrapText="1"/>
    </xf>
    <xf numFmtId="0" fontId="45" fillId="13" borderId="105" xfId="0" applyFont="1" applyFill="1" applyBorder="1" applyAlignment="1">
      <alignment vertical="center"/>
    </xf>
    <xf numFmtId="10" fontId="0" fillId="13" borderId="80" xfId="0" applyNumberFormat="1" applyFill="1" applyBorder="1" applyAlignment="1">
      <alignment vertical="center" wrapText="1"/>
    </xf>
    <xf numFmtId="10" fontId="31" fillId="13" borderId="79" xfId="4" applyNumberFormat="1" applyFont="1" applyFill="1" applyBorder="1" applyAlignment="1">
      <alignment vertical="center" wrapText="1"/>
    </xf>
    <xf numFmtId="172" fontId="45" fillId="14" borderId="90" xfId="0" applyNumberFormat="1" applyFont="1" applyFill="1" applyBorder="1" applyAlignment="1">
      <alignment vertical="center" wrapText="1"/>
    </xf>
    <xf numFmtId="172" fontId="45" fillId="14" borderId="89" xfId="0" applyNumberFormat="1" applyFont="1" applyFill="1" applyBorder="1" applyAlignment="1">
      <alignment vertical="center" wrapText="1"/>
    </xf>
    <xf numFmtId="172" fontId="32" fillId="14" borderId="91" xfId="0" applyNumberFormat="1" applyFont="1" applyFill="1" applyBorder="1" applyAlignment="1">
      <alignment vertical="center" wrapText="1"/>
    </xf>
    <xf numFmtId="172" fontId="0" fillId="14" borderId="90" xfId="0" applyNumberFormat="1" applyFill="1" applyBorder="1" applyAlignment="1">
      <alignment vertical="center" wrapText="1"/>
    </xf>
    <xf numFmtId="172" fontId="0" fillId="14" borderId="91" xfId="0" applyNumberFormat="1" applyFill="1" applyBorder="1" applyAlignment="1">
      <alignment vertical="center" wrapText="1"/>
    </xf>
    <xf numFmtId="0" fontId="45" fillId="14" borderId="105" xfId="0" applyFont="1" applyFill="1" applyBorder="1" applyAlignment="1">
      <alignment vertical="center"/>
    </xf>
    <xf numFmtId="10" fontId="0" fillId="14" borderId="90" xfId="0" applyNumberFormat="1" applyFill="1" applyBorder="1" applyAlignment="1">
      <alignment vertical="center" wrapText="1"/>
    </xf>
    <xf numFmtId="10" fontId="31" fillId="14" borderId="89" xfId="4" applyNumberFormat="1" applyFont="1" applyFill="1" applyBorder="1" applyAlignment="1">
      <alignment vertical="center" wrapText="1"/>
    </xf>
    <xf numFmtId="172" fontId="45" fillId="13" borderId="90" xfId="0" applyNumberFormat="1" applyFont="1" applyFill="1" applyBorder="1" applyAlignment="1">
      <alignment vertical="center" wrapText="1"/>
    </xf>
    <xf numFmtId="172" fontId="45" fillId="13" borderId="89" xfId="0" applyNumberFormat="1" applyFont="1" applyFill="1" applyBorder="1" applyAlignment="1">
      <alignment vertical="center" wrapText="1"/>
    </xf>
    <xf numFmtId="172" fontId="32" fillId="13" borderId="91" xfId="0" applyNumberFormat="1" applyFont="1" applyFill="1" applyBorder="1" applyAlignment="1">
      <alignment vertical="center" wrapText="1"/>
    </xf>
    <xf numFmtId="172" fontId="0" fillId="13" borderId="90" xfId="0" applyNumberFormat="1" applyFill="1" applyBorder="1" applyAlignment="1">
      <alignment vertical="center" wrapText="1"/>
    </xf>
    <xf numFmtId="172" fontId="0" fillId="13" borderId="91" xfId="0" applyNumberFormat="1" applyFill="1" applyBorder="1" applyAlignment="1">
      <alignment vertical="center" wrapText="1"/>
    </xf>
    <xf numFmtId="10" fontId="0" fillId="13" borderId="90" xfId="0" applyNumberFormat="1" applyFill="1" applyBorder="1" applyAlignment="1">
      <alignment vertical="center" wrapText="1"/>
    </xf>
    <xf numFmtId="10" fontId="31" fillId="13" borderId="89" xfId="4" applyNumberFormat="1" applyFont="1" applyFill="1" applyBorder="1" applyAlignment="1">
      <alignment vertical="center" wrapText="1"/>
    </xf>
    <xf numFmtId="172" fontId="45" fillId="14" borderId="95" xfId="0" applyNumberFormat="1" applyFont="1" applyFill="1" applyBorder="1" applyAlignment="1">
      <alignment vertical="center" wrapText="1"/>
    </xf>
    <xf numFmtId="172" fontId="45" fillId="14" borderId="93" xfId="0" applyNumberFormat="1" applyFont="1" applyFill="1" applyBorder="1" applyAlignment="1">
      <alignment vertical="center" wrapText="1"/>
    </xf>
    <xf numFmtId="172" fontId="32" fillId="14" borderId="143" xfId="0" applyNumberFormat="1" applyFont="1" applyFill="1" applyBorder="1" applyAlignment="1">
      <alignment vertical="center" wrapText="1"/>
    </xf>
    <xf numFmtId="172" fontId="0" fillId="14" borderId="95" xfId="0" applyNumberFormat="1" applyFill="1" applyBorder="1" applyAlignment="1">
      <alignment vertical="center" wrapText="1"/>
    </xf>
    <xf numFmtId="172" fontId="0" fillId="14" borderId="143" xfId="0" applyNumberFormat="1" applyFill="1" applyBorder="1" applyAlignment="1">
      <alignment vertical="center" wrapText="1"/>
    </xf>
    <xf numFmtId="0" fontId="45" fillId="14" borderId="144" xfId="0" applyFont="1" applyFill="1" applyBorder="1" applyAlignment="1">
      <alignment vertical="center"/>
    </xf>
    <xf numFmtId="10" fontId="0" fillId="14" borderId="95" xfId="0" applyNumberFormat="1" applyFill="1" applyBorder="1" applyAlignment="1">
      <alignment vertical="center" wrapText="1"/>
    </xf>
    <xf numFmtId="10" fontId="31" fillId="14" borderId="93" xfId="4" applyNumberFormat="1" applyFont="1" applyFill="1" applyBorder="1" applyAlignment="1">
      <alignment vertical="center" wrapText="1"/>
    </xf>
    <xf numFmtId="172" fontId="45" fillId="15" borderId="80" xfId="0" applyNumberFormat="1" applyFont="1" applyFill="1" applyBorder="1" applyAlignment="1">
      <alignment vertical="center" wrapText="1"/>
    </xf>
    <xf numFmtId="172" fontId="45" fillId="15" borderId="79" xfId="0" applyNumberFormat="1" applyFont="1" applyFill="1" applyBorder="1" applyAlignment="1">
      <alignment vertical="center" wrapText="1"/>
    </xf>
    <xf numFmtId="172" fontId="32" fillId="15" borderId="81" xfId="0" applyNumberFormat="1" applyFont="1" applyFill="1" applyBorder="1" applyAlignment="1">
      <alignment vertical="center" wrapText="1"/>
    </xf>
    <xf numFmtId="172" fontId="0" fillId="15" borderId="80" xfId="0" applyNumberFormat="1" applyFill="1" applyBorder="1" applyAlignment="1">
      <alignment vertical="center" wrapText="1"/>
    </xf>
    <xf numFmtId="172" fontId="0" fillId="15" borderId="81" xfId="0" applyNumberFormat="1" applyFill="1" applyBorder="1" applyAlignment="1">
      <alignment vertical="center" wrapText="1"/>
    </xf>
    <xf numFmtId="0" fontId="45" fillId="15" borderId="105" xfId="0" applyFont="1" applyFill="1" applyBorder="1" applyAlignment="1">
      <alignment vertical="center"/>
    </xf>
    <xf numFmtId="10" fontId="0" fillId="15" borderId="80" xfId="0" applyNumberFormat="1" applyFill="1" applyBorder="1" applyAlignment="1">
      <alignment vertical="center" wrapText="1"/>
    </xf>
    <xf numFmtId="10" fontId="31" fillId="15" borderId="79" xfId="4" applyNumberFormat="1" applyFont="1" applyFill="1" applyBorder="1" applyAlignment="1">
      <alignment vertical="center" wrapText="1"/>
    </xf>
    <xf numFmtId="172" fontId="45" fillId="15" borderId="95" xfId="0" applyNumberFormat="1" applyFont="1" applyFill="1" applyBorder="1" applyAlignment="1">
      <alignment vertical="center" wrapText="1"/>
    </xf>
    <xf numFmtId="172" fontId="45" fillId="15" borderId="93" xfId="0" applyNumberFormat="1" applyFont="1" applyFill="1" applyBorder="1" applyAlignment="1">
      <alignment vertical="center" wrapText="1"/>
    </xf>
    <xf numFmtId="172" fontId="32" fillId="15" borderId="143" xfId="0" applyNumberFormat="1" applyFont="1" applyFill="1" applyBorder="1" applyAlignment="1">
      <alignment vertical="center" wrapText="1"/>
    </xf>
    <xf numFmtId="172" fontId="0" fillId="15" borderId="95" xfId="0" applyNumberFormat="1" applyFill="1" applyBorder="1" applyAlignment="1">
      <alignment vertical="center" wrapText="1"/>
    </xf>
    <xf numFmtId="172" fontId="0" fillId="15" borderId="143" xfId="0" applyNumberFormat="1" applyFill="1" applyBorder="1" applyAlignment="1">
      <alignment vertical="center" wrapText="1"/>
    </xf>
    <xf numFmtId="0" fontId="45" fillId="15" borderId="144" xfId="0" applyFont="1" applyFill="1" applyBorder="1" applyAlignment="1">
      <alignment vertical="center"/>
    </xf>
    <xf numFmtId="10" fontId="0" fillId="15" borderId="95" xfId="0" applyNumberFormat="1" applyFill="1" applyBorder="1" applyAlignment="1">
      <alignment vertical="center" wrapText="1"/>
    </xf>
    <xf numFmtId="10" fontId="31" fillId="15" borderId="93" xfId="4" applyNumberFormat="1" applyFont="1" applyFill="1" applyBorder="1" applyAlignment="1">
      <alignment vertical="center" wrapText="1"/>
    </xf>
    <xf numFmtId="172" fontId="45" fillId="16" borderId="80" xfId="0" applyNumberFormat="1" applyFont="1" applyFill="1" applyBorder="1" applyAlignment="1">
      <alignment vertical="center" wrapText="1"/>
    </xf>
    <xf numFmtId="172" fontId="45" fillId="16" borderId="79" xfId="0" applyNumberFormat="1" applyFont="1" applyFill="1" applyBorder="1" applyAlignment="1">
      <alignment vertical="center" wrapText="1"/>
    </xf>
    <xf numFmtId="172" fontId="32" fillId="16" borderId="81" xfId="0" applyNumberFormat="1" applyFont="1" applyFill="1" applyBorder="1" applyAlignment="1">
      <alignment vertical="center" wrapText="1"/>
    </xf>
    <xf numFmtId="172" fontId="0" fillId="16" borderId="80" xfId="0" applyNumberFormat="1" applyFill="1" applyBorder="1" applyAlignment="1">
      <alignment vertical="center" wrapText="1"/>
    </xf>
    <xf numFmtId="172" fontId="0" fillId="16" borderId="81" xfId="0" applyNumberFormat="1" applyFill="1" applyBorder="1" applyAlignment="1">
      <alignment vertical="center" wrapText="1"/>
    </xf>
    <xf numFmtId="164" fontId="0" fillId="0" borderId="50" xfId="0" applyNumberFormat="1" applyFont="1" applyBorder="1" applyAlignment="1">
      <alignment vertical="center"/>
    </xf>
    <xf numFmtId="164" fontId="0" fillId="29" borderId="42" xfId="0" applyNumberFormat="1" applyFont="1" applyFill="1" applyBorder="1" applyAlignment="1">
      <alignment vertical="center"/>
    </xf>
    <xf numFmtId="0" fontId="45" fillId="16" borderId="105" xfId="0" applyFont="1" applyFill="1" applyBorder="1" applyAlignment="1">
      <alignment vertical="center"/>
    </xf>
    <xf numFmtId="10" fontId="0" fillId="16" borderId="80" xfId="0" applyNumberFormat="1" applyFill="1" applyBorder="1" applyAlignment="1">
      <alignment vertical="center" wrapText="1"/>
    </xf>
    <xf numFmtId="10" fontId="31" fillId="16" borderId="79" xfId="4" applyNumberFormat="1" applyFont="1" applyFill="1" applyBorder="1" applyAlignment="1">
      <alignment vertical="center" wrapText="1"/>
    </xf>
    <xf numFmtId="172" fontId="45" fillId="16" borderId="95" xfId="0" applyNumberFormat="1" applyFont="1" applyFill="1" applyBorder="1" applyAlignment="1">
      <alignment vertical="center" wrapText="1"/>
    </xf>
    <xf numFmtId="172" fontId="45" fillId="16" borderId="93" xfId="0" applyNumberFormat="1" applyFont="1" applyFill="1" applyBorder="1" applyAlignment="1">
      <alignment vertical="center" wrapText="1"/>
    </xf>
    <xf numFmtId="172" fontId="32" fillId="16" borderId="143" xfId="0" applyNumberFormat="1" applyFont="1" applyFill="1" applyBorder="1" applyAlignment="1">
      <alignment vertical="center" wrapText="1"/>
    </xf>
    <xf numFmtId="172" fontId="0" fillId="16" borderId="95" xfId="0" applyNumberFormat="1" applyFill="1" applyBorder="1" applyAlignment="1">
      <alignment vertical="center" wrapText="1"/>
    </xf>
    <xf numFmtId="172" fontId="0" fillId="16" borderId="143" xfId="0" applyNumberFormat="1" applyFill="1" applyBorder="1" applyAlignment="1">
      <alignment vertical="center" wrapText="1"/>
    </xf>
    <xf numFmtId="0" fontId="45" fillId="16" borderId="145" xfId="0" applyFont="1" applyFill="1" applyBorder="1" applyAlignment="1">
      <alignment vertical="center"/>
    </xf>
    <xf numFmtId="10" fontId="0" fillId="16" borderId="95" xfId="0" applyNumberFormat="1" applyFill="1" applyBorder="1" applyAlignment="1">
      <alignment vertical="center" wrapText="1"/>
    </xf>
    <xf numFmtId="10" fontId="31" fillId="16" borderId="93" xfId="4" applyNumberFormat="1" applyFont="1" applyFill="1" applyBorder="1" applyAlignment="1">
      <alignment vertical="center" wrapText="1"/>
    </xf>
    <xf numFmtId="0" fontId="45" fillId="10" borderId="144" xfId="0" applyFont="1" applyFill="1" applyBorder="1" applyAlignment="1">
      <alignment vertical="center" wrapText="1"/>
    </xf>
    <xf numFmtId="0" fontId="45" fillId="11" borderId="105" xfId="0" applyFont="1" applyFill="1" applyBorder="1" applyAlignment="1">
      <alignment vertical="center" wrapText="1"/>
    </xf>
    <xf numFmtId="0" fontId="45" fillId="12" borderId="105" xfId="0" applyFont="1" applyFill="1" applyBorder="1" applyAlignment="1">
      <alignment vertical="center" wrapText="1"/>
    </xf>
    <xf numFmtId="0" fontId="45" fillId="12" borderId="144" xfId="0" applyFont="1" applyFill="1" applyBorder="1" applyAlignment="1">
      <alignment vertical="center" wrapText="1"/>
    </xf>
    <xf numFmtId="0" fontId="45" fillId="13" borderId="105" xfId="0" applyFont="1" applyFill="1" applyBorder="1" applyAlignment="1">
      <alignment vertical="center" wrapText="1"/>
    </xf>
    <xf numFmtId="0" fontId="45" fillId="14" borderId="105" xfId="0" applyFont="1" applyFill="1" applyBorder="1" applyAlignment="1">
      <alignment vertical="center" wrapText="1"/>
    </xf>
    <xf numFmtId="0" fontId="45" fillId="14" borderId="144" xfId="0" applyFont="1" applyFill="1" applyBorder="1" applyAlignment="1">
      <alignment vertical="center" wrapText="1"/>
    </xf>
    <xf numFmtId="0" fontId="45" fillId="15" borderId="105" xfId="0" applyFont="1" applyFill="1" applyBorder="1" applyAlignment="1">
      <alignment vertical="center" wrapText="1"/>
    </xf>
    <xf numFmtId="0" fontId="45" fillId="15" borderId="144" xfId="0" applyFont="1" applyFill="1" applyBorder="1" applyAlignment="1">
      <alignment vertical="center" wrapText="1"/>
    </xf>
    <xf numFmtId="0" fontId="45" fillId="16" borderId="105" xfId="0" applyFont="1" applyFill="1" applyBorder="1" applyAlignment="1">
      <alignment vertical="center" wrapText="1"/>
    </xf>
    <xf numFmtId="0" fontId="45" fillId="16" borderId="145" xfId="0" applyFont="1" applyFill="1" applyBorder="1" applyAlignment="1">
      <alignment vertical="center" wrapText="1"/>
    </xf>
    <xf numFmtId="0" fontId="0" fillId="26" borderId="5" xfId="0" applyFont="1" applyFill="1" applyBorder="1" applyAlignment="1">
      <alignment horizontal="right" vertical="center" wrapText="1"/>
    </xf>
    <xf numFmtId="0" fontId="0" fillId="28" borderId="6" xfId="0" applyFont="1" applyFill="1" applyBorder="1" applyAlignment="1">
      <alignment horizontal="right" vertical="center" wrapText="1"/>
    </xf>
    <xf numFmtId="176" fontId="31" fillId="26" borderId="5" xfId="1" applyNumberFormat="1" applyFont="1" applyFill="1" applyBorder="1" applyAlignment="1">
      <alignment vertical="center" wrapText="1"/>
    </xf>
    <xf numFmtId="176" fontId="31" fillId="28" borderId="6" xfId="1" applyNumberFormat="1" applyFont="1" applyFill="1" applyBorder="1" applyAlignment="1">
      <alignment vertical="center" wrapText="1"/>
    </xf>
    <xf numFmtId="10" fontId="39" fillId="26" borderId="75" xfId="0" applyNumberFormat="1" applyFont="1" applyFill="1" applyBorder="1" applyAlignment="1">
      <alignment horizontal="right" vertical="center" wrapText="1"/>
    </xf>
    <xf numFmtId="10" fontId="0" fillId="28" borderId="123" xfId="0" applyNumberFormat="1" applyFont="1" applyFill="1" applyBorder="1" applyAlignment="1">
      <alignment horizontal="right" vertical="center" wrapText="1"/>
    </xf>
    <xf numFmtId="10" fontId="0" fillId="9" borderId="75" xfId="0" applyNumberFormat="1" applyFill="1" applyBorder="1" applyAlignment="1">
      <alignment horizontal="right" vertical="center"/>
    </xf>
    <xf numFmtId="10" fontId="0" fillId="10" borderId="84" xfId="0" applyNumberFormat="1" applyFill="1" applyBorder="1" applyAlignment="1">
      <alignment horizontal="right" vertical="center"/>
    </xf>
    <xf numFmtId="10" fontId="0" fillId="9" borderId="84" xfId="0" applyNumberFormat="1" applyFill="1" applyBorder="1" applyAlignment="1">
      <alignment horizontal="right"/>
    </xf>
    <xf numFmtId="10" fontId="0" fillId="10" borderId="84" xfId="0" applyNumberFormat="1" applyFill="1" applyBorder="1" applyAlignment="1">
      <alignment horizontal="right"/>
    </xf>
    <xf numFmtId="10" fontId="0" fillId="10" borderId="93" xfId="0" applyNumberFormat="1" applyFill="1" applyBorder="1" applyAlignment="1">
      <alignment horizontal="right"/>
    </xf>
    <xf numFmtId="10" fontId="0" fillId="11" borderId="79" xfId="0" applyNumberFormat="1" applyFill="1" applyBorder="1" applyAlignment="1">
      <alignment horizontal="right"/>
    </xf>
    <xf numFmtId="10" fontId="0" fillId="12" borderId="84" xfId="0" applyNumberFormat="1" applyFill="1" applyBorder="1" applyAlignment="1">
      <alignment horizontal="right"/>
    </xf>
    <xf numFmtId="10" fontId="0" fillId="11" borderId="84" xfId="0" applyNumberFormat="1" applyFill="1" applyBorder="1" applyAlignment="1">
      <alignment horizontal="right"/>
    </xf>
    <xf numFmtId="10" fontId="0" fillId="12" borderId="93" xfId="0" applyNumberFormat="1" applyFill="1" applyBorder="1" applyAlignment="1">
      <alignment horizontal="right"/>
    </xf>
    <xf numFmtId="10" fontId="0" fillId="13" borderId="79" xfId="0" applyNumberFormat="1" applyFill="1" applyBorder="1" applyAlignment="1">
      <alignment horizontal="right"/>
    </xf>
    <xf numFmtId="10" fontId="0" fillId="14" borderId="84" xfId="0" applyNumberFormat="1" applyFill="1" applyBorder="1" applyAlignment="1">
      <alignment horizontal="right"/>
    </xf>
    <xf numFmtId="10" fontId="0" fillId="13" borderId="84" xfId="0" applyNumberFormat="1" applyFill="1" applyBorder="1" applyAlignment="1">
      <alignment horizontal="right"/>
    </xf>
    <xf numFmtId="10" fontId="0" fillId="14" borderId="93" xfId="0" applyNumberFormat="1" applyFill="1" applyBorder="1" applyAlignment="1">
      <alignment horizontal="right"/>
    </xf>
    <xf numFmtId="10" fontId="0" fillId="15" borderId="79" xfId="0" applyNumberFormat="1" applyFill="1" applyBorder="1" applyAlignment="1">
      <alignment horizontal="right"/>
    </xf>
    <xf numFmtId="10" fontId="0" fillId="15" borderId="93" xfId="0" applyNumberFormat="1" applyFill="1" applyBorder="1" applyAlignment="1">
      <alignment horizontal="right"/>
    </xf>
    <xf numFmtId="10" fontId="0" fillId="16" borderId="79" xfId="0" applyNumberFormat="1" applyFill="1" applyBorder="1" applyAlignment="1">
      <alignment horizontal="right"/>
    </xf>
    <xf numFmtId="10" fontId="0" fillId="16" borderId="93" xfId="0" applyNumberFormat="1" applyFill="1" applyBorder="1" applyAlignment="1">
      <alignment horizontal="right"/>
    </xf>
    <xf numFmtId="0" fontId="45" fillId="12" borderId="146" xfId="0" applyFont="1" applyFill="1" applyBorder="1"/>
    <xf numFmtId="0" fontId="3" fillId="0" borderId="62" xfId="0" applyFont="1" applyFill="1" applyBorder="1" applyAlignment="1">
      <alignment vertical="center"/>
    </xf>
    <xf numFmtId="4" fontId="7" fillId="5" borderId="63" xfId="0" applyNumberFormat="1" applyFont="1" applyFill="1" applyBorder="1" applyAlignment="1">
      <alignment vertical="center"/>
    </xf>
    <xf numFmtId="4" fontId="7" fillId="7" borderId="5" xfId="0" applyNumberFormat="1" applyFont="1" applyFill="1" applyBorder="1" applyAlignment="1">
      <alignment vertical="center"/>
    </xf>
    <xf numFmtId="10" fontId="7" fillId="32" borderId="0" xfId="3" applyNumberFormat="1" applyFont="1" applyFill="1" applyBorder="1"/>
    <xf numFmtId="4" fontId="3" fillId="0" borderId="0" xfId="0" applyNumberFormat="1" applyFont="1" applyBorder="1" applyAlignment="1">
      <alignment horizontal="right"/>
    </xf>
    <xf numFmtId="2" fontId="7" fillId="0" borderId="24" xfId="0" applyNumberFormat="1" applyFont="1" applyBorder="1"/>
    <xf numFmtId="0" fontId="7" fillId="0" borderId="0" xfId="0" applyFont="1" applyFill="1" applyBorder="1" applyAlignment="1">
      <alignment horizontal="right"/>
    </xf>
    <xf numFmtId="0" fontId="3" fillId="6" borderId="10" xfId="0" applyFont="1" applyFill="1" applyBorder="1"/>
    <xf numFmtId="7" fontId="3" fillId="6" borderId="11" xfId="0" applyNumberFormat="1" applyFont="1" applyFill="1" applyBorder="1"/>
    <xf numFmtId="7" fontId="3" fillId="6" borderId="58" xfId="0" applyNumberFormat="1" applyFont="1" applyFill="1" applyBorder="1"/>
    <xf numFmtId="4" fontId="7" fillId="7" borderId="1" xfId="0" applyNumberFormat="1" applyFont="1" applyFill="1" applyBorder="1" applyAlignment="1">
      <alignment vertical="center"/>
    </xf>
    <xf numFmtId="0" fontId="3" fillId="8" borderId="64" xfId="0" applyFont="1" applyFill="1" applyBorder="1"/>
    <xf numFmtId="2" fontId="3" fillId="8" borderId="64" xfId="0" applyNumberFormat="1" applyFont="1" applyFill="1" applyBorder="1"/>
    <xf numFmtId="4" fontId="7" fillId="0" borderId="7" xfId="0" applyNumberFormat="1" applyFont="1" applyFill="1" applyBorder="1" applyAlignment="1">
      <alignment vertical="center"/>
    </xf>
    <xf numFmtId="7" fontId="7" fillId="0" borderId="0" xfId="0" applyNumberFormat="1" applyFont="1" applyBorder="1"/>
    <xf numFmtId="0" fontId="7" fillId="6" borderId="10" xfId="0" applyFont="1" applyFill="1" applyBorder="1"/>
    <xf numFmtId="10" fontId="7" fillId="0" borderId="0" xfId="3" applyNumberFormat="1" applyFont="1" applyFill="1" applyBorder="1"/>
    <xf numFmtId="0" fontId="64" fillId="0" borderId="0" xfId="0" applyFont="1" applyFill="1" applyBorder="1" applyAlignment="1">
      <alignment horizontal="center"/>
    </xf>
    <xf numFmtId="0" fontId="64" fillId="0" borderId="0" xfId="0" applyFont="1" applyFill="1" applyBorder="1" applyAlignment="1">
      <alignment horizontal="left"/>
    </xf>
    <xf numFmtId="7" fontId="7" fillId="0" borderId="0" xfId="0" applyNumberFormat="1" applyFont="1" applyBorder="1" applyAlignment="1">
      <alignment horizontal="right"/>
    </xf>
    <xf numFmtId="10" fontId="7" fillId="33" borderId="0" xfId="3" applyNumberFormat="1" applyFont="1" applyFill="1" applyBorder="1"/>
    <xf numFmtId="7" fontId="7" fillId="0" borderId="0" xfId="0" applyNumberFormat="1" applyFont="1" applyFill="1" applyBorder="1" applyAlignment="1">
      <alignment horizontal="right"/>
    </xf>
    <xf numFmtId="2" fontId="3" fillId="0" borderId="0" xfId="0" applyNumberFormat="1" applyFont="1" applyFill="1" applyBorder="1" applyAlignment="1">
      <alignment wrapText="1"/>
    </xf>
    <xf numFmtId="2" fontId="3" fillId="0" borderId="0" xfId="0" applyNumberFormat="1" applyFont="1" applyFill="1" applyBorder="1" applyAlignment="1">
      <alignment horizontal="center"/>
    </xf>
    <xf numFmtId="2" fontId="3" fillId="8" borderId="64" xfId="0" applyNumberFormat="1" applyFont="1" applyFill="1" applyBorder="1" applyAlignment="1">
      <alignment horizontal="right"/>
    </xf>
    <xf numFmtId="2" fontId="3" fillId="8" borderId="64" xfId="0" applyNumberFormat="1" applyFont="1" applyFill="1" applyBorder="1" applyAlignment="1">
      <alignment vertical="top" wrapText="1"/>
    </xf>
    <xf numFmtId="4" fontId="7" fillId="7" borderId="63" xfId="0" applyNumberFormat="1" applyFont="1" applyFill="1" applyBorder="1" applyAlignment="1">
      <alignment vertical="center"/>
    </xf>
    <xf numFmtId="0" fontId="7" fillId="35" borderId="42" xfId="0" applyFont="1" applyFill="1" applyBorder="1" applyAlignment="1">
      <alignment horizontal="right" vertical="center"/>
    </xf>
    <xf numFmtId="14" fontId="7" fillId="35" borderId="52" xfId="0" applyNumberFormat="1" applyFont="1" applyFill="1" applyBorder="1" applyAlignment="1">
      <alignment vertical="center"/>
    </xf>
    <xf numFmtId="14" fontId="7" fillId="35" borderId="65" xfId="0" applyNumberFormat="1" applyFont="1" applyFill="1" applyBorder="1" applyAlignment="1">
      <alignment vertical="center"/>
    </xf>
    <xf numFmtId="14" fontId="7" fillId="5" borderId="65" xfId="0" applyNumberFormat="1" applyFont="1" applyFill="1" applyBorder="1" applyAlignment="1">
      <alignment vertical="center"/>
    </xf>
    <xf numFmtId="4" fontId="7" fillId="35" borderId="66" xfId="0" applyNumberFormat="1" applyFont="1" applyFill="1" applyBorder="1" applyAlignment="1">
      <alignment vertical="center"/>
    </xf>
    <xf numFmtId="0" fontId="64" fillId="36" borderId="0" xfId="0" applyFont="1" applyFill="1" applyBorder="1" applyAlignment="1">
      <alignment horizontal="left"/>
    </xf>
    <xf numFmtId="0" fontId="5" fillId="36" borderId="0" xfId="0" applyFont="1" applyFill="1" applyBorder="1" applyAlignment="1">
      <alignment horizontal="center"/>
    </xf>
    <xf numFmtId="4" fontId="7" fillId="7" borderId="66" xfId="0" applyNumberFormat="1" applyFont="1" applyFill="1" applyBorder="1" applyAlignment="1">
      <alignment vertical="center"/>
    </xf>
    <xf numFmtId="0" fontId="65" fillId="0" borderId="0" xfId="0" applyFont="1" applyBorder="1"/>
    <xf numFmtId="0" fontId="3" fillId="0" borderId="0" xfId="0" applyFont="1" applyFill="1" applyBorder="1" applyAlignment="1">
      <alignment horizontal="left" indent="1"/>
    </xf>
    <xf numFmtId="10" fontId="3" fillId="32" borderId="0" xfId="3" applyNumberFormat="1" applyFont="1" applyFill="1" applyBorder="1" applyAlignment="1">
      <alignment vertical="center"/>
    </xf>
    <xf numFmtId="167" fontId="3" fillId="6" borderId="64" xfId="0" applyNumberFormat="1" applyFont="1" applyFill="1" applyBorder="1" applyAlignment="1">
      <alignment vertical="center"/>
    </xf>
    <xf numFmtId="167" fontId="3" fillId="8" borderId="64" xfId="0" applyNumberFormat="1" applyFont="1" applyFill="1" applyBorder="1" applyAlignment="1">
      <alignment vertical="center"/>
    </xf>
    <xf numFmtId="4" fontId="7" fillId="7" borderId="0" xfId="0" applyNumberFormat="1" applyFont="1" applyFill="1" applyBorder="1"/>
    <xf numFmtId="0" fontId="3" fillId="6" borderId="64" xfId="0" applyFont="1" applyFill="1" applyBorder="1" applyAlignment="1">
      <alignment horizontal="left" indent="1"/>
    </xf>
    <xf numFmtId="2" fontId="7" fillId="6" borderId="64" xfId="0" applyNumberFormat="1" applyFont="1" applyFill="1" applyBorder="1"/>
    <xf numFmtId="2" fontId="3" fillId="8" borderId="67" xfId="0" applyNumberFormat="1" applyFont="1" applyFill="1" applyBorder="1"/>
    <xf numFmtId="177" fontId="7" fillId="0" borderId="0" xfId="0" applyNumberFormat="1" applyFont="1" applyBorder="1"/>
    <xf numFmtId="0" fontId="36" fillId="0" borderId="0" xfId="0" applyFont="1" applyBorder="1"/>
    <xf numFmtId="43" fontId="36" fillId="0" borderId="0" xfId="0" applyNumberFormat="1" applyFont="1" applyBorder="1"/>
    <xf numFmtId="43" fontId="36" fillId="0" borderId="0" xfId="1" applyFont="1" applyBorder="1"/>
    <xf numFmtId="0" fontId="39" fillId="0" borderId="0" xfId="0" applyFont="1" applyBorder="1"/>
    <xf numFmtId="43" fontId="36" fillId="0" borderId="0" xfId="0" applyNumberFormat="1" applyFont="1" applyBorder="1" applyAlignment="1">
      <alignment horizontal="right"/>
    </xf>
    <xf numFmtId="7" fontId="39" fillId="0" borderId="0" xfId="0" applyNumberFormat="1" applyFont="1" applyBorder="1"/>
    <xf numFmtId="0" fontId="37" fillId="0" borderId="0" xfId="0" applyFont="1" applyBorder="1" applyAlignment="1">
      <alignment horizontal="right"/>
    </xf>
    <xf numFmtId="2" fontId="37" fillId="0" borderId="0" xfId="0" applyNumberFormat="1" applyFont="1" applyBorder="1"/>
    <xf numFmtId="43" fontId="37" fillId="0" borderId="0" xfId="0" applyNumberFormat="1" applyFont="1" applyBorder="1" applyAlignment="1">
      <alignment horizontal="right"/>
    </xf>
    <xf numFmtId="43" fontId="37" fillId="0" borderId="0" xfId="0" applyNumberFormat="1" applyFont="1" applyBorder="1"/>
    <xf numFmtId="2" fontId="7" fillId="0" borderId="0" xfId="0" applyNumberFormat="1" applyFont="1" applyBorder="1" applyAlignment="1">
      <alignment horizontal="right"/>
    </xf>
    <xf numFmtId="0" fontId="7" fillId="0" borderId="41" xfId="0" applyFont="1" applyBorder="1"/>
    <xf numFmtId="2" fontId="7" fillId="0" borderId="41" xfId="0" applyNumberFormat="1" applyFont="1" applyBorder="1"/>
    <xf numFmtId="0" fontId="3" fillId="0" borderId="0" xfId="0" applyFont="1" applyBorder="1" applyAlignment="1">
      <alignment horizontal="right"/>
    </xf>
    <xf numFmtId="167" fontId="65"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7" fontId="36" fillId="0" borderId="0" xfId="0" applyNumberFormat="1" applyFont="1" applyFill="1" applyBorder="1" applyAlignment="1">
      <alignment vertical="center"/>
    </xf>
    <xf numFmtId="0" fontId="7" fillId="0" borderId="0" xfId="0" applyFont="1" applyFill="1" applyBorder="1" applyAlignment="1">
      <alignment horizontal="left" indent="1"/>
    </xf>
    <xf numFmtId="167" fontId="7" fillId="0" borderId="0" xfId="0" applyNumberFormat="1" applyFont="1" applyBorder="1" applyAlignment="1">
      <alignment vertical="center"/>
    </xf>
    <xf numFmtId="0" fontId="5" fillId="0" borderId="0" xfId="0" applyFont="1" applyFill="1" applyBorder="1" applyAlignment="1">
      <alignment horizontal="center"/>
    </xf>
    <xf numFmtId="2" fontId="7" fillId="0" borderId="0" xfId="1" applyNumberFormat="1" applyFont="1" applyBorder="1"/>
    <xf numFmtId="2" fontId="7" fillId="0" borderId="41" xfId="1" applyNumberFormat="1" applyFont="1" applyBorder="1"/>
    <xf numFmtId="2" fontId="3" fillId="0" borderId="0" xfId="1" applyNumberFormat="1" applyFont="1" applyBorder="1"/>
    <xf numFmtId="2" fontId="3" fillId="0" borderId="0" xfId="1" applyNumberFormat="1" applyFont="1" applyBorder="1" applyAlignment="1">
      <alignment horizontal="right"/>
    </xf>
    <xf numFmtId="2" fontId="3" fillId="0" borderId="0" xfId="0" applyNumberFormat="1" applyFont="1" applyBorder="1" applyAlignment="1">
      <alignment horizontal="right"/>
    </xf>
    <xf numFmtId="2" fontId="7" fillId="37" borderId="0" xfId="1" applyNumberFormat="1" applyFont="1" applyFill="1" applyBorder="1" applyAlignment="1">
      <alignment horizontal="right"/>
    </xf>
    <xf numFmtId="2" fontId="3" fillId="0" borderId="0" xfId="0" applyNumberFormat="1" applyFont="1" applyBorder="1"/>
    <xf numFmtId="43" fontId="37" fillId="0" borderId="0" xfId="1" applyFont="1" applyBorder="1"/>
    <xf numFmtId="0" fontId="70" fillId="0" borderId="0" xfId="0" applyFont="1" applyFill="1" applyBorder="1" applyAlignment="1">
      <alignment horizontal="center"/>
    </xf>
    <xf numFmtId="43" fontId="71" fillId="0" borderId="0" xfId="0" applyNumberFormat="1" applyFont="1" applyFill="1" applyBorder="1" applyAlignment="1">
      <alignment horizontal="center"/>
    </xf>
    <xf numFmtId="0" fontId="71" fillId="0" borderId="0" xfId="0" applyFont="1" applyFill="1" applyBorder="1" applyAlignment="1">
      <alignment horizontal="center"/>
    </xf>
    <xf numFmtId="0" fontId="39" fillId="38" borderId="0" xfId="0" applyFont="1" applyFill="1" applyBorder="1" applyAlignment="1">
      <alignment horizontal="right"/>
    </xf>
    <xf numFmtId="43" fontId="39" fillId="38" borderId="0" xfId="0" applyNumberFormat="1" applyFont="1" applyFill="1" applyBorder="1"/>
    <xf numFmtId="2" fontId="39" fillId="38" borderId="0" xfId="0" applyNumberFormat="1" applyFont="1" applyFill="1" applyBorder="1"/>
    <xf numFmtId="0" fontId="1" fillId="0" borderId="56" xfId="0" applyFont="1" applyBorder="1" applyAlignment="1">
      <alignment horizontal="left"/>
    </xf>
    <xf numFmtId="0" fontId="1" fillId="0" borderId="8" xfId="0" applyFont="1" applyBorder="1" applyAlignment="1">
      <alignment horizontal="left"/>
    </xf>
    <xf numFmtId="0" fontId="1" fillId="0" borderId="28" xfId="0" applyFont="1" applyBorder="1" applyAlignment="1">
      <alignment horizontal="left"/>
    </xf>
    <xf numFmtId="0" fontId="36" fillId="0" borderId="56" xfId="0" applyFont="1" applyBorder="1" applyAlignment="1">
      <alignment horizontal="left"/>
    </xf>
    <xf numFmtId="0" fontId="36" fillId="0" borderId="8" xfId="0" applyFont="1" applyBorder="1" applyAlignment="1">
      <alignment horizontal="left"/>
    </xf>
    <xf numFmtId="0" fontId="36" fillId="0" borderId="28" xfId="0" applyFont="1" applyBorder="1" applyAlignment="1">
      <alignment horizontal="left"/>
    </xf>
    <xf numFmtId="0" fontId="60" fillId="0" borderId="59" xfId="0" applyFont="1" applyBorder="1" applyAlignment="1">
      <alignment horizontal="left"/>
    </xf>
    <xf numFmtId="0" fontId="60" fillId="0" borderId="35" xfId="0" applyFont="1" applyBorder="1" applyAlignment="1">
      <alignment horizontal="left"/>
    </xf>
    <xf numFmtId="0" fontId="60" fillId="0" borderId="36" xfId="0" applyFont="1" applyBorder="1" applyAlignment="1">
      <alignment horizontal="left"/>
    </xf>
    <xf numFmtId="0" fontId="2" fillId="0" borderId="56" xfId="0" applyFont="1" applyBorder="1" applyAlignment="1">
      <alignment horizontal="left" vertical="top" wrapText="1"/>
    </xf>
    <xf numFmtId="0" fontId="2" fillId="0" borderId="8" xfId="0" applyFont="1" applyBorder="1" applyAlignment="1">
      <alignment horizontal="left" vertical="top"/>
    </xf>
    <xf numFmtId="0" fontId="2" fillId="0" borderId="28" xfId="0" applyFont="1" applyBorder="1" applyAlignment="1">
      <alignment horizontal="left" vertical="top"/>
    </xf>
    <xf numFmtId="0" fontId="2" fillId="0" borderId="39" xfId="0" applyFont="1" applyBorder="1" applyAlignment="1">
      <alignment horizontal="left" vertical="top" wrapText="1"/>
    </xf>
    <xf numFmtId="0" fontId="2" fillId="0" borderId="0" xfId="0" applyFont="1" applyBorder="1" applyAlignment="1">
      <alignment horizontal="left" vertical="top"/>
    </xf>
    <xf numFmtId="0" fontId="2" fillId="0" borderId="27" xfId="0" applyFont="1" applyBorder="1" applyAlignment="1">
      <alignment horizontal="left" vertical="top"/>
    </xf>
    <xf numFmtId="0" fontId="2" fillId="0" borderId="56" xfId="0" applyFont="1" applyBorder="1" applyAlignment="1">
      <alignment horizontal="left"/>
    </xf>
    <xf numFmtId="0" fontId="2" fillId="0" borderId="8" xfId="0" applyFont="1" applyBorder="1" applyAlignment="1">
      <alignment horizontal="left"/>
    </xf>
    <xf numFmtId="0" fontId="2" fillId="0" borderId="28" xfId="0" applyFont="1" applyBorder="1" applyAlignment="1">
      <alignment horizontal="left"/>
    </xf>
    <xf numFmtId="0" fontId="2" fillId="0" borderId="39" xfId="0" applyFont="1" applyBorder="1" applyAlignment="1">
      <alignment horizontal="left"/>
    </xf>
    <xf numFmtId="0" fontId="2" fillId="0" borderId="0" xfId="0" applyFont="1" applyBorder="1" applyAlignment="1">
      <alignment horizontal="left"/>
    </xf>
    <xf numFmtId="0" fontId="2" fillId="0" borderId="27" xfId="0" applyFont="1" applyBorder="1" applyAlignment="1">
      <alignment horizontal="left"/>
    </xf>
    <xf numFmtId="0" fontId="2" fillId="0" borderId="39" xfId="0" applyFont="1" applyBorder="1" applyAlignment="1">
      <alignment horizontal="left" vertical="top"/>
    </xf>
    <xf numFmtId="0" fontId="1" fillId="0" borderId="39" xfId="0" applyFont="1" applyBorder="1" applyAlignment="1">
      <alignment horizontal="left"/>
    </xf>
    <xf numFmtId="0" fontId="1" fillId="0" borderId="0" xfId="0" applyFont="1" applyBorder="1" applyAlignment="1">
      <alignment horizontal="left"/>
    </xf>
    <xf numFmtId="0" fontId="1" fillId="0" borderId="27" xfId="0" applyFont="1" applyBorder="1" applyAlignment="1">
      <alignment horizontal="left"/>
    </xf>
    <xf numFmtId="0" fontId="2" fillId="0" borderId="39" xfId="0" applyFont="1" applyFill="1" applyBorder="1" applyAlignment="1">
      <alignment horizontal="left"/>
    </xf>
    <xf numFmtId="0" fontId="2" fillId="0" borderId="0" xfId="0" applyFont="1" applyFill="1" applyBorder="1" applyAlignment="1">
      <alignment horizontal="left"/>
    </xf>
    <xf numFmtId="0" fontId="2" fillId="0" borderId="27" xfId="0" applyFont="1" applyFill="1" applyBorder="1" applyAlignment="1">
      <alignment horizontal="left"/>
    </xf>
    <xf numFmtId="0" fontId="5" fillId="22" borderId="10" xfId="0" applyFont="1" applyFill="1" applyBorder="1" applyAlignment="1">
      <alignment horizontal="center"/>
    </xf>
    <xf numFmtId="0" fontId="5" fillId="22" borderId="11" xfId="0" applyFont="1" applyFill="1" applyBorder="1" applyAlignment="1">
      <alignment horizontal="center"/>
    </xf>
    <xf numFmtId="0" fontId="5" fillId="22" borderId="58" xfId="0" applyFont="1" applyFill="1" applyBorder="1" applyAlignment="1">
      <alignment horizontal="center"/>
    </xf>
    <xf numFmtId="0" fontId="36" fillId="0" borderId="39" xfId="0" applyFont="1" applyBorder="1" applyAlignment="1">
      <alignment horizontal="left"/>
    </xf>
    <xf numFmtId="0" fontId="36" fillId="0" borderId="0" xfId="0" applyFont="1" applyBorder="1" applyAlignment="1">
      <alignment horizontal="left"/>
    </xf>
    <xf numFmtId="0" fontId="36" fillId="0" borderId="27" xfId="0" applyFont="1" applyBorder="1" applyAlignment="1">
      <alignment horizontal="left"/>
    </xf>
    <xf numFmtId="0" fontId="6" fillId="22" borderId="10" xfId="0" applyFont="1" applyFill="1" applyBorder="1" applyAlignment="1">
      <alignment horizontal="center" vertical="top" wrapText="1"/>
    </xf>
    <xf numFmtId="0" fontId="5" fillId="22" borderId="11" xfId="0" applyFont="1" applyFill="1" applyBorder="1" applyAlignment="1">
      <alignment horizontal="center" vertical="top" wrapText="1"/>
    </xf>
    <xf numFmtId="0" fontId="5" fillId="22" borderId="58" xfId="0" applyFont="1" applyFill="1" applyBorder="1" applyAlignment="1">
      <alignment horizontal="center" vertical="top" wrapText="1"/>
    </xf>
    <xf numFmtId="0" fontId="32" fillId="0" borderId="101" xfId="0" applyFont="1" applyFill="1" applyBorder="1" applyAlignment="1">
      <alignment horizontal="center" vertical="center" wrapText="1"/>
    </xf>
    <xf numFmtId="0" fontId="32" fillId="0" borderId="68" xfId="0" applyFont="1" applyFill="1" applyBorder="1" applyAlignment="1">
      <alignment horizontal="center" vertical="center" wrapText="1"/>
    </xf>
    <xf numFmtId="0" fontId="47" fillId="28" borderId="148" xfId="0" applyFont="1" applyFill="1" applyBorder="1" applyAlignment="1">
      <alignment horizontal="center" vertical="center" wrapText="1"/>
    </xf>
    <xf numFmtId="0" fontId="47" fillId="28" borderId="39" xfId="0" applyFont="1" applyFill="1" applyBorder="1" applyAlignment="1">
      <alignment horizontal="center" vertical="center" wrapText="1"/>
    </xf>
    <xf numFmtId="0" fontId="47" fillId="28" borderId="56" xfId="0" applyFont="1" applyFill="1" applyBorder="1" applyAlignment="1">
      <alignment horizontal="center" vertical="center" wrapText="1"/>
    </xf>
    <xf numFmtId="0" fontId="0" fillId="19" borderId="108" xfId="0" applyFill="1" applyBorder="1" applyAlignment="1">
      <alignment horizontal="center" vertical="center"/>
    </xf>
    <xf numFmtId="0" fontId="0" fillId="19" borderId="109" xfId="0" applyFill="1" applyBorder="1" applyAlignment="1">
      <alignment horizontal="center" vertical="center"/>
    </xf>
    <xf numFmtId="0" fontId="0" fillId="19" borderId="112" xfId="0" applyFill="1" applyBorder="1" applyAlignment="1">
      <alignment horizontal="center" vertical="center"/>
    </xf>
    <xf numFmtId="0" fontId="47" fillId="30" borderId="59" xfId="0" applyFont="1" applyFill="1" applyBorder="1" applyAlignment="1">
      <alignment horizontal="center" vertical="center" wrapText="1"/>
    </xf>
    <xf numFmtId="0" fontId="47" fillId="30" borderId="39" xfId="0" applyFont="1" applyFill="1" applyBorder="1" applyAlignment="1">
      <alignment horizontal="center" vertical="center" wrapText="1"/>
    </xf>
    <xf numFmtId="0" fontId="47" fillId="30" borderId="56" xfId="0" applyFont="1" applyFill="1" applyBorder="1" applyAlignment="1">
      <alignment horizontal="center" vertical="center" wrapText="1"/>
    </xf>
    <xf numFmtId="0" fontId="0" fillId="20" borderId="149" xfId="0" applyFill="1" applyBorder="1" applyAlignment="1">
      <alignment horizontal="center" vertical="center"/>
    </xf>
    <xf numFmtId="0" fontId="0" fillId="20" borderId="110" xfId="0" applyFill="1" applyBorder="1" applyAlignment="1">
      <alignment horizontal="center" vertical="center"/>
    </xf>
    <xf numFmtId="0" fontId="47" fillId="15" borderId="61" xfId="0" applyFont="1" applyFill="1" applyBorder="1" applyAlignment="1">
      <alignment horizontal="center" vertical="center"/>
    </xf>
    <xf numFmtId="0" fontId="47" fillId="15" borderId="57" xfId="0" applyFont="1" applyFill="1" applyBorder="1" applyAlignment="1">
      <alignment horizontal="center" vertical="center"/>
    </xf>
    <xf numFmtId="0" fontId="61" fillId="0" borderId="10" xfId="0" applyFont="1" applyBorder="1" applyAlignment="1">
      <alignment horizontal="center"/>
    </xf>
    <xf numFmtId="0" fontId="61" fillId="0" borderId="11" xfId="0" applyFont="1" applyBorder="1" applyAlignment="1">
      <alignment horizontal="center"/>
    </xf>
    <xf numFmtId="0" fontId="61" fillId="0" borderId="58" xfId="0" applyFont="1" applyBorder="1" applyAlignment="1">
      <alignment horizontal="center"/>
    </xf>
    <xf numFmtId="0" fontId="47" fillId="28" borderId="148" xfId="0" applyFont="1" applyFill="1" applyBorder="1" applyAlignment="1">
      <alignment horizontal="center" vertical="center"/>
    </xf>
    <xf numFmtId="0" fontId="47" fillId="28" borderId="39" xfId="0" applyFont="1" applyFill="1" applyBorder="1" applyAlignment="1">
      <alignment horizontal="center" vertical="center"/>
    </xf>
    <xf numFmtId="0" fontId="47" fillId="28" borderId="56" xfId="0" applyFont="1" applyFill="1" applyBorder="1" applyAlignment="1">
      <alignment horizontal="center" vertical="center"/>
    </xf>
    <xf numFmtId="0" fontId="47" fillId="15" borderId="59" xfId="0" applyFont="1" applyFill="1" applyBorder="1" applyAlignment="1">
      <alignment horizontal="center" vertical="center"/>
    </xf>
    <xf numFmtId="0" fontId="47" fillId="15" borderId="69" xfId="0" applyFont="1" applyFill="1" applyBorder="1" applyAlignment="1">
      <alignment horizontal="center" vertical="center"/>
    </xf>
    <xf numFmtId="0" fontId="36" fillId="0" borderId="5" xfId="0" applyFont="1" applyBorder="1" applyAlignment="1">
      <alignment horizontal="center" vertical="center" wrapText="1"/>
    </xf>
    <xf numFmtId="0" fontId="47" fillId="30" borderId="59" xfId="0" applyFont="1" applyFill="1" applyBorder="1" applyAlignment="1">
      <alignment horizontal="center" vertical="center"/>
    </xf>
    <xf numFmtId="0" fontId="47" fillId="30" borderId="39" xfId="0" applyFont="1" applyFill="1" applyBorder="1" applyAlignment="1">
      <alignment horizontal="center" vertical="center"/>
    </xf>
    <xf numFmtId="0" fontId="47" fillId="30" borderId="56" xfId="0" applyFont="1" applyFill="1" applyBorder="1" applyAlignment="1">
      <alignment horizontal="center" vertical="center"/>
    </xf>
    <xf numFmtId="0" fontId="47" fillId="31" borderId="59" xfId="0" applyFont="1" applyFill="1" applyBorder="1" applyAlignment="1">
      <alignment horizontal="center" vertical="center" wrapText="1"/>
    </xf>
    <xf numFmtId="0" fontId="47" fillId="31" borderId="39" xfId="0" applyFont="1" applyFill="1" applyBorder="1" applyAlignment="1">
      <alignment horizontal="center" vertical="center" wrapText="1"/>
    </xf>
    <xf numFmtId="0" fontId="47" fillId="31" borderId="56" xfId="0" applyFont="1" applyFill="1" applyBorder="1" applyAlignment="1">
      <alignment horizontal="center" vertical="center" wrapText="1"/>
    </xf>
    <xf numFmtId="0" fontId="32" fillId="0" borderId="60" xfId="0" applyFont="1" applyBorder="1" applyAlignment="1">
      <alignment horizontal="center"/>
    </xf>
    <xf numFmtId="0" fontId="32" fillId="9" borderId="147" xfId="0" applyFont="1" applyFill="1" applyBorder="1" applyAlignment="1">
      <alignment horizontal="center" vertical="center" wrapText="1"/>
    </xf>
    <xf numFmtId="0" fontId="32" fillId="9" borderId="71" xfId="0" applyFont="1" applyFill="1" applyBorder="1" applyAlignment="1">
      <alignment horizontal="center" vertical="center" wrapText="1"/>
    </xf>
    <xf numFmtId="0" fontId="0" fillId="15" borderId="109" xfId="0" applyFill="1" applyBorder="1" applyAlignment="1">
      <alignment horizontal="center" vertical="center"/>
    </xf>
    <xf numFmtId="0" fontId="0" fillId="15" borderId="112" xfId="0" applyFill="1" applyBorder="1" applyAlignment="1">
      <alignment horizontal="center" vertical="center"/>
    </xf>
    <xf numFmtId="0" fontId="47" fillId="16" borderId="150" xfId="0" applyFont="1" applyFill="1" applyBorder="1" applyAlignment="1">
      <alignment horizontal="center" vertical="center"/>
    </xf>
    <xf numFmtId="0" fontId="47" fillId="16" borderId="151" xfId="0" applyFont="1" applyFill="1" applyBorder="1" applyAlignment="1">
      <alignment horizontal="center" vertical="center"/>
    </xf>
    <xf numFmtId="0" fontId="0" fillId="16" borderId="111" xfId="0" applyFill="1" applyBorder="1" applyAlignment="1">
      <alignment horizontal="center" vertical="center"/>
    </xf>
    <xf numFmtId="0" fontId="0" fillId="16" borderId="112" xfId="0" applyFill="1" applyBorder="1" applyAlignment="1">
      <alignment horizontal="center" vertical="center"/>
    </xf>
    <xf numFmtId="10" fontId="0" fillId="21" borderId="111" xfId="0" applyNumberFormat="1" applyFill="1" applyBorder="1" applyAlignment="1">
      <alignment horizontal="center" vertical="center"/>
    </xf>
    <xf numFmtId="10" fontId="0" fillId="21" borderId="109" xfId="0" applyNumberFormat="1" applyFill="1" applyBorder="1" applyAlignment="1">
      <alignment horizontal="center" vertical="center"/>
    </xf>
    <xf numFmtId="10" fontId="0" fillId="21" borderId="112" xfId="0" applyNumberFormat="1" applyFill="1" applyBorder="1" applyAlignment="1">
      <alignment horizontal="center" vertical="center"/>
    </xf>
    <xf numFmtId="0" fontId="35" fillId="37" borderId="0" xfId="0" applyFont="1" applyFill="1" applyBorder="1" applyAlignment="1">
      <alignment horizontal="center" wrapText="1"/>
    </xf>
    <xf numFmtId="0" fontId="5" fillId="0" borderId="0" xfId="0" applyFont="1" applyFill="1" applyBorder="1" applyAlignment="1">
      <alignment horizontal="center"/>
    </xf>
    <xf numFmtId="0" fontId="26" fillId="22" borderId="56" xfId="0" applyFont="1" applyFill="1" applyBorder="1" applyAlignment="1">
      <alignment horizontal="center"/>
    </xf>
    <xf numFmtId="0" fontId="26" fillId="22" borderId="8" xfId="0" applyFont="1" applyFill="1" applyBorder="1" applyAlignment="1">
      <alignment horizontal="center"/>
    </xf>
    <xf numFmtId="0" fontId="26" fillId="22" borderId="28" xfId="0" applyFont="1" applyFill="1" applyBorder="1" applyAlignment="1">
      <alignment horizontal="center"/>
    </xf>
    <xf numFmtId="0" fontId="5" fillId="22" borderId="59" xfId="0" applyFont="1" applyFill="1" applyBorder="1" applyAlignment="1">
      <alignment horizontal="center"/>
    </xf>
    <xf numFmtId="0" fontId="5" fillId="22" borderId="35" xfId="0" applyFont="1" applyFill="1" applyBorder="1" applyAlignment="1">
      <alignment horizontal="center"/>
    </xf>
    <xf numFmtId="0" fontId="5" fillId="22" borderId="36" xfId="0" applyFont="1" applyFill="1" applyBorder="1" applyAlignment="1">
      <alignment horizontal="center"/>
    </xf>
    <xf numFmtId="0" fontId="4" fillId="22" borderId="10" xfId="0" applyFont="1" applyFill="1" applyBorder="1" applyAlignment="1">
      <alignment horizontal="center"/>
    </xf>
    <xf numFmtId="0" fontId="4" fillId="22" borderId="58" xfId="0" applyFont="1" applyFill="1" applyBorder="1" applyAlignment="1">
      <alignment horizontal="center"/>
    </xf>
    <xf numFmtId="169" fontId="36" fillId="0" borderId="0" xfId="0" applyNumberFormat="1" applyFont="1" applyFill="1" applyBorder="1" applyAlignment="1">
      <alignment horizontal="center"/>
    </xf>
    <xf numFmtId="0" fontId="62" fillId="0" borderId="0" xfId="0" applyFont="1" applyFill="1" applyBorder="1" applyAlignment="1">
      <alignment horizontal="center" vertical="center"/>
    </xf>
    <xf numFmtId="0" fontId="63" fillId="0" borderId="0" xfId="0" applyFont="1" applyFill="1" applyBorder="1" applyAlignment="1">
      <alignment horizontal="center"/>
    </xf>
    <xf numFmtId="0" fontId="63" fillId="34" borderId="0" xfId="0" applyFont="1" applyFill="1" applyBorder="1" applyAlignment="1">
      <alignment horizontal="center"/>
    </xf>
    <xf numFmtId="0" fontId="5" fillId="22" borderId="39" xfId="0" applyFont="1" applyFill="1" applyBorder="1" applyAlignment="1">
      <alignment horizontal="center"/>
    </xf>
    <xf numFmtId="0" fontId="5" fillId="22" borderId="0" xfId="0" applyFont="1" applyFill="1" applyBorder="1" applyAlignment="1">
      <alignment horizontal="center"/>
    </xf>
    <xf numFmtId="0" fontId="66" fillId="0" borderId="0" xfId="0" applyFont="1" applyAlignment="1">
      <alignment horizontal="left" vertical="top" wrapText="1"/>
    </xf>
    <xf numFmtId="0" fontId="9" fillId="0" borderId="0" xfId="0" applyFont="1" applyFill="1" applyBorder="1" applyAlignment="1">
      <alignment horizontal="left"/>
    </xf>
    <xf numFmtId="0" fontId="4" fillId="0" borderId="0" xfId="0" applyFont="1" applyFill="1" applyBorder="1" applyAlignment="1">
      <alignment horizontal="center"/>
    </xf>
  </cellXfs>
  <cellStyles count="5">
    <cellStyle name="Comma 2" xfId="2" xr:uid="{00000000-0005-0000-0000-000000000000}"/>
    <cellStyle name="Migliaia" xfId="1" builtinId="3"/>
    <cellStyle name="Normale" xfId="0" builtinId="0"/>
    <cellStyle name="Percent 2" xfId="4" xr:uid="{00000000-0005-0000-0000-000003000000}"/>
    <cellStyle name="Percentuale"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668970677307868"/>
          <c:y val="3.8834901734844121E-2"/>
        </c:manualLayout>
      </c:layout>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NEW'!$V$30</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NEW'!$V$31:$V$153</c:f>
              <c:numCache>
                <c:formatCode>0.00</c:formatCode>
                <c:ptCount val="123"/>
                <c:pt idx="0">
                  <c:v>47.917870567949848</c:v>
                </c:pt>
                <c:pt idx="1">
                  <c:v>46.679042625630245</c:v>
                </c:pt>
                <c:pt idx="2">
                  <c:v>45.440214683310629</c:v>
                </c:pt>
                <c:pt idx="3">
                  <c:v>44.201386740991026</c:v>
                </c:pt>
                <c:pt idx="4">
                  <c:v>42.962558798671409</c:v>
                </c:pt>
                <c:pt idx="5">
                  <c:v>41.723730856351807</c:v>
                </c:pt>
                <c:pt idx="6">
                  <c:v>40.48490291403219</c:v>
                </c:pt>
                <c:pt idx="7">
                  <c:v>39.246074971712588</c:v>
                </c:pt>
                <c:pt idx="8">
                  <c:v>38.007247029392978</c:v>
                </c:pt>
                <c:pt idx="9">
                  <c:v>36.768419087073369</c:v>
                </c:pt>
                <c:pt idx="10">
                  <c:v>35.529591144753759</c:v>
                </c:pt>
                <c:pt idx="11">
                  <c:v>34.29076320243415</c:v>
                </c:pt>
                <c:pt idx="12">
                  <c:v>33.05193526011454</c:v>
                </c:pt>
                <c:pt idx="13">
                  <c:v>31.813107317794938</c:v>
                </c:pt>
                <c:pt idx="14">
                  <c:v>30.574279375475328</c:v>
                </c:pt>
                <c:pt idx="15">
                  <c:v>29.335451433155718</c:v>
                </c:pt>
                <c:pt idx="16">
                  <c:v>28.096623490836109</c:v>
                </c:pt>
                <c:pt idx="17">
                  <c:v>26.857795548516499</c:v>
                </c:pt>
                <c:pt idx="18">
                  <c:v>25.61896760619689</c:v>
                </c:pt>
                <c:pt idx="19">
                  <c:v>24.38013966387728</c:v>
                </c:pt>
                <c:pt idx="20">
                  <c:v>23.14131172155767</c:v>
                </c:pt>
                <c:pt idx="21">
                  <c:v>21.902483779238068</c:v>
                </c:pt>
                <c:pt idx="22">
                  <c:v>20.663655836918458</c:v>
                </c:pt>
                <c:pt idx="23">
                  <c:v>19.424827894598849</c:v>
                </c:pt>
                <c:pt idx="24">
                  <c:v>18.185999952279239</c:v>
                </c:pt>
                <c:pt idx="25">
                  <c:v>16.947172009959637</c:v>
                </c:pt>
                <c:pt idx="26">
                  <c:v>15.708344067640027</c:v>
                </c:pt>
                <c:pt idx="29">
                  <c:v>14.469516125320418</c:v>
                </c:pt>
                <c:pt idx="30">
                  <c:v>13.230688183000808</c:v>
                </c:pt>
                <c:pt idx="31">
                  <c:v>11.991860240681206</c:v>
                </c:pt>
                <c:pt idx="32">
                  <c:v>10.753032298361596</c:v>
                </c:pt>
                <c:pt idx="33">
                  <c:v>9.5142043560419864</c:v>
                </c:pt>
                <c:pt idx="34">
                  <c:v>8.2753764137223769</c:v>
                </c:pt>
                <c:pt idx="35">
                  <c:v>7.0365484714027673</c:v>
                </c:pt>
                <c:pt idx="36">
                  <c:v>5.7977205290831577</c:v>
                </c:pt>
                <c:pt idx="37">
                  <c:v>4.5588925867635517</c:v>
                </c:pt>
                <c:pt idx="38">
                  <c:v>3.3200646444439421</c:v>
                </c:pt>
                <c:pt idx="39">
                  <c:v>2.0812367021243325</c:v>
                </c:pt>
                <c:pt idx="40">
                  <c:v>0.84240875980472296</c:v>
                </c:pt>
                <c:pt idx="41">
                  <c:v>-0.39641918251487951</c:v>
                </c:pt>
                <c:pt idx="42">
                  <c:v>-1.6352471248344891</c:v>
                </c:pt>
                <c:pt idx="43">
                  <c:v>-2.8740750671540987</c:v>
                </c:pt>
                <c:pt idx="44">
                  <c:v>-4.1129030094737082</c:v>
                </c:pt>
                <c:pt idx="45">
                  <c:v>-5.3517309517933143</c:v>
                </c:pt>
                <c:pt idx="46">
                  <c:v>-6.5905588941129238</c:v>
                </c:pt>
                <c:pt idx="47">
                  <c:v>-7.8293868364325334</c:v>
                </c:pt>
                <c:pt idx="48">
                  <c:v>-9.0682147787521412</c:v>
                </c:pt>
                <c:pt idx="49">
                  <c:v>-10.307042721071749</c:v>
                </c:pt>
                <c:pt idx="50">
                  <c:v>-11.545870663391357</c:v>
                </c:pt>
                <c:pt idx="51">
                  <c:v>-12.784698605710966</c:v>
                </c:pt>
                <c:pt idx="52">
                  <c:v>-14.023526548030574</c:v>
                </c:pt>
                <c:pt idx="53">
                  <c:v>-15.262354490350184</c:v>
                </c:pt>
                <c:pt idx="54">
                  <c:v>-16.50118243266979</c:v>
                </c:pt>
                <c:pt idx="55">
                  <c:v>-17.740010374989399</c:v>
                </c:pt>
                <c:pt idx="56">
                  <c:v>-18.978838317309005</c:v>
                </c:pt>
                <c:pt idx="57">
                  <c:v>-20.217666259628615</c:v>
                </c:pt>
                <c:pt idx="58">
                  <c:v>-21.456494201948225</c:v>
                </c:pt>
                <c:pt idx="59">
                  <c:v>-22.695322144267834</c:v>
                </c:pt>
                <c:pt idx="60">
                  <c:v>-23.93415008658744</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numCache>
            </c:numRef>
          </c:val>
          <c:smooth val="0"/>
          <c:extLst>
            <c:ext xmlns:c16="http://schemas.microsoft.com/office/drawing/2014/chart" uri="{C3380CC4-5D6E-409C-BE32-E72D297353CC}">
              <c16:uniqueId val="{00000000-9541-45D0-80CC-F9ECF4C2042B}"/>
            </c:ext>
          </c:extLst>
        </c:ser>
        <c:dLbls>
          <c:showLegendKey val="0"/>
          <c:showVal val="0"/>
          <c:showCatName val="0"/>
          <c:showSerName val="0"/>
          <c:showPercent val="0"/>
          <c:showBubbleSize val="0"/>
        </c:dLbls>
        <c:marker val="1"/>
        <c:smooth val="0"/>
        <c:axId val="623899288"/>
        <c:axId val="623899680"/>
      </c:lineChart>
      <c:catAx>
        <c:axId val="62389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623899680"/>
        <c:crosses val="autoZero"/>
        <c:auto val="1"/>
        <c:lblAlgn val="ctr"/>
        <c:lblOffset val="100"/>
        <c:noMultiLvlLbl val="0"/>
      </c:catAx>
      <c:valAx>
        <c:axId val="623899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2389928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NEW'!$T$30</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NEW'!$T$31:$T$153</c:f>
              <c:numCache>
                <c:formatCode>_(* #,##0.00_);_(* \(#,##0.00\);_(* "-"??_);_(@_)</c:formatCode>
                <c:ptCount val="123"/>
                <c:pt idx="0">
                  <c:v>1232.4962949884564</c:v>
                </c:pt>
                <c:pt idx="1">
                  <c:v>1195.9171309343617</c:v>
                </c:pt>
                <c:pt idx="2">
                  <c:v>1159.8638918646902</c:v>
                </c:pt>
                <c:pt idx="3">
                  <c:v>1124.3365777794418</c:v>
                </c:pt>
                <c:pt idx="4">
                  <c:v>1089.3351886786168</c:v>
                </c:pt>
                <c:pt idx="5">
                  <c:v>1054.859724562215</c:v>
                </c:pt>
                <c:pt idx="6">
                  <c:v>1020.9101854302362</c:v>
                </c:pt>
                <c:pt idx="7">
                  <c:v>987.48657128268064</c:v>
                </c:pt>
                <c:pt idx="8">
                  <c:v>954.58888211954832</c:v>
                </c:pt>
                <c:pt idx="9">
                  <c:v>922.21711794083922</c:v>
                </c:pt>
                <c:pt idx="10">
                  <c:v>890.37127874655334</c:v>
                </c:pt>
                <c:pt idx="11">
                  <c:v>859.05136453669047</c:v>
                </c:pt>
                <c:pt idx="12">
                  <c:v>828.25737531125105</c:v>
                </c:pt>
                <c:pt idx="13">
                  <c:v>797.98931107023463</c:v>
                </c:pt>
                <c:pt idx="14">
                  <c:v>768.24717181364144</c:v>
                </c:pt>
                <c:pt idx="15">
                  <c:v>739.03095754147148</c:v>
                </c:pt>
                <c:pt idx="16">
                  <c:v>710.34066825372463</c:v>
                </c:pt>
                <c:pt idx="17">
                  <c:v>682.17630395040101</c:v>
                </c:pt>
                <c:pt idx="18">
                  <c:v>654.5378646315005</c:v>
                </c:pt>
                <c:pt idx="19">
                  <c:v>627.42535029702344</c:v>
                </c:pt>
                <c:pt idx="20">
                  <c:v>600.83876094696939</c:v>
                </c:pt>
                <c:pt idx="21">
                  <c:v>574.77809658133856</c:v>
                </c:pt>
                <c:pt idx="22">
                  <c:v>549.24335720013084</c:v>
                </c:pt>
                <c:pt idx="23">
                  <c:v>524.23454280334636</c:v>
                </c:pt>
                <c:pt idx="24">
                  <c:v>499.7516533909851</c:v>
                </c:pt>
                <c:pt idx="25">
                  <c:v>475.79468896304707</c:v>
                </c:pt>
                <c:pt idx="26">
                  <c:v>452.36364951953215</c:v>
                </c:pt>
                <c:pt idx="29">
                  <c:v>429.45853506044045</c:v>
                </c:pt>
                <c:pt idx="30">
                  <c:v>407.07934558577188</c:v>
                </c:pt>
                <c:pt idx="31">
                  <c:v>385.22608109552664</c:v>
                </c:pt>
                <c:pt idx="32">
                  <c:v>363.89874158970451</c:v>
                </c:pt>
                <c:pt idx="33">
                  <c:v>343.09732706830556</c:v>
                </c:pt>
                <c:pt idx="34">
                  <c:v>322.82183753132983</c:v>
                </c:pt>
                <c:pt idx="35">
                  <c:v>303.07227297877728</c:v>
                </c:pt>
                <c:pt idx="36">
                  <c:v>283.84863341064795</c:v>
                </c:pt>
                <c:pt idx="37">
                  <c:v>265.15091882694173</c:v>
                </c:pt>
                <c:pt idx="38">
                  <c:v>246.97912922765875</c:v>
                </c:pt>
                <c:pt idx="39">
                  <c:v>229.33326461279898</c:v>
                </c:pt>
                <c:pt idx="40">
                  <c:v>212.21332498236239</c:v>
                </c:pt>
                <c:pt idx="41">
                  <c:v>195.61931033634897</c:v>
                </c:pt>
                <c:pt idx="42">
                  <c:v>179.55122067475875</c:v>
                </c:pt>
                <c:pt idx="43">
                  <c:v>164.00905599759176</c:v>
                </c:pt>
                <c:pt idx="44">
                  <c:v>148.99281630484791</c:v>
                </c:pt>
                <c:pt idx="45">
                  <c:v>134.50250159652728</c:v>
                </c:pt>
                <c:pt idx="46">
                  <c:v>120.53811187262983</c:v>
                </c:pt>
                <c:pt idx="47">
                  <c:v>107.09964713315554</c:v>
                </c:pt>
                <c:pt idx="48">
                  <c:v>94.187107378104486</c:v>
                </c:pt>
                <c:pt idx="49">
                  <c:v>81.800492607476613</c:v>
                </c:pt>
                <c:pt idx="50">
                  <c:v>69.939802821271925</c:v>
                </c:pt>
                <c:pt idx="51">
                  <c:v>58.605038019490436</c:v>
                </c:pt>
                <c:pt idx="52">
                  <c:v>47.796198202132132</c:v>
                </c:pt>
                <c:pt idx="53">
                  <c:v>37.513283369197012</c:v>
                </c:pt>
                <c:pt idx="54">
                  <c:v>27.756293520685091</c:v>
                </c:pt>
                <c:pt idx="55">
                  <c:v>18.525228656596362</c:v>
                </c:pt>
                <c:pt idx="56">
                  <c:v>9.8200887769308238</c:v>
                </c:pt>
                <c:pt idx="57">
                  <c:v>1.6408738816884778</c:v>
                </c:pt>
                <c:pt idx="58">
                  <c:v>-6.0124160291306801</c:v>
                </c:pt>
                <c:pt idx="59">
                  <c:v>-13.139780955526648</c:v>
                </c:pt>
                <c:pt idx="60">
                  <c:v>-19.741220897499424</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numCache>
            </c:numRef>
          </c:val>
          <c:smooth val="0"/>
          <c:extLst>
            <c:ext xmlns:c16="http://schemas.microsoft.com/office/drawing/2014/chart" uri="{C3380CC4-5D6E-409C-BE32-E72D297353CC}">
              <c16:uniqueId val="{00000000-6234-4745-81DD-AA42853FC56E}"/>
            </c:ext>
          </c:extLst>
        </c:ser>
        <c:dLbls>
          <c:showLegendKey val="0"/>
          <c:showVal val="0"/>
          <c:showCatName val="0"/>
          <c:showSerName val="0"/>
          <c:showPercent val="0"/>
          <c:showBubbleSize val="0"/>
        </c:dLbls>
        <c:marker val="1"/>
        <c:smooth val="0"/>
        <c:axId val="631595648"/>
        <c:axId val="631596040"/>
      </c:lineChart>
      <c:catAx>
        <c:axId val="63159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631596040"/>
        <c:crosses val="autoZero"/>
        <c:auto val="1"/>
        <c:lblAlgn val="ctr"/>
        <c:lblOffset val="100"/>
        <c:noMultiLvlLbl val="0"/>
      </c:catAx>
      <c:valAx>
        <c:axId val="63159604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3159564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NEW'!$S$30</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NEW'!$S$31:$S$153</c:f>
              <c:numCache>
                <c:formatCode>_(* #,##0.00_);_(* \(#,##0.00\);_(* "-"??_);_(@_)</c:formatCode>
                <c:ptCount val="123"/>
                <c:pt idx="0">
                  <c:v>1257.4962949884564</c:v>
                </c:pt>
                <c:pt idx="1">
                  <c:v>1220.9171309343617</c:v>
                </c:pt>
                <c:pt idx="2">
                  <c:v>1184.8638918646902</c:v>
                </c:pt>
                <c:pt idx="3">
                  <c:v>1149.3365777794418</c:v>
                </c:pt>
                <c:pt idx="4">
                  <c:v>1114.3351886786168</c:v>
                </c:pt>
                <c:pt idx="5">
                  <c:v>1079.859724562215</c:v>
                </c:pt>
                <c:pt idx="6">
                  <c:v>1045.9101854302362</c:v>
                </c:pt>
                <c:pt idx="7">
                  <c:v>1012.4865712826806</c:v>
                </c:pt>
                <c:pt idx="8">
                  <c:v>979.58888211954832</c:v>
                </c:pt>
                <c:pt idx="9">
                  <c:v>947.21711794083922</c:v>
                </c:pt>
                <c:pt idx="10">
                  <c:v>915.37127874655334</c:v>
                </c:pt>
                <c:pt idx="11">
                  <c:v>884.05136453669047</c:v>
                </c:pt>
                <c:pt idx="12">
                  <c:v>853.25737531125105</c:v>
                </c:pt>
                <c:pt idx="13">
                  <c:v>822.98931107023463</c:v>
                </c:pt>
                <c:pt idx="14">
                  <c:v>793.24717181364144</c:v>
                </c:pt>
                <c:pt idx="15">
                  <c:v>764.03095754147148</c:v>
                </c:pt>
                <c:pt idx="16">
                  <c:v>735.34066825372463</c:v>
                </c:pt>
                <c:pt idx="17">
                  <c:v>707.17630395040101</c:v>
                </c:pt>
                <c:pt idx="18">
                  <c:v>679.5378646315005</c:v>
                </c:pt>
                <c:pt idx="19">
                  <c:v>652.42535029702344</c:v>
                </c:pt>
                <c:pt idx="20">
                  <c:v>625.83876094696939</c:v>
                </c:pt>
                <c:pt idx="21">
                  <c:v>599.77809658133856</c:v>
                </c:pt>
                <c:pt idx="22">
                  <c:v>574.24335720013084</c:v>
                </c:pt>
                <c:pt idx="23">
                  <c:v>549.23454280334636</c:v>
                </c:pt>
                <c:pt idx="24">
                  <c:v>524.7516533909851</c:v>
                </c:pt>
                <c:pt idx="25">
                  <c:v>500.79468896304707</c:v>
                </c:pt>
                <c:pt idx="26">
                  <c:v>477.36364951953215</c:v>
                </c:pt>
                <c:pt idx="29">
                  <c:v>454.45853506044045</c:v>
                </c:pt>
                <c:pt idx="30">
                  <c:v>432.07934558577188</c:v>
                </c:pt>
                <c:pt idx="31">
                  <c:v>410.22608109552664</c:v>
                </c:pt>
                <c:pt idx="32">
                  <c:v>388.89874158970451</c:v>
                </c:pt>
                <c:pt idx="33">
                  <c:v>368.09732706830556</c:v>
                </c:pt>
                <c:pt idx="34">
                  <c:v>347.82183753132983</c:v>
                </c:pt>
                <c:pt idx="35">
                  <c:v>328.07227297877728</c:v>
                </c:pt>
                <c:pt idx="36">
                  <c:v>308.84863341064795</c:v>
                </c:pt>
                <c:pt idx="37">
                  <c:v>290.15091882694173</c:v>
                </c:pt>
                <c:pt idx="38">
                  <c:v>271.97912922765875</c:v>
                </c:pt>
                <c:pt idx="39">
                  <c:v>254.33326461279898</c:v>
                </c:pt>
                <c:pt idx="40">
                  <c:v>237.21332498236239</c:v>
                </c:pt>
                <c:pt idx="41">
                  <c:v>220.61931033634897</c:v>
                </c:pt>
                <c:pt idx="42">
                  <c:v>204.55122067475875</c:v>
                </c:pt>
                <c:pt idx="43">
                  <c:v>189.00905599759176</c:v>
                </c:pt>
                <c:pt idx="44">
                  <c:v>173.99281630484791</c:v>
                </c:pt>
                <c:pt idx="45">
                  <c:v>159.50250159652728</c:v>
                </c:pt>
                <c:pt idx="46">
                  <c:v>145.53811187262983</c:v>
                </c:pt>
                <c:pt idx="47">
                  <c:v>132.09964713315554</c:v>
                </c:pt>
                <c:pt idx="48">
                  <c:v>119.18710737810449</c:v>
                </c:pt>
                <c:pt idx="49">
                  <c:v>106.80049260747661</c:v>
                </c:pt>
                <c:pt idx="50">
                  <c:v>94.939802821271925</c:v>
                </c:pt>
                <c:pt idx="51">
                  <c:v>83.605038019490436</c:v>
                </c:pt>
                <c:pt idx="52">
                  <c:v>72.796198202132132</c:v>
                </c:pt>
                <c:pt idx="53">
                  <c:v>62.513283369197012</c:v>
                </c:pt>
                <c:pt idx="54">
                  <c:v>52.756293520685091</c:v>
                </c:pt>
                <c:pt idx="55">
                  <c:v>43.525228656596362</c:v>
                </c:pt>
                <c:pt idx="56">
                  <c:v>34.820088776930824</c:v>
                </c:pt>
                <c:pt idx="57">
                  <c:v>26.640873881688478</c:v>
                </c:pt>
                <c:pt idx="58">
                  <c:v>18.98758397086932</c:v>
                </c:pt>
                <c:pt idx="59">
                  <c:v>11.860219044473352</c:v>
                </c:pt>
                <c:pt idx="60">
                  <c:v>5.2587791025005775</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numCache>
            </c:numRef>
          </c:val>
          <c:smooth val="0"/>
          <c:extLst>
            <c:ext xmlns:c16="http://schemas.microsoft.com/office/drawing/2014/chart" uri="{C3380CC4-5D6E-409C-BE32-E72D297353CC}">
              <c16:uniqueId val="{00000000-2CF5-4BF5-A285-7C5CBA0811DF}"/>
            </c:ext>
          </c:extLst>
        </c:ser>
        <c:dLbls>
          <c:showLegendKey val="0"/>
          <c:showVal val="0"/>
          <c:showCatName val="0"/>
          <c:showSerName val="0"/>
          <c:showPercent val="0"/>
          <c:showBubbleSize val="0"/>
        </c:dLbls>
        <c:marker val="1"/>
        <c:smooth val="0"/>
        <c:axId val="631596824"/>
        <c:axId val="631597216"/>
      </c:lineChart>
      <c:catAx>
        <c:axId val="63159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631597216"/>
        <c:crosses val="autoZero"/>
        <c:auto val="1"/>
        <c:lblAlgn val="ctr"/>
        <c:lblOffset val="100"/>
        <c:noMultiLvlLbl val="0"/>
      </c:catAx>
      <c:valAx>
        <c:axId val="631597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3159682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NEW'!$U$30</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NEW'!$U$31:$U$152</c:f>
              <c:numCache>
                <c:formatCode>0.00</c:formatCode>
                <c:ptCount val="122"/>
                <c:pt idx="0">
                  <c:v>72.917870567949848</c:v>
                </c:pt>
                <c:pt idx="1">
                  <c:v>71.679042625630245</c:v>
                </c:pt>
                <c:pt idx="2">
                  <c:v>70.440214683310629</c:v>
                </c:pt>
                <c:pt idx="3">
                  <c:v>69.201386740991026</c:v>
                </c:pt>
                <c:pt idx="4">
                  <c:v>67.962558798671409</c:v>
                </c:pt>
                <c:pt idx="5">
                  <c:v>66.723730856351807</c:v>
                </c:pt>
                <c:pt idx="6">
                  <c:v>65.48490291403219</c:v>
                </c:pt>
                <c:pt idx="7">
                  <c:v>64.246074971712588</c:v>
                </c:pt>
                <c:pt idx="8">
                  <c:v>63.007247029392978</c:v>
                </c:pt>
                <c:pt idx="9">
                  <c:v>61.768419087073369</c:v>
                </c:pt>
                <c:pt idx="10">
                  <c:v>60.529591144753759</c:v>
                </c:pt>
                <c:pt idx="11">
                  <c:v>59.29076320243415</c:v>
                </c:pt>
                <c:pt idx="12">
                  <c:v>58.05193526011454</c:v>
                </c:pt>
                <c:pt idx="13">
                  <c:v>56.813107317794938</c:v>
                </c:pt>
                <c:pt idx="14">
                  <c:v>55.574279375475328</c:v>
                </c:pt>
                <c:pt idx="15">
                  <c:v>54.335451433155718</c:v>
                </c:pt>
                <c:pt idx="16">
                  <c:v>53.096623490836109</c:v>
                </c:pt>
                <c:pt idx="17">
                  <c:v>51.857795548516499</c:v>
                </c:pt>
                <c:pt idx="18">
                  <c:v>50.61896760619689</c:v>
                </c:pt>
                <c:pt idx="19">
                  <c:v>49.38013966387728</c:v>
                </c:pt>
                <c:pt idx="20">
                  <c:v>48.14131172155767</c:v>
                </c:pt>
                <c:pt idx="21">
                  <c:v>46.902483779238068</c:v>
                </c:pt>
                <c:pt idx="22">
                  <c:v>45.663655836918458</c:v>
                </c:pt>
                <c:pt idx="23">
                  <c:v>44.424827894598849</c:v>
                </c:pt>
                <c:pt idx="24">
                  <c:v>43.185999952279239</c:v>
                </c:pt>
                <c:pt idx="25">
                  <c:v>41.947172009959637</c:v>
                </c:pt>
                <c:pt idx="26">
                  <c:v>40.708344067640027</c:v>
                </c:pt>
                <c:pt idx="29">
                  <c:v>39.469516125320418</c:v>
                </c:pt>
                <c:pt idx="30">
                  <c:v>38.230688183000808</c:v>
                </c:pt>
                <c:pt idx="31">
                  <c:v>36.991860240681206</c:v>
                </c:pt>
                <c:pt idx="32">
                  <c:v>35.753032298361596</c:v>
                </c:pt>
                <c:pt idx="33">
                  <c:v>34.514204356041986</c:v>
                </c:pt>
                <c:pt idx="34">
                  <c:v>33.275376413722377</c:v>
                </c:pt>
                <c:pt idx="35">
                  <c:v>32.036548471402767</c:v>
                </c:pt>
                <c:pt idx="36">
                  <c:v>30.797720529083158</c:v>
                </c:pt>
                <c:pt idx="37">
                  <c:v>29.558892586763552</c:v>
                </c:pt>
                <c:pt idx="38">
                  <c:v>28.320064644443942</c:v>
                </c:pt>
                <c:pt idx="39">
                  <c:v>27.081236702124333</c:v>
                </c:pt>
                <c:pt idx="40">
                  <c:v>25.842408759804723</c:v>
                </c:pt>
                <c:pt idx="41">
                  <c:v>24.60358081748512</c:v>
                </c:pt>
                <c:pt idx="42">
                  <c:v>23.364752875165511</c:v>
                </c:pt>
                <c:pt idx="43">
                  <c:v>22.125924932845901</c:v>
                </c:pt>
                <c:pt idx="44">
                  <c:v>20.887096990526292</c:v>
                </c:pt>
                <c:pt idx="45">
                  <c:v>19.648269048206686</c:v>
                </c:pt>
                <c:pt idx="46">
                  <c:v>18.409441105887076</c:v>
                </c:pt>
                <c:pt idx="47">
                  <c:v>17.170613163567467</c:v>
                </c:pt>
                <c:pt idx="48">
                  <c:v>15.931785221247859</c:v>
                </c:pt>
                <c:pt idx="49">
                  <c:v>14.692957278928251</c:v>
                </c:pt>
                <c:pt idx="50">
                  <c:v>13.454129336608643</c:v>
                </c:pt>
                <c:pt idx="51">
                  <c:v>12.215301394289034</c:v>
                </c:pt>
                <c:pt idx="52">
                  <c:v>10.976473451969426</c:v>
                </c:pt>
                <c:pt idx="53">
                  <c:v>9.7376455096498162</c:v>
                </c:pt>
                <c:pt idx="54">
                  <c:v>8.4988175673302102</c:v>
                </c:pt>
                <c:pt idx="55">
                  <c:v>7.2599896250106015</c:v>
                </c:pt>
                <c:pt idx="56">
                  <c:v>6.0211616826909928</c:v>
                </c:pt>
                <c:pt idx="57">
                  <c:v>4.782333740371385</c:v>
                </c:pt>
                <c:pt idx="58">
                  <c:v>3.5435057980517759</c:v>
                </c:pt>
                <c:pt idx="59">
                  <c:v>2.3046778557321677</c:v>
                </c:pt>
                <c:pt idx="60">
                  <c:v>1.0658499134125592</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smooth val="0"/>
          <c:extLst>
            <c:ext xmlns:c16="http://schemas.microsoft.com/office/drawing/2014/chart" uri="{C3380CC4-5D6E-409C-BE32-E72D297353CC}">
              <c16:uniqueId val="{00000000-E59E-433C-ADA5-DE9883376363}"/>
            </c:ext>
          </c:extLst>
        </c:ser>
        <c:dLbls>
          <c:showLegendKey val="0"/>
          <c:showVal val="0"/>
          <c:showCatName val="0"/>
          <c:showSerName val="0"/>
          <c:showPercent val="0"/>
          <c:showBubbleSize val="0"/>
        </c:dLbls>
        <c:marker val="1"/>
        <c:smooth val="0"/>
        <c:axId val="631632904"/>
        <c:axId val="631633296"/>
      </c:lineChart>
      <c:catAx>
        <c:axId val="63163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631633296"/>
        <c:crosses val="autoZero"/>
        <c:auto val="1"/>
        <c:lblAlgn val="ctr"/>
        <c:lblOffset val="100"/>
        <c:noMultiLvlLbl val="0"/>
      </c:catAx>
      <c:valAx>
        <c:axId val="631633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3163290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(Leasing)-NEW'!$H$29:$H$149</c:f>
              <c:numCache>
                <c:formatCode>_(* #,##0.00_);_(* \(#,##0.00\);_(* "-"??_);_(@_)</c:formatCode>
                <c:ptCount val="121"/>
                <c:pt idx="0">
                  <c:v>339.91038558528641</c:v>
                </c:pt>
                <c:pt idx="1">
                  <c:v>331.17411502412369</c:v>
                </c:pt>
                <c:pt idx="2">
                  <c:v>322.54118831651186</c:v>
                </c:pt>
                <c:pt idx="3">
                  <c:v>314.01160546245092</c:v>
                </c:pt>
                <c:pt idx="4">
                  <c:v>305.58536646194091</c:v>
                </c:pt>
                <c:pt idx="5">
                  <c:v>297.26247131498178</c:v>
                </c:pt>
                <c:pt idx="6">
                  <c:v>289.04292002157354</c:v>
                </c:pt>
                <c:pt idx="7">
                  <c:v>280.92671258171629</c:v>
                </c:pt>
                <c:pt idx="8">
                  <c:v>272.91384899540981</c:v>
                </c:pt>
                <c:pt idx="9">
                  <c:v>265.00432926265432</c:v>
                </c:pt>
                <c:pt idx="10">
                  <c:v>257.19815338344972</c:v>
                </c:pt>
                <c:pt idx="11">
                  <c:v>249.49532135779603</c:v>
                </c:pt>
                <c:pt idx="12">
                  <c:v>241.89583318569322</c:v>
                </c:pt>
                <c:pt idx="13">
                  <c:v>234.39968886714135</c:v>
                </c:pt>
                <c:pt idx="14">
                  <c:v>227.00688840214031</c:v>
                </c:pt>
                <c:pt idx="15">
                  <c:v>219.71743179069023</c:v>
                </c:pt>
                <c:pt idx="16">
                  <c:v>212.53131903279103</c:v>
                </c:pt>
                <c:pt idx="17">
                  <c:v>205.44855012844272</c:v>
                </c:pt>
                <c:pt idx="18">
                  <c:v>198.46912507764534</c:v>
                </c:pt>
                <c:pt idx="19">
                  <c:v>191.59304388039885</c:v>
                </c:pt>
                <c:pt idx="20">
                  <c:v>184.82030653670327</c:v>
                </c:pt>
                <c:pt idx="21">
                  <c:v>178.15091304655857</c:v>
                </c:pt>
                <c:pt idx="22">
                  <c:v>171.58486340996478</c:v>
                </c:pt>
                <c:pt idx="23">
                  <c:v>165.12215762692193</c:v>
                </c:pt>
                <c:pt idx="24">
                  <c:v>158.76279569742994</c:v>
                </c:pt>
                <c:pt idx="25">
                  <c:v>152.50677762148888</c:v>
                </c:pt>
                <c:pt idx="26">
                  <c:v>146.3541033990987</c:v>
                </c:pt>
                <c:pt idx="27">
                  <c:v>140.30477303025941</c:v>
                </c:pt>
                <c:pt idx="28">
                  <c:v>134.35878651497103</c:v>
                </c:pt>
                <c:pt idx="29">
                  <c:v>128.51614385323356</c:v>
                </c:pt>
                <c:pt idx="30">
                  <c:v>122.776845045047</c:v>
                </c:pt>
                <c:pt idx="31">
                  <c:v>117.14089009041135</c:v>
                </c:pt>
                <c:pt idx="32">
                  <c:v>111.60827898932658</c:v>
                </c:pt>
                <c:pt idx="33">
                  <c:v>106.17901174179272</c:v>
                </c:pt>
                <c:pt idx="34">
                  <c:v>100.85308834780976</c:v>
                </c:pt>
                <c:pt idx="35">
                  <c:v>95.63050880737768</c:v>
                </c:pt>
                <c:pt idx="36">
                  <c:v>90.51127312049654</c:v>
                </c:pt>
                <c:pt idx="37">
                  <c:v>85.495381287166296</c:v>
                </c:pt>
                <c:pt idx="38">
                  <c:v>80.582833307386935</c:v>
                </c:pt>
                <c:pt idx="39">
                  <c:v>75.773629181158483</c:v>
                </c:pt>
                <c:pt idx="40">
                  <c:v>71.067768908480943</c:v>
                </c:pt>
                <c:pt idx="41">
                  <c:v>66.465252489354299</c:v>
                </c:pt>
                <c:pt idx="42">
                  <c:v>61.966079923778551</c:v>
                </c:pt>
                <c:pt idx="43">
                  <c:v>57.570251211753714</c:v>
                </c:pt>
                <c:pt idx="44">
                  <c:v>53.277766353279787</c:v>
                </c:pt>
                <c:pt idx="45">
                  <c:v>49.088625348356743</c:v>
                </c:pt>
                <c:pt idx="46">
                  <c:v>45.002828196984609</c:v>
                </c:pt>
                <c:pt idx="47">
                  <c:v>41.020374899163372</c:v>
                </c:pt>
                <c:pt idx="48">
                  <c:v>37.141265454893052</c:v>
                </c:pt>
                <c:pt idx="49">
                  <c:v>33.365499864173621</c:v>
                </c:pt>
                <c:pt idx="50">
                  <c:v>29.693078127005094</c:v>
                </c:pt>
                <c:pt idx="51">
                  <c:v>26.124000243387474</c:v>
                </c:pt>
                <c:pt idx="52">
                  <c:v>22.658266213320751</c:v>
                </c:pt>
                <c:pt idx="53">
                  <c:v>19.295876036804934</c:v>
                </c:pt>
                <c:pt idx="54">
                  <c:v>16.036829713840014</c:v>
                </c:pt>
                <c:pt idx="55">
                  <c:v>12.881127244426001</c:v>
                </c:pt>
                <c:pt idx="56">
                  <c:v>9.8287686285628855</c:v>
                </c:pt>
                <c:pt idx="57">
                  <c:v>6.8797538662506756</c:v>
                </c:pt>
                <c:pt idx="58">
                  <c:v>4.0340829574893675</c:v>
                </c:pt>
                <c:pt idx="59">
                  <c:v>1.2917559022789602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7D67-490B-8A7E-DB414284CE15}"/>
            </c:ext>
          </c:extLst>
        </c:ser>
        <c:dLbls>
          <c:showLegendKey val="0"/>
          <c:showVal val="0"/>
          <c:showCatName val="0"/>
          <c:showSerName val="0"/>
          <c:showPercent val="0"/>
          <c:showBubbleSize val="0"/>
        </c:dLbls>
        <c:marker val="1"/>
        <c:smooth val="0"/>
        <c:axId val="631634080"/>
        <c:axId val="565644160"/>
      </c:lineChart>
      <c:catAx>
        <c:axId val="6316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565644160"/>
        <c:crosses val="autoZero"/>
        <c:auto val="1"/>
        <c:lblAlgn val="ctr"/>
        <c:lblOffset val="100"/>
        <c:noMultiLvlLbl val="0"/>
      </c:catAx>
      <c:valAx>
        <c:axId val="56564416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3163408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(Leasing)-NEW'!$I$29:$I$148</c:f>
              <c:numCache>
                <c:formatCode>_(* #,##0.00_);_(* \(#,##0.00\);_(* "-"??_);_(@_)</c:formatCode>
                <c:ptCount val="120"/>
                <c:pt idx="0">
                  <c:v>319.41038558528641</c:v>
                </c:pt>
                <c:pt idx="1">
                  <c:v>310.67411502412369</c:v>
                </c:pt>
                <c:pt idx="2">
                  <c:v>302.04118831651186</c:v>
                </c:pt>
                <c:pt idx="3">
                  <c:v>293.51160546245092</c:v>
                </c:pt>
                <c:pt idx="4">
                  <c:v>285.08536646194091</c:v>
                </c:pt>
                <c:pt idx="5">
                  <c:v>276.76247131498178</c:v>
                </c:pt>
                <c:pt idx="6">
                  <c:v>268.54292002157354</c:v>
                </c:pt>
                <c:pt idx="7">
                  <c:v>260.42671258171629</c:v>
                </c:pt>
                <c:pt idx="8">
                  <c:v>252.41384899540981</c:v>
                </c:pt>
                <c:pt idx="9">
                  <c:v>244.50432926265432</c:v>
                </c:pt>
                <c:pt idx="10">
                  <c:v>236.69815338344972</c:v>
                </c:pt>
                <c:pt idx="11">
                  <c:v>228.99532135779603</c:v>
                </c:pt>
                <c:pt idx="12">
                  <c:v>221.39583318569322</c:v>
                </c:pt>
                <c:pt idx="13">
                  <c:v>213.89968886714135</c:v>
                </c:pt>
                <c:pt idx="14">
                  <c:v>206.50688840214031</c:v>
                </c:pt>
                <c:pt idx="15">
                  <c:v>199.21743179069023</c:v>
                </c:pt>
                <c:pt idx="16">
                  <c:v>192.03131903279103</c:v>
                </c:pt>
                <c:pt idx="17">
                  <c:v>184.94855012844272</c:v>
                </c:pt>
                <c:pt idx="18">
                  <c:v>177.96912507764534</c:v>
                </c:pt>
                <c:pt idx="19">
                  <c:v>171.09304388039885</c:v>
                </c:pt>
                <c:pt idx="20">
                  <c:v>164.32030653670327</c:v>
                </c:pt>
                <c:pt idx="21">
                  <c:v>157.65091304655857</c:v>
                </c:pt>
                <c:pt idx="22">
                  <c:v>151.08486340996478</c:v>
                </c:pt>
                <c:pt idx="23">
                  <c:v>144.62215762692193</c:v>
                </c:pt>
                <c:pt idx="24">
                  <c:v>138.26279569742994</c:v>
                </c:pt>
                <c:pt idx="25">
                  <c:v>132.00677762148888</c:v>
                </c:pt>
                <c:pt idx="26">
                  <c:v>125.8541033990987</c:v>
                </c:pt>
                <c:pt idx="27">
                  <c:v>119.80477303025941</c:v>
                </c:pt>
                <c:pt idx="28">
                  <c:v>113.85878651497103</c:v>
                </c:pt>
                <c:pt idx="29">
                  <c:v>108.01614385323356</c:v>
                </c:pt>
                <c:pt idx="30">
                  <c:v>102.276845045047</c:v>
                </c:pt>
                <c:pt idx="31">
                  <c:v>96.640890090411347</c:v>
                </c:pt>
                <c:pt idx="32">
                  <c:v>91.108278989326578</c:v>
                </c:pt>
                <c:pt idx="33">
                  <c:v>85.679011741792721</c:v>
                </c:pt>
                <c:pt idx="34">
                  <c:v>80.353088347809759</c:v>
                </c:pt>
                <c:pt idx="35">
                  <c:v>75.13050880737768</c:v>
                </c:pt>
                <c:pt idx="36">
                  <c:v>70.01127312049654</c:v>
                </c:pt>
                <c:pt idx="37">
                  <c:v>64.995381287166296</c:v>
                </c:pt>
                <c:pt idx="38">
                  <c:v>60.082833307386935</c:v>
                </c:pt>
                <c:pt idx="39">
                  <c:v>55.273629181158483</c:v>
                </c:pt>
                <c:pt idx="40">
                  <c:v>50.567768908480943</c:v>
                </c:pt>
                <c:pt idx="41">
                  <c:v>45.965252489354299</c:v>
                </c:pt>
                <c:pt idx="42">
                  <c:v>41.466079923778551</c:v>
                </c:pt>
                <c:pt idx="43">
                  <c:v>37.070251211753714</c:v>
                </c:pt>
                <c:pt idx="44">
                  <c:v>32.777766353279787</c:v>
                </c:pt>
                <c:pt idx="45">
                  <c:v>28.588625348356743</c:v>
                </c:pt>
                <c:pt idx="46">
                  <c:v>24.502828196984609</c:v>
                </c:pt>
                <c:pt idx="47">
                  <c:v>20.520374899163372</c:v>
                </c:pt>
                <c:pt idx="48">
                  <c:v>16.641265454893052</c:v>
                </c:pt>
                <c:pt idx="49">
                  <c:v>12.865499864173621</c:v>
                </c:pt>
                <c:pt idx="50">
                  <c:v>9.1930781270050943</c:v>
                </c:pt>
                <c:pt idx="51">
                  <c:v>5.6240002433874743</c:v>
                </c:pt>
                <c:pt idx="52">
                  <c:v>2.1582662133207506</c:v>
                </c:pt>
                <c:pt idx="53">
                  <c:v>-1.204123963195066</c:v>
                </c:pt>
                <c:pt idx="54">
                  <c:v>-4.4631702861599862</c:v>
                </c:pt>
                <c:pt idx="55">
                  <c:v>-7.6188727555739995</c:v>
                </c:pt>
                <c:pt idx="56">
                  <c:v>-10.671231371437115</c:v>
                </c:pt>
                <c:pt idx="57">
                  <c:v>-13.620246133749324</c:v>
                </c:pt>
                <c:pt idx="58">
                  <c:v>-16.465917042510632</c:v>
                </c:pt>
                <c:pt idx="59">
                  <c:v>-19.208244097721039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BB9E-4823-9489-E4A73F606951}"/>
            </c:ext>
          </c:extLst>
        </c:ser>
        <c:dLbls>
          <c:showLegendKey val="0"/>
          <c:showVal val="0"/>
          <c:showCatName val="0"/>
          <c:showSerName val="0"/>
          <c:showPercent val="0"/>
          <c:showBubbleSize val="0"/>
        </c:dLbls>
        <c:marker val="1"/>
        <c:smooth val="0"/>
        <c:axId val="565644944"/>
        <c:axId val="565645336"/>
      </c:lineChart>
      <c:catAx>
        <c:axId val="56564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565645336"/>
        <c:crosses val="autoZero"/>
        <c:auto val="1"/>
        <c:lblAlgn val="ctr"/>
        <c:lblOffset val="100"/>
        <c:noMultiLvlLbl val="0"/>
      </c:catAx>
      <c:valAx>
        <c:axId val="56564533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6564494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(Leasing)-NEW'!$J$29:$J$149</c:f>
              <c:numCache>
                <c:formatCode>0.00</c:formatCode>
                <c:ptCount val="121"/>
                <c:pt idx="0">
                  <c:v>97.147336746995933</c:v>
                </c:pt>
                <c:pt idx="1">
                  <c:v>95.514185689113816</c:v>
                </c:pt>
                <c:pt idx="2">
                  <c:v>93.881034631231699</c:v>
                </c:pt>
                <c:pt idx="3">
                  <c:v>92.247883573349583</c:v>
                </c:pt>
                <c:pt idx="4">
                  <c:v>90.61473251546748</c:v>
                </c:pt>
                <c:pt idx="5">
                  <c:v>88.981581457585364</c:v>
                </c:pt>
                <c:pt idx="6">
                  <c:v>87.348430399703233</c:v>
                </c:pt>
                <c:pt idx="7">
                  <c:v>85.715279341821116</c:v>
                </c:pt>
                <c:pt idx="8">
                  <c:v>84.082128283938999</c:v>
                </c:pt>
                <c:pt idx="9">
                  <c:v>82.448977226056897</c:v>
                </c:pt>
                <c:pt idx="10">
                  <c:v>80.81582616817478</c:v>
                </c:pt>
                <c:pt idx="11">
                  <c:v>79.182675110292649</c:v>
                </c:pt>
                <c:pt idx="12">
                  <c:v>77.549524052410533</c:v>
                </c:pt>
                <c:pt idx="13">
                  <c:v>75.916372994528416</c:v>
                </c:pt>
                <c:pt idx="14">
                  <c:v>74.283221936646314</c:v>
                </c:pt>
                <c:pt idx="15">
                  <c:v>72.650070878764197</c:v>
                </c:pt>
                <c:pt idx="16">
                  <c:v>71.01691982088208</c:v>
                </c:pt>
                <c:pt idx="17">
                  <c:v>69.383768762999949</c:v>
                </c:pt>
                <c:pt idx="18">
                  <c:v>67.750617705117847</c:v>
                </c:pt>
                <c:pt idx="19">
                  <c:v>66.11746664723573</c:v>
                </c:pt>
                <c:pt idx="20">
                  <c:v>64.484315589353614</c:v>
                </c:pt>
                <c:pt idx="21">
                  <c:v>62.85116453147149</c:v>
                </c:pt>
                <c:pt idx="22">
                  <c:v>61.21801347358938</c:v>
                </c:pt>
                <c:pt idx="23">
                  <c:v>59.584862415707256</c:v>
                </c:pt>
                <c:pt idx="24">
                  <c:v>57.951711357825147</c:v>
                </c:pt>
                <c:pt idx="25">
                  <c:v>56.31856029994303</c:v>
                </c:pt>
                <c:pt idx="26">
                  <c:v>54.685409242060913</c:v>
                </c:pt>
                <c:pt idx="27">
                  <c:v>53.052258184178797</c:v>
                </c:pt>
                <c:pt idx="28">
                  <c:v>51.419107126296687</c:v>
                </c:pt>
                <c:pt idx="29">
                  <c:v>49.785956068414563</c:v>
                </c:pt>
                <c:pt idx="30">
                  <c:v>48.152805010532447</c:v>
                </c:pt>
                <c:pt idx="31">
                  <c:v>46.519653952650337</c:v>
                </c:pt>
                <c:pt idx="32">
                  <c:v>44.886502894768213</c:v>
                </c:pt>
                <c:pt idx="33">
                  <c:v>43.253351836886104</c:v>
                </c:pt>
                <c:pt idx="34">
                  <c:v>41.620200779003987</c:v>
                </c:pt>
                <c:pt idx="35">
                  <c:v>39.987049721121871</c:v>
                </c:pt>
                <c:pt idx="36">
                  <c:v>38.353898663239754</c:v>
                </c:pt>
                <c:pt idx="37">
                  <c:v>36.72074760535763</c:v>
                </c:pt>
                <c:pt idx="38">
                  <c:v>35.08759654747552</c:v>
                </c:pt>
                <c:pt idx="39">
                  <c:v>33.454445489593404</c:v>
                </c:pt>
                <c:pt idx="40">
                  <c:v>31.821294431711291</c:v>
                </c:pt>
                <c:pt idx="41">
                  <c:v>30.18814337382917</c:v>
                </c:pt>
                <c:pt idx="42">
                  <c:v>28.554992315947054</c:v>
                </c:pt>
                <c:pt idx="43">
                  <c:v>26.921841258064941</c:v>
                </c:pt>
                <c:pt idx="44">
                  <c:v>25.288690200182824</c:v>
                </c:pt>
                <c:pt idx="45">
                  <c:v>23.655539142300707</c:v>
                </c:pt>
                <c:pt idx="46">
                  <c:v>22.022388084418591</c:v>
                </c:pt>
                <c:pt idx="47">
                  <c:v>20.389237026536478</c:v>
                </c:pt>
                <c:pt idx="48">
                  <c:v>18.756085968654361</c:v>
                </c:pt>
                <c:pt idx="49">
                  <c:v>17.122934910772241</c:v>
                </c:pt>
                <c:pt idx="50">
                  <c:v>15.489783852890127</c:v>
                </c:pt>
                <c:pt idx="51">
                  <c:v>13.856632795008011</c:v>
                </c:pt>
                <c:pt idx="52">
                  <c:v>12.223481737125894</c:v>
                </c:pt>
                <c:pt idx="53">
                  <c:v>10.590330679243779</c:v>
                </c:pt>
                <c:pt idx="54">
                  <c:v>8.9571796213616626</c:v>
                </c:pt>
                <c:pt idx="55">
                  <c:v>7.3240285634795468</c:v>
                </c:pt>
                <c:pt idx="56">
                  <c:v>5.6908775055974301</c:v>
                </c:pt>
                <c:pt idx="57">
                  <c:v>4.0577264477153134</c:v>
                </c:pt>
                <c:pt idx="58">
                  <c:v>2.4245753898331976</c:v>
                </c:pt>
                <c:pt idx="59">
                  <c:v>0.79142433195108175</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98F2-45CD-897D-3D94F9D39EAA}"/>
            </c:ext>
          </c:extLst>
        </c:ser>
        <c:dLbls>
          <c:showLegendKey val="0"/>
          <c:showVal val="0"/>
          <c:showCatName val="0"/>
          <c:showSerName val="0"/>
          <c:showPercent val="0"/>
          <c:showBubbleSize val="0"/>
        </c:dLbls>
        <c:marker val="1"/>
        <c:smooth val="0"/>
        <c:axId val="700248328"/>
        <c:axId val="700248720"/>
      </c:lineChart>
      <c:catAx>
        <c:axId val="70024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700248720"/>
        <c:crosses val="autoZero"/>
        <c:auto val="1"/>
        <c:lblAlgn val="ctr"/>
        <c:lblOffset val="100"/>
        <c:noMultiLvlLbl val="0"/>
      </c:catAx>
      <c:valAx>
        <c:axId val="700248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70024832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(Leasing)-NEW'!$K$29:$K$149</c:f>
              <c:numCache>
                <c:formatCode>0.00</c:formatCode>
                <c:ptCount val="121"/>
                <c:pt idx="0">
                  <c:v>76.647336746995933</c:v>
                </c:pt>
                <c:pt idx="1">
                  <c:v>75.014185689113816</c:v>
                </c:pt>
                <c:pt idx="2">
                  <c:v>73.381034631231699</c:v>
                </c:pt>
                <c:pt idx="3">
                  <c:v>71.747883573349583</c:v>
                </c:pt>
                <c:pt idx="4">
                  <c:v>70.11473251546748</c:v>
                </c:pt>
                <c:pt idx="5">
                  <c:v>68.481581457585364</c:v>
                </c:pt>
                <c:pt idx="6">
                  <c:v>66.848430399703233</c:v>
                </c:pt>
                <c:pt idx="7">
                  <c:v>65.215279341821116</c:v>
                </c:pt>
                <c:pt idx="8">
                  <c:v>63.582128283938999</c:v>
                </c:pt>
                <c:pt idx="9">
                  <c:v>61.948977226056897</c:v>
                </c:pt>
                <c:pt idx="10">
                  <c:v>60.31582616817478</c:v>
                </c:pt>
                <c:pt idx="11">
                  <c:v>58.682675110292649</c:v>
                </c:pt>
                <c:pt idx="12">
                  <c:v>57.049524052410533</c:v>
                </c:pt>
                <c:pt idx="13">
                  <c:v>55.416372994528416</c:v>
                </c:pt>
                <c:pt idx="14">
                  <c:v>53.783221936646314</c:v>
                </c:pt>
                <c:pt idx="15">
                  <c:v>52.150070878764197</c:v>
                </c:pt>
                <c:pt idx="16">
                  <c:v>50.51691982088208</c:v>
                </c:pt>
                <c:pt idx="17">
                  <c:v>48.883768762999949</c:v>
                </c:pt>
                <c:pt idx="18">
                  <c:v>47.250617705117847</c:v>
                </c:pt>
                <c:pt idx="19">
                  <c:v>45.61746664723573</c:v>
                </c:pt>
                <c:pt idx="20">
                  <c:v>43.984315589353614</c:v>
                </c:pt>
                <c:pt idx="21">
                  <c:v>42.35116453147149</c:v>
                </c:pt>
                <c:pt idx="22">
                  <c:v>40.71801347358938</c:v>
                </c:pt>
                <c:pt idx="23">
                  <c:v>39.084862415707256</c:v>
                </c:pt>
                <c:pt idx="24">
                  <c:v>37.451711357825147</c:v>
                </c:pt>
                <c:pt idx="25">
                  <c:v>35.81856029994303</c:v>
                </c:pt>
                <c:pt idx="26">
                  <c:v>34.185409242060913</c:v>
                </c:pt>
                <c:pt idx="27">
                  <c:v>32.552258184178797</c:v>
                </c:pt>
                <c:pt idx="28">
                  <c:v>30.919107126296687</c:v>
                </c:pt>
                <c:pt idx="29">
                  <c:v>29.285956068414563</c:v>
                </c:pt>
                <c:pt idx="30">
                  <c:v>27.652805010532447</c:v>
                </c:pt>
                <c:pt idx="31">
                  <c:v>26.019653952650337</c:v>
                </c:pt>
                <c:pt idx="32">
                  <c:v>24.386502894768213</c:v>
                </c:pt>
                <c:pt idx="33">
                  <c:v>22.753351836886104</c:v>
                </c:pt>
                <c:pt idx="34">
                  <c:v>21.120200779003987</c:v>
                </c:pt>
                <c:pt idx="35">
                  <c:v>19.487049721121871</c:v>
                </c:pt>
                <c:pt idx="36">
                  <c:v>17.853898663239754</c:v>
                </c:pt>
                <c:pt idx="37">
                  <c:v>16.22074760535763</c:v>
                </c:pt>
                <c:pt idx="38">
                  <c:v>14.58759654747552</c:v>
                </c:pt>
                <c:pt idx="39">
                  <c:v>12.954445489593404</c:v>
                </c:pt>
                <c:pt idx="40">
                  <c:v>11.321294431711291</c:v>
                </c:pt>
                <c:pt idx="41">
                  <c:v>9.6881433738291705</c:v>
                </c:pt>
                <c:pt idx="42">
                  <c:v>8.0549923159470538</c:v>
                </c:pt>
                <c:pt idx="43">
                  <c:v>6.4218412580649407</c:v>
                </c:pt>
                <c:pt idx="44">
                  <c:v>4.788690200182824</c:v>
                </c:pt>
                <c:pt idx="45">
                  <c:v>3.1555391423007073</c:v>
                </c:pt>
                <c:pt idx="46">
                  <c:v>1.5223880844185906</c:v>
                </c:pt>
                <c:pt idx="47">
                  <c:v>-0.11076297346352248</c:v>
                </c:pt>
                <c:pt idx="48">
                  <c:v>-1.7439140313456392</c:v>
                </c:pt>
                <c:pt idx="49">
                  <c:v>-3.3770650892277594</c:v>
                </c:pt>
                <c:pt idx="50">
                  <c:v>-5.0102161471098725</c:v>
                </c:pt>
                <c:pt idx="51">
                  <c:v>-6.6433672049919892</c:v>
                </c:pt>
                <c:pt idx="52">
                  <c:v>-8.2765182628741059</c:v>
                </c:pt>
                <c:pt idx="53">
                  <c:v>-9.9096693207562208</c:v>
                </c:pt>
                <c:pt idx="54">
                  <c:v>-11.542820378638337</c:v>
                </c:pt>
                <c:pt idx="55">
                  <c:v>-13.175971436520452</c:v>
                </c:pt>
                <c:pt idx="56">
                  <c:v>-14.809122494402569</c:v>
                </c:pt>
                <c:pt idx="57">
                  <c:v>-16.442273552284686</c:v>
                </c:pt>
                <c:pt idx="58">
                  <c:v>-18.075424610166802</c:v>
                </c:pt>
                <c:pt idx="59">
                  <c:v>-19.708575668048919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7965-4CA9-93DF-99C97D90CAB2}"/>
            </c:ext>
          </c:extLst>
        </c:ser>
        <c:dLbls>
          <c:showLegendKey val="0"/>
          <c:showVal val="0"/>
          <c:showCatName val="0"/>
          <c:showSerName val="0"/>
          <c:showPercent val="0"/>
          <c:showBubbleSize val="0"/>
        </c:dLbls>
        <c:marker val="1"/>
        <c:smooth val="0"/>
        <c:axId val="700249504"/>
        <c:axId val="700249896"/>
      </c:lineChart>
      <c:catAx>
        <c:axId val="70024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700249896"/>
        <c:crosses val="autoZero"/>
        <c:auto val="1"/>
        <c:lblAlgn val="ctr"/>
        <c:lblOffset val="100"/>
        <c:noMultiLvlLbl val="0"/>
      </c:catAx>
      <c:valAx>
        <c:axId val="700249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70024950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cid:image001.png@01D3A965.7351AD40" TargetMode="External"/><Relationship Id="rId5"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280146</xdr:colOff>
      <xdr:row>1</xdr:row>
      <xdr:rowOff>11205</xdr:rowOff>
    </xdr:from>
    <xdr:to>
      <xdr:col>13</xdr:col>
      <xdr:colOff>56029</xdr:colOff>
      <xdr:row>74</xdr:row>
      <xdr:rowOff>67235</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Choice>
      <mc:Fallback xmlns="">
        <xdr:sp macro="" textlink="">
          <xdr:nvSpPr>
            <xdr:cNvPr id="2" name="TextBox 1"/>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438150</xdr:colOff>
      <xdr:row>6</xdr:row>
      <xdr:rowOff>95250</xdr:rowOff>
    </xdr:from>
    <xdr:to>
      <xdr:col>21</xdr:col>
      <xdr:colOff>6753225</xdr:colOff>
      <xdr:row>25</xdr:row>
      <xdr:rowOff>9525</xdr:rowOff>
    </xdr:to>
    <xdr:graphicFrame macro="">
      <xdr:nvGraphicFramePr>
        <xdr:cNvPr id="14699" name="Chart 3">
          <a:extLst>
            <a:ext uri="{FF2B5EF4-FFF2-40B4-BE49-F238E27FC236}">
              <a16:creationId xmlns:a16="http://schemas.microsoft.com/office/drawing/2014/main" id="{00000000-0008-0000-0200-00006B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38100</xdr:colOff>
      <xdr:row>6</xdr:row>
      <xdr:rowOff>104775</xdr:rowOff>
    </xdr:from>
    <xdr:to>
      <xdr:col>20</xdr:col>
      <xdr:colOff>28575</xdr:colOff>
      <xdr:row>25</xdr:row>
      <xdr:rowOff>57150</xdr:rowOff>
    </xdr:to>
    <xdr:graphicFrame macro="">
      <xdr:nvGraphicFramePr>
        <xdr:cNvPr id="14700" name="Chart 4">
          <a:extLst>
            <a:ext uri="{FF2B5EF4-FFF2-40B4-BE49-F238E27FC236}">
              <a16:creationId xmlns:a16="http://schemas.microsoft.com/office/drawing/2014/main" id="{00000000-0008-0000-0200-00006C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57150</xdr:colOff>
      <xdr:row>6</xdr:row>
      <xdr:rowOff>28575</xdr:rowOff>
    </xdr:from>
    <xdr:to>
      <xdr:col>18</xdr:col>
      <xdr:colOff>6067425</xdr:colOff>
      <xdr:row>24</xdr:row>
      <xdr:rowOff>180975</xdr:rowOff>
    </xdr:to>
    <xdr:graphicFrame macro="">
      <xdr:nvGraphicFramePr>
        <xdr:cNvPr id="14701" name="Chart 5">
          <a:extLst>
            <a:ext uri="{FF2B5EF4-FFF2-40B4-BE49-F238E27FC236}">
              <a16:creationId xmlns:a16="http://schemas.microsoft.com/office/drawing/2014/main" id="{00000000-0008-0000-0200-00006D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219075</xdr:colOff>
      <xdr:row>6</xdr:row>
      <xdr:rowOff>133350</xdr:rowOff>
    </xdr:from>
    <xdr:to>
      <xdr:col>21</xdr:col>
      <xdr:colOff>85725</xdr:colOff>
      <xdr:row>25</xdr:row>
      <xdr:rowOff>47625</xdr:rowOff>
    </xdr:to>
    <xdr:graphicFrame macro="">
      <xdr:nvGraphicFramePr>
        <xdr:cNvPr id="14702" name="Chart 6">
          <a:extLst>
            <a:ext uri="{FF2B5EF4-FFF2-40B4-BE49-F238E27FC236}">
              <a16:creationId xmlns:a16="http://schemas.microsoft.com/office/drawing/2014/main" id="{00000000-0008-0000-0200-00006E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360589</xdr:colOff>
      <xdr:row>67</xdr:row>
      <xdr:rowOff>61232</xdr:rowOff>
    </xdr:from>
    <xdr:to>
      <xdr:col>5</xdr:col>
      <xdr:colOff>292553</xdr:colOff>
      <xdr:row>77</xdr:row>
      <xdr:rowOff>156482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60589" y="12253232"/>
          <a:ext cx="8853714"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Treatment of the negative ET Refund amounts:</a:t>
          </a:r>
        </a:p>
        <a:p>
          <a:endParaRPr lang="en-GB" sz="1100" b="1"/>
        </a:p>
        <a:p>
          <a:r>
            <a:rPr lang="en-GB" sz="1100" b="1"/>
            <a:t>Sample below:</a:t>
          </a:r>
        </a:p>
        <a:p>
          <a:r>
            <a:rPr lang="en-GB" sz="1100" b="1"/>
            <a:t>·        Calculated Premium to be reimbursed (Life): € 182.72</a:t>
          </a:r>
        </a:p>
        <a:p>
          <a:r>
            <a:rPr lang="en-GB" sz="1100" b="1"/>
            <a:t>·        Calculated Premium to be reimbursed (Non-Life): € -12.17</a:t>
          </a:r>
        </a:p>
        <a:p>
          <a:endParaRPr lang="en-GB" sz="1100" b="1"/>
        </a:p>
        <a:p>
          <a:r>
            <a:rPr lang="en-GB" sz="1100" b="1"/>
            <a:t>The Total to be reimbursed to the customer should be €170.56 (=€182.72 - €12.17)</a:t>
          </a:r>
        </a:p>
        <a:p>
          <a:r>
            <a:rPr lang="en-GB" sz="1100" b="1"/>
            <a:t>Clawback of the Base Commission from SCB:  €46.59</a:t>
          </a:r>
        </a:p>
        <a:p>
          <a:endParaRPr lang="en-GB" sz="1100" b="1"/>
        </a:p>
        <a:p>
          <a:r>
            <a:rPr lang="en-GB" sz="1100" b="1" u="sng"/>
            <a:t>In</a:t>
          </a:r>
          <a:r>
            <a:rPr lang="en-GB" sz="1100" b="1" u="sng" baseline="0"/>
            <a:t> IP:</a:t>
          </a:r>
        </a:p>
        <a:p>
          <a:r>
            <a:rPr lang="en-GB" sz="1100" b="1"/>
            <a:t>we would like to see  €170.56 as the cancellation Refund in LIFE and €0 in Non-Life.</a:t>
          </a:r>
        </a:p>
      </xdr:txBody>
    </xdr:sp>
    <xdr:clientData/>
  </xdr:twoCellAnchor>
  <xdr:twoCellAnchor>
    <xdr:from>
      <xdr:col>0</xdr:col>
      <xdr:colOff>184150</xdr:colOff>
      <xdr:row>78</xdr:row>
      <xdr:rowOff>146050</xdr:rowOff>
    </xdr:from>
    <xdr:to>
      <xdr:col>2</xdr:col>
      <xdr:colOff>584200</xdr:colOff>
      <xdr:row>109</xdr:row>
      <xdr:rowOff>41275</xdr:rowOff>
    </xdr:to>
    <xdr:pic>
      <xdr:nvPicPr>
        <xdr:cNvPr id="14704" name="Picture 7" descr="cid:image003.png@01D3A63E.E737BFD0">
          <a:extLst>
            <a:ext uri="{FF2B5EF4-FFF2-40B4-BE49-F238E27FC236}">
              <a16:creationId xmlns:a16="http://schemas.microsoft.com/office/drawing/2014/main" id="{00000000-0008-0000-0200-000070390000}"/>
            </a:ext>
          </a:extLst>
        </xdr:cNvP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184150" y="14433550"/>
          <a:ext cx="6130925" cy="5800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904875</xdr:colOff>
      <xdr:row>10</xdr:row>
      <xdr:rowOff>133350</xdr:rowOff>
    </xdr:from>
    <xdr:to>
      <xdr:col>7</xdr:col>
      <xdr:colOff>3486150</xdr:colOff>
      <xdr:row>22</xdr:row>
      <xdr:rowOff>85725</xdr:rowOff>
    </xdr:to>
    <xdr:graphicFrame macro="">
      <xdr:nvGraphicFramePr>
        <xdr:cNvPr id="17666" name="Chart 1">
          <a:extLst>
            <a:ext uri="{FF2B5EF4-FFF2-40B4-BE49-F238E27FC236}">
              <a16:creationId xmlns:a16="http://schemas.microsoft.com/office/drawing/2014/main" id="{00000000-0008-0000-0300-0000024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3819525</xdr:colOff>
      <xdr:row>10</xdr:row>
      <xdr:rowOff>142875</xdr:rowOff>
    </xdr:from>
    <xdr:to>
      <xdr:col>8</xdr:col>
      <xdr:colOff>3829050</xdr:colOff>
      <xdr:row>22</xdr:row>
      <xdr:rowOff>114300</xdr:rowOff>
    </xdr:to>
    <xdr:graphicFrame macro="">
      <xdr:nvGraphicFramePr>
        <xdr:cNvPr id="17667" name="Chart 2">
          <a:extLst>
            <a:ext uri="{FF2B5EF4-FFF2-40B4-BE49-F238E27FC236}">
              <a16:creationId xmlns:a16="http://schemas.microsoft.com/office/drawing/2014/main" id="{00000000-0008-0000-0300-0000034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123825</xdr:colOff>
      <xdr:row>11</xdr:row>
      <xdr:rowOff>19050</xdr:rowOff>
    </xdr:from>
    <xdr:to>
      <xdr:col>9</xdr:col>
      <xdr:colOff>3743325</xdr:colOff>
      <xdr:row>22</xdr:row>
      <xdr:rowOff>104775</xdr:rowOff>
    </xdr:to>
    <xdr:graphicFrame macro="">
      <xdr:nvGraphicFramePr>
        <xdr:cNvPr id="17668" name="Chart 3">
          <a:extLst>
            <a:ext uri="{FF2B5EF4-FFF2-40B4-BE49-F238E27FC236}">
              <a16:creationId xmlns:a16="http://schemas.microsoft.com/office/drawing/2014/main" id="{00000000-0008-0000-0300-0000044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47625</xdr:colOff>
      <xdr:row>11</xdr:row>
      <xdr:rowOff>38100</xdr:rowOff>
    </xdr:from>
    <xdr:to>
      <xdr:col>11</xdr:col>
      <xdr:colOff>885825</xdr:colOff>
      <xdr:row>22</xdr:row>
      <xdr:rowOff>85725</xdr:rowOff>
    </xdr:to>
    <xdr:graphicFrame macro="">
      <xdr:nvGraphicFramePr>
        <xdr:cNvPr id="17669" name="Chart 4">
          <a:extLst>
            <a:ext uri="{FF2B5EF4-FFF2-40B4-BE49-F238E27FC236}">
              <a16:creationId xmlns:a16="http://schemas.microsoft.com/office/drawing/2014/main" id="{00000000-0008-0000-0300-0000054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B1:Q68"/>
  <sheetViews>
    <sheetView showGridLines="0" topLeftCell="A7" zoomScale="85" workbookViewId="0">
      <selection activeCell="B36" sqref="B36:J36"/>
    </sheetView>
  </sheetViews>
  <sheetFormatPr defaultColWidth="9.109375" defaultRowHeight="14.4" x14ac:dyDescent="0.3"/>
  <cols>
    <col min="1" max="1" width="0.6640625" style="438" customWidth="1"/>
    <col min="2" max="9" width="9.109375" style="438"/>
    <col min="10" max="10" width="24.44140625" style="438" customWidth="1"/>
    <col min="11" max="11" width="2.109375" style="438" customWidth="1"/>
    <col min="12" max="12" width="173.88671875" style="456" customWidth="1"/>
    <col min="13" max="16384" width="9.109375" style="438"/>
  </cols>
  <sheetData>
    <row r="1" spans="2:17" ht="3.75" customHeight="1" thickBot="1" x14ac:dyDescent="0.35">
      <c r="L1" s="439"/>
    </row>
    <row r="2" spans="2:17" ht="18.600000000000001" thickBot="1" x14ac:dyDescent="0.35">
      <c r="B2" s="1001" t="s">
        <v>5</v>
      </c>
      <c r="C2" s="1002"/>
      <c r="D2" s="1002"/>
      <c r="E2" s="1002"/>
      <c r="F2" s="1002"/>
      <c r="G2" s="1002"/>
      <c r="H2" s="1002"/>
      <c r="I2" s="1002"/>
      <c r="J2" s="1003"/>
      <c r="L2" s="440"/>
      <c r="M2"/>
      <c r="N2"/>
      <c r="O2"/>
      <c r="P2"/>
      <c r="Q2"/>
    </row>
    <row r="3" spans="2:17" s="441" customFormat="1" ht="5.25" customHeight="1" thickBot="1" x14ac:dyDescent="0.35">
      <c r="B3" s="2"/>
      <c r="C3" s="3"/>
      <c r="D3" s="3"/>
      <c r="E3" s="3"/>
      <c r="F3" s="3"/>
      <c r="G3" s="3"/>
      <c r="H3" s="3"/>
      <c r="I3" s="3"/>
      <c r="J3" s="3"/>
      <c r="L3" s="442"/>
      <c r="M3" s="443"/>
      <c r="N3" s="443"/>
      <c r="O3" s="443"/>
      <c r="P3" s="443"/>
      <c r="Q3" s="443"/>
    </row>
    <row r="4" spans="2:17" ht="18.600000000000001" thickBot="1" x14ac:dyDescent="0.4">
      <c r="B4" s="995" t="s">
        <v>279</v>
      </c>
      <c r="C4" s="996"/>
      <c r="D4" s="996"/>
      <c r="E4" s="996"/>
      <c r="F4" s="996"/>
      <c r="G4" s="996"/>
      <c r="H4" s="996"/>
      <c r="I4" s="996"/>
      <c r="J4" s="997"/>
      <c r="L4" s="440"/>
      <c r="M4"/>
      <c r="N4"/>
      <c r="O4"/>
      <c r="P4"/>
      <c r="Q4"/>
    </row>
    <row r="5" spans="2:17" s="441" customFormat="1" ht="3.75" customHeight="1" thickBot="1" x14ac:dyDescent="0.35">
      <c r="B5" s="2"/>
      <c r="C5" s="3"/>
      <c r="D5" s="3"/>
      <c r="E5" s="3"/>
      <c r="F5" s="3"/>
      <c r="G5" s="3"/>
      <c r="H5" s="3"/>
      <c r="I5" s="3"/>
      <c r="J5" s="3"/>
      <c r="L5" s="440"/>
      <c r="M5"/>
      <c r="N5"/>
      <c r="O5"/>
      <c r="P5"/>
      <c r="Q5"/>
    </row>
    <row r="6" spans="2:17" x14ac:dyDescent="0.3">
      <c r="B6" s="973" t="s">
        <v>6</v>
      </c>
      <c r="C6" s="974"/>
      <c r="D6" s="974"/>
      <c r="E6" s="974"/>
      <c r="F6" s="974"/>
      <c r="G6" s="974"/>
      <c r="H6" s="974"/>
      <c r="I6" s="974"/>
      <c r="J6" s="975"/>
      <c r="L6" s="440"/>
      <c r="M6"/>
      <c r="N6"/>
      <c r="O6"/>
      <c r="P6"/>
      <c r="Q6"/>
    </row>
    <row r="7" spans="2:17" x14ac:dyDescent="0.3">
      <c r="B7" s="992" t="s">
        <v>286</v>
      </c>
      <c r="C7" s="993"/>
      <c r="D7" s="993"/>
      <c r="E7" s="993"/>
      <c r="F7" s="993"/>
      <c r="G7" s="993"/>
      <c r="H7" s="993"/>
      <c r="I7" s="993"/>
      <c r="J7" s="994"/>
      <c r="K7" s="444"/>
      <c r="L7" s="440"/>
      <c r="M7"/>
      <c r="N7"/>
      <c r="O7"/>
      <c r="P7"/>
      <c r="Q7"/>
    </row>
    <row r="8" spans="2:17" x14ac:dyDescent="0.3">
      <c r="B8" s="985" t="s">
        <v>287</v>
      </c>
      <c r="C8" s="986"/>
      <c r="D8" s="986"/>
      <c r="E8" s="986"/>
      <c r="F8" s="986"/>
      <c r="G8" s="986"/>
      <c r="H8" s="986"/>
      <c r="I8" s="986"/>
      <c r="J8" s="987"/>
      <c r="L8" s="440"/>
      <c r="M8"/>
      <c r="N8"/>
      <c r="O8"/>
      <c r="P8"/>
      <c r="Q8"/>
    </row>
    <row r="9" spans="2:17" x14ac:dyDescent="0.3">
      <c r="B9" s="985" t="s">
        <v>288</v>
      </c>
      <c r="C9" s="986"/>
      <c r="D9" s="986"/>
      <c r="E9" s="986"/>
      <c r="F9" s="986"/>
      <c r="G9" s="986"/>
      <c r="H9" s="986"/>
      <c r="I9" s="986"/>
      <c r="J9" s="987"/>
      <c r="L9" s="440"/>
      <c r="M9"/>
      <c r="N9"/>
      <c r="O9"/>
      <c r="P9"/>
      <c r="Q9"/>
    </row>
    <row r="10" spans="2:17" x14ac:dyDescent="0.3">
      <c r="B10" s="992"/>
      <c r="C10" s="993"/>
      <c r="D10" s="993"/>
      <c r="E10" s="993"/>
      <c r="F10" s="993"/>
      <c r="G10" s="993"/>
      <c r="H10" s="993"/>
      <c r="I10" s="993"/>
      <c r="J10" s="994"/>
      <c r="L10" s="440"/>
      <c r="M10"/>
      <c r="N10"/>
      <c r="O10"/>
      <c r="P10"/>
      <c r="Q10"/>
    </row>
    <row r="11" spans="2:17" ht="15" customHeight="1" x14ac:dyDescent="0.3">
      <c r="B11" s="985" t="s">
        <v>289</v>
      </c>
      <c r="C11" s="986"/>
      <c r="D11" s="986"/>
      <c r="E11" s="986"/>
      <c r="F11" s="986"/>
      <c r="G11" s="986"/>
      <c r="H11" s="986"/>
      <c r="I11" s="986"/>
      <c r="J11" s="987"/>
      <c r="L11" s="440"/>
      <c r="M11"/>
      <c r="N11"/>
      <c r="O11"/>
      <c r="P11"/>
      <c r="Q11"/>
    </row>
    <row r="12" spans="2:17" ht="15" customHeight="1" x14ac:dyDescent="0.3">
      <c r="B12" s="998" t="s">
        <v>290</v>
      </c>
      <c r="C12" s="999"/>
      <c r="D12" s="999"/>
      <c r="E12" s="999"/>
      <c r="F12" s="999"/>
      <c r="G12" s="999"/>
      <c r="H12" s="999"/>
      <c r="I12" s="999"/>
      <c r="J12" s="1000"/>
      <c r="L12" s="440"/>
      <c r="M12"/>
      <c r="N12"/>
      <c r="O12"/>
      <c r="P12"/>
      <c r="Q12"/>
    </row>
    <row r="13" spans="2:17" ht="15" customHeight="1" x14ac:dyDescent="0.3">
      <c r="B13" s="445" t="s">
        <v>291</v>
      </c>
      <c r="C13" s="40" t="s">
        <v>292</v>
      </c>
      <c r="D13" s="40"/>
      <c r="E13" s="40"/>
      <c r="F13" s="40"/>
      <c r="G13" s="40"/>
      <c r="H13" s="40"/>
      <c r="I13" s="40"/>
      <c r="J13" s="446"/>
      <c r="L13" s="440"/>
      <c r="M13"/>
      <c r="N13"/>
      <c r="O13"/>
      <c r="P13"/>
      <c r="Q13"/>
    </row>
    <row r="14" spans="2:17" ht="15" customHeight="1" x14ac:dyDescent="0.3">
      <c r="B14" s="447" t="s">
        <v>291</v>
      </c>
      <c r="C14" s="448" t="s">
        <v>293</v>
      </c>
      <c r="D14" s="448"/>
      <c r="E14" s="448"/>
      <c r="F14" s="448"/>
      <c r="G14" s="448"/>
      <c r="H14" s="448"/>
      <c r="I14" s="448"/>
      <c r="J14" s="449"/>
      <c r="L14" s="450"/>
      <c r="M14"/>
      <c r="N14"/>
      <c r="O14"/>
      <c r="P14"/>
      <c r="Q14"/>
    </row>
    <row r="15" spans="2:17" ht="15" customHeight="1" x14ac:dyDescent="0.3">
      <c r="B15" s="988" t="s">
        <v>294</v>
      </c>
      <c r="C15" s="980"/>
      <c r="D15" s="980"/>
      <c r="E15" s="980"/>
      <c r="F15" s="980"/>
      <c r="G15" s="980"/>
      <c r="H15" s="980"/>
      <c r="I15" s="980"/>
      <c r="J15" s="981"/>
      <c r="L15" s="440"/>
      <c r="M15"/>
      <c r="N15"/>
      <c r="O15"/>
      <c r="P15"/>
      <c r="Q15"/>
    </row>
    <row r="16" spans="2:17" ht="15" customHeight="1" x14ac:dyDescent="0.3">
      <c r="B16" s="985" t="s">
        <v>295</v>
      </c>
      <c r="C16" s="986"/>
      <c r="D16" s="986"/>
      <c r="E16" s="986"/>
      <c r="F16" s="986"/>
      <c r="G16" s="986"/>
      <c r="H16" s="986"/>
      <c r="I16" s="986"/>
      <c r="J16" s="987"/>
      <c r="L16" s="440"/>
      <c r="M16"/>
      <c r="N16"/>
      <c r="O16"/>
      <c r="P16"/>
      <c r="Q16"/>
    </row>
    <row r="17" spans="2:17" ht="15" customHeight="1" x14ac:dyDescent="0.3">
      <c r="B17" s="985" t="s">
        <v>296</v>
      </c>
      <c r="C17" s="986"/>
      <c r="D17" s="986"/>
      <c r="E17" s="986"/>
      <c r="F17" s="986"/>
      <c r="G17" s="986"/>
      <c r="H17" s="986"/>
      <c r="I17" s="986"/>
      <c r="J17" s="987"/>
      <c r="L17" s="440"/>
      <c r="M17"/>
      <c r="N17"/>
      <c r="O17"/>
      <c r="P17"/>
      <c r="Q17"/>
    </row>
    <row r="18" spans="2:17" ht="15" customHeight="1" thickBot="1" x14ac:dyDescent="0.35">
      <c r="B18" s="967" t="s">
        <v>297</v>
      </c>
      <c r="C18" s="968"/>
      <c r="D18" s="968"/>
      <c r="E18" s="968"/>
      <c r="F18" s="968"/>
      <c r="G18" s="968"/>
      <c r="H18" s="968"/>
      <c r="I18" s="968"/>
      <c r="J18" s="969"/>
      <c r="L18" s="440"/>
      <c r="M18"/>
      <c r="N18"/>
      <c r="O18"/>
      <c r="P18"/>
      <c r="Q18"/>
    </row>
    <row r="19" spans="2:17" ht="5.25" customHeight="1" thickBot="1" x14ac:dyDescent="0.35">
      <c r="B19" s="451"/>
      <c r="C19" s="1"/>
      <c r="D19" s="1"/>
      <c r="E19" s="1"/>
      <c r="F19" s="1"/>
      <c r="G19" s="1"/>
      <c r="H19" s="1"/>
      <c r="I19" s="1"/>
      <c r="J19" s="1"/>
      <c r="L19" s="440"/>
      <c r="M19"/>
      <c r="N19"/>
      <c r="O19"/>
      <c r="P19"/>
      <c r="Q19"/>
    </row>
    <row r="20" spans="2:17" ht="12.75" customHeight="1" x14ac:dyDescent="0.3">
      <c r="B20" s="973" t="s">
        <v>298</v>
      </c>
      <c r="C20" s="974"/>
      <c r="D20" s="974"/>
      <c r="E20" s="974"/>
      <c r="F20" s="974"/>
      <c r="G20" s="974"/>
      <c r="H20" s="974"/>
      <c r="I20" s="974"/>
      <c r="J20" s="975"/>
      <c r="L20" s="452"/>
      <c r="M20"/>
      <c r="N20"/>
      <c r="O20"/>
      <c r="P20"/>
      <c r="Q20"/>
    </row>
    <row r="21" spans="2:17" ht="24" customHeight="1" thickBot="1" x14ac:dyDescent="0.35">
      <c r="B21" s="976" t="s">
        <v>299</v>
      </c>
      <c r="C21" s="977"/>
      <c r="D21" s="977"/>
      <c r="E21" s="977"/>
      <c r="F21" s="977"/>
      <c r="G21" s="977"/>
      <c r="H21" s="977"/>
      <c r="I21" s="977"/>
      <c r="J21" s="978"/>
      <c r="L21" s="453"/>
      <c r="M21"/>
      <c r="N21"/>
      <c r="O21"/>
      <c r="P21"/>
      <c r="Q21"/>
    </row>
    <row r="22" spans="2:17" ht="5.25" customHeight="1" thickBot="1" x14ac:dyDescent="0.35">
      <c r="B22" s="1"/>
      <c r="L22" s="453"/>
      <c r="M22"/>
      <c r="N22"/>
      <c r="O22"/>
      <c r="P22"/>
      <c r="Q22"/>
    </row>
    <row r="23" spans="2:17" ht="13.5" customHeight="1" x14ac:dyDescent="0.3">
      <c r="B23" s="973" t="s">
        <v>300</v>
      </c>
      <c r="C23" s="974"/>
      <c r="D23" s="974"/>
      <c r="E23" s="974"/>
      <c r="F23" s="974"/>
      <c r="G23" s="974"/>
      <c r="H23" s="974"/>
      <c r="I23" s="974"/>
      <c r="J23" s="975"/>
      <c r="L23" s="453"/>
      <c r="M23"/>
      <c r="N23"/>
      <c r="O23"/>
      <c r="P23"/>
      <c r="Q23"/>
    </row>
    <row r="24" spans="2:17" ht="20.25" customHeight="1" x14ac:dyDescent="0.3">
      <c r="B24" s="979" t="s">
        <v>301</v>
      </c>
      <c r="C24" s="980"/>
      <c r="D24" s="980"/>
      <c r="E24" s="980"/>
      <c r="F24" s="980"/>
      <c r="G24" s="980"/>
      <c r="H24" s="980"/>
      <c r="I24" s="980"/>
      <c r="J24" s="981"/>
      <c r="L24" s="452"/>
      <c r="M24"/>
      <c r="N24"/>
      <c r="O24"/>
      <c r="P24"/>
      <c r="Q24"/>
    </row>
    <row r="25" spans="2:17" x14ac:dyDescent="0.3">
      <c r="B25" s="989" t="s">
        <v>7</v>
      </c>
      <c r="C25" s="990"/>
      <c r="D25" s="990"/>
      <c r="E25" s="990"/>
      <c r="F25" s="990"/>
      <c r="G25" s="990"/>
      <c r="H25" s="990"/>
      <c r="I25" s="990"/>
      <c r="J25" s="991"/>
      <c r="L25" s="453"/>
      <c r="M25"/>
      <c r="N25"/>
      <c r="O25"/>
      <c r="P25"/>
      <c r="Q25"/>
    </row>
    <row r="26" spans="2:17" x14ac:dyDescent="0.3">
      <c r="B26" s="979" t="s">
        <v>302</v>
      </c>
      <c r="C26" s="980"/>
      <c r="D26" s="980"/>
      <c r="E26" s="980"/>
      <c r="F26" s="980"/>
      <c r="G26" s="980"/>
      <c r="H26" s="980"/>
      <c r="I26" s="980"/>
      <c r="J26" s="981"/>
      <c r="L26" s="453"/>
      <c r="M26"/>
      <c r="N26"/>
      <c r="O26"/>
      <c r="P26"/>
      <c r="Q26"/>
    </row>
    <row r="27" spans="2:17" ht="15" thickBot="1" x14ac:dyDescent="0.35">
      <c r="B27" s="982"/>
      <c r="C27" s="983"/>
      <c r="D27" s="983"/>
      <c r="E27" s="983"/>
      <c r="F27" s="983"/>
      <c r="G27" s="983"/>
      <c r="H27" s="983"/>
      <c r="I27" s="983"/>
      <c r="J27" s="984"/>
      <c r="L27" s="453"/>
      <c r="M27"/>
      <c r="N27"/>
      <c r="O27"/>
      <c r="P27"/>
      <c r="Q27"/>
    </row>
    <row r="28" spans="2:17" ht="2.25" customHeight="1" thickBot="1" x14ac:dyDescent="0.35">
      <c r="B28" s="451"/>
      <c r="C28" s="1"/>
      <c r="D28" s="1"/>
      <c r="E28" s="1"/>
      <c r="F28" s="1"/>
      <c r="G28" s="1"/>
      <c r="H28" s="1"/>
      <c r="I28" s="1"/>
      <c r="J28" s="1"/>
      <c r="L28" s="453"/>
      <c r="M28"/>
      <c r="N28"/>
      <c r="O28"/>
      <c r="P28"/>
      <c r="Q28"/>
    </row>
    <row r="29" spans="2:17" ht="12.75" customHeight="1" x14ac:dyDescent="0.3">
      <c r="B29" s="973" t="s">
        <v>303</v>
      </c>
      <c r="C29" s="974"/>
      <c r="D29" s="974"/>
      <c r="E29" s="974"/>
      <c r="F29" s="974"/>
      <c r="G29" s="974"/>
      <c r="H29" s="974"/>
      <c r="I29" s="974"/>
      <c r="J29" s="975"/>
      <c r="L29" s="454"/>
      <c r="M29"/>
      <c r="N29"/>
      <c r="O29"/>
      <c r="P29"/>
      <c r="Q29"/>
    </row>
    <row r="30" spans="2:17" ht="15" thickBot="1" x14ac:dyDescent="0.35">
      <c r="B30" s="982" t="s">
        <v>304</v>
      </c>
      <c r="C30" s="983"/>
      <c r="D30" s="983"/>
      <c r="E30" s="983"/>
      <c r="F30" s="983"/>
      <c r="G30" s="983"/>
      <c r="H30" s="983"/>
      <c r="I30" s="983"/>
      <c r="J30" s="984"/>
      <c r="L30" s="453"/>
      <c r="M30"/>
      <c r="N30"/>
      <c r="O30"/>
      <c r="P30"/>
      <c r="Q30"/>
    </row>
    <row r="31" spans="2:17" ht="15" thickBot="1" x14ac:dyDescent="0.35">
      <c r="L31" s="453"/>
      <c r="M31"/>
      <c r="N31"/>
      <c r="O31"/>
      <c r="P31"/>
      <c r="Q31"/>
    </row>
    <row r="32" spans="2:17" ht="18.600000000000001" thickBot="1" x14ac:dyDescent="0.4">
      <c r="B32" s="995" t="s">
        <v>11</v>
      </c>
      <c r="C32" s="996"/>
      <c r="D32" s="996"/>
      <c r="E32" s="996"/>
      <c r="F32" s="996"/>
      <c r="G32" s="996"/>
      <c r="H32" s="996"/>
      <c r="I32" s="996"/>
      <c r="J32" s="997"/>
      <c r="L32" s="453"/>
      <c r="M32"/>
      <c r="N32"/>
      <c r="O32"/>
      <c r="P32"/>
      <c r="Q32"/>
    </row>
    <row r="33" spans="2:17" ht="4.5" customHeight="1" thickBot="1" x14ac:dyDescent="0.35">
      <c r="B33" s="2"/>
      <c r="C33" s="3"/>
      <c r="D33" s="3"/>
      <c r="E33" s="3"/>
      <c r="F33" s="3"/>
      <c r="G33" s="3"/>
      <c r="H33" s="3"/>
      <c r="I33" s="3"/>
      <c r="J33" s="3"/>
      <c r="L33" s="453"/>
      <c r="M33"/>
      <c r="N33"/>
      <c r="O33"/>
      <c r="P33"/>
      <c r="Q33"/>
    </row>
    <row r="34" spans="2:17" x14ac:dyDescent="0.3">
      <c r="B34" s="973" t="s">
        <v>6</v>
      </c>
      <c r="C34" s="974"/>
      <c r="D34" s="974"/>
      <c r="E34" s="974"/>
      <c r="F34" s="974"/>
      <c r="G34" s="974"/>
      <c r="H34" s="974"/>
      <c r="I34" s="974"/>
      <c r="J34" s="975"/>
      <c r="L34" s="453"/>
      <c r="M34"/>
      <c r="N34"/>
      <c r="O34"/>
      <c r="P34"/>
      <c r="Q34"/>
    </row>
    <row r="35" spans="2:17" x14ac:dyDescent="0.3">
      <c r="B35" s="992" t="s">
        <v>286</v>
      </c>
      <c r="C35" s="993"/>
      <c r="D35" s="993"/>
      <c r="E35" s="993"/>
      <c r="F35" s="993"/>
      <c r="G35" s="993"/>
      <c r="H35" s="993"/>
      <c r="I35" s="993"/>
      <c r="J35" s="994"/>
      <c r="L35" s="454"/>
      <c r="M35"/>
      <c r="N35"/>
      <c r="O35"/>
      <c r="P35"/>
      <c r="Q35"/>
    </row>
    <row r="36" spans="2:17" x14ac:dyDescent="0.3">
      <c r="B36" s="985" t="s">
        <v>287</v>
      </c>
      <c r="C36" s="986"/>
      <c r="D36" s="986"/>
      <c r="E36" s="986"/>
      <c r="F36" s="986"/>
      <c r="G36" s="986"/>
      <c r="H36" s="986"/>
      <c r="I36" s="986"/>
      <c r="J36" s="987"/>
      <c r="L36" s="453"/>
      <c r="M36"/>
      <c r="N36"/>
      <c r="O36"/>
      <c r="P36"/>
      <c r="Q36"/>
    </row>
    <row r="37" spans="2:17" x14ac:dyDescent="0.3">
      <c r="B37" s="985" t="s">
        <v>288</v>
      </c>
      <c r="C37" s="986"/>
      <c r="D37" s="986"/>
      <c r="E37" s="986"/>
      <c r="F37" s="986"/>
      <c r="G37" s="986"/>
      <c r="H37" s="986"/>
      <c r="I37" s="986"/>
      <c r="J37" s="987"/>
      <c r="L37" s="453"/>
      <c r="M37"/>
      <c r="N37"/>
      <c r="O37"/>
      <c r="P37"/>
      <c r="Q37" s="37" t="s">
        <v>19</v>
      </c>
    </row>
    <row r="38" spans="2:17" x14ac:dyDescent="0.3">
      <c r="B38" s="992"/>
      <c r="C38" s="993"/>
      <c r="D38" s="993"/>
      <c r="E38" s="993"/>
      <c r="F38" s="993"/>
      <c r="G38" s="993"/>
      <c r="H38" s="993"/>
      <c r="I38" s="993"/>
      <c r="J38" s="994"/>
      <c r="L38" s="453"/>
      <c r="M38"/>
      <c r="N38"/>
      <c r="O38"/>
      <c r="P38"/>
      <c r="Q38"/>
    </row>
    <row r="39" spans="2:17" x14ac:dyDescent="0.3">
      <c r="B39" s="985" t="s">
        <v>289</v>
      </c>
      <c r="C39" s="986"/>
      <c r="D39" s="986"/>
      <c r="E39" s="986"/>
      <c r="F39" s="986"/>
      <c r="G39" s="986"/>
      <c r="H39" s="986"/>
      <c r="I39" s="986"/>
      <c r="J39" s="987"/>
      <c r="L39" s="453"/>
      <c r="M39"/>
      <c r="N39" s="37" t="s">
        <v>20</v>
      </c>
      <c r="O39"/>
      <c r="P39"/>
      <c r="Q39"/>
    </row>
    <row r="40" spans="2:17" ht="15.6" x14ac:dyDescent="0.3">
      <c r="B40" s="985" t="s">
        <v>305</v>
      </c>
      <c r="C40" s="986"/>
      <c r="D40" s="986"/>
      <c r="E40" s="986"/>
      <c r="F40" s="986"/>
      <c r="G40" s="986"/>
      <c r="H40" s="986"/>
      <c r="I40" s="986"/>
      <c r="J40" s="987"/>
      <c r="L40" s="454"/>
      <c r="M40"/>
      <c r="N40"/>
      <c r="O40"/>
      <c r="P40"/>
      <c r="Q40"/>
    </row>
    <row r="41" spans="2:17" x14ac:dyDescent="0.3">
      <c r="B41" s="985"/>
      <c r="C41" s="986"/>
      <c r="D41" s="986"/>
      <c r="E41" s="986"/>
      <c r="F41" s="986"/>
      <c r="G41" s="986"/>
      <c r="H41" s="986"/>
      <c r="I41" s="986"/>
      <c r="J41" s="987"/>
      <c r="L41" s="453"/>
      <c r="M41"/>
      <c r="N41"/>
      <c r="O41"/>
      <c r="P41"/>
      <c r="Q41"/>
    </row>
    <row r="42" spans="2:17" x14ac:dyDescent="0.3">
      <c r="B42" s="988" t="s">
        <v>294</v>
      </c>
      <c r="C42" s="980"/>
      <c r="D42" s="980"/>
      <c r="E42" s="980"/>
      <c r="F42" s="980"/>
      <c r="G42" s="980"/>
      <c r="H42" s="980"/>
      <c r="I42" s="980"/>
      <c r="J42" s="981"/>
      <c r="L42" s="453"/>
      <c r="M42"/>
      <c r="N42"/>
      <c r="O42"/>
      <c r="P42"/>
      <c r="Q42"/>
    </row>
    <row r="43" spans="2:17" x14ac:dyDescent="0.3">
      <c r="B43" s="985" t="s">
        <v>295</v>
      </c>
      <c r="C43" s="986"/>
      <c r="D43" s="986"/>
      <c r="E43" s="986"/>
      <c r="F43" s="986"/>
      <c r="G43" s="986"/>
      <c r="H43" s="986"/>
      <c r="I43" s="986"/>
      <c r="J43" s="987"/>
      <c r="L43" s="455"/>
      <c r="M43"/>
      <c r="N43"/>
      <c r="O43"/>
      <c r="P43"/>
      <c r="Q43"/>
    </row>
    <row r="44" spans="2:17" x14ac:dyDescent="0.3">
      <c r="B44" s="985" t="s">
        <v>296</v>
      </c>
      <c r="C44" s="986"/>
      <c r="D44" s="986"/>
      <c r="E44" s="986"/>
      <c r="F44" s="986"/>
      <c r="G44" s="986"/>
      <c r="H44" s="986"/>
      <c r="I44" s="986"/>
      <c r="J44" s="987"/>
      <c r="L44" s="453"/>
      <c r="M44"/>
      <c r="N44"/>
      <c r="O44"/>
      <c r="P44"/>
      <c r="Q44"/>
    </row>
    <row r="45" spans="2:17" x14ac:dyDescent="0.3">
      <c r="B45" s="989" t="s">
        <v>297</v>
      </c>
      <c r="C45" s="990"/>
      <c r="D45" s="990"/>
      <c r="E45" s="990"/>
      <c r="F45" s="990"/>
      <c r="G45" s="990"/>
      <c r="H45" s="990"/>
      <c r="I45" s="990"/>
      <c r="J45" s="991"/>
      <c r="L45" s="453"/>
      <c r="M45"/>
      <c r="N45"/>
      <c r="O45"/>
      <c r="P45"/>
      <c r="Q45"/>
    </row>
    <row r="46" spans="2:17" ht="15" thickBot="1" x14ac:dyDescent="0.35">
      <c r="B46" s="967" t="s">
        <v>306</v>
      </c>
      <c r="C46" s="968"/>
      <c r="D46" s="968"/>
      <c r="E46" s="968"/>
      <c r="F46" s="968"/>
      <c r="G46" s="968"/>
      <c r="H46" s="968"/>
      <c r="I46" s="968"/>
      <c r="J46" s="969"/>
      <c r="L46" s="453"/>
      <c r="M46"/>
      <c r="N46"/>
      <c r="O46"/>
      <c r="P46"/>
      <c r="Q46"/>
    </row>
    <row r="47" spans="2:17" ht="4.5" customHeight="1" thickBot="1" x14ac:dyDescent="0.35">
      <c r="B47" s="451"/>
      <c r="C47" s="1"/>
      <c r="D47" s="1"/>
      <c r="E47" s="1"/>
      <c r="F47" s="1"/>
      <c r="G47" s="1"/>
      <c r="H47" s="1"/>
      <c r="I47" s="1"/>
      <c r="J47" s="1"/>
      <c r="L47" s="453"/>
      <c r="M47"/>
      <c r="N47"/>
      <c r="O47"/>
      <c r="P47"/>
      <c r="Q47"/>
    </row>
    <row r="48" spans="2:17" x14ac:dyDescent="0.3">
      <c r="B48" s="973" t="s">
        <v>307</v>
      </c>
      <c r="C48" s="974"/>
      <c r="D48" s="974"/>
      <c r="E48" s="974"/>
      <c r="F48" s="974"/>
      <c r="G48" s="974"/>
      <c r="H48" s="974"/>
      <c r="I48" s="974"/>
      <c r="J48" s="975"/>
      <c r="L48" s="453"/>
      <c r="M48"/>
      <c r="N48"/>
      <c r="O48"/>
      <c r="P48"/>
      <c r="Q48"/>
    </row>
    <row r="49" spans="2:17" ht="15" thickBot="1" x14ac:dyDescent="0.35">
      <c r="B49" s="976" t="s">
        <v>308</v>
      </c>
      <c r="C49" s="977"/>
      <c r="D49" s="977"/>
      <c r="E49" s="977"/>
      <c r="F49" s="977"/>
      <c r="G49" s="977"/>
      <c r="H49" s="977"/>
      <c r="I49" s="977"/>
      <c r="J49" s="978"/>
      <c r="L49" s="453"/>
      <c r="M49"/>
      <c r="N49"/>
      <c r="O49"/>
      <c r="P49"/>
      <c r="Q49"/>
    </row>
    <row r="50" spans="2:17" ht="4.5" customHeight="1" thickBot="1" x14ac:dyDescent="0.35">
      <c r="B50" s="1"/>
      <c r="L50" s="453"/>
      <c r="M50"/>
      <c r="N50"/>
      <c r="O50"/>
      <c r="P50"/>
      <c r="Q50"/>
    </row>
    <row r="51" spans="2:17" x14ac:dyDescent="0.3">
      <c r="B51" s="973" t="s">
        <v>309</v>
      </c>
      <c r="C51" s="974"/>
      <c r="D51" s="974"/>
      <c r="E51" s="974"/>
      <c r="F51" s="974"/>
      <c r="G51" s="974"/>
      <c r="H51" s="974"/>
      <c r="I51" s="974"/>
      <c r="J51" s="975"/>
      <c r="L51" s="453"/>
      <c r="M51"/>
      <c r="N51"/>
      <c r="O51"/>
      <c r="P51"/>
      <c r="Q51"/>
    </row>
    <row r="52" spans="2:17" x14ac:dyDescent="0.3">
      <c r="B52" s="979" t="s">
        <v>310</v>
      </c>
      <c r="C52" s="980"/>
      <c r="D52" s="980"/>
      <c r="E52" s="980"/>
      <c r="F52" s="980"/>
      <c r="G52" s="980"/>
      <c r="H52" s="980"/>
      <c r="I52" s="980"/>
      <c r="J52" s="981"/>
      <c r="L52" s="453"/>
      <c r="M52"/>
      <c r="N52"/>
      <c r="O52"/>
      <c r="P52"/>
      <c r="Q52"/>
    </row>
    <row r="53" spans="2:17" ht="15" thickBot="1" x14ac:dyDescent="0.35">
      <c r="B53" s="982"/>
      <c r="C53" s="983"/>
      <c r="D53" s="983"/>
      <c r="E53" s="983"/>
      <c r="F53" s="983"/>
      <c r="G53" s="983"/>
      <c r="H53" s="983"/>
      <c r="I53" s="983"/>
      <c r="J53" s="984"/>
      <c r="L53" s="453"/>
      <c r="M53"/>
      <c r="N53"/>
      <c r="O53"/>
      <c r="P53"/>
      <c r="Q53"/>
    </row>
    <row r="54" spans="2:17" ht="4.5" customHeight="1" thickBot="1" x14ac:dyDescent="0.35">
      <c r="B54" s="451"/>
      <c r="C54" s="1"/>
      <c r="D54" s="1"/>
      <c r="E54" s="1"/>
      <c r="F54" s="1"/>
      <c r="G54" s="1"/>
      <c r="H54" s="1"/>
      <c r="I54" s="1"/>
      <c r="J54" s="1"/>
      <c r="L54" s="453"/>
      <c r="M54"/>
      <c r="N54"/>
      <c r="O54"/>
      <c r="P54"/>
      <c r="Q54"/>
    </row>
    <row r="55" spans="2:17" x14ac:dyDescent="0.3">
      <c r="B55" s="973" t="s">
        <v>303</v>
      </c>
      <c r="C55" s="974"/>
      <c r="D55" s="974"/>
      <c r="E55" s="974"/>
      <c r="F55" s="974"/>
      <c r="G55" s="974"/>
      <c r="H55" s="974"/>
      <c r="I55" s="974"/>
      <c r="J55" s="975"/>
      <c r="L55" s="453"/>
      <c r="M55"/>
      <c r="N55"/>
      <c r="O55"/>
      <c r="P55"/>
      <c r="Q55"/>
    </row>
    <row r="56" spans="2:17" ht="15" thickBot="1" x14ac:dyDescent="0.35">
      <c r="B56" s="970" t="s">
        <v>311</v>
      </c>
      <c r="C56" s="971"/>
      <c r="D56" s="971"/>
      <c r="E56" s="971"/>
      <c r="F56" s="971"/>
      <c r="G56" s="971"/>
      <c r="H56" s="971"/>
      <c r="I56" s="971"/>
      <c r="J56" s="972"/>
      <c r="L56" s="454"/>
      <c r="M56"/>
      <c r="N56"/>
      <c r="O56"/>
      <c r="P56"/>
      <c r="Q56"/>
    </row>
    <row r="57" spans="2:17" x14ac:dyDescent="0.3">
      <c r="L57" s="453"/>
      <c r="M57"/>
      <c r="N57"/>
      <c r="O57"/>
      <c r="P57"/>
      <c r="Q57"/>
    </row>
    <row r="58" spans="2:17" x14ac:dyDescent="0.3">
      <c r="L58" s="453"/>
      <c r="M58"/>
      <c r="N58"/>
      <c r="O58"/>
      <c r="P58"/>
      <c r="Q58" s="37" t="s">
        <v>19</v>
      </c>
    </row>
    <row r="59" spans="2:17" x14ac:dyDescent="0.3">
      <c r="L59" s="453"/>
      <c r="M59"/>
      <c r="N59"/>
      <c r="O59"/>
      <c r="P59"/>
      <c r="Q59"/>
    </row>
    <row r="60" spans="2:17" x14ac:dyDescent="0.3">
      <c r="L60" s="453"/>
      <c r="M60" s="37" t="s">
        <v>15</v>
      </c>
      <c r="N60"/>
      <c r="O60" s="37" t="s">
        <v>20</v>
      </c>
      <c r="P60"/>
      <c r="Q60"/>
    </row>
    <row r="61" spans="2:17" x14ac:dyDescent="0.3">
      <c r="L61" s="453"/>
      <c r="M61"/>
      <c r="N61"/>
      <c r="O61"/>
      <c r="P61"/>
      <c r="Q61"/>
    </row>
    <row r="62" spans="2:17" x14ac:dyDescent="0.3">
      <c r="L62" s="453"/>
      <c r="M62"/>
      <c r="N62"/>
      <c r="O62"/>
      <c r="P62"/>
      <c r="Q62"/>
    </row>
    <row r="63" spans="2:17" x14ac:dyDescent="0.3">
      <c r="L63" s="453"/>
      <c r="M63"/>
      <c r="N63"/>
      <c r="O63"/>
      <c r="P63"/>
      <c r="Q63"/>
    </row>
    <row r="64" spans="2:17" x14ac:dyDescent="0.3">
      <c r="L64" s="453"/>
      <c r="M64"/>
      <c r="N64"/>
      <c r="O64"/>
      <c r="P64"/>
      <c r="Q64"/>
    </row>
    <row r="65" spans="12:17" x14ac:dyDescent="0.3">
      <c r="L65" s="453"/>
      <c r="M65"/>
      <c r="N65"/>
      <c r="O65"/>
      <c r="P65"/>
      <c r="Q65"/>
    </row>
    <row r="66" spans="12:17" x14ac:dyDescent="0.3">
      <c r="L66" s="453"/>
      <c r="M66"/>
      <c r="N66"/>
      <c r="O66"/>
      <c r="P66"/>
      <c r="Q66"/>
    </row>
    <row r="67" spans="12:17" x14ac:dyDescent="0.3">
      <c r="L67" s="453"/>
      <c r="M67"/>
      <c r="N67"/>
      <c r="O67"/>
      <c r="P67"/>
      <c r="Q67"/>
    </row>
    <row r="68" spans="12:17" x14ac:dyDescent="0.3">
      <c r="L68" s="453"/>
      <c r="M68"/>
      <c r="N68"/>
      <c r="O68"/>
      <c r="P68"/>
      <c r="Q68"/>
    </row>
  </sheetData>
  <mergeCells count="43">
    <mergeCell ref="B2:J2"/>
    <mergeCell ref="B4:J4"/>
    <mergeCell ref="B6:J6"/>
    <mergeCell ref="B7:J7"/>
    <mergeCell ref="B8:J8"/>
    <mergeCell ref="B9:J9"/>
    <mergeCell ref="B10:J10"/>
    <mergeCell ref="B11:J11"/>
    <mergeCell ref="B12:J12"/>
    <mergeCell ref="B15:J15"/>
    <mergeCell ref="B16:J16"/>
    <mergeCell ref="B17:J17"/>
    <mergeCell ref="B18:J18"/>
    <mergeCell ref="B20:J20"/>
    <mergeCell ref="B21:J21"/>
    <mergeCell ref="B23:J23"/>
    <mergeCell ref="B24:J24"/>
    <mergeCell ref="B25:J25"/>
    <mergeCell ref="B26:J26"/>
    <mergeCell ref="B27:J27"/>
    <mergeCell ref="B29:J29"/>
    <mergeCell ref="B30:J30"/>
    <mergeCell ref="B32:J32"/>
    <mergeCell ref="B34:J34"/>
    <mergeCell ref="B35:J35"/>
    <mergeCell ref="B36:J36"/>
    <mergeCell ref="B37:J37"/>
    <mergeCell ref="B38:J38"/>
    <mergeCell ref="B39:J39"/>
    <mergeCell ref="B40:J40"/>
    <mergeCell ref="B41:J41"/>
    <mergeCell ref="B42:J42"/>
    <mergeCell ref="B43:J43"/>
    <mergeCell ref="B44:J44"/>
    <mergeCell ref="B45:J45"/>
    <mergeCell ref="B46:J46"/>
    <mergeCell ref="B56:J56"/>
    <mergeCell ref="B48:J48"/>
    <mergeCell ref="B49:J49"/>
    <mergeCell ref="B51:J51"/>
    <mergeCell ref="B52:J52"/>
    <mergeCell ref="B53:J53"/>
    <mergeCell ref="B55:J55"/>
  </mergeCells>
  <pageMargins left="0.7" right="0.7" top="0.75" bottom="0.75" header="0.3" footer="0.3"/>
  <pageSetup paperSize="9" scale="28"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67"/>
  <sheetViews>
    <sheetView zoomScale="60" zoomScaleNormal="60" workbookViewId="0">
      <selection activeCell="H27" sqref="H27"/>
    </sheetView>
  </sheetViews>
  <sheetFormatPr defaultColWidth="17.44140625" defaultRowHeight="14.4" x14ac:dyDescent="0.3"/>
  <cols>
    <col min="1" max="1" width="13.44140625" customWidth="1"/>
    <col min="2" max="2" width="21.88671875" customWidth="1"/>
    <col min="3" max="3" width="16.109375" customWidth="1"/>
    <col min="4" max="4" width="34.88671875" customWidth="1"/>
    <col min="5" max="6" width="24.6640625" customWidth="1"/>
    <col min="7" max="7" width="31.44140625" customWidth="1"/>
    <col min="8" max="8" width="24.6640625" customWidth="1"/>
    <col min="9" max="9" width="26.88671875" customWidth="1"/>
    <col min="10" max="11" width="13.6640625" customWidth="1"/>
    <col min="12" max="12" width="12.6640625" customWidth="1"/>
    <col min="13" max="13" width="15.44140625" customWidth="1"/>
    <col min="14" max="14" width="16" customWidth="1"/>
    <col min="15" max="15" width="15.5546875" customWidth="1"/>
    <col min="16" max="16" width="17.44140625" customWidth="1"/>
    <col min="17" max="17" width="27.6640625" customWidth="1"/>
    <col min="18" max="18" width="18.88671875" customWidth="1"/>
    <col min="19" max="19" width="21" customWidth="1"/>
    <col min="20" max="20" width="31" customWidth="1"/>
    <col min="21" max="21" width="13" customWidth="1"/>
    <col min="22" max="22" width="14.44140625" customWidth="1"/>
    <col min="23" max="23" width="14.88671875" customWidth="1"/>
    <col min="24" max="24" width="26.44140625" customWidth="1"/>
    <col min="25" max="25" width="21.88671875" customWidth="1"/>
    <col min="26" max="26" width="12.33203125" customWidth="1"/>
    <col min="27" max="27" width="13.109375" customWidth="1"/>
    <col min="28" max="28" width="14.88671875" customWidth="1"/>
    <col min="29" max="29" width="13.88671875" customWidth="1"/>
    <col min="30" max="30" width="19.33203125" customWidth="1"/>
    <col min="31" max="31" width="17.44140625" customWidth="1"/>
    <col min="32" max="32" width="16.88671875" customWidth="1"/>
    <col min="33" max="37" width="19.6640625" customWidth="1"/>
    <col min="38" max="38" width="13.33203125" customWidth="1"/>
    <col min="39" max="39" width="12.44140625" customWidth="1"/>
    <col min="40" max="40" width="13.109375" customWidth="1"/>
    <col min="41" max="41" width="12.6640625" customWidth="1"/>
    <col min="42" max="42" width="12.44140625" customWidth="1"/>
    <col min="43" max="43" width="13.6640625" customWidth="1"/>
    <col min="44" max="44" width="12.33203125" customWidth="1"/>
    <col min="45" max="45" width="13.88671875" customWidth="1"/>
    <col min="46" max="46" width="13.33203125" bestFit="1" customWidth="1"/>
    <col min="47" max="47" width="13.88671875" customWidth="1"/>
    <col min="48" max="48" width="13.33203125" bestFit="1" customWidth="1"/>
    <col min="49" max="49" width="12.33203125" customWidth="1"/>
    <col min="50" max="50" width="14.5546875" customWidth="1"/>
    <col min="51" max="51" width="10.33203125" customWidth="1"/>
    <col min="52" max="52" width="11.33203125" customWidth="1"/>
    <col min="53" max="53" width="12.44140625" customWidth="1"/>
    <col min="54" max="54" width="14.5546875" customWidth="1"/>
    <col min="55" max="55" width="14.88671875" customWidth="1"/>
    <col min="56" max="56" width="74" customWidth="1"/>
    <col min="57" max="57" width="24" customWidth="1"/>
    <col min="58" max="58" width="19.6640625" customWidth="1"/>
    <col min="59" max="59" width="22.88671875" customWidth="1"/>
    <col min="60" max="61" width="14.88671875" customWidth="1"/>
    <col min="62" max="62" width="22.44140625" customWidth="1"/>
    <col min="63" max="63" width="18" customWidth="1"/>
    <col min="64" max="64" width="11.6640625" customWidth="1"/>
    <col min="65" max="65" width="15.109375" customWidth="1"/>
    <col min="66" max="69" width="9.109375" customWidth="1"/>
    <col min="70" max="70" width="19.88671875" customWidth="1"/>
    <col min="71" max="222" width="9.109375" customWidth="1"/>
    <col min="223" max="223" width="2" customWidth="1"/>
    <col min="224" max="224" width="21.88671875" customWidth="1"/>
    <col min="225" max="225" width="16.109375" customWidth="1"/>
    <col min="226" max="226" width="34.88671875" customWidth="1"/>
    <col min="227" max="228" width="24.6640625" customWidth="1"/>
    <col min="229" max="229" width="31.44140625" customWidth="1"/>
    <col min="230" max="230" width="24.6640625" customWidth="1"/>
    <col min="231" max="231" width="26.88671875" customWidth="1"/>
    <col min="232" max="234" width="13.6640625" customWidth="1"/>
    <col min="235" max="235" width="12.6640625" customWidth="1"/>
    <col min="236" max="236" width="15.44140625" customWidth="1"/>
    <col min="237" max="237" width="16" customWidth="1"/>
    <col min="238" max="238" width="15.5546875" customWidth="1"/>
  </cols>
  <sheetData>
    <row r="1" spans="1:59" ht="43.5" customHeight="1" x14ac:dyDescent="0.6">
      <c r="B1" s="43" t="s">
        <v>23</v>
      </c>
    </row>
    <row r="2" spans="1:59" ht="15" thickBot="1" x14ac:dyDescent="0.35">
      <c r="B2" s="44" t="s">
        <v>24</v>
      </c>
      <c r="AL2" s="45" t="s">
        <v>25</v>
      </c>
    </row>
    <row r="3" spans="1:59" ht="16.2" thickBot="1" x14ac:dyDescent="0.35">
      <c r="B3" s="46"/>
      <c r="C3" s="1034" t="s">
        <v>26</v>
      </c>
      <c r="D3" s="1034"/>
      <c r="E3" s="1034"/>
      <c r="F3" s="1034" t="s">
        <v>27</v>
      </c>
      <c r="G3" s="1034"/>
      <c r="H3" s="1034"/>
      <c r="I3" s="46"/>
      <c r="J3" s="47"/>
      <c r="K3" s="47"/>
      <c r="L3" s="46"/>
      <c r="M3" s="46"/>
      <c r="N3" s="46"/>
      <c r="O3" s="46"/>
      <c r="P3" s="46"/>
      <c r="Q3" s="46"/>
      <c r="R3" s="46"/>
      <c r="S3" s="46"/>
      <c r="T3" s="46"/>
      <c r="U3" s="46"/>
      <c r="V3" s="46"/>
      <c r="W3" s="46"/>
      <c r="X3" s="46"/>
      <c r="Y3" s="46"/>
      <c r="Z3" s="46"/>
      <c r="AA3" s="46" t="s">
        <v>419</v>
      </c>
      <c r="AB3" s="46"/>
      <c r="AC3" s="46"/>
      <c r="AD3" s="46"/>
      <c r="AE3" s="46"/>
      <c r="AF3" s="46"/>
      <c r="AG3" s="46"/>
      <c r="AH3" s="46"/>
      <c r="AI3" s="46"/>
      <c r="AJ3" s="46"/>
      <c r="AK3" s="46"/>
      <c r="AL3" s="1019" t="s">
        <v>28</v>
      </c>
      <c r="AM3" s="1020"/>
      <c r="AN3" s="1020"/>
      <c r="AO3" s="1020"/>
      <c r="AP3" s="1020"/>
      <c r="AQ3" s="1020"/>
      <c r="AR3" s="1020"/>
      <c r="AS3" s="1020"/>
      <c r="AT3" s="1020"/>
      <c r="AU3" s="1020"/>
      <c r="AV3" s="1020"/>
      <c r="AW3" s="1020"/>
      <c r="AX3" s="1020"/>
      <c r="AY3" s="1020"/>
      <c r="AZ3" s="1020"/>
      <c r="BA3" s="1020"/>
      <c r="BB3" s="1020"/>
      <c r="BC3" s="1021"/>
    </row>
    <row r="4" spans="1:59" s="25" customFormat="1" ht="108.75" customHeight="1" thickBot="1" x14ac:dyDescent="0.35">
      <c r="B4" s="48" t="s">
        <v>29</v>
      </c>
      <c r="C4" s="49" t="s">
        <v>30</v>
      </c>
      <c r="D4" s="49" t="s">
        <v>31</v>
      </c>
      <c r="E4" s="50" t="s">
        <v>32</v>
      </c>
      <c r="F4" s="51" t="s">
        <v>33</v>
      </c>
      <c r="G4" s="51" t="s">
        <v>34</v>
      </c>
      <c r="H4" s="52" t="s">
        <v>35</v>
      </c>
      <c r="I4" s="53" t="s">
        <v>36</v>
      </c>
      <c r="J4" s="54" t="s">
        <v>37</v>
      </c>
      <c r="K4" s="54" t="s">
        <v>38</v>
      </c>
      <c r="L4" s="53" t="s">
        <v>39</v>
      </c>
      <c r="M4" s="48" t="s">
        <v>40</v>
      </c>
      <c r="N4" s="48" t="s">
        <v>41</v>
      </c>
      <c r="O4" s="48" t="s">
        <v>42</v>
      </c>
      <c r="P4" s="48" t="s">
        <v>43</v>
      </c>
      <c r="Q4" s="48" t="s">
        <v>44</v>
      </c>
      <c r="R4" s="48" t="s">
        <v>45</v>
      </c>
      <c r="S4" s="48" t="s">
        <v>46</v>
      </c>
      <c r="T4" s="48" t="s">
        <v>47</v>
      </c>
      <c r="U4" s="48" t="s">
        <v>48</v>
      </c>
      <c r="V4" s="48" t="s">
        <v>49</v>
      </c>
      <c r="W4" s="48" t="s">
        <v>50</v>
      </c>
      <c r="X4" s="48" t="s">
        <v>51</v>
      </c>
      <c r="Y4" s="48" t="s">
        <v>52</v>
      </c>
      <c r="Z4" s="48" t="s">
        <v>53</v>
      </c>
      <c r="AA4" s="48" t="s">
        <v>54</v>
      </c>
      <c r="AB4" s="48" t="s">
        <v>55</v>
      </c>
      <c r="AC4" s="48" t="s">
        <v>56</v>
      </c>
      <c r="AD4" s="48" t="s">
        <v>57</v>
      </c>
      <c r="AE4" s="367" t="s">
        <v>58</v>
      </c>
      <c r="AF4" s="55" t="s">
        <v>59</v>
      </c>
      <c r="AG4" s="56" t="s">
        <v>60</v>
      </c>
      <c r="AH4" s="57" t="s">
        <v>61</v>
      </c>
      <c r="AI4" s="56" t="s">
        <v>62</v>
      </c>
      <c r="AJ4" s="57" t="s">
        <v>63</v>
      </c>
      <c r="AK4" s="56" t="s">
        <v>64</v>
      </c>
      <c r="AL4" s="58" t="s">
        <v>68</v>
      </c>
      <c r="AM4" s="59" t="s">
        <v>69</v>
      </c>
      <c r="AN4" s="60" t="s">
        <v>70</v>
      </c>
      <c r="AO4" s="61" t="s">
        <v>71</v>
      </c>
      <c r="AP4" s="62" t="s">
        <v>72</v>
      </c>
      <c r="AQ4" s="58" t="s">
        <v>73</v>
      </c>
      <c r="AR4" s="59" t="s">
        <v>74</v>
      </c>
      <c r="AS4" s="60" t="s">
        <v>75</v>
      </c>
      <c r="AT4" s="61" t="s">
        <v>76</v>
      </c>
      <c r="AU4" s="58" t="s">
        <v>73</v>
      </c>
      <c r="AV4" s="59" t="s">
        <v>74</v>
      </c>
      <c r="AW4" s="60" t="s">
        <v>75</v>
      </c>
      <c r="AX4" s="61" t="s">
        <v>77</v>
      </c>
      <c r="AY4" s="516" t="s">
        <v>78</v>
      </c>
      <c r="AZ4" s="63" t="s">
        <v>79</v>
      </c>
      <c r="BA4" s="63" t="s">
        <v>80</v>
      </c>
      <c r="BB4" s="64" t="s">
        <v>81</v>
      </c>
      <c r="BC4" s="62" t="s">
        <v>82</v>
      </c>
      <c r="BD4" s="517" t="s">
        <v>260</v>
      </c>
      <c r="BE4" s="356" t="s">
        <v>65</v>
      </c>
      <c r="BF4" s="356" t="s">
        <v>66</v>
      </c>
      <c r="BG4" s="357" t="s">
        <v>67</v>
      </c>
    </row>
    <row r="5" spans="1:59" s="25" customFormat="1" ht="81.75" customHeight="1" x14ac:dyDescent="0.3">
      <c r="A5" s="25" t="s">
        <v>417</v>
      </c>
      <c r="B5" s="1035" t="s">
        <v>325</v>
      </c>
      <c r="C5" s="485" t="s">
        <v>326</v>
      </c>
      <c r="D5" s="486" t="s">
        <v>326</v>
      </c>
      <c r="E5" s="487" t="s">
        <v>326</v>
      </c>
      <c r="F5" s="485" t="s">
        <v>327</v>
      </c>
      <c r="G5" s="488" t="s">
        <v>88</v>
      </c>
      <c r="H5" s="489" t="s">
        <v>328</v>
      </c>
      <c r="I5" s="494" t="s">
        <v>90</v>
      </c>
      <c r="J5" s="496" t="s">
        <v>331</v>
      </c>
      <c r="K5" s="496" t="s">
        <v>332</v>
      </c>
      <c r="L5" s="497">
        <v>4.4999999999999998E-2</v>
      </c>
      <c r="M5" s="498">
        <v>2.6999999999999996E-2</v>
      </c>
      <c r="N5" s="498">
        <v>1.7999999999999999E-2</v>
      </c>
      <c r="O5" s="499">
        <v>0</v>
      </c>
      <c r="P5" s="499">
        <v>2.5000000000000001E-2</v>
      </c>
      <c r="Q5" s="498" t="s">
        <v>93</v>
      </c>
      <c r="R5" s="868">
        <v>0.43</v>
      </c>
      <c r="S5" s="543">
        <v>0.15</v>
      </c>
      <c r="T5" s="505" t="s">
        <v>335</v>
      </c>
      <c r="U5" s="506" t="s">
        <v>245</v>
      </c>
      <c r="V5" s="369" t="s">
        <v>96</v>
      </c>
      <c r="W5" s="507" t="s">
        <v>97</v>
      </c>
      <c r="X5" s="511" t="s">
        <v>98</v>
      </c>
      <c r="Y5" s="511" t="s">
        <v>337</v>
      </c>
      <c r="Z5" s="864">
        <v>18</v>
      </c>
      <c r="AA5" s="864" t="s">
        <v>338</v>
      </c>
      <c r="AB5" s="864" t="s">
        <v>339</v>
      </c>
      <c r="AC5" s="866">
        <v>100000</v>
      </c>
      <c r="AD5" s="511" t="s">
        <v>100</v>
      </c>
      <c r="AE5" s="700">
        <v>25</v>
      </c>
      <c r="AF5" s="700">
        <v>25</v>
      </c>
      <c r="AG5" s="708">
        <v>50</v>
      </c>
      <c r="AH5" s="701">
        <v>7.5</v>
      </c>
      <c r="AI5" s="702">
        <v>17.5</v>
      </c>
      <c r="AJ5" s="703">
        <v>7.5</v>
      </c>
      <c r="AK5" s="700">
        <v>17.5</v>
      </c>
      <c r="AL5" s="712">
        <v>1.6469999999999999E-2</v>
      </c>
      <c r="AM5" s="713">
        <v>1.0529999999999999E-2</v>
      </c>
      <c r="AN5" s="714">
        <v>0</v>
      </c>
      <c r="AO5" s="715">
        <v>2.6999999999999996E-2</v>
      </c>
      <c r="AP5" s="716">
        <v>2.6999999999999996E-2</v>
      </c>
      <c r="AQ5" s="717">
        <v>0</v>
      </c>
      <c r="AR5" s="718">
        <v>1.7560975609756096E-2</v>
      </c>
      <c r="AS5" s="719">
        <v>0</v>
      </c>
      <c r="AT5" s="715">
        <v>1.7560975609756096E-2</v>
      </c>
      <c r="AU5" s="717">
        <v>0</v>
      </c>
      <c r="AV5" s="718">
        <v>1.7560975609756096E-2</v>
      </c>
      <c r="AW5" s="719">
        <v>0</v>
      </c>
      <c r="AX5" s="715">
        <v>1.7560975609756096E-2</v>
      </c>
      <c r="AY5" s="720">
        <v>0</v>
      </c>
      <c r="AZ5" s="720">
        <v>1.7999999999999999E-2</v>
      </c>
      <c r="BA5" s="720">
        <v>0</v>
      </c>
      <c r="BB5" s="721">
        <v>1.7999999999999999E-2</v>
      </c>
      <c r="BC5" s="722">
        <v>4.4999999999999991E-2</v>
      </c>
      <c r="BD5" s="520" t="s">
        <v>341</v>
      </c>
      <c r="BE5" s="522">
        <v>8.4999999999999992E-2</v>
      </c>
      <c r="BF5" s="518">
        <v>1.7999999999999999E-2</v>
      </c>
      <c r="BG5" s="518">
        <v>6.699999999999999E-2</v>
      </c>
    </row>
    <row r="6" spans="1:59" s="25" customFormat="1" ht="80.25" customHeight="1" thickBot="1" x14ac:dyDescent="0.35">
      <c r="A6" s="25" t="s">
        <v>417</v>
      </c>
      <c r="B6" s="1036"/>
      <c r="C6" s="490" t="s">
        <v>326</v>
      </c>
      <c r="D6" s="491" t="s">
        <v>326</v>
      </c>
      <c r="E6" s="492" t="s">
        <v>326</v>
      </c>
      <c r="F6" s="490" t="s">
        <v>329</v>
      </c>
      <c r="G6" s="491" t="s">
        <v>88</v>
      </c>
      <c r="H6" s="493" t="s">
        <v>330</v>
      </c>
      <c r="I6" s="495" t="s">
        <v>106</v>
      </c>
      <c r="J6" s="500" t="s">
        <v>333</v>
      </c>
      <c r="K6" s="500" t="s">
        <v>334</v>
      </c>
      <c r="L6" s="501">
        <v>4.4999999999999998E-2</v>
      </c>
      <c r="M6" s="502">
        <v>2.988E-2</v>
      </c>
      <c r="N6" s="502">
        <v>1.5120000000000003E-2</v>
      </c>
      <c r="O6" s="503">
        <v>0</v>
      </c>
      <c r="P6" s="504">
        <v>2.5000000000000001E-2</v>
      </c>
      <c r="Q6" s="502" t="s">
        <v>93</v>
      </c>
      <c r="R6" s="869">
        <v>0.43</v>
      </c>
      <c r="S6" s="544">
        <v>0.15</v>
      </c>
      <c r="T6" s="508" t="s">
        <v>336</v>
      </c>
      <c r="U6" s="509" t="s">
        <v>245</v>
      </c>
      <c r="V6" s="386" t="s">
        <v>96</v>
      </c>
      <c r="W6" s="510" t="s">
        <v>97</v>
      </c>
      <c r="X6" s="513" t="s">
        <v>98</v>
      </c>
      <c r="Y6" s="513" t="s">
        <v>340</v>
      </c>
      <c r="Z6" s="865">
        <v>18</v>
      </c>
      <c r="AA6" s="865" t="s">
        <v>338</v>
      </c>
      <c r="AB6" s="865" t="s">
        <v>339</v>
      </c>
      <c r="AC6" s="867">
        <v>100000</v>
      </c>
      <c r="AD6" s="513" t="s">
        <v>111</v>
      </c>
      <c r="AE6" s="704">
        <v>25</v>
      </c>
      <c r="AF6" s="704">
        <v>25</v>
      </c>
      <c r="AG6" s="709">
        <v>50</v>
      </c>
      <c r="AH6" s="705">
        <v>7.5</v>
      </c>
      <c r="AI6" s="706">
        <v>17.5</v>
      </c>
      <c r="AJ6" s="707">
        <v>7.5</v>
      </c>
      <c r="AK6" s="704">
        <v>17.5</v>
      </c>
      <c r="AL6" s="723">
        <v>1.7330399999999999E-2</v>
      </c>
      <c r="AM6" s="724">
        <v>9.8604000000000018E-3</v>
      </c>
      <c r="AN6" s="725">
        <v>2.6892000000000001E-3</v>
      </c>
      <c r="AO6" s="726">
        <v>2.988E-2</v>
      </c>
      <c r="AP6" s="722">
        <v>2.988E-2</v>
      </c>
      <c r="AQ6" s="727">
        <v>1.4751219512195126E-2</v>
      </c>
      <c r="AR6" s="728">
        <v>0</v>
      </c>
      <c r="AS6" s="729">
        <v>0</v>
      </c>
      <c r="AT6" s="726">
        <v>1.4751219512195126E-2</v>
      </c>
      <c r="AU6" s="727">
        <v>1.4751219512195126E-2</v>
      </c>
      <c r="AV6" s="728">
        <v>0</v>
      </c>
      <c r="AW6" s="729">
        <v>0</v>
      </c>
      <c r="AX6" s="726">
        <v>1.4751219512195126E-2</v>
      </c>
      <c r="AY6" s="730">
        <v>1.5120000000000003E-2</v>
      </c>
      <c r="AZ6" s="731">
        <v>0</v>
      </c>
      <c r="BA6" s="731">
        <v>0</v>
      </c>
      <c r="BB6" s="732">
        <v>1.5120000000000003E-2</v>
      </c>
      <c r="BC6" s="733">
        <v>4.5000000000000005E-2</v>
      </c>
      <c r="BD6" s="521" t="s">
        <v>342</v>
      </c>
      <c r="BE6" s="523">
        <v>8.4999999999999992E-2</v>
      </c>
      <c r="BF6" s="519">
        <v>1.7999999999999999E-2</v>
      </c>
      <c r="BG6" s="519">
        <v>6.699999999999999E-2</v>
      </c>
    </row>
    <row r="7" spans="1:59" s="65" customFormat="1" ht="60" customHeight="1" x14ac:dyDescent="0.3">
      <c r="A7" s="65" t="s">
        <v>417</v>
      </c>
      <c r="B7" s="1022" t="s">
        <v>83</v>
      </c>
      <c r="C7" s="66" t="s">
        <v>84</v>
      </c>
      <c r="D7" s="67" t="s">
        <v>85</v>
      </c>
      <c r="E7" s="524" t="s">
        <v>86</v>
      </c>
      <c r="F7" s="68" t="s">
        <v>87</v>
      </c>
      <c r="G7" s="69" t="s">
        <v>88</v>
      </c>
      <c r="H7" s="524" t="s">
        <v>89</v>
      </c>
      <c r="I7" s="70" t="s">
        <v>90</v>
      </c>
      <c r="J7" s="71" t="s">
        <v>91</v>
      </c>
      <c r="K7" s="71" t="s">
        <v>92</v>
      </c>
      <c r="L7" s="72">
        <v>4.4999999999999998E-2</v>
      </c>
      <c r="M7" s="73">
        <v>2.6999999999999996E-2</v>
      </c>
      <c r="N7" s="73">
        <v>1.7999999999999999E-2</v>
      </c>
      <c r="O7" s="74">
        <v>0</v>
      </c>
      <c r="P7" s="74">
        <v>2.5000000000000001E-2</v>
      </c>
      <c r="Q7" s="73" t="s">
        <v>93</v>
      </c>
      <c r="R7" s="870">
        <v>0.43</v>
      </c>
      <c r="S7" s="72">
        <v>0.15</v>
      </c>
      <c r="T7" s="75" t="s">
        <v>94</v>
      </c>
      <c r="U7" s="76" t="s">
        <v>95</v>
      </c>
      <c r="V7" s="368" t="s">
        <v>96</v>
      </c>
      <c r="W7" s="77" t="s">
        <v>97</v>
      </c>
      <c r="X7" s="78" t="s">
        <v>98</v>
      </c>
      <c r="Y7" s="78" t="s">
        <v>99</v>
      </c>
      <c r="Z7" s="77">
        <v>18</v>
      </c>
      <c r="AA7" s="77">
        <v>65</v>
      </c>
      <c r="AB7" s="77">
        <v>70</v>
      </c>
      <c r="AC7" s="79">
        <v>100000</v>
      </c>
      <c r="AD7" s="77" t="s">
        <v>100</v>
      </c>
      <c r="AE7" s="81">
        <v>25</v>
      </c>
      <c r="AF7" s="82">
        <v>25</v>
      </c>
      <c r="AG7" s="83">
        <v>50</v>
      </c>
      <c r="AH7" s="84">
        <v>7.5</v>
      </c>
      <c r="AI7" s="85">
        <v>17.5</v>
      </c>
      <c r="AJ7" s="84">
        <v>7.5</v>
      </c>
      <c r="AK7" s="86">
        <v>17.5</v>
      </c>
      <c r="AL7" s="717">
        <v>1.6469999999999999E-2</v>
      </c>
      <c r="AM7" s="718">
        <v>1.0529999999999999E-2</v>
      </c>
      <c r="AN7" s="719">
        <v>0</v>
      </c>
      <c r="AO7" s="715">
        <v>2.6999999999999996E-2</v>
      </c>
      <c r="AP7" s="716">
        <v>2.6999999999999996E-2</v>
      </c>
      <c r="AQ7" s="717">
        <v>0</v>
      </c>
      <c r="AR7" s="718">
        <v>1.7560975609756096E-2</v>
      </c>
      <c r="AS7" s="719">
        <v>0</v>
      </c>
      <c r="AT7" s="715">
        <v>1.7560975609756096E-2</v>
      </c>
      <c r="AU7" s="717">
        <v>0</v>
      </c>
      <c r="AV7" s="718">
        <v>1.7560975609756096E-2</v>
      </c>
      <c r="AW7" s="719">
        <v>0</v>
      </c>
      <c r="AX7" s="715">
        <v>1.7560975609756096E-2</v>
      </c>
      <c r="AY7" s="720">
        <v>0</v>
      </c>
      <c r="AZ7" s="720">
        <v>1.7999999999999999E-2</v>
      </c>
      <c r="BA7" s="720">
        <v>0</v>
      </c>
      <c r="BB7" s="721">
        <v>1.7999999999999999E-2</v>
      </c>
      <c r="BC7" s="722">
        <v>4.4999999999999991E-2</v>
      </c>
      <c r="BD7" s="515" t="str">
        <f t="shared" ref="BD7:BD26" si="0">CONCATENATE(G7," , (",I7,")")</f>
        <v>PERSONAL LOAN CPI 4.5% , (Private Sector Employees)</v>
      </c>
      <c r="BE7" s="87">
        <v>8.4999999999999992E-2</v>
      </c>
      <c r="BF7" s="80">
        <v>1.7999999999999999E-2</v>
      </c>
      <c r="BG7" s="88">
        <v>6.699999999999999E-2</v>
      </c>
    </row>
    <row r="8" spans="1:59" s="65" customFormat="1" ht="60" customHeight="1" x14ac:dyDescent="0.3">
      <c r="A8" s="65" t="s">
        <v>417</v>
      </c>
      <c r="B8" s="1023"/>
      <c r="C8" s="89" t="s">
        <v>101</v>
      </c>
      <c r="D8" s="90" t="s">
        <v>102</v>
      </c>
      <c r="E8" s="525" t="s">
        <v>103</v>
      </c>
      <c r="F8" s="91" t="s">
        <v>104</v>
      </c>
      <c r="G8" s="92" t="s">
        <v>88</v>
      </c>
      <c r="H8" s="525" t="s">
        <v>105</v>
      </c>
      <c r="I8" s="93" t="s">
        <v>106</v>
      </c>
      <c r="J8" s="94" t="s">
        <v>107</v>
      </c>
      <c r="K8" s="94" t="s">
        <v>108</v>
      </c>
      <c r="L8" s="95">
        <v>4.4999999999999998E-2</v>
      </c>
      <c r="M8" s="96">
        <v>2.988E-2</v>
      </c>
      <c r="N8" s="96">
        <v>1.5120000000000003E-2</v>
      </c>
      <c r="O8" s="97">
        <v>0</v>
      </c>
      <c r="P8" s="98">
        <v>2.5000000000000001E-2</v>
      </c>
      <c r="Q8" s="96" t="s">
        <v>93</v>
      </c>
      <c r="R8" s="871">
        <v>0.43</v>
      </c>
      <c r="S8" s="95">
        <v>0.15</v>
      </c>
      <c r="T8" s="99" t="s">
        <v>109</v>
      </c>
      <c r="U8" s="100" t="s">
        <v>95</v>
      </c>
      <c r="V8" s="369" t="s">
        <v>96</v>
      </c>
      <c r="W8" s="101" t="s">
        <v>97</v>
      </c>
      <c r="X8" s="102" t="s">
        <v>98</v>
      </c>
      <c r="Y8" s="102" t="s">
        <v>110</v>
      </c>
      <c r="Z8" s="101">
        <v>18</v>
      </c>
      <c r="AA8" s="101">
        <v>65</v>
      </c>
      <c r="AB8" s="101">
        <v>70</v>
      </c>
      <c r="AC8" s="103">
        <v>100000</v>
      </c>
      <c r="AD8" s="101" t="s">
        <v>111</v>
      </c>
      <c r="AE8" s="105">
        <v>25</v>
      </c>
      <c r="AF8" s="106">
        <v>25</v>
      </c>
      <c r="AG8" s="107">
        <v>50</v>
      </c>
      <c r="AH8" s="108">
        <v>7.5</v>
      </c>
      <c r="AI8" s="109">
        <v>17.5</v>
      </c>
      <c r="AJ8" s="108">
        <v>7.5</v>
      </c>
      <c r="AK8" s="109">
        <v>17.5</v>
      </c>
      <c r="AL8" s="727">
        <v>1.7330399999999999E-2</v>
      </c>
      <c r="AM8" s="728">
        <v>9.8604000000000018E-3</v>
      </c>
      <c r="AN8" s="729">
        <v>2.6892000000000001E-3</v>
      </c>
      <c r="AO8" s="726">
        <v>2.988E-2</v>
      </c>
      <c r="AP8" s="722">
        <v>2.988E-2</v>
      </c>
      <c r="AQ8" s="727">
        <v>1.4751219512195126E-2</v>
      </c>
      <c r="AR8" s="728">
        <v>0</v>
      </c>
      <c r="AS8" s="729">
        <v>0</v>
      </c>
      <c r="AT8" s="726">
        <v>1.4751219512195126E-2</v>
      </c>
      <c r="AU8" s="727">
        <v>1.4751219512195126E-2</v>
      </c>
      <c r="AV8" s="728">
        <v>0</v>
      </c>
      <c r="AW8" s="729">
        <v>0</v>
      </c>
      <c r="AX8" s="726">
        <v>1.4751219512195126E-2</v>
      </c>
      <c r="AY8" s="720">
        <v>1.5120000000000003E-2</v>
      </c>
      <c r="AZ8" s="720">
        <v>0</v>
      </c>
      <c r="BA8" s="720">
        <v>0</v>
      </c>
      <c r="BB8" s="721">
        <v>1.5120000000000003E-2</v>
      </c>
      <c r="BC8" s="722">
        <v>4.5000000000000005E-2</v>
      </c>
      <c r="BD8" s="355" t="str">
        <f t="shared" si="0"/>
        <v>PERSONAL LOAN CPI 4.5% , (Public Sector/Self Employed/Non-Workers)</v>
      </c>
      <c r="BE8" s="110">
        <v>8.4999999999999992E-2</v>
      </c>
      <c r="BF8" s="104">
        <v>1.7999999999999999E-2</v>
      </c>
      <c r="BG8" s="111">
        <v>6.699999999999999E-2</v>
      </c>
    </row>
    <row r="9" spans="1:59" ht="60" customHeight="1" x14ac:dyDescent="0.3">
      <c r="A9" t="s">
        <v>417</v>
      </c>
      <c r="B9" s="1023"/>
      <c r="C9" s="112" t="s">
        <v>112</v>
      </c>
      <c r="D9" s="113" t="s">
        <v>113</v>
      </c>
      <c r="E9" s="526" t="s">
        <v>114</v>
      </c>
      <c r="F9" s="114" t="s">
        <v>115</v>
      </c>
      <c r="G9" s="115" t="s">
        <v>116</v>
      </c>
      <c r="H9" s="526" t="s">
        <v>117</v>
      </c>
      <c r="I9" s="116" t="s">
        <v>90</v>
      </c>
      <c r="J9" s="117" t="s">
        <v>91</v>
      </c>
      <c r="K9" s="117" t="s">
        <v>92</v>
      </c>
      <c r="L9" s="118">
        <v>0.06</v>
      </c>
      <c r="M9" s="119">
        <v>3.5999999999999997E-2</v>
      </c>
      <c r="N9" s="119">
        <v>2.3999999999999997E-2</v>
      </c>
      <c r="O9" s="120">
        <v>0</v>
      </c>
      <c r="P9" s="121">
        <v>2.5000000000000001E-2</v>
      </c>
      <c r="Q9" s="119" t="s">
        <v>93</v>
      </c>
      <c r="R9" s="872">
        <v>0.43</v>
      </c>
      <c r="S9" s="118">
        <v>0.15</v>
      </c>
      <c r="T9" s="122" t="s">
        <v>109</v>
      </c>
      <c r="U9" s="123" t="s">
        <v>118</v>
      </c>
      <c r="V9" s="369" t="s">
        <v>96</v>
      </c>
      <c r="W9" s="124" t="s">
        <v>97</v>
      </c>
      <c r="X9" s="125" t="s">
        <v>98</v>
      </c>
      <c r="Y9" s="125" t="s">
        <v>99</v>
      </c>
      <c r="Z9" s="126">
        <v>18</v>
      </c>
      <c r="AA9" s="126">
        <v>65</v>
      </c>
      <c r="AB9" s="126">
        <v>70</v>
      </c>
      <c r="AC9" s="127">
        <v>100000</v>
      </c>
      <c r="AD9" s="124" t="s">
        <v>100</v>
      </c>
      <c r="AE9" s="734">
        <v>25</v>
      </c>
      <c r="AF9" s="735">
        <v>25</v>
      </c>
      <c r="AG9" s="736">
        <v>50</v>
      </c>
      <c r="AH9" s="737">
        <v>7.5</v>
      </c>
      <c r="AI9" s="738">
        <v>17.5</v>
      </c>
      <c r="AJ9" s="737">
        <v>7.5</v>
      </c>
      <c r="AK9" s="738">
        <v>17.5</v>
      </c>
      <c r="AL9" s="727">
        <v>2.1959999999999997E-2</v>
      </c>
      <c r="AM9" s="728">
        <v>1.4039999999999999E-2</v>
      </c>
      <c r="AN9" s="729">
        <v>0</v>
      </c>
      <c r="AO9" s="726">
        <v>3.5999999999999997E-2</v>
      </c>
      <c r="AP9" s="722">
        <v>3.5999999999999997E-2</v>
      </c>
      <c r="AQ9" s="727">
        <v>0</v>
      </c>
      <c r="AR9" s="728">
        <v>2.3414634146341463E-2</v>
      </c>
      <c r="AS9" s="729">
        <v>0</v>
      </c>
      <c r="AT9" s="726">
        <v>2.3414634146341463E-2</v>
      </c>
      <c r="AU9" s="727">
        <v>0</v>
      </c>
      <c r="AV9" s="728">
        <v>2.3414634146341463E-2</v>
      </c>
      <c r="AW9" s="729">
        <v>0</v>
      </c>
      <c r="AX9" s="726">
        <v>2.3414634146341463E-2</v>
      </c>
      <c r="AY9" s="720">
        <v>0</v>
      </c>
      <c r="AZ9" s="720">
        <v>2.3999999999999997E-2</v>
      </c>
      <c r="BA9" s="720">
        <v>0</v>
      </c>
      <c r="BB9" s="721">
        <v>2.3999999999999997E-2</v>
      </c>
      <c r="BC9" s="722">
        <v>0.06</v>
      </c>
      <c r="BD9" s="515" t="str">
        <f t="shared" si="0"/>
        <v>PERSONAL LOAN CPI 6.0% , (Private Sector Employees)</v>
      </c>
      <c r="BE9" s="739">
        <v>7.3700000000000002E-2</v>
      </c>
      <c r="BF9" s="573">
        <v>1.7999999999999999E-2</v>
      </c>
      <c r="BG9" s="740">
        <v>5.5700000000000006E-2</v>
      </c>
    </row>
    <row r="10" spans="1:59" ht="60" customHeight="1" x14ac:dyDescent="0.3">
      <c r="A10" t="s">
        <v>417</v>
      </c>
      <c r="B10" s="1023"/>
      <c r="C10" s="89" t="s">
        <v>119</v>
      </c>
      <c r="D10" s="128" t="s">
        <v>120</v>
      </c>
      <c r="E10" s="527" t="s">
        <v>121</v>
      </c>
      <c r="F10" s="129" t="s">
        <v>122</v>
      </c>
      <c r="G10" s="130" t="s">
        <v>116</v>
      </c>
      <c r="H10" s="527" t="s">
        <v>123</v>
      </c>
      <c r="I10" s="131" t="s">
        <v>106</v>
      </c>
      <c r="J10" s="94" t="s">
        <v>107</v>
      </c>
      <c r="K10" s="94" t="s">
        <v>108</v>
      </c>
      <c r="L10" s="132">
        <v>0.06</v>
      </c>
      <c r="M10" s="133">
        <v>3.984E-2</v>
      </c>
      <c r="N10" s="133">
        <v>2.0160000000000001E-2</v>
      </c>
      <c r="O10" s="134">
        <v>0</v>
      </c>
      <c r="P10" s="135">
        <v>2.5000000000000001E-2</v>
      </c>
      <c r="Q10" s="133" t="s">
        <v>93</v>
      </c>
      <c r="R10" s="873">
        <v>0.43</v>
      </c>
      <c r="S10" s="132">
        <v>0.15</v>
      </c>
      <c r="T10" s="136" t="s">
        <v>109</v>
      </c>
      <c r="U10" s="137" t="s">
        <v>118</v>
      </c>
      <c r="V10" s="369" t="s">
        <v>96</v>
      </c>
      <c r="W10" s="101" t="s">
        <v>97</v>
      </c>
      <c r="X10" s="102" t="s">
        <v>98</v>
      </c>
      <c r="Y10" s="102" t="s">
        <v>110</v>
      </c>
      <c r="Z10" s="138">
        <v>18</v>
      </c>
      <c r="AA10" s="138">
        <v>65</v>
      </c>
      <c r="AB10" s="138">
        <v>70</v>
      </c>
      <c r="AC10" s="139">
        <v>100000</v>
      </c>
      <c r="AD10" s="101" t="s">
        <v>111</v>
      </c>
      <c r="AE10" s="105">
        <v>25</v>
      </c>
      <c r="AF10" s="106">
        <v>25</v>
      </c>
      <c r="AG10" s="107">
        <v>50</v>
      </c>
      <c r="AH10" s="108">
        <v>7.5</v>
      </c>
      <c r="AI10" s="109">
        <v>17.5</v>
      </c>
      <c r="AJ10" s="108">
        <v>7.5</v>
      </c>
      <c r="AK10" s="109">
        <v>17.5</v>
      </c>
      <c r="AL10" s="727">
        <v>2.3107199999999998E-2</v>
      </c>
      <c r="AM10" s="728">
        <v>1.3147200000000001E-2</v>
      </c>
      <c r="AN10" s="729">
        <v>3.5856E-3</v>
      </c>
      <c r="AO10" s="726">
        <v>3.984E-2</v>
      </c>
      <c r="AP10" s="722">
        <v>3.984E-2</v>
      </c>
      <c r="AQ10" s="727">
        <v>1.966829268292683E-2</v>
      </c>
      <c r="AR10" s="728">
        <v>0</v>
      </c>
      <c r="AS10" s="729">
        <v>0</v>
      </c>
      <c r="AT10" s="726">
        <v>1.966829268292683E-2</v>
      </c>
      <c r="AU10" s="727">
        <v>1.966829268292683E-2</v>
      </c>
      <c r="AV10" s="728">
        <v>0</v>
      </c>
      <c r="AW10" s="729">
        <v>0</v>
      </c>
      <c r="AX10" s="726">
        <v>1.966829268292683E-2</v>
      </c>
      <c r="AY10" s="720">
        <v>2.0160000000000001E-2</v>
      </c>
      <c r="AZ10" s="720">
        <v>0</v>
      </c>
      <c r="BA10" s="720">
        <v>0</v>
      </c>
      <c r="BB10" s="721">
        <v>2.0160000000000001E-2</v>
      </c>
      <c r="BC10" s="722">
        <v>0.06</v>
      </c>
      <c r="BD10" s="355" t="str">
        <f t="shared" si="0"/>
        <v>PERSONAL LOAN CPI 6.0% , (Public Sector/Self Employed/Non-Workers)</v>
      </c>
      <c r="BE10" s="110">
        <v>7.3700000000000002E-2</v>
      </c>
      <c r="BF10" s="104">
        <v>1.7999999999999999E-2</v>
      </c>
      <c r="BG10" s="111">
        <v>5.5700000000000006E-2</v>
      </c>
    </row>
    <row r="11" spans="1:59" ht="60" customHeight="1" x14ac:dyDescent="0.3">
      <c r="A11" t="s">
        <v>417</v>
      </c>
      <c r="B11" s="1023"/>
      <c r="C11" s="112" t="s">
        <v>124</v>
      </c>
      <c r="D11" s="113" t="s">
        <v>125</v>
      </c>
      <c r="E11" s="526" t="s">
        <v>126</v>
      </c>
      <c r="F11" s="114" t="s">
        <v>127</v>
      </c>
      <c r="G11" s="115" t="s">
        <v>128</v>
      </c>
      <c r="H11" s="526" t="s">
        <v>129</v>
      </c>
      <c r="I11" s="116" t="s">
        <v>90</v>
      </c>
      <c r="J11" s="117" t="s">
        <v>91</v>
      </c>
      <c r="K11" s="117" t="s">
        <v>92</v>
      </c>
      <c r="L11" s="118">
        <v>0.08</v>
      </c>
      <c r="M11" s="119">
        <v>4.8000000000000001E-2</v>
      </c>
      <c r="N11" s="119">
        <v>3.2000000000000001E-2</v>
      </c>
      <c r="O11" s="120">
        <v>0</v>
      </c>
      <c r="P11" s="121">
        <v>2.5000000000000001E-2</v>
      </c>
      <c r="Q11" s="119" t="s">
        <v>93</v>
      </c>
      <c r="R11" s="872">
        <v>0.43</v>
      </c>
      <c r="S11" s="118">
        <v>0.15</v>
      </c>
      <c r="T11" s="122" t="s">
        <v>109</v>
      </c>
      <c r="U11" s="123" t="s">
        <v>130</v>
      </c>
      <c r="V11" s="369" t="s">
        <v>96</v>
      </c>
      <c r="W11" s="124" t="s">
        <v>97</v>
      </c>
      <c r="X11" s="125" t="s">
        <v>98</v>
      </c>
      <c r="Y11" s="125" t="s">
        <v>99</v>
      </c>
      <c r="Z11" s="126">
        <v>18</v>
      </c>
      <c r="AA11" s="126">
        <v>65</v>
      </c>
      <c r="AB11" s="126">
        <v>70</v>
      </c>
      <c r="AC11" s="127">
        <v>100000</v>
      </c>
      <c r="AD11" s="124" t="s">
        <v>100</v>
      </c>
      <c r="AE11" s="734">
        <v>25</v>
      </c>
      <c r="AF11" s="735">
        <v>25</v>
      </c>
      <c r="AG11" s="736">
        <v>50</v>
      </c>
      <c r="AH11" s="737">
        <v>7.5</v>
      </c>
      <c r="AI11" s="738">
        <v>17.5</v>
      </c>
      <c r="AJ11" s="737">
        <v>7.5</v>
      </c>
      <c r="AK11" s="738">
        <v>17.5</v>
      </c>
      <c r="AL11" s="727">
        <v>2.9279999999999997E-2</v>
      </c>
      <c r="AM11" s="728">
        <v>1.8720000000000001E-2</v>
      </c>
      <c r="AN11" s="729">
        <v>0</v>
      </c>
      <c r="AO11" s="726">
        <v>4.8000000000000001E-2</v>
      </c>
      <c r="AP11" s="722">
        <v>4.8000000000000001E-2</v>
      </c>
      <c r="AQ11" s="727">
        <v>0</v>
      </c>
      <c r="AR11" s="728">
        <v>3.1219512195121958E-2</v>
      </c>
      <c r="AS11" s="729">
        <v>0</v>
      </c>
      <c r="AT11" s="726">
        <v>3.1219512195121958E-2</v>
      </c>
      <c r="AU11" s="727">
        <v>0</v>
      </c>
      <c r="AV11" s="728">
        <v>3.1219512195121958E-2</v>
      </c>
      <c r="AW11" s="729">
        <v>0</v>
      </c>
      <c r="AX11" s="726">
        <v>3.1219512195121958E-2</v>
      </c>
      <c r="AY11" s="720">
        <v>0</v>
      </c>
      <c r="AZ11" s="720">
        <v>3.2000000000000001E-2</v>
      </c>
      <c r="BA11" s="720">
        <v>0</v>
      </c>
      <c r="BB11" s="721">
        <v>3.2000000000000001E-2</v>
      </c>
      <c r="BC11" s="722">
        <v>8.0000000000000016E-2</v>
      </c>
      <c r="BD11" s="515" t="str">
        <f t="shared" si="0"/>
        <v>PERSONAL LOAN CPI 8.0% , (Private Sector Employees)</v>
      </c>
      <c r="BE11" s="739">
        <v>6.6000000000000003E-2</v>
      </c>
      <c r="BF11" s="573">
        <v>1.7999999999999999E-2</v>
      </c>
      <c r="BG11" s="740">
        <v>4.8000000000000001E-2</v>
      </c>
    </row>
    <row r="12" spans="1:59" ht="60" customHeight="1" x14ac:dyDescent="0.3">
      <c r="A12" t="s">
        <v>417</v>
      </c>
      <c r="B12" s="1023"/>
      <c r="C12" s="89" t="s">
        <v>131</v>
      </c>
      <c r="D12" s="128" t="s">
        <v>132</v>
      </c>
      <c r="E12" s="527" t="s">
        <v>133</v>
      </c>
      <c r="F12" s="129" t="s">
        <v>134</v>
      </c>
      <c r="G12" s="130" t="s">
        <v>128</v>
      </c>
      <c r="H12" s="527" t="s">
        <v>135</v>
      </c>
      <c r="I12" s="131" t="s">
        <v>106</v>
      </c>
      <c r="J12" s="94" t="s">
        <v>107</v>
      </c>
      <c r="K12" s="94" t="s">
        <v>108</v>
      </c>
      <c r="L12" s="132">
        <v>0.08</v>
      </c>
      <c r="M12" s="133">
        <v>5.3120000000000001E-2</v>
      </c>
      <c r="N12" s="133">
        <v>2.6880000000000001E-2</v>
      </c>
      <c r="O12" s="134">
        <v>0</v>
      </c>
      <c r="P12" s="135">
        <v>2.5000000000000001E-2</v>
      </c>
      <c r="Q12" s="133" t="s">
        <v>93</v>
      </c>
      <c r="R12" s="873">
        <v>0.43</v>
      </c>
      <c r="S12" s="132">
        <v>0.15</v>
      </c>
      <c r="T12" s="136" t="s">
        <v>109</v>
      </c>
      <c r="U12" s="137" t="s">
        <v>130</v>
      </c>
      <c r="V12" s="369" t="s">
        <v>96</v>
      </c>
      <c r="W12" s="101" t="s">
        <v>97</v>
      </c>
      <c r="X12" s="102" t="s">
        <v>98</v>
      </c>
      <c r="Y12" s="102" t="s">
        <v>110</v>
      </c>
      <c r="Z12" s="138">
        <v>18</v>
      </c>
      <c r="AA12" s="138">
        <v>65</v>
      </c>
      <c r="AB12" s="138">
        <v>70</v>
      </c>
      <c r="AC12" s="139">
        <v>100000</v>
      </c>
      <c r="AD12" s="101" t="s">
        <v>111</v>
      </c>
      <c r="AE12" s="105">
        <v>25</v>
      </c>
      <c r="AF12" s="106">
        <v>25</v>
      </c>
      <c r="AG12" s="107">
        <v>50</v>
      </c>
      <c r="AH12" s="108">
        <v>7.5</v>
      </c>
      <c r="AI12" s="109">
        <v>17.5</v>
      </c>
      <c r="AJ12" s="108">
        <v>7.5</v>
      </c>
      <c r="AK12" s="109">
        <v>17.5</v>
      </c>
      <c r="AL12" s="727">
        <v>3.0809599999999999E-2</v>
      </c>
      <c r="AM12" s="728">
        <v>1.7529599999999999E-2</v>
      </c>
      <c r="AN12" s="729">
        <v>4.7808E-3</v>
      </c>
      <c r="AO12" s="726">
        <v>5.3120000000000001E-2</v>
      </c>
      <c r="AP12" s="722">
        <v>5.3120000000000001E-2</v>
      </c>
      <c r="AQ12" s="727">
        <v>2.6224390243902444E-2</v>
      </c>
      <c r="AR12" s="728">
        <v>0</v>
      </c>
      <c r="AS12" s="729">
        <v>0</v>
      </c>
      <c r="AT12" s="726">
        <v>2.6224390243902444E-2</v>
      </c>
      <c r="AU12" s="727">
        <v>2.6224390243902444E-2</v>
      </c>
      <c r="AV12" s="728">
        <v>0</v>
      </c>
      <c r="AW12" s="729">
        <v>0</v>
      </c>
      <c r="AX12" s="726">
        <v>2.6224390243902444E-2</v>
      </c>
      <c r="AY12" s="720">
        <v>2.6880000000000001E-2</v>
      </c>
      <c r="AZ12" s="720">
        <v>0</v>
      </c>
      <c r="BA12" s="720">
        <v>0</v>
      </c>
      <c r="BB12" s="721">
        <v>2.6880000000000001E-2</v>
      </c>
      <c r="BC12" s="722">
        <v>0.08</v>
      </c>
      <c r="BD12" s="355" t="str">
        <f t="shared" si="0"/>
        <v>PERSONAL LOAN CPI 8.0% , (Public Sector/Self Employed/Non-Workers)</v>
      </c>
      <c r="BE12" s="110">
        <v>6.6000000000000003E-2</v>
      </c>
      <c r="BF12" s="104">
        <v>1.7999999999999999E-2</v>
      </c>
      <c r="BG12" s="111">
        <v>4.8000000000000001E-2</v>
      </c>
    </row>
    <row r="13" spans="1:59" ht="60" customHeight="1" x14ac:dyDescent="0.3">
      <c r="A13" t="s">
        <v>417</v>
      </c>
      <c r="B13" s="1023"/>
      <c r="C13" s="112" t="s">
        <v>136</v>
      </c>
      <c r="D13" s="113" t="s">
        <v>137</v>
      </c>
      <c r="E13" s="526" t="s">
        <v>138</v>
      </c>
      <c r="F13" s="114" t="s">
        <v>139</v>
      </c>
      <c r="G13" s="115" t="s">
        <v>140</v>
      </c>
      <c r="H13" s="526" t="s">
        <v>141</v>
      </c>
      <c r="I13" s="116" t="s">
        <v>90</v>
      </c>
      <c r="J13" s="117" t="s">
        <v>91</v>
      </c>
      <c r="K13" s="117" t="s">
        <v>92</v>
      </c>
      <c r="L13" s="118">
        <v>0.1</v>
      </c>
      <c r="M13" s="119">
        <v>6.0000000000000012E-2</v>
      </c>
      <c r="N13" s="119">
        <v>4.0000000000000008E-2</v>
      </c>
      <c r="O13" s="120">
        <v>0</v>
      </c>
      <c r="P13" s="121">
        <v>2.5000000000000001E-2</v>
      </c>
      <c r="Q13" s="119" t="s">
        <v>93</v>
      </c>
      <c r="R13" s="872">
        <v>0.43</v>
      </c>
      <c r="S13" s="118">
        <v>0.15</v>
      </c>
      <c r="T13" s="122" t="s">
        <v>109</v>
      </c>
      <c r="U13" s="123" t="s">
        <v>142</v>
      </c>
      <c r="V13" s="369" t="s">
        <v>96</v>
      </c>
      <c r="W13" s="124" t="s">
        <v>97</v>
      </c>
      <c r="X13" s="125" t="s">
        <v>98</v>
      </c>
      <c r="Y13" s="125" t="s">
        <v>99</v>
      </c>
      <c r="Z13" s="126">
        <v>18</v>
      </c>
      <c r="AA13" s="126">
        <v>65</v>
      </c>
      <c r="AB13" s="126">
        <v>70</v>
      </c>
      <c r="AC13" s="127">
        <v>100000</v>
      </c>
      <c r="AD13" s="124" t="s">
        <v>100</v>
      </c>
      <c r="AE13" s="734">
        <v>25</v>
      </c>
      <c r="AF13" s="735">
        <v>25</v>
      </c>
      <c r="AG13" s="736">
        <v>50</v>
      </c>
      <c r="AH13" s="737">
        <v>7.5</v>
      </c>
      <c r="AI13" s="738">
        <v>17.5</v>
      </c>
      <c r="AJ13" s="737">
        <v>7.5</v>
      </c>
      <c r="AK13" s="738">
        <v>17.5</v>
      </c>
      <c r="AL13" s="727">
        <v>3.6600000000000008E-2</v>
      </c>
      <c r="AM13" s="728">
        <v>2.3400000000000008E-2</v>
      </c>
      <c r="AN13" s="729">
        <v>0</v>
      </c>
      <c r="AO13" s="726">
        <v>6.0000000000000012E-2</v>
      </c>
      <c r="AP13" s="722">
        <v>6.0000000000000012E-2</v>
      </c>
      <c r="AQ13" s="727">
        <v>0</v>
      </c>
      <c r="AR13" s="728">
        <v>3.9024390243902453E-2</v>
      </c>
      <c r="AS13" s="729">
        <v>0</v>
      </c>
      <c r="AT13" s="726">
        <v>3.9024390243902453E-2</v>
      </c>
      <c r="AU13" s="727">
        <v>0</v>
      </c>
      <c r="AV13" s="728">
        <v>3.9024390243902453E-2</v>
      </c>
      <c r="AW13" s="729">
        <v>0</v>
      </c>
      <c r="AX13" s="726">
        <v>3.9024390243902453E-2</v>
      </c>
      <c r="AY13" s="720">
        <v>0</v>
      </c>
      <c r="AZ13" s="720">
        <v>4.0000000000000008E-2</v>
      </c>
      <c r="BA13" s="720">
        <v>0</v>
      </c>
      <c r="BB13" s="721">
        <v>4.0000000000000008E-2</v>
      </c>
      <c r="BC13" s="722">
        <v>0.10000000000000002</v>
      </c>
      <c r="BD13" s="515" t="str">
        <f t="shared" si="0"/>
        <v>CPI PERSONAL LOANS 10% , (Private Sector Employees)</v>
      </c>
      <c r="BE13" s="739">
        <v>6.6000000000000003E-2</v>
      </c>
      <c r="BF13" s="573">
        <v>1.7999999999999999E-2</v>
      </c>
      <c r="BG13" s="740">
        <v>4.8000000000000001E-2</v>
      </c>
    </row>
    <row r="14" spans="1:59" ht="60" customHeight="1" thickBot="1" x14ac:dyDescent="0.35">
      <c r="A14" t="s">
        <v>417</v>
      </c>
      <c r="B14" s="1024"/>
      <c r="C14" s="140" t="s">
        <v>143</v>
      </c>
      <c r="D14" s="141" t="s">
        <v>144</v>
      </c>
      <c r="E14" s="528" t="s">
        <v>145</v>
      </c>
      <c r="F14" s="142" t="s">
        <v>146</v>
      </c>
      <c r="G14" s="141" t="s">
        <v>140</v>
      </c>
      <c r="H14" s="528" t="s">
        <v>147</v>
      </c>
      <c r="I14" s="143" t="s">
        <v>106</v>
      </c>
      <c r="J14" s="144" t="s">
        <v>107</v>
      </c>
      <c r="K14" s="145" t="s">
        <v>108</v>
      </c>
      <c r="L14" s="146">
        <v>0.1</v>
      </c>
      <c r="M14" s="147">
        <v>6.6400000000000001E-2</v>
      </c>
      <c r="N14" s="147">
        <v>3.3599999999999998E-2</v>
      </c>
      <c r="O14" s="148">
        <v>0</v>
      </c>
      <c r="P14" s="149">
        <v>2.5000000000000001E-2</v>
      </c>
      <c r="Q14" s="147" t="s">
        <v>93</v>
      </c>
      <c r="R14" s="874">
        <v>0.43</v>
      </c>
      <c r="S14" s="146">
        <v>0.15</v>
      </c>
      <c r="T14" s="150" t="s">
        <v>109</v>
      </c>
      <c r="U14" s="151" t="s">
        <v>142</v>
      </c>
      <c r="V14" s="386" t="s">
        <v>96</v>
      </c>
      <c r="W14" s="152" t="s">
        <v>97</v>
      </c>
      <c r="X14" s="153" t="s">
        <v>98</v>
      </c>
      <c r="Y14" s="153" t="s">
        <v>110</v>
      </c>
      <c r="Z14" s="151">
        <v>18</v>
      </c>
      <c r="AA14" s="151">
        <v>65</v>
      </c>
      <c r="AB14" s="151">
        <v>70</v>
      </c>
      <c r="AC14" s="154">
        <v>100000</v>
      </c>
      <c r="AD14" s="152" t="s">
        <v>111</v>
      </c>
      <c r="AE14" s="741">
        <v>25</v>
      </c>
      <c r="AF14" s="742">
        <v>25</v>
      </c>
      <c r="AG14" s="743">
        <v>50</v>
      </c>
      <c r="AH14" s="744">
        <v>7.5</v>
      </c>
      <c r="AI14" s="745">
        <v>17.5</v>
      </c>
      <c r="AJ14" s="744">
        <v>7.5</v>
      </c>
      <c r="AK14" s="745">
        <v>17.5</v>
      </c>
      <c r="AL14" s="746">
        <v>3.8511999999999998E-2</v>
      </c>
      <c r="AM14" s="747">
        <v>2.1912000000000001E-2</v>
      </c>
      <c r="AN14" s="748">
        <v>5.9759999999999995E-3</v>
      </c>
      <c r="AO14" s="749">
        <v>6.6400000000000001E-2</v>
      </c>
      <c r="AP14" s="750">
        <v>6.6400000000000001E-2</v>
      </c>
      <c r="AQ14" s="746">
        <v>3.278048780487805E-2</v>
      </c>
      <c r="AR14" s="747">
        <v>0</v>
      </c>
      <c r="AS14" s="748">
        <v>0</v>
      </c>
      <c r="AT14" s="749">
        <v>3.278048780487805E-2</v>
      </c>
      <c r="AU14" s="746">
        <v>3.278048780487805E-2</v>
      </c>
      <c r="AV14" s="747">
        <v>0</v>
      </c>
      <c r="AW14" s="748">
        <v>0</v>
      </c>
      <c r="AX14" s="749">
        <v>3.278048780487805E-2</v>
      </c>
      <c r="AY14" s="751">
        <v>3.3599999999999998E-2</v>
      </c>
      <c r="AZ14" s="751">
        <v>0</v>
      </c>
      <c r="BA14" s="751">
        <v>0</v>
      </c>
      <c r="BB14" s="752">
        <v>3.3599999999999998E-2</v>
      </c>
      <c r="BC14" s="750">
        <v>0.1</v>
      </c>
      <c r="BD14" s="753" t="str">
        <f t="shared" si="0"/>
        <v>CPI PERSONAL LOANS 10% , (Public Sector/Self Employed/Non-Workers)</v>
      </c>
      <c r="BE14" s="754">
        <v>6.6000000000000003E-2</v>
      </c>
      <c r="BF14" s="584">
        <v>1.7999999999999999E-2</v>
      </c>
      <c r="BG14" s="755">
        <v>4.8000000000000001E-2</v>
      </c>
    </row>
    <row r="15" spans="1:59" ht="60" customHeight="1" x14ac:dyDescent="0.3">
      <c r="A15" t="s">
        <v>417</v>
      </c>
      <c r="B15" s="1028" t="s">
        <v>148</v>
      </c>
      <c r="C15" s="155" t="s">
        <v>149</v>
      </c>
      <c r="D15" s="156" t="s">
        <v>150</v>
      </c>
      <c r="E15" s="529" t="s">
        <v>151</v>
      </c>
      <c r="F15" s="157" t="s">
        <v>152</v>
      </c>
      <c r="G15" s="156" t="s">
        <v>153</v>
      </c>
      <c r="H15" s="529" t="s">
        <v>154</v>
      </c>
      <c r="I15" s="158" t="s">
        <v>90</v>
      </c>
      <c r="J15" s="159" t="s">
        <v>91</v>
      </c>
      <c r="K15" s="160" t="s">
        <v>92</v>
      </c>
      <c r="L15" s="161">
        <v>4.4999999999999998E-2</v>
      </c>
      <c r="M15" s="162">
        <v>2.5874999999999995E-2</v>
      </c>
      <c r="N15" s="162">
        <v>1.9124999999999996E-2</v>
      </c>
      <c r="O15" s="163">
        <v>0</v>
      </c>
      <c r="P15" s="164">
        <v>2.5000000000000001E-2</v>
      </c>
      <c r="Q15" s="162" t="s">
        <v>93</v>
      </c>
      <c r="R15" s="875">
        <v>0.44900000000000001</v>
      </c>
      <c r="S15" s="875">
        <v>0.15</v>
      </c>
      <c r="T15" s="165" t="s">
        <v>109</v>
      </c>
      <c r="U15" s="381" t="s">
        <v>155</v>
      </c>
      <c r="V15" s="385" t="s">
        <v>96</v>
      </c>
      <c r="W15" s="384" t="s">
        <v>97</v>
      </c>
      <c r="X15" s="168" t="s">
        <v>98</v>
      </c>
      <c r="Y15" s="168" t="s">
        <v>99</v>
      </c>
      <c r="Z15" s="166">
        <v>18</v>
      </c>
      <c r="AA15" s="166">
        <v>65</v>
      </c>
      <c r="AB15" s="166">
        <v>72</v>
      </c>
      <c r="AC15" s="169">
        <v>100000</v>
      </c>
      <c r="AD15" s="167" t="s">
        <v>100</v>
      </c>
      <c r="AE15" s="756">
        <v>25</v>
      </c>
      <c r="AF15" s="757">
        <v>25</v>
      </c>
      <c r="AG15" s="758">
        <v>50</v>
      </c>
      <c r="AH15" s="759">
        <v>7.5</v>
      </c>
      <c r="AI15" s="760">
        <v>17.5</v>
      </c>
      <c r="AJ15" s="759">
        <v>7.5</v>
      </c>
      <c r="AK15" s="761">
        <v>17.5</v>
      </c>
      <c r="AL15" s="717">
        <v>1.5783749999999996E-2</v>
      </c>
      <c r="AM15" s="718">
        <v>1.0091249999999998E-2</v>
      </c>
      <c r="AN15" s="719">
        <v>0</v>
      </c>
      <c r="AO15" s="715">
        <v>2.5874999999999995E-2</v>
      </c>
      <c r="AP15" s="716">
        <v>2.5874999999999995E-2</v>
      </c>
      <c r="AQ15" s="717">
        <v>0</v>
      </c>
      <c r="AR15" s="718">
        <v>1.8658536585365853E-2</v>
      </c>
      <c r="AS15" s="719">
        <v>0</v>
      </c>
      <c r="AT15" s="715">
        <v>1.8658536585365853E-2</v>
      </c>
      <c r="AU15" s="717">
        <v>0</v>
      </c>
      <c r="AV15" s="718">
        <v>1.8658536585365853E-2</v>
      </c>
      <c r="AW15" s="719">
        <v>0</v>
      </c>
      <c r="AX15" s="715">
        <v>1.8658536585365853E-2</v>
      </c>
      <c r="AY15" s="720">
        <v>0</v>
      </c>
      <c r="AZ15" s="720">
        <v>1.9124999999999996E-2</v>
      </c>
      <c r="BA15" s="720">
        <v>0</v>
      </c>
      <c r="BB15" s="721">
        <v>1.9124999999999996E-2</v>
      </c>
      <c r="BC15" s="716">
        <v>4.4999999999999991E-2</v>
      </c>
      <c r="BD15" s="762" t="str">
        <f t="shared" si="0"/>
        <v>AUTO CPI 4.5% , (Private Sector Employees)</v>
      </c>
      <c r="BE15" s="763">
        <v>7.2999999999999995E-2</v>
      </c>
      <c r="BF15" s="591">
        <v>1.7999999999999999E-2</v>
      </c>
      <c r="BG15" s="764">
        <v>5.5E-2</v>
      </c>
    </row>
    <row r="16" spans="1:59" ht="60" customHeight="1" x14ac:dyDescent="0.3">
      <c r="A16" t="s">
        <v>417</v>
      </c>
      <c r="B16" s="1029"/>
      <c r="C16" s="170" t="s">
        <v>156</v>
      </c>
      <c r="D16" s="171" t="s">
        <v>157</v>
      </c>
      <c r="E16" s="530" t="s">
        <v>158</v>
      </c>
      <c r="F16" s="172" t="s">
        <v>159</v>
      </c>
      <c r="G16" s="887" t="s">
        <v>153</v>
      </c>
      <c r="H16" s="530" t="s">
        <v>160</v>
      </c>
      <c r="I16" s="174" t="s">
        <v>106</v>
      </c>
      <c r="J16" s="175" t="s">
        <v>107</v>
      </c>
      <c r="K16" s="175" t="s">
        <v>108</v>
      </c>
      <c r="L16" s="176">
        <v>4.4999999999999998E-2</v>
      </c>
      <c r="M16" s="177">
        <v>2.9879999999999993E-2</v>
      </c>
      <c r="N16" s="177">
        <v>1.512E-2</v>
      </c>
      <c r="O16" s="178">
        <v>0</v>
      </c>
      <c r="P16" s="179">
        <v>2.5000000000000001E-2</v>
      </c>
      <c r="Q16" s="177" t="s">
        <v>93</v>
      </c>
      <c r="R16" s="876">
        <v>0.44900000000000001</v>
      </c>
      <c r="S16" s="876">
        <v>0.15</v>
      </c>
      <c r="T16" s="180" t="s">
        <v>109</v>
      </c>
      <c r="U16" s="382" t="s">
        <v>155</v>
      </c>
      <c r="V16" s="380" t="s">
        <v>96</v>
      </c>
      <c r="W16" s="378" t="s">
        <v>97</v>
      </c>
      <c r="X16" s="182" t="s">
        <v>98</v>
      </c>
      <c r="Y16" s="182" t="s">
        <v>110</v>
      </c>
      <c r="Z16" s="183">
        <v>18</v>
      </c>
      <c r="AA16" s="183">
        <v>65</v>
      </c>
      <c r="AB16" s="183">
        <v>72</v>
      </c>
      <c r="AC16" s="184">
        <v>100000</v>
      </c>
      <c r="AD16" s="181" t="s">
        <v>111</v>
      </c>
      <c r="AE16" s="765">
        <v>25</v>
      </c>
      <c r="AF16" s="766">
        <v>25</v>
      </c>
      <c r="AG16" s="767">
        <v>50</v>
      </c>
      <c r="AH16" s="768">
        <v>7.5</v>
      </c>
      <c r="AI16" s="769">
        <v>17.5</v>
      </c>
      <c r="AJ16" s="768">
        <v>7.5</v>
      </c>
      <c r="AK16" s="769">
        <v>17.5</v>
      </c>
      <c r="AL16" s="727">
        <v>1.7330399999999996E-2</v>
      </c>
      <c r="AM16" s="728">
        <v>9.8604000000000001E-3</v>
      </c>
      <c r="AN16" s="729">
        <v>2.6891999999999997E-3</v>
      </c>
      <c r="AO16" s="726">
        <v>2.9879999999999993E-2</v>
      </c>
      <c r="AP16" s="722">
        <v>2.9879999999999993E-2</v>
      </c>
      <c r="AQ16" s="727">
        <v>1.4751219512195123E-2</v>
      </c>
      <c r="AR16" s="728">
        <v>0</v>
      </c>
      <c r="AS16" s="729">
        <v>0</v>
      </c>
      <c r="AT16" s="726">
        <v>1.4751219512195123E-2</v>
      </c>
      <c r="AU16" s="727">
        <v>1.4751219512195123E-2</v>
      </c>
      <c r="AV16" s="728">
        <v>0</v>
      </c>
      <c r="AW16" s="729">
        <v>0</v>
      </c>
      <c r="AX16" s="726">
        <v>1.4751219512195123E-2</v>
      </c>
      <c r="AY16" s="720">
        <v>1.512E-2</v>
      </c>
      <c r="AZ16" s="720">
        <v>0</v>
      </c>
      <c r="BA16" s="720">
        <v>0</v>
      </c>
      <c r="BB16" s="721">
        <v>1.512E-2</v>
      </c>
      <c r="BC16" s="722">
        <v>4.4999999999999991E-2</v>
      </c>
      <c r="BD16" s="770" t="str">
        <f t="shared" si="0"/>
        <v>AUTO CPI 4.5% , (Public Sector/Self Employed/Non-Workers)</v>
      </c>
      <c r="BE16" s="771">
        <v>7.2999999999999995E-2</v>
      </c>
      <c r="BF16" s="600">
        <v>1.7999999999999999E-2</v>
      </c>
      <c r="BG16" s="772">
        <v>5.5E-2</v>
      </c>
    </row>
    <row r="17" spans="1:59" ht="60" customHeight="1" x14ac:dyDescent="0.3">
      <c r="A17" t="s">
        <v>417</v>
      </c>
      <c r="B17" s="1029"/>
      <c r="C17" s="185" t="s">
        <v>161</v>
      </c>
      <c r="D17" s="186" t="s">
        <v>162</v>
      </c>
      <c r="E17" s="531" t="s">
        <v>163</v>
      </c>
      <c r="F17" s="187" t="s">
        <v>164</v>
      </c>
      <c r="G17" s="188" t="s">
        <v>165</v>
      </c>
      <c r="H17" s="531" t="s">
        <v>166</v>
      </c>
      <c r="I17" s="158" t="s">
        <v>90</v>
      </c>
      <c r="J17" s="189" t="s">
        <v>91</v>
      </c>
      <c r="K17" s="189" t="s">
        <v>92</v>
      </c>
      <c r="L17" s="190">
        <v>0.06</v>
      </c>
      <c r="M17" s="191">
        <v>3.4499999999999989E-2</v>
      </c>
      <c r="N17" s="191">
        <v>2.5499999999999995E-2</v>
      </c>
      <c r="O17" s="192">
        <v>0</v>
      </c>
      <c r="P17" s="193">
        <v>2.5000000000000001E-2</v>
      </c>
      <c r="Q17" s="191" t="s">
        <v>93</v>
      </c>
      <c r="R17" s="877">
        <v>0.44900000000000001</v>
      </c>
      <c r="S17" s="877">
        <v>0.15</v>
      </c>
      <c r="T17" s="194" t="s">
        <v>109</v>
      </c>
      <c r="U17" s="383" t="s">
        <v>167</v>
      </c>
      <c r="V17" s="380" t="s">
        <v>96</v>
      </c>
      <c r="W17" s="379" t="s">
        <v>97</v>
      </c>
      <c r="X17" s="197" t="s">
        <v>98</v>
      </c>
      <c r="Y17" s="197" t="s">
        <v>99</v>
      </c>
      <c r="Z17" s="198">
        <v>18</v>
      </c>
      <c r="AA17" s="198">
        <v>65</v>
      </c>
      <c r="AB17" s="198">
        <v>72</v>
      </c>
      <c r="AC17" s="199">
        <v>100000</v>
      </c>
      <c r="AD17" s="196" t="s">
        <v>100</v>
      </c>
      <c r="AE17" s="773">
        <v>25</v>
      </c>
      <c r="AF17" s="774">
        <v>25</v>
      </c>
      <c r="AG17" s="775">
        <v>50</v>
      </c>
      <c r="AH17" s="776">
        <v>7.5</v>
      </c>
      <c r="AI17" s="777">
        <v>17.5</v>
      </c>
      <c r="AJ17" s="776">
        <v>7.5</v>
      </c>
      <c r="AK17" s="777">
        <v>17.5</v>
      </c>
      <c r="AL17" s="727">
        <v>2.1044999999999991E-2</v>
      </c>
      <c r="AM17" s="728">
        <v>1.3454999999999996E-2</v>
      </c>
      <c r="AN17" s="729">
        <v>0</v>
      </c>
      <c r="AO17" s="726">
        <v>3.4499999999999989E-2</v>
      </c>
      <c r="AP17" s="722">
        <v>3.4499999999999989E-2</v>
      </c>
      <c r="AQ17" s="727">
        <v>0</v>
      </c>
      <c r="AR17" s="728">
        <v>2.4878048780487803E-2</v>
      </c>
      <c r="AS17" s="729">
        <v>0</v>
      </c>
      <c r="AT17" s="726">
        <v>2.4878048780487803E-2</v>
      </c>
      <c r="AU17" s="727">
        <v>0</v>
      </c>
      <c r="AV17" s="728">
        <v>2.4878048780487803E-2</v>
      </c>
      <c r="AW17" s="729">
        <v>0</v>
      </c>
      <c r="AX17" s="726">
        <v>2.4878048780487803E-2</v>
      </c>
      <c r="AY17" s="720">
        <v>0</v>
      </c>
      <c r="AZ17" s="720">
        <v>2.5499999999999995E-2</v>
      </c>
      <c r="BA17" s="720">
        <v>0</v>
      </c>
      <c r="BB17" s="721">
        <v>2.5499999999999995E-2</v>
      </c>
      <c r="BC17" s="722">
        <v>5.9999999999999984E-2</v>
      </c>
      <c r="BD17" s="762" t="str">
        <f t="shared" si="0"/>
        <v>AUTO CPI 6.0% , (Private Sector Employees)</v>
      </c>
      <c r="BE17" s="778">
        <v>6.5000000000000002E-2</v>
      </c>
      <c r="BF17" s="606">
        <v>1.7999999999999999E-2</v>
      </c>
      <c r="BG17" s="779">
        <v>4.7000000000000007E-2</v>
      </c>
    </row>
    <row r="18" spans="1:59" ht="60" customHeight="1" x14ac:dyDescent="0.3">
      <c r="A18" t="s">
        <v>417</v>
      </c>
      <c r="B18" s="1029"/>
      <c r="C18" s="170" t="s">
        <v>168</v>
      </c>
      <c r="D18" s="171" t="s">
        <v>169</v>
      </c>
      <c r="E18" s="530" t="s">
        <v>170</v>
      </c>
      <c r="F18" s="172" t="s">
        <v>171</v>
      </c>
      <c r="G18" s="173" t="s">
        <v>165</v>
      </c>
      <c r="H18" s="530" t="s">
        <v>172</v>
      </c>
      <c r="I18" s="174" t="s">
        <v>106</v>
      </c>
      <c r="J18" s="175" t="s">
        <v>107</v>
      </c>
      <c r="K18" s="175" t="s">
        <v>108</v>
      </c>
      <c r="L18" s="176">
        <v>0.06</v>
      </c>
      <c r="M18" s="177">
        <v>3.984E-2</v>
      </c>
      <c r="N18" s="177">
        <v>2.0159999999999997E-2</v>
      </c>
      <c r="O18" s="178">
        <v>0</v>
      </c>
      <c r="P18" s="179">
        <v>2.5000000000000001E-2</v>
      </c>
      <c r="Q18" s="177" t="s">
        <v>93</v>
      </c>
      <c r="R18" s="876">
        <v>0.44900000000000001</v>
      </c>
      <c r="S18" s="876">
        <v>0.15</v>
      </c>
      <c r="T18" s="180" t="s">
        <v>109</v>
      </c>
      <c r="U18" s="382" t="s">
        <v>167</v>
      </c>
      <c r="V18" s="380" t="s">
        <v>96</v>
      </c>
      <c r="W18" s="378" t="s">
        <v>97</v>
      </c>
      <c r="X18" s="182" t="s">
        <v>98</v>
      </c>
      <c r="Y18" s="182" t="s">
        <v>110</v>
      </c>
      <c r="Z18" s="183">
        <v>18</v>
      </c>
      <c r="AA18" s="183">
        <v>65</v>
      </c>
      <c r="AB18" s="183">
        <v>72</v>
      </c>
      <c r="AC18" s="184">
        <v>100000</v>
      </c>
      <c r="AD18" s="181" t="s">
        <v>111</v>
      </c>
      <c r="AE18" s="765">
        <v>25</v>
      </c>
      <c r="AF18" s="766">
        <v>25</v>
      </c>
      <c r="AG18" s="767">
        <v>50</v>
      </c>
      <c r="AH18" s="768">
        <v>7.5</v>
      </c>
      <c r="AI18" s="769">
        <v>17.5</v>
      </c>
      <c r="AJ18" s="768">
        <v>7.5</v>
      </c>
      <c r="AK18" s="769">
        <v>17.5</v>
      </c>
      <c r="AL18" s="727">
        <v>2.3107199999999998E-2</v>
      </c>
      <c r="AM18" s="728">
        <v>1.31472E-2</v>
      </c>
      <c r="AN18" s="729">
        <v>3.5855999999999996E-3</v>
      </c>
      <c r="AO18" s="726">
        <v>3.984E-2</v>
      </c>
      <c r="AP18" s="722">
        <v>3.984E-2</v>
      </c>
      <c r="AQ18" s="727">
        <v>1.966829268292683E-2</v>
      </c>
      <c r="AR18" s="728">
        <v>0</v>
      </c>
      <c r="AS18" s="729">
        <v>0</v>
      </c>
      <c r="AT18" s="726">
        <v>1.966829268292683E-2</v>
      </c>
      <c r="AU18" s="727">
        <v>1.966829268292683E-2</v>
      </c>
      <c r="AV18" s="728">
        <v>0</v>
      </c>
      <c r="AW18" s="729">
        <v>0</v>
      </c>
      <c r="AX18" s="726">
        <v>1.966829268292683E-2</v>
      </c>
      <c r="AY18" s="720">
        <v>2.0159999999999997E-2</v>
      </c>
      <c r="AZ18" s="720">
        <v>0</v>
      </c>
      <c r="BA18" s="720">
        <v>0</v>
      </c>
      <c r="BB18" s="721">
        <v>2.0159999999999997E-2</v>
      </c>
      <c r="BC18" s="722">
        <v>0.06</v>
      </c>
      <c r="BD18" s="770" t="str">
        <f t="shared" si="0"/>
        <v>AUTO CPI 6.0% , (Public Sector/Self Employed/Non-Workers)</v>
      </c>
      <c r="BE18" s="771">
        <v>6.5000000000000002E-2</v>
      </c>
      <c r="BF18" s="600">
        <v>1.7999999999999999E-2</v>
      </c>
      <c r="BG18" s="772">
        <v>4.7000000000000007E-2</v>
      </c>
    </row>
    <row r="19" spans="1:59" ht="60" customHeight="1" x14ac:dyDescent="0.3">
      <c r="A19" t="s">
        <v>417</v>
      </c>
      <c r="B19" s="1029"/>
      <c r="C19" s="185" t="s">
        <v>173</v>
      </c>
      <c r="D19" s="186" t="s">
        <v>174</v>
      </c>
      <c r="E19" s="531" t="s">
        <v>175</v>
      </c>
      <c r="F19" s="187" t="s">
        <v>176</v>
      </c>
      <c r="G19" s="188" t="s">
        <v>177</v>
      </c>
      <c r="H19" s="531" t="s">
        <v>178</v>
      </c>
      <c r="I19" s="158" t="s">
        <v>90</v>
      </c>
      <c r="J19" s="189" t="s">
        <v>91</v>
      </c>
      <c r="K19" s="189" t="s">
        <v>92</v>
      </c>
      <c r="L19" s="190">
        <v>0.08</v>
      </c>
      <c r="M19" s="191">
        <v>4.5999999999999999E-2</v>
      </c>
      <c r="N19" s="191">
        <v>3.4000000000000002E-2</v>
      </c>
      <c r="O19" s="192">
        <v>0</v>
      </c>
      <c r="P19" s="193">
        <v>2.5000000000000001E-2</v>
      </c>
      <c r="Q19" s="191" t="s">
        <v>93</v>
      </c>
      <c r="R19" s="877">
        <v>0.44900000000000001</v>
      </c>
      <c r="S19" s="877">
        <v>0.15</v>
      </c>
      <c r="T19" s="194" t="s">
        <v>109</v>
      </c>
      <c r="U19" s="195" t="s">
        <v>179</v>
      </c>
      <c r="V19" s="380" t="s">
        <v>96</v>
      </c>
      <c r="W19" s="379" t="s">
        <v>97</v>
      </c>
      <c r="X19" s="197" t="s">
        <v>98</v>
      </c>
      <c r="Y19" s="197" t="s">
        <v>99</v>
      </c>
      <c r="Z19" s="198">
        <v>18</v>
      </c>
      <c r="AA19" s="198">
        <v>65</v>
      </c>
      <c r="AB19" s="198">
        <v>72</v>
      </c>
      <c r="AC19" s="199">
        <v>100000</v>
      </c>
      <c r="AD19" s="196" t="s">
        <v>100</v>
      </c>
      <c r="AE19" s="773">
        <v>25</v>
      </c>
      <c r="AF19" s="774">
        <v>25</v>
      </c>
      <c r="AG19" s="775">
        <v>50</v>
      </c>
      <c r="AH19" s="776">
        <v>7.5</v>
      </c>
      <c r="AI19" s="777">
        <v>17.5</v>
      </c>
      <c r="AJ19" s="776">
        <v>7.5</v>
      </c>
      <c r="AK19" s="777">
        <v>17.5</v>
      </c>
      <c r="AL19" s="727">
        <v>2.8059999999999998E-2</v>
      </c>
      <c r="AM19" s="728">
        <v>1.7940000000000001E-2</v>
      </c>
      <c r="AN19" s="729">
        <v>0</v>
      </c>
      <c r="AO19" s="726">
        <v>4.5999999999999999E-2</v>
      </c>
      <c r="AP19" s="722">
        <v>4.5999999999999999E-2</v>
      </c>
      <c r="AQ19" s="727">
        <v>0</v>
      </c>
      <c r="AR19" s="728">
        <v>3.3170731707317082E-2</v>
      </c>
      <c r="AS19" s="729">
        <v>0</v>
      </c>
      <c r="AT19" s="726">
        <v>3.3170731707317082E-2</v>
      </c>
      <c r="AU19" s="727">
        <v>0</v>
      </c>
      <c r="AV19" s="728">
        <v>3.3170731707317082E-2</v>
      </c>
      <c r="AW19" s="729">
        <v>0</v>
      </c>
      <c r="AX19" s="726">
        <v>3.3170731707317082E-2</v>
      </c>
      <c r="AY19" s="720">
        <v>0</v>
      </c>
      <c r="AZ19" s="720">
        <v>3.4000000000000002E-2</v>
      </c>
      <c r="BA19" s="720">
        <v>0</v>
      </c>
      <c r="BB19" s="721">
        <v>3.4000000000000002E-2</v>
      </c>
      <c r="BC19" s="722">
        <v>8.0000000000000016E-2</v>
      </c>
      <c r="BD19" s="762" t="str">
        <f t="shared" si="0"/>
        <v>AUTO CPI 8.0% , (Private Sector Employees)</v>
      </c>
      <c r="BE19" s="778">
        <v>6.5000000000000002E-2</v>
      </c>
      <c r="BF19" s="606">
        <v>1.7999999999999999E-2</v>
      </c>
      <c r="BG19" s="779">
        <v>4.7000000000000007E-2</v>
      </c>
    </row>
    <row r="20" spans="1:59" ht="60" customHeight="1" thickBot="1" x14ac:dyDescent="0.35">
      <c r="A20" t="s">
        <v>417</v>
      </c>
      <c r="B20" s="1030"/>
      <c r="C20" s="200" t="s">
        <v>180</v>
      </c>
      <c r="D20" s="201" t="s">
        <v>181</v>
      </c>
      <c r="E20" s="532" t="s">
        <v>182</v>
      </c>
      <c r="F20" s="202" t="s">
        <v>183</v>
      </c>
      <c r="G20" s="201" t="s">
        <v>177</v>
      </c>
      <c r="H20" s="532" t="s">
        <v>184</v>
      </c>
      <c r="I20" s="203" t="s">
        <v>106</v>
      </c>
      <c r="J20" s="204" t="s">
        <v>107</v>
      </c>
      <c r="K20" s="205" t="s">
        <v>108</v>
      </c>
      <c r="L20" s="206">
        <v>0.08</v>
      </c>
      <c r="M20" s="207">
        <v>5.3120000000000001E-2</v>
      </c>
      <c r="N20" s="207">
        <v>2.6880000000000001E-2</v>
      </c>
      <c r="O20" s="208">
        <v>0</v>
      </c>
      <c r="P20" s="209">
        <v>2.5000000000000001E-2</v>
      </c>
      <c r="Q20" s="207" t="s">
        <v>93</v>
      </c>
      <c r="R20" s="878">
        <v>0.44900000000000001</v>
      </c>
      <c r="S20" s="878">
        <v>0.15</v>
      </c>
      <c r="T20" s="210" t="s">
        <v>109</v>
      </c>
      <c r="U20" s="211" t="s">
        <v>179</v>
      </c>
      <c r="V20" s="370" t="s">
        <v>96</v>
      </c>
      <c r="W20" s="212" t="s">
        <v>97</v>
      </c>
      <c r="X20" s="213" t="s">
        <v>98</v>
      </c>
      <c r="Y20" s="213" t="s">
        <v>110</v>
      </c>
      <c r="Z20" s="211">
        <v>18</v>
      </c>
      <c r="AA20" s="211">
        <v>65</v>
      </c>
      <c r="AB20" s="211">
        <v>72</v>
      </c>
      <c r="AC20" s="214">
        <v>100000</v>
      </c>
      <c r="AD20" s="212" t="s">
        <v>111</v>
      </c>
      <c r="AE20" s="780">
        <v>25</v>
      </c>
      <c r="AF20" s="781">
        <v>25</v>
      </c>
      <c r="AG20" s="782">
        <v>50</v>
      </c>
      <c r="AH20" s="783">
        <v>7.5</v>
      </c>
      <c r="AI20" s="784">
        <v>17.5</v>
      </c>
      <c r="AJ20" s="783">
        <v>7.5</v>
      </c>
      <c r="AK20" s="784">
        <v>17.5</v>
      </c>
      <c r="AL20" s="746">
        <v>3.0809599999999999E-2</v>
      </c>
      <c r="AM20" s="747">
        <v>1.7529599999999999E-2</v>
      </c>
      <c r="AN20" s="748">
        <v>4.7808E-3</v>
      </c>
      <c r="AO20" s="749">
        <v>5.3120000000000001E-2</v>
      </c>
      <c r="AP20" s="750">
        <v>5.3120000000000001E-2</v>
      </c>
      <c r="AQ20" s="746">
        <v>2.622439024390244E-2</v>
      </c>
      <c r="AR20" s="747">
        <v>0</v>
      </c>
      <c r="AS20" s="748">
        <v>0</v>
      </c>
      <c r="AT20" s="749">
        <v>2.622439024390244E-2</v>
      </c>
      <c r="AU20" s="746">
        <v>2.622439024390244E-2</v>
      </c>
      <c r="AV20" s="747">
        <v>0</v>
      </c>
      <c r="AW20" s="748">
        <v>0</v>
      </c>
      <c r="AX20" s="749">
        <v>2.622439024390244E-2</v>
      </c>
      <c r="AY20" s="751">
        <v>2.6880000000000001E-2</v>
      </c>
      <c r="AZ20" s="751">
        <v>0</v>
      </c>
      <c r="BA20" s="751">
        <v>0</v>
      </c>
      <c r="BB20" s="752">
        <v>2.6880000000000001E-2</v>
      </c>
      <c r="BC20" s="750">
        <v>0.08</v>
      </c>
      <c r="BD20" s="785" t="str">
        <f t="shared" si="0"/>
        <v>AUTO CPI 8.0% , (Public Sector/Self Employed/Non-Workers)</v>
      </c>
      <c r="BE20" s="786">
        <v>6.5000000000000002E-2</v>
      </c>
      <c r="BF20" s="613">
        <v>1.7999999999999999E-2</v>
      </c>
      <c r="BG20" s="787">
        <v>4.7000000000000007E-2</v>
      </c>
    </row>
    <row r="21" spans="1:59" ht="60" customHeight="1" x14ac:dyDescent="0.3">
      <c r="A21" t="s">
        <v>417</v>
      </c>
      <c r="B21" s="1031" t="s">
        <v>185</v>
      </c>
      <c r="C21" s="215" t="s">
        <v>186</v>
      </c>
      <c r="D21" s="216" t="s">
        <v>187</v>
      </c>
      <c r="E21" s="533" t="s">
        <v>188</v>
      </c>
      <c r="F21" s="217" t="s">
        <v>189</v>
      </c>
      <c r="G21" s="216" t="s">
        <v>190</v>
      </c>
      <c r="H21" s="533" t="s">
        <v>191</v>
      </c>
      <c r="I21" s="218" t="s">
        <v>90</v>
      </c>
      <c r="J21" s="219" t="s">
        <v>91</v>
      </c>
      <c r="K21" s="220" t="s">
        <v>92</v>
      </c>
      <c r="L21" s="221">
        <v>3.4999999999999996E-2</v>
      </c>
      <c r="M21" s="222">
        <v>2.0124999999999997E-2</v>
      </c>
      <c r="N21" s="222">
        <v>1.4874999999999998E-2</v>
      </c>
      <c r="O21" s="223">
        <v>0</v>
      </c>
      <c r="P21" s="221">
        <v>2.5000000000000001E-2</v>
      </c>
      <c r="Q21" s="222" t="s">
        <v>93</v>
      </c>
      <c r="R21" s="879">
        <v>0.44900000000000001</v>
      </c>
      <c r="S21" s="879">
        <v>0.15</v>
      </c>
      <c r="T21" s="224" t="s">
        <v>109</v>
      </c>
      <c r="U21" s="221" t="s">
        <v>95</v>
      </c>
      <c r="V21" s="371" t="s">
        <v>264</v>
      </c>
      <c r="W21" s="225" t="s">
        <v>97</v>
      </c>
      <c r="X21" s="226" t="s">
        <v>98</v>
      </c>
      <c r="Y21" s="226" t="s">
        <v>99</v>
      </c>
      <c r="Z21" s="222">
        <v>18</v>
      </c>
      <c r="AA21" s="222">
        <v>65</v>
      </c>
      <c r="AB21" s="222">
        <v>72</v>
      </c>
      <c r="AC21" s="227">
        <v>100000</v>
      </c>
      <c r="AD21" s="228" t="s">
        <v>100</v>
      </c>
      <c r="AE21" s="788">
        <v>17.5</v>
      </c>
      <c r="AF21" s="789">
        <v>17.5</v>
      </c>
      <c r="AG21" s="790">
        <v>35</v>
      </c>
      <c r="AH21" s="791">
        <v>7.5</v>
      </c>
      <c r="AI21" s="792">
        <v>10</v>
      </c>
      <c r="AJ21" s="791">
        <v>7.5</v>
      </c>
      <c r="AK21" s="792">
        <v>10</v>
      </c>
      <c r="AL21" s="717">
        <v>1.2276249999999997E-2</v>
      </c>
      <c r="AM21" s="718">
        <v>7.8487499999999998E-3</v>
      </c>
      <c r="AN21" s="719">
        <v>0</v>
      </c>
      <c r="AO21" s="715">
        <v>2.0124999999999997E-2</v>
      </c>
      <c r="AP21" s="716">
        <v>2.0124999999999997E-2</v>
      </c>
      <c r="AQ21" s="717">
        <v>0</v>
      </c>
      <c r="AR21" s="718">
        <v>1.4512195121951219E-2</v>
      </c>
      <c r="AS21" s="719">
        <v>0</v>
      </c>
      <c r="AT21" s="715">
        <v>1.4512195121951219E-2</v>
      </c>
      <c r="AU21" s="717">
        <v>0</v>
      </c>
      <c r="AV21" s="718">
        <v>1.4512195121951219E-2</v>
      </c>
      <c r="AW21" s="719">
        <v>0</v>
      </c>
      <c r="AX21" s="715">
        <v>1.4512195121951219E-2</v>
      </c>
      <c r="AY21" s="720">
        <v>0</v>
      </c>
      <c r="AZ21" s="720">
        <v>1.4874999999999998E-2</v>
      </c>
      <c r="BA21" s="720">
        <v>0</v>
      </c>
      <c r="BB21" s="721">
        <v>1.4874999999999998E-2</v>
      </c>
      <c r="BC21" s="716">
        <v>3.4999999999999996E-2</v>
      </c>
      <c r="BD21" s="793" t="str">
        <f t="shared" si="0"/>
        <v>FINALISED CPI 3.5% , (Private Sector Employees)</v>
      </c>
      <c r="BE21" s="794">
        <v>9.5000000000000001E-2</v>
      </c>
      <c r="BF21" s="226">
        <v>1.7999999999999999E-2</v>
      </c>
      <c r="BG21" s="795">
        <v>7.6999999999999999E-2</v>
      </c>
    </row>
    <row r="22" spans="1:59" ht="60" customHeight="1" x14ac:dyDescent="0.3">
      <c r="A22" t="s">
        <v>417</v>
      </c>
      <c r="B22" s="1032"/>
      <c r="C22" s="229" t="s">
        <v>192</v>
      </c>
      <c r="D22" s="230" t="s">
        <v>193</v>
      </c>
      <c r="E22" s="534" t="s">
        <v>194</v>
      </c>
      <c r="F22" s="231" t="s">
        <v>195</v>
      </c>
      <c r="G22" s="232" t="s">
        <v>190</v>
      </c>
      <c r="H22" s="534" t="s">
        <v>196</v>
      </c>
      <c r="I22" s="233" t="s">
        <v>106</v>
      </c>
      <c r="J22" s="234" t="s">
        <v>107</v>
      </c>
      <c r="K22" s="234" t="s">
        <v>108</v>
      </c>
      <c r="L22" s="235">
        <v>3.5000000000000003E-2</v>
      </c>
      <c r="M22" s="236">
        <v>2.3240000000000004E-2</v>
      </c>
      <c r="N22" s="236">
        <v>1.1760000000000001E-2</v>
      </c>
      <c r="O22" s="237">
        <v>0</v>
      </c>
      <c r="P22" s="238">
        <v>2.5000000000000001E-2</v>
      </c>
      <c r="Q22" s="236" t="s">
        <v>93</v>
      </c>
      <c r="R22" s="880">
        <v>0.44900000000000001</v>
      </c>
      <c r="S22" s="880">
        <v>0.15</v>
      </c>
      <c r="T22" s="239" t="s">
        <v>109</v>
      </c>
      <c r="U22" s="238" t="s">
        <v>95</v>
      </c>
      <c r="V22" s="372" t="s">
        <v>264</v>
      </c>
      <c r="W22" s="240" t="s">
        <v>97</v>
      </c>
      <c r="X22" s="241" t="s">
        <v>98</v>
      </c>
      <c r="Y22" s="241" t="s">
        <v>110</v>
      </c>
      <c r="Z22" s="242">
        <v>18</v>
      </c>
      <c r="AA22" s="242">
        <v>65</v>
      </c>
      <c r="AB22" s="242">
        <v>72</v>
      </c>
      <c r="AC22" s="243">
        <v>100000</v>
      </c>
      <c r="AD22" s="244" t="s">
        <v>111</v>
      </c>
      <c r="AE22" s="796">
        <v>17.5</v>
      </c>
      <c r="AF22" s="797">
        <v>17.5</v>
      </c>
      <c r="AG22" s="798">
        <v>35</v>
      </c>
      <c r="AH22" s="799">
        <v>7.5</v>
      </c>
      <c r="AI22" s="800">
        <v>10</v>
      </c>
      <c r="AJ22" s="799">
        <v>7.5</v>
      </c>
      <c r="AK22" s="800">
        <v>10</v>
      </c>
      <c r="AL22" s="727">
        <v>1.3479200000000004E-2</v>
      </c>
      <c r="AM22" s="728">
        <v>7.669200000000001E-3</v>
      </c>
      <c r="AN22" s="729">
        <v>2.0916000000000003E-3</v>
      </c>
      <c r="AO22" s="726">
        <v>2.3240000000000004E-2</v>
      </c>
      <c r="AP22" s="722">
        <v>2.3240000000000004E-2</v>
      </c>
      <c r="AQ22" s="727">
        <v>1.1473170731707321E-2</v>
      </c>
      <c r="AR22" s="728">
        <v>0</v>
      </c>
      <c r="AS22" s="729">
        <v>0</v>
      </c>
      <c r="AT22" s="726">
        <v>1.1473170731707321E-2</v>
      </c>
      <c r="AU22" s="727">
        <v>1.1473170731707321E-2</v>
      </c>
      <c r="AV22" s="728">
        <v>0</v>
      </c>
      <c r="AW22" s="729">
        <v>0</v>
      </c>
      <c r="AX22" s="726">
        <v>1.1473170731707321E-2</v>
      </c>
      <c r="AY22" s="720">
        <v>1.1760000000000001E-2</v>
      </c>
      <c r="AZ22" s="720">
        <v>0</v>
      </c>
      <c r="BA22" s="720">
        <v>0</v>
      </c>
      <c r="BB22" s="721">
        <v>1.1760000000000001E-2</v>
      </c>
      <c r="BC22" s="722">
        <v>3.5000000000000003E-2</v>
      </c>
      <c r="BD22" s="801" t="str">
        <f t="shared" si="0"/>
        <v>FINALISED CPI 3.5% , (Public Sector/Self Employed/Non-Workers)</v>
      </c>
      <c r="BE22" s="802">
        <v>9.5000000000000001E-2</v>
      </c>
      <c r="BF22" s="241">
        <v>1.7999999999999999E-2</v>
      </c>
      <c r="BG22" s="803">
        <v>7.6999999999999999E-2</v>
      </c>
    </row>
    <row r="23" spans="1:59" ht="60" customHeight="1" x14ac:dyDescent="0.3">
      <c r="A23" t="s">
        <v>417</v>
      </c>
      <c r="B23" s="1032"/>
      <c r="C23" s="245" t="s">
        <v>197</v>
      </c>
      <c r="D23" s="246" t="s">
        <v>198</v>
      </c>
      <c r="E23" s="535" t="s">
        <v>199</v>
      </c>
      <c r="F23" s="247" t="s">
        <v>200</v>
      </c>
      <c r="G23" s="248" t="s">
        <v>201</v>
      </c>
      <c r="H23" s="535" t="s">
        <v>202</v>
      </c>
      <c r="I23" s="218" t="s">
        <v>90</v>
      </c>
      <c r="J23" s="249" t="s">
        <v>91</v>
      </c>
      <c r="K23" s="249" t="s">
        <v>92</v>
      </c>
      <c r="L23" s="250">
        <v>4.5000000000000012E-2</v>
      </c>
      <c r="M23" s="251">
        <v>2.5875000000000006E-2</v>
      </c>
      <c r="N23" s="251">
        <v>1.9125000000000003E-2</v>
      </c>
      <c r="O23" s="252">
        <v>0</v>
      </c>
      <c r="P23" s="250">
        <v>2.5000000000000001E-2</v>
      </c>
      <c r="Q23" s="251" t="s">
        <v>93</v>
      </c>
      <c r="R23" s="881">
        <v>0.44900000000000001</v>
      </c>
      <c r="S23" s="881">
        <v>0.15</v>
      </c>
      <c r="T23" s="253" t="s">
        <v>109</v>
      </c>
      <c r="U23" s="250" t="s">
        <v>203</v>
      </c>
      <c r="V23" s="372" t="s">
        <v>264</v>
      </c>
      <c r="W23" s="254" t="s">
        <v>97</v>
      </c>
      <c r="X23" s="255" t="s">
        <v>98</v>
      </c>
      <c r="Y23" s="255" t="s">
        <v>99</v>
      </c>
      <c r="Z23" s="256">
        <v>18</v>
      </c>
      <c r="AA23" s="256">
        <v>65</v>
      </c>
      <c r="AB23" s="256">
        <v>72</v>
      </c>
      <c r="AC23" s="257">
        <v>100000</v>
      </c>
      <c r="AD23" s="258" t="s">
        <v>100</v>
      </c>
      <c r="AE23" s="804">
        <v>17.5</v>
      </c>
      <c r="AF23" s="805">
        <v>17.5</v>
      </c>
      <c r="AG23" s="806">
        <v>35</v>
      </c>
      <c r="AH23" s="807">
        <v>7.5</v>
      </c>
      <c r="AI23" s="808">
        <v>10</v>
      </c>
      <c r="AJ23" s="807">
        <v>7.5</v>
      </c>
      <c r="AK23" s="808">
        <v>10</v>
      </c>
      <c r="AL23" s="727">
        <v>1.5783750000000003E-2</v>
      </c>
      <c r="AM23" s="728">
        <v>1.0091250000000003E-2</v>
      </c>
      <c r="AN23" s="729">
        <v>0</v>
      </c>
      <c r="AO23" s="726">
        <v>2.5875000000000006E-2</v>
      </c>
      <c r="AP23" s="722">
        <v>2.5875000000000006E-2</v>
      </c>
      <c r="AQ23" s="727">
        <v>0</v>
      </c>
      <c r="AR23" s="728">
        <v>1.865853658536586E-2</v>
      </c>
      <c r="AS23" s="729">
        <v>0</v>
      </c>
      <c r="AT23" s="726">
        <v>1.865853658536586E-2</v>
      </c>
      <c r="AU23" s="727">
        <v>0</v>
      </c>
      <c r="AV23" s="728">
        <v>1.865853658536586E-2</v>
      </c>
      <c r="AW23" s="729">
        <v>0</v>
      </c>
      <c r="AX23" s="726">
        <v>1.865853658536586E-2</v>
      </c>
      <c r="AY23" s="720">
        <v>0</v>
      </c>
      <c r="AZ23" s="720">
        <v>1.9125000000000003E-2</v>
      </c>
      <c r="BA23" s="720">
        <v>0</v>
      </c>
      <c r="BB23" s="721">
        <v>1.9125000000000003E-2</v>
      </c>
      <c r="BC23" s="722">
        <v>4.5000000000000012E-2</v>
      </c>
      <c r="BD23" s="793" t="str">
        <f t="shared" si="0"/>
        <v>FINALISED CPI 4.5% , (Private Sector Employees)</v>
      </c>
      <c r="BE23" s="809">
        <v>8.3000000000000004E-2</v>
      </c>
      <c r="BF23" s="255">
        <v>1.7999999999999999E-2</v>
      </c>
      <c r="BG23" s="810">
        <v>6.5000000000000002E-2</v>
      </c>
    </row>
    <row r="24" spans="1:59" ht="60" customHeight="1" x14ac:dyDescent="0.3">
      <c r="A24" t="s">
        <v>417</v>
      </c>
      <c r="B24" s="1032"/>
      <c r="C24" s="229" t="s">
        <v>204</v>
      </c>
      <c r="D24" s="230" t="s">
        <v>205</v>
      </c>
      <c r="E24" s="534" t="s">
        <v>206</v>
      </c>
      <c r="F24" s="231" t="s">
        <v>207</v>
      </c>
      <c r="G24" s="232" t="s">
        <v>201</v>
      </c>
      <c r="H24" s="534" t="s">
        <v>208</v>
      </c>
      <c r="I24" s="233" t="s">
        <v>106</v>
      </c>
      <c r="J24" s="234" t="s">
        <v>107</v>
      </c>
      <c r="K24" s="234" t="s">
        <v>108</v>
      </c>
      <c r="L24" s="235">
        <v>4.4999999999999991E-2</v>
      </c>
      <c r="M24" s="236">
        <v>2.9879999999999993E-2</v>
      </c>
      <c r="N24" s="236">
        <v>1.512E-2</v>
      </c>
      <c r="O24" s="237">
        <v>0</v>
      </c>
      <c r="P24" s="238">
        <v>2.5000000000000001E-2</v>
      </c>
      <c r="Q24" s="236" t="s">
        <v>93</v>
      </c>
      <c r="R24" s="880">
        <v>0.44900000000000001</v>
      </c>
      <c r="S24" s="880">
        <v>0.15</v>
      </c>
      <c r="T24" s="239" t="s">
        <v>109</v>
      </c>
      <c r="U24" s="238" t="s">
        <v>203</v>
      </c>
      <c r="V24" s="372" t="s">
        <v>264</v>
      </c>
      <c r="W24" s="240" t="s">
        <v>97</v>
      </c>
      <c r="X24" s="241" t="s">
        <v>98</v>
      </c>
      <c r="Y24" s="241" t="s">
        <v>110</v>
      </c>
      <c r="Z24" s="242">
        <v>18</v>
      </c>
      <c r="AA24" s="242">
        <v>65</v>
      </c>
      <c r="AB24" s="242">
        <v>72</v>
      </c>
      <c r="AC24" s="243">
        <v>100000</v>
      </c>
      <c r="AD24" s="244" t="s">
        <v>111</v>
      </c>
      <c r="AE24" s="796">
        <v>17.5</v>
      </c>
      <c r="AF24" s="797">
        <v>17.5</v>
      </c>
      <c r="AG24" s="798">
        <v>35</v>
      </c>
      <c r="AH24" s="799">
        <v>7.5</v>
      </c>
      <c r="AI24" s="800">
        <v>10</v>
      </c>
      <c r="AJ24" s="799">
        <v>7.5</v>
      </c>
      <c r="AK24" s="800">
        <v>10</v>
      </c>
      <c r="AL24" s="727">
        <v>1.7330399999999996E-2</v>
      </c>
      <c r="AM24" s="728">
        <v>9.8604000000000001E-3</v>
      </c>
      <c r="AN24" s="729">
        <v>2.6891999999999997E-3</v>
      </c>
      <c r="AO24" s="726">
        <v>2.9879999999999993E-2</v>
      </c>
      <c r="AP24" s="722">
        <v>2.9879999999999993E-2</v>
      </c>
      <c r="AQ24" s="727">
        <v>1.4751219512195123E-2</v>
      </c>
      <c r="AR24" s="728">
        <v>0</v>
      </c>
      <c r="AS24" s="729">
        <v>0</v>
      </c>
      <c r="AT24" s="726">
        <v>1.4751219512195123E-2</v>
      </c>
      <c r="AU24" s="727">
        <v>1.4751219512195123E-2</v>
      </c>
      <c r="AV24" s="728">
        <v>0</v>
      </c>
      <c r="AW24" s="729">
        <v>0</v>
      </c>
      <c r="AX24" s="726">
        <v>1.4751219512195123E-2</v>
      </c>
      <c r="AY24" s="720">
        <v>1.512E-2</v>
      </c>
      <c r="AZ24" s="720">
        <v>0</v>
      </c>
      <c r="BA24" s="720">
        <v>0</v>
      </c>
      <c r="BB24" s="721">
        <v>1.512E-2</v>
      </c>
      <c r="BC24" s="722">
        <v>4.4999999999999991E-2</v>
      </c>
      <c r="BD24" s="801" t="str">
        <f t="shared" si="0"/>
        <v>FINALISED CPI 4.5% , (Public Sector/Self Employed/Non-Workers)</v>
      </c>
      <c r="BE24" s="802">
        <v>8.3000000000000004E-2</v>
      </c>
      <c r="BF24" s="241">
        <v>1.7999999999999999E-2</v>
      </c>
      <c r="BG24" s="803">
        <v>6.5000000000000002E-2</v>
      </c>
    </row>
    <row r="25" spans="1:59" ht="60" customHeight="1" x14ac:dyDescent="0.3">
      <c r="A25" t="s">
        <v>417</v>
      </c>
      <c r="B25" s="1032"/>
      <c r="C25" s="245" t="s">
        <v>209</v>
      </c>
      <c r="D25" s="246" t="s">
        <v>210</v>
      </c>
      <c r="E25" s="535" t="s">
        <v>211</v>
      </c>
      <c r="F25" s="247" t="s">
        <v>212</v>
      </c>
      <c r="G25" s="248" t="s">
        <v>213</v>
      </c>
      <c r="H25" s="535" t="s">
        <v>214</v>
      </c>
      <c r="I25" s="218" t="s">
        <v>90</v>
      </c>
      <c r="J25" s="249" t="s">
        <v>91</v>
      </c>
      <c r="K25" s="249" t="s">
        <v>92</v>
      </c>
      <c r="L25" s="250">
        <v>5.9999999999999984E-2</v>
      </c>
      <c r="M25" s="251">
        <v>3.4499999999999989E-2</v>
      </c>
      <c r="N25" s="251">
        <v>2.5499999999999995E-2</v>
      </c>
      <c r="O25" s="252">
        <v>0</v>
      </c>
      <c r="P25" s="250">
        <v>2.5000000000000001E-2</v>
      </c>
      <c r="Q25" s="251" t="s">
        <v>93</v>
      </c>
      <c r="R25" s="881">
        <v>0.44900000000000001</v>
      </c>
      <c r="S25" s="881">
        <v>0.15</v>
      </c>
      <c r="T25" s="253" t="s">
        <v>109</v>
      </c>
      <c r="U25" s="250" t="s">
        <v>215</v>
      </c>
      <c r="V25" s="372" t="s">
        <v>264</v>
      </c>
      <c r="W25" s="254" t="s">
        <v>97</v>
      </c>
      <c r="X25" s="255" t="s">
        <v>98</v>
      </c>
      <c r="Y25" s="255" t="s">
        <v>99</v>
      </c>
      <c r="Z25" s="256">
        <v>18</v>
      </c>
      <c r="AA25" s="256">
        <v>65</v>
      </c>
      <c r="AB25" s="256">
        <v>72</v>
      </c>
      <c r="AC25" s="257">
        <v>100000</v>
      </c>
      <c r="AD25" s="258" t="s">
        <v>100</v>
      </c>
      <c r="AE25" s="804">
        <v>17.5</v>
      </c>
      <c r="AF25" s="805">
        <v>17.5</v>
      </c>
      <c r="AG25" s="806">
        <v>35</v>
      </c>
      <c r="AH25" s="807">
        <v>7.5</v>
      </c>
      <c r="AI25" s="808">
        <v>10</v>
      </c>
      <c r="AJ25" s="807">
        <v>7.5</v>
      </c>
      <c r="AK25" s="808">
        <v>10</v>
      </c>
      <c r="AL25" s="727">
        <v>2.1044999999999991E-2</v>
      </c>
      <c r="AM25" s="728">
        <v>1.3454999999999996E-2</v>
      </c>
      <c r="AN25" s="729">
        <v>0</v>
      </c>
      <c r="AO25" s="726">
        <v>3.4499999999999989E-2</v>
      </c>
      <c r="AP25" s="722">
        <v>3.4499999999999989E-2</v>
      </c>
      <c r="AQ25" s="727">
        <v>0</v>
      </c>
      <c r="AR25" s="728">
        <v>2.4878048780487803E-2</v>
      </c>
      <c r="AS25" s="729">
        <v>0</v>
      </c>
      <c r="AT25" s="726">
        <v>2.4878048780487803E-2</v>
      </c>
      <c r="AU25" s="727">
        <v>0</v>
      </c>
      <c r="AV25" s="728">
        <v>2.4878048780487803E-2</v>
      </c>
      <c r="AW25" s="729">
        <v>0</v>
      </c>
      <c r="AX25" s="726">
        <v>2.4878048780487803E-2</v>
      </c>
      <c r="AY25" s="720">
        <v>0</v>
      </c>
      <c r="AZ25" s="720">
        <v>2.5499999999999995E-2</v>
      </c>
      <c r="BA25" s="720">
        <v>0</v>
      </c>
      <c r="BB25" s="721">
        <v>2.5499999999999995E-2</v>
      </c>
      <c r="BC25" s="722">
        <v>5.9999999999999984E-2</v>
      </c>
      <c r="BD25" s="793" t="str">
        <f t="shared" si="0"/>
        <v>FINALISED CPI 6.0% , (Private Sector Employees)</v>
      </c>
      <c r="BE25" s="809">
        <v>7.2999999999999995E-2</v>
      </c>
      <c r="BF25" s="255">
        <v>1.7999999999999999E-2</v>
      </c>
      <c r="BG25" s="810">
        <v>5.5E-2</v>
      </c>
    </row>
    <row r="26" spans="1:59" ht="60" customHeight="1" thickBot="1" x14ac:dyDescent="0.35">
      <c r="A26" t="s">
        <v>417</v>
      </c>
      <c r="B26" s="1033"/>
      <c r="C26" s="259" t="s">
        <v>216</v>
      </c>
      <c r="D26" s="260" t="s">
        <v>217</v>
      </c>
      <c r="E26" s="536" t="s">
        <v>218</v>
      </c>
      <c r="F26" s="261" t="s">
        <v>219</v>
      </c>
      <c r="G26" s="262" t="s">
        <v>213</v>
      </c>
      <c r="H26" s="536" t="s">
        <v>220</v>
      </c>
      <c r="I26" s="263" t="s">
        <v>106</v>
      </c>
      <c r="J26" s="264" t="s">
        <v>107</v>
      </c>
      <c r="K26" s="265" t="s">
        <v>108</v>
      </c>
      <c r="L26" s="266">
        <v>0.06</v>
      </c>
      <c r="M26" s="267">
        <v>3.984E-2</v>
      </c>
      <c r="N26" s="267">
        <v>2.0159999999999997E-2</v>
      </c>
      <c r="O26" s="268">
        <v>0</v>
      </c>
      <c r="P26" s="269">
        <v>2.5000000000000001E-2</v>
      </c>
      <c r="Q26" s="267" t="s">
        <v>93</v>
      </c>
      <c r="R26" s="882">
        <v>0.44900000000000001</v>
      </c>
      <c r="S26" s="882">
        <v>0.15</v>
      </c>
      <c r="T26" s="270" t="s">
        <v>109</v>
      </c>
      <c r="U26" s="269" t="s">
        <v>215</v>
      </c>
      <c r="V26" s="373" t="s">
        <v>264</v>
      </c>
      <c r="W26" s="271" t="s">
        <v>97</v>
      </c>
      <c r="X26" s="272" t="s">
        <v>98</v>
      </c>
      <c r="Y26" s="272" t="s">
        <v>110</v>
      </c>
      <c r="Z26" s="267">
        <v>18</v>
      </c>
      <c r="AA26" s="267">
        <v>65</v>
      </c>
      <c r="AB26" s="267">
        <v>72</v>
      </c>
      <c r="AC26" s="273">
        <v>100000</v>
      </c>
      <c r="AD26" s="274" t="s">
        <v>111</v>
      </c>
      <c r="AE26" s="811">
        <v>17.5</v>
      </c>
      <c r="AF26" s="812">
        <v>17.5</v>
      </c>
      <c r="AG26" s="813">
        <v>35</v>
      </c>
      <c r="AH26" s="814">
        <v>7.5</v>
      </c>
      <c r="AI26" s="815">
        <v>10</v>
      </c>
      <c r="AJ26" s="814">
        <v>7.5</v>
      </c>
      <c r="AK26" s="815">
        <v>10</v>
      </c>
      <c r="AL26" s="746">
        <v>2.3107199999999998E-2</v>
      </c>
      <c r="AM26" s="747">
        <v>1.31472E-2</v>
      </c>
      <c r="AN26" s="748">
        <v>3.5855999999999996E-3</v>
      </c>
      <c r="AO26" s="749">
        <v>3.984E-2</v>
      </c>
      <c r="AP26" s="750">
        <v>3.984E-2</v>
      </c>
      <c r="AQ26" s="746">
        <v>1.966829268292683E-2</v>
      </c>
      <c r="AR26" s="747">
        <v>0</v>
      </c>
      <c r="AS26" s="748">
        <v>0</v>
      </c>
      <c r="AT26" s="749">
        <v>1.966829268292683E-2</v>
      </c>
      <c r="AU26" s="746">
        <v>1.966829268292683E-2</v>
      </c>
      <c r="AV26" s="747">
        <v>0</v>
      </c>
      <c r="AW26" s="748">
        <v>0</v>
      </c>
      <c r="AX26" s="749">
        <v>1.966829268292683E-2</v>
      </c>
      <c r="AY26" s="751">
        <v>2.0159999999999997E-2</v>
      </c>
      <c r="AZ26" s="751">
        <v>0</v>
      </c>
      <c r="BA26" s="751">
        <v>0</v>
      </c>
      <c r="BB26" s="752">
        <v>2.0159999999999997E-2</v>
      </c>
      <c r="BC26" s="750">
        <v>0.06</v>
      </c>
      <c r="BD26" s="816" t="str">
        <f t="shared" si="0"/>
        <v>FINALISED CPI 6.0% , (Public Sector/Self Employed/Non-Workers)</v>
      </c>
      <c r="BE26" s="817">
        <v>7.2999999999999995E-2</v>
      </c>
      <c r="BF26" s="272">
        <v>1.7999999999999999E-2</v>
      </c>
      <c r="BG26" s="818">
        <v>5.5E-2</v>
      </c>
    </row>
    <row r="27" spans="1:59" ht="60" customHeight="1" x14ac:dyDescent="0.3">
      <c r="A27" t="s">
        <v>417</v>
      </c>
      <c r="B27" s="1025" t="s">
        <v>11</v>
      </c>
      <c r="C27" s="275" t="s">
        <v>221</v>
      </c>
      <c r="D27" s="276" t="s">
        <v>222</v>
      </c>
      <c r="E27" s="537" t="s">
        <v>223</v>
      </c>
      <c r="F27" s="277" t="s">
        <v>224</v>
      </c>
      <c r="G27" s="278" t="s">
        <v>225</v>
      </c>
      <c r="H27" s="537" t="s">
        <v>226</v>
      </c>
      <c r="I27" s="361"/>
      <c r="J27" s="279" t="s">
        <v>227</v>
      </c>
      <c r="K27" s="280" t="s">
        <v>228</v>
      </c>
      <c r="L27" s="281">
        <v>4.4999999999999998E-2</v>
      </c>
      <c r="M27" s="282">
        <v>3.4875000000000003E-2</v>
      </c>
      <c r="N27" s="282">
        <v>1.0124999999999999E-2</v>
      </c>
      <c r="O27" s="283">
        <v>0</v>
      </c>
      <c r="P27" s="284">
        <v>2.5000000000000001E-2</v>
      </c>
      <c r="Q27" s="285" t="s">
        <v>229</v>
      </c>
      <c r="R27" s="883">
        <v>0.44900000000000001</v>
      </c>
      <c r="S27" s="883">
        <v>0.15</v>
      </c>
      <c r="T27" s="286" t="s">
        <v>109</v>
      </c>
      <c r="U27" s="287" t="s">
        <v>230</v>
      </c>
      <c r="V27" s="374" t="s">
        <v>231</v>
      </c>
      <c r="W27" s="288" t="s">
        <v>97</v>
      </c>
      <c r="X27" s="289" t="s">
        <v>98</v>
      </c>
      <c r="Y27" s="289" t="s">
        <v>110</v>
      </c>
      <c r="Z27" s="287">
        <v>18</v>
      </c>
      <c r="AA27" s="287">
        <v>65</v>
      </c>
      <c r="AB27" s="287">
        <v>70</v>
      </c>
      <c r="AC27" s="290">
        <v>100000</v>
      </c>
      <c r="AD27" s="288" t="s">
        <v>232</v>
      </c>
      <c r="AE27" s="819">
        <v>20.5</v>
      </c>
      <c r="AF27" s="820">
        <v>20.5</v>
      </c>
      <c r="AG27" s="821">
        <v>41</v>
      </c>
      <c r="AH27" s="822">
        <v>7.5</v>
      </c>
      <c r="AI27" s="823">
        <v>13</v>
      </c>
      <c r="AJ27" s="822">
        <v>7.5</v>
      </c>
      <c r="AK27" s="823">
        <v>13</v>
      </c>
      <c r="AL27" s="717">
        <v>2.325E-2</v>
      </c>
      <c r="AM27" s="718">
        <v>1.1625E-2</v>
      </c>
      <c r="AN27" s="719">
        <v>0</v>
      </c>
      <c r="AO27" s="715">
        <v>3.4875000000000003E-2</v>
      </c>
      <c r="AP27" s="716">
        <v>3.4875000000000003E-2</v>
      </c>
      <c r="AQ27" s="717">
        <v>9.878048780487805E-3</v>
      </c>
      <c r="AR27" s="718">
        <v>0</v>
      </c>
      <c r="AS27" s="719">
        <v>0</v>
      </c>
      <c r="AT27" s="715">
        <v>9.878048780487805E-3</v>
      </c>
      <c r="AU27" s="717">
        <v>9.878048780487805E-3</v>
      </c>
      <c r="AV27" s="718">
        <v>0</v>
      </c>
      <c r="AW27" s="719">
        <v>0</v>
      </c>
      <c r="AX27" s="715">
        <v>9.878048780487805E-3</v>
      </c>
      <c r="AY27" s="720">
        <v>1.0124999999999999E-2</v>
      </c>
      <c r="AZ27" s="720">
        <v>0</v>
      </c>
      <c r="BA27" s="720">
        <v>0</v>
      </c>
      <c r="BB27" s="721">
        <v>1.0124999999999999E-2</v>
      </c>
      <c r="BC27" s="716">
        <v>4.4999999999999998E-2</v>
      </c>
      <c r="BD27" s="824" t="str">
        <f>G27</f>
        <v>LEASING CPI 4.5%</v>
      </c>
      <c r="BE27" s="825">
        <v>7.2999999999999995E-2</v>
      </c>
      <c r="BF27" s="645">
        <v>1.7999999999999999E-2</v>
      </c>
      <c r="BG27" s="826">
        <v>5.5E-2</v>
      </c>
    </row>
    <row r="28" spans="1:59" ht="67.5" customHeight="1" thickBot="1" x14ac:dyDescent="0.35">
      <c r="A28" t="s">
        <v>417</v>
      </c>
      <c r="B28" s="1026"/>
      <c r="C28" s="291" t="s">
        <v>233</v>
      </c>
      <c r="D28" s="292" t="s">
        <v>234</v>
      </c>
      <c r="E28" s="538" t="s">
        <v>235</v>
      </c>
      <c r="F28" s="293" t="s">
        <v>236</v>
      </c>
      <c r="G28" s="294" t="s">
        <v>225</v>
      </c>
      <c r="H28" s="538" t="s">
        <v>237</v>
      </c>
      <c r="I28" s="362"/>
      <c r="J28" s="295" t="s">
        <v>227</v>
      </c>
      <c r="K28" s="296" t="s">
        <v>228</v>
      </c>
      <c r="L28" s="297">
        <v>4.4999999999999998E-2</v>
      </c>
      <c r="M28" s="298">
        <v>3.4875000000000003E-2</v>
      </c>
      <c r="N28" s="298">
        <v>1.0124999999999999E-2</v>
      </c>
      <c r="O28" s="299">
        <v>0</v>
      </c>
      <c r="P28" s="300">
        <v>2.5000000000000001E-2</v>
      </c>
      <c r="Q28" s="301" t="s">
        <v>229</v>
      </c>
      <c r="R28" s="884">
        <v>0.44900000000000001</v>
      </c>
      <c r="S28" s="884">
        <v>0.15</v>
      </c>
      <c r="T28" s="302" t="s">
        <v>109</v>
      </c>
      <c r="U28" s="303" t="s">
        <v>230</v>
      </c>
      <c r="V28" s="375" t="s">
        <v>231</v>
      </c>
      <c r="W28" s="304" t="s">
        <v>97</v>
      </c>
      <c r="X28" s="305" t="s">
        <v>98</v>
      </c>
      <c r="Y28" s="305" t="s">
        <v>110</v>
      </c>
      <c r="Z28" s="303">
        <v>18</v>
      </c>
      <c r="AA28" s="303">
        <v>65</v>
      </c>
      <c r="AB28" s="303">
        <v>70</v>
      </c>
      <c r="AC28" s="306">
        <v>100000</v>
      </c>
      <c r="AD28" s="304" t="s">
        <v>232</v>
      </c>
      <c r="AE28" s="827">
        <v>20.5</v>
      </c>
      <c r="AF28" s="828">
        <v>20.5</v>
      </c>
      <c r="AG28" s="829">
        <v>41</v>
      </c>
      <c r="AH28" s="830">
        <v>7.5</v>
      </c>
      <c r="AI28" s="831">
        <v>13</v>
      </c>
      <c r="AJ28" s="830">
        <v>7.5</v>
      </c>
      <c r="AK28" s="831">
        <v>13</v>
      </c>
      <c r="AL28" s="746">
        <v>2.325E-2</v>
      </c>
      <c r="AM28" s="747">
        <v>1.1625E-2</v>
      </c>
      <c r="AN28" s="748">
        <v>0</v>
      </c>
      <c r="AO28" s="749">
        <v>3.4875000000000003E-2</v>
      </c>
      <c r="AP28" s="750">
        <v>3.4875000000000003E-2</v>
      </c>
      <c r="AQ28" s="746">
        <v>9.878048780487805E-3</v>
      </c>
      <c r="AR28" s="747">
        <v>0</v>
      </c>
      <c r="AS28" s="748">
        <v>0</v>
      </c>
      <c r="AT28" s="749">
        <v>9.878048780487805E-3</v>
      </c>
      <c r="AU28" s="746">
        <v>9.878048780487805E-3</v>
      </c>
      <c r="AV28" s="747">
        <v>0</v>
      </c>
      <c r="AW28" s="748">
        <v>0</v>
      </c>
      <c r="AX28" s="749">
        <v>9.878048780487805E-3</v>
      </c>
      <c r="AY28" s="751">
        <v>1.0124999999999999E-2</v>
      </c>
      <c r="AZ28" s="751">
        <v>0</v>
      </c>
      <c r="BA28" s="751">
        <v>0</v>
      </c>
      <c r="BB28" s="752">
        <v>1.0124999999999999E-2</v>
      </c>
      <c r="BC28" s="750">
        <v>4.4999999999999998E-2</v>
      </c>
      <c r="BD28" s="832" t="str">
        <f>G28</f>
        <v>LEASING CPI 4.5%</v>
      </c>
      <c r="BE28" s="833">
        <v>7.2999999999999995E-2</v>
      </c>
      <c r="BF28" s="653">
        <v>1.7999999999999999E-2</v>
      </c>
      <c r="BG28" s="834">
        <v>5.5E-2</v>
      </c>
    </row>
    <row r="29" spans="1:59" ht="60" customHeight="1" x14ac:dyDescent="0.3">
      <c r="A29" s="307" t="s">
        <v>417</v>
      </c>
      <c r="B29" s="308" t="s">
        <v>10</v>
      </c>
      <c r="C29" s="309" t="s">
        <v>238</v>
      </c>
      <c r="D29" s="310" t="s">
        <v>248</v>
      </c>
      <c r="E29" s="539" t="s">
        <v>240</v>
      </c>
      <c r="F29" s="483" t="s">
        <v>323</v>
      </c>
      <c r="G29" s="311" t="s">
        <v>241</v>
      </c>
      <c r="H29" s="539" t="s">
        <v>242</v>
      </c>
      <c r="I29" s="363"/>
      <c r="J29" s="312" t="s">
        <v>243</v>
      </c>
      <c r="K29" s="313" t="s">
        <v>244</v>
      </c>
      <c r="L29" s="314">
        <v>0.08</v>
      </c>
      <c r="M29" s="315">
        <v>7.5563405779431311E-2</v>
      </c>
      <c r="N29" s="315">
        <v>4.4365942205686903E-3</v>
      </c>
      <c r="O29" s="316">
        <v>0</v>
      </c>
      <c r="P29" s="317">
        <v>2.5000000000000001E-2</v>
      </c>
      <c r="Q29" s="315" t="s">
        <v>93</v>
      </c>
      <c r="R29" s="885">
        <v>0.26</v>
      </c>
      <c r="S29" s="885">
        <v>0</v>
      </c>
      <c r="T29" s="318" t="s">
        <v>109</v>
      </c>
      <c r="U29" s="319" t="s">
        <v>245</v>
      </c>
      <c r="V29" s="376" t="s">
        <v>96</v>
      </c>
      <c r="W29" s="320" t="s">
        <v>97</v>
      </c>
      <c r="X29" s="321" t="s">
        <v>98</v>
      </c>
      <c r="Y29" s="321" t="s">
        <v>110</v>
      </c>
      <c r="Z29" s="319">
        <v>60</v>
      </c>
      <c r="AA29" s="319">
        <v>70</v>
      </c>
      <c r="AB29" s="319">
        <v>75</v>
      </c>
      <c r="AC29" s="322">
        <v>100000</v>
      </c>
      <c r="AD29" s="320" t="s">
        <v>246</v>
      </c>
      <c r="AE29" s="835">
        <v>25</v>
      </c>
      <c r="AF29" s="836">
        <v>25</v>
      </c>
      <c r="AG29" s="837">
        <v>50</v>
      </c>
      <c r="AH29" s="838">
        <v>7.5</v>
      </c>
      <c r="AI29" s="839">
        <v>17.5</v>
      </c>
      <c r="AJ29" s="838">
        <v>7.5</v>
      </c>
      <c r="AK29" s="839">
        <v>17.5</v>
      </c>
      <c r="AL29" s="717">
        <v>7.5563405779431311E-2</v>
      </c>
      <c r="AM29" s="718">
        <v>0</v>
      </c>
      <c r="AN29" s="719">
        <v>0</v>
      </c>
      <c r="AO29" s="715">
        <v>7.5563405779431311E-2</v>
      </c>
      <c r="AP29" s="716">
        <v>7.5563405779431311E-2</v>
      </c>
      <c r="AQ29" s="717">
        <v>0</v>
      </c>
      <c r="AR29" s="718">
        <v>0</v>
      </c>
      <c r="AS29" s="719">
        <v>4.328384605432869E-3</v>
      </c>
      <c r="AT29" s="715">
        <v>4.328384605432869E-3</v>
      </c>
      <c r="AU29" s="717">
        <v>0</v>
      </c>
      <c r="AV29" s="718">
        <v>0</v>
      </c>
      <c r="AW29" s="719">
        <v>4.328384605432869E-3</v>
      </c>
      <c r="AX29" s="715">
        <v>4.328384605432869E-3</v>
      </c>
      <c r="AY29" s="840">
        <v>0</v>
      </c>
      <c r="AZ29" s="840">
        <v>0</v>
      </c>
      <c r="BA29" s="840">
        <v>4.4365942205686903E-3</v>
      </c>
      <c r="BB29" s="841">
        <v>4.4365942205686903E-3</v>
      </c>
      <c r="BC29" s="716">
        <v>0.08</v>
      </c>
      <c r="BD29" s="842" t="str">
        <f>G29</f>
        <v>SENIOR AUTO CPI 8.0%</v>
      </c>
      <c r="BE29" s="843">
        <v>0.08</v>
      </c>
      <c r="BF29" s="662">
        <v>1.44E-2</v>
      </c>
      <c r="BG29" s="844">
        <v>6.5600000000000006E-2</v>
      </c>
    </row>
    <row r="30" spans="1:59" ht="60" customHeight="1" thickBot="1" x14ac:dyDescent="0.35">
      <c r="A30" s="670" t="s">
        <v>417</v>
      </c>
      <c r="B30" s="323"/>
      <c r="C30" s="324" t="s">
        <v>247</v>
      </c>
      <c r="D30" s="325" t="s">
        <v>239</v>
      </c>
      <c r="E30" s="540" t="s">
        <v>249</v>
      </c>
      <c r="F30" s="484" t="s">
        <v>324</v>
      </c>
      <c r="G30" s="326" t="s">
        <v>250</v>
      </c>
      <c r="H30" s="540" t="s">
        <v>251</v>
      </c>
      <c r="I30" s="364"/>
      <c r="J30" s="327" t="s">
        <v>243</v>
      </c>
      <c r="K30" s="327" t="s">
        <v>244</v>
      </c>
      <c r="L30" s="328">
        <v>0.08</v>
      </c>
      <c r="M30" s="329">
        <v>7.5563405779431311E-2</v>
      </c>
      <c r="N30" s="329">
        <v>4.4365942205686903E-3</v>
      </c>
      <c r="O30" s="330">
        <v>0</v>
      </c>
      <c r="P30" s="331">
        <v>2.5000000000000001E-2</v>
      </c>
      <c r="Q30" s="329" t="s">
        <v>93</v>
      </c>
      <c r="R30" s="886">
        <v>0.26</v>
      </c>
      <c r="S30" s="886">
        <v>0</v>
      </c>
      <c r="T30" s="332" t="s">
        <v>109</v>
      </c>
      <c r="U30" s="333" t="s">
        <v>245</v>
      </c>
      <c r="V30" s="377" t="s">
        <v>96</v>
      </c>
      <c r="W30" s="334" t="s">
        <v>97</v>
      </c>
      <c r="X30" s="335" t="s">
        <v>98</v>
      </c>
      <c r="Y30" s="335" t="s">
        <v>110</v>
      </c>
      <c r="Z30" s="333">
        <v>60</v>
      </c>
      <c r="AA30" s="333">
        <v>70</v>
      </c>
      <c r="AB30" s="333">
        <v>75</v>
      </c>
      <c r="AC30" s="336">
        <v>100000</v>
      </c>
      <c r="AD30" s="334" t="s">
        <v>246</v>
      </c>
      <c r="AE30" s="845">
        <v>25</v>
      </c>
      <c r="AF30" s="846">
        <v>25</v>
      </c>
      <c r="AG30" s="847">
        <v>50</v>
      </c>
      <c r="AH30" s="848">
        <v>7.5</v>
      </c>
      <c r="AI30" s="849">
        <v>17.5</v>
      </c>
      <c r="AJ30" s="848">
        <v>7.5</v>
      </c>
      <c r="AK30" s="849">
        <v>17.5</v>
      </c>
      <c r="AL30" s="746">
        <v>7.5563405779431311E-2</v>
      </c>
      <c r="AM30" s="747">
        <v>0</v>
      </c>
      <c r="AN30" s="748">
        <v>0</v>
      </c>
      <c r="AO30" s="749">
        <v>7.5563405779431311E-2</v>
      </c>
      <c r="AP30" s="750">
        <v>7.5563405779431311E-2</v>
      </c>
      <c r="AQ30" s="746">
        <v>0</v>
      </c>
      <c r="AR30" s="747">
        <v>0</v>
      </c>
      <c r="AS30" s="748">
        <v>4.328384605432869E-3</v>
      </c>
      <c r="AT30" s="749">
        <v>4.328384605432869E-3</v>
      </c>
      <c r="AU30" s="746">
        <v>0</v>
      </c>
      <c r="AV30" s="747">
        <v>0</v>
      </c>
      <c r="AW30" s="748">
        <v>4.328384605432869E-3</v>
      </c>
      <c r="AX30" s="749">
        <v>4.328384605432869E-3</v>
      </c>
      <c r="AY30" s="751">
        <v>0</v>
      </c>
      <c r="AZ30" s="751">
        <v>0</v>
      </c>
      <c r="BA30" s="751">
        <v>4.4365942205686903E-3</v>
      </c>
      <c r="BB30" s="752">
        <v>4.4365942205686903E-3</v>
      </c>
      <c r="BC30" s="750">
        <v>0.08</v>
      </c>
      <c r="BD30" s="850" t="str">
        <f>G30</f>
        <v>SENIOR PERSONAL LOAN CPI 8.0%</v>
      </c>
      <c r="BE30" s="851">
        <v>0.08</v>
      </c>
      <c r="BF30" s="669">
        <v>1.44E-2</v>
      </c>
      <c r="BG30" s="852">
        <v>6.5600000000000006E-2</v>
      </c>
    </row>
    <row r="31" spans="1:59" s="546" customFormat="1" ht="108.75" customHeight="1" x14ac:dyDescent="0.3">
      <c r="A31" s="546" t="s">
        <v>416</v>
      </c>
      <c r="B31" s="1035" t="s">
        <v>325</v>
      </c>
      <c r="C31" s="485" t="s">
        <v>326</v>
      </c>
      <c r="D31" s="486" t="s">
        <v>326</v>
      </c>
      <c r="E31" s="487" t="s">
        <v>326</v>
      </c>
      <c r="F31" s="680" t="s">
        <v>343</v>
      </c>
      <c r="G31" s="548" t="s">
        <v>345</v>
      </c>
      <c r="H31" s="547" t="s">
        <v>344</v>
      </c>
      <c r="I31" s="494" t="s">
        <v>90</v>
      </c>
      <c r="J31" s="549" t="s">
        <v>346</v>
      </c>
      <c r="K31" s="549" t="s">
        <v>346</v>
      </c>
      <c r="L31" s="497">
        <v>4.4999999999999998E-2</v>
      </c>
      <c r="M31" s="498">
        <v>2.6999999999999996E-2</v>
      </c>
      <c r="N31" s="498">
        <v>1.7999999999999999E-2</v>
      </c>
      <c r="O31" s="499">
        <v>0</v>
      </c>
      <c r="P31" s="499">
        <v>2.5000000000000001E-2</v>
      </c>
      <c r="Q31" s="498" t="s">
        <v>93</v>
      </c>
      <c r="R31" s="868">
        <v>0.43</v>
      </c>
      <c r="S31" s="543">
        <v>0.12</v>
      </c>
      <c r="T31" s="505" t="s">
        <v>335</v>
      </c>
      <c r="U31" s="506" t="s">
        <v>245</v>
      </c>
      <c r="V31" s="1004" t="s">
        <v>96</v>
      </c>
      <c r="W31" s="507" t="s">
        <v>97</v>
      </c>
      <c r="X31" s="511" t="s">
        <v>98</v>
      </c>
      <c r="Y31" s="511" t="s">
        <v>337</v>
      </c>
      <c r="Z31" s="512">
        <v>18</v>
      </c>
      <c r="AA31" s="511" t="s">
        <v>338</v>
      </c>
      <c r="AB31" s="511" t="s">
        <v>339</v>
      </c>
      <c r="AC31" s="689">
        <v>100000</v>
      </c>
      <c r="AD31" s="511" t="s">
        <v>100</v>
      </c>
      <c r="AE31" s="700">
        <v>25</v>
      </c>
      <c r="AF31" s="700">
        <v>25</v>
      </c>
      <c r="AG31" s="708">
        <v>50</v>
      </c>
      <c r="AH31" s="701">
        <v>7.5</v>
      </c>
      <c r="AI31" s="702">
        <v>17.5</v>
      </c>
      <c r="AJ31" s="703">
        <v>7.5</v>
      </c>
      <c r="AK31" s="700">
        <v>17.5</v>
      </c>
      <c r="AL31" s="712">
        <v>1.6469999999999999E-2</v>
      </c>
      <c r="AM31" s="713">
        <v>1.0529999999999999E-2</v>
      </c>
      <c r="AN31" s="714">
        <v>0</v>
      </c>
      <c r="AO31" s="715">
        <v>2.6999999999999996E-2</v>
      </c>
      <c r="AP31" s="716">
        <v>2.6999999999999996E-2</v>
      </c>
      <c r="AQ31" s="717">
        <v>0</v>
      </c>
      <c r="AR31" s="718">
        <v>1.7560975609756096E-2</v>
      </c>
      <c r="AS31" s="719">
        <v>0</v>
      </c>
      <c r="AT31" s="715">
        <v>1.7560975609756096E-2</v>
      </c>
      <c r="AU31" s="717">
        <v>0</v>
      </c>
      <c r="AV31" s="718">
        <v>1.7560975609756096E-2</v>
      </c>
      <c r="AW31" s="719">
        <v>0</v>
      </c>
      <c r="AX31" s="715">
        <v>1.7560975609756096E-2</v>
      </c>
      <c r="AY31" s="840">
        <v>0</v>
      </c>
      <c r="AZ31" s="840">
        <v>1.7999999999999999E-2</v>
      </c>
      <c r="BA31" s="840">
        <v>0</v>
      </c>
      <c r="BB31" s="841">
        <v>1.7999999999999999E-2</v>
      </c>
      <c r="BC31" s="716">
        <v>4.4999999999999991E-2</v>
      </c>
      <c r="BD31" s="520" t="s">
        <v>420</v>
      </c>
      <c r="BE31" s="522">
        <v>8.4999999999999992E-2</v>
      </c>
      <c r="BF31" s="518">
        <v>1.7999999999999999E-2</v>
      </c>
      <c r="BG31" s="518">
        <v>6.699999999999999E-2</v>
      </c>
    </row>
    <row r="32" spans="1:59" s="546" customFormat="1" ht="108.75" customHeight="1" thickBot="1" x14ac:dyDescent="0.35">
      <c r="A32" s="546" t="s">
        <v>416</v>
      </c>
      <c r="B32" s="1036"/>
      <c r="C32" s="490" t="s">
        <v>326</v>
      </c>
      <c r="D32" s="491" t="s">
        <v>326</v>
      </c>
      <c r="E32" s="492" t="s">
        <v>326</v>
      </c>
      <c r="F32" s="681" t="s">
        <v>348</v>
      </c>
      <c r="G32" s="679" t="s">
        <v>345</v>
      </c>
      <c r="H32" s="550" t="s">
        <v>349</v>
      </c>
      <c r="I32" s="495" t="s">
        <v>106</v>
      </c>
      <c r="J32" s="551" t="s">
        <v>346</v>
      </c>
      <c r="K32" s="551" t="s">
        <v>346</v>
      </c>
      <c r="L32" s="501">
        <v>4.4999999999999998E-2</v>
      </c>
      <c r="M32" s="502">
        <v>2.988E-2</v>
      </c>
      <c r="N32" s="502">
        <v>1.5120000000000003E-2</v>
      </c>
      <c r="O32" s="503">
        <v>0</v>
      </c>
      <c r="P32" s="504">
        <v>2.5000000000000001E-2</v>
      </c>
      <c r="Q32" s="502" t="s">
        <v>93</v>
      </c>
      <c r="R32" s="869">
        <v>0.43</v>
      </c>
      <c r="S32" s="544">
        <v>0.12</v>
      </c>
      <c r="T32" s="508" t="s">
        <v>336</v>
      </c>
      <c r="U32" s="509" t="s">
        <v>245</v>
      </c>
      <c r="V32" s="1005"/>
      <c r="W32" s="510" t="s">
        <v>97</v>
      </c>
      <c r="X32" s="513" t="s">
        <v>98</v>
      </c>
      <c r="Y32" s="513" t="s">
        <v>340</v>
      </c>
      <c r="Z32" s="514">
        <v>18</v>
      </c>
      <c r="AA32" s="513" t="s">
        <v>338</v>
      </c>
      <c r="AB32" s="513" t="s">
        <v>339</v>
      </c>
      <c r="AC32" s="690">
        <v>100000</v>
      </c>
      <c r="AD32" s="513" t="s">
        <v>111</v>
      </c>
      <c r="AE32" s="704">
        <v>25</v>
      </c>
      <c r="AF32" s="704">
        <v>25</v>
      </c>
      <c r="AG32" s="709">
        <v>50</v>
      </c>
      <c r="AH32" s="705">
        <v>7.5</v>
      </c>
      <c r="AI32" s="706">
        <v>17.5</v>
      </c>
      <c r="AJ32" s="707">
        <v>7.5</v>
      </c>
      <c r="AK32" s="704">
        <v>17.5</v>
      </c>
      <c r="AL32" s="723">
        <v>1.7330399999999999E-2</v>
      </c>
      <c r="AM32" s="724">
        <v>9.8604000000000018E-3</v>
      </c>
      <c r="AN32" s="725">
        <v>2.6892000000000001E-3</v>
      </c>
      <c r="AO32" s="726">
        <v>2.988E-2</v>
      </c>
      <c r="AP32" s="722">
        <v>2.988E-2</v>
      </c>
      <c r="AQ32" s="727">
        <v>1.4751219512195126E-2</v>
      </c>
      <c r="AR32" s="728">
        <v>0</v>
      </c>
      <c r="AS32" s="729">
        <v>0</v>
      </c>
      <c r="AT32" s="726">
        <v>1.4751219512195126E-2</v>
      </c>
      <c r="AU32" s="727">
        <v>1.4751219512195126E-2</v>
      </c>
      <c r="AV32" s="728">
        <v>0</v>
      </c>
      <c r="AW32" s="729">
        <v>0</v>
      </c>
      <c r="AX32" s="726">
        <v>1.4751219512195126E-2</v>
      </c>
      <c r="AY32" s="720">
        <v>1.5120000000000003E-2</v>
      </c>
      <c r="AZ32" s="720">
        <v>0</v>
      </c>
      <c r="BA32" s="720">
        <v>0</v>
      </c>
      <c r="BB32" s="721">
        <v>1.5120000000000003E-2</v>
      </c>
      <c r="BC32" s="722">
        <v>4.5000000000000005E-2</v>
      </c>
      <c r="BD32" s="521" t="s">
        <v>421</v>
      </c>
      <c r="BE32" s="523">
        <v>8.4999999999999992E-2</v>
      </c>
      <c r="BF32" s="519">
        <v>1.7999999999999999E-2</v>
      </c>
      <c r="BG32" s="519">
        <v>6.699999999999999E-2</v>
      </c>
    </row>
    <row r="33" spans="1:59" s="65" customFormat="1" ht="125.25" customHeight="1" x14ac:dyDescent="0.3">
      <c r="A33" s="546" t="s">
        <v>416</v>
      </c>
      <c r="B33" s="1006" t="s">
        <v>350</v>
      </c>
      <c r="C33" s="552" t="s">
        <v>84</v>
      </c>
      <c r="D33" s="553" t="s">
        <v>85</v>
      </c>
      <c r="E33" s="554" t="s">
        <v>86</v>
      </c>
      <c r="F33" s="682" t="s">
        <v>351</v>
      </c>
      <c r="G33" s="556" t="s">
        <v>353</v>
      </c>
      <c r="H33" s="555" t="s">
        <v>352</v>
      </c>
      <c r="I33" s="116" t="s">
        <v>90</v>
      </c>
      <c r="J33" s="557" t="s">
        <v>346</v>
      </c>
      <c r="K33" s="557" t="s">
        <v>346</v>
      </c>
      <c r="L33" s="558">
        <v>4.4999999999999998E-2</v>
      </c>
      <c r="M33" s="559">
        <v>2.6999999999999996E-2</v>
      </c>
      <c r="N33" s="559">
        <v>1.7999999999999999E-2</v>
      </c>
      <c r="O33" s="560">
        <v>0</v>
      </c>
      <c r="P33" s="560">
        <v>2.5000000000000001E-2</v>
      </c>
      <c r="Q33" s="559" t="s">
        <v>93</v>
      </c>
      <c r="R33" s="870">
        <v>0.43</v>
      </c>
      <c r="S33" s="72">
        <v>0.12</v>
      </c>
      <c r="T33" s="561" t="s">
        <v>94</v>
      </c>
      <c r="U33" s="77" t="s">
        <v>95</v>
      </c>
      <c r="V33" s="1009" t="s">
        <v>96</v>
      </c>
      <c r="W33" s="77" t="s">
        <v>97</v>
      </c>
      <c r="X33" s="78" t="s">
        <v>98</v>
      </c>
      <c r="Y33" s="78" t="s">
        <v>337</v>
      </c>
      <c r="Z33" s="562">
        <v>18</v>
      </c>
      <c r="AA33" s="78" t="s">
        <v>338</v>
      </c>
      <c r="AB33" s="77" t="s">
        <v>339</v>
      </c>
      <c r="AC33" s="691">
        <v>100000</v>
      </c>
      <c r="AD33" s="77" t="s">
        <v>100</v>
      </c>
      <c r="AE33" s="81">
        <v>25</v>
      </c>
      <c r="AF33" s="82">
        <v>25</v>
      </c>
      <c r="AG33" s="83">
        <v>50</v>
      </c>
      <c r="AH33" s="84">
        <v>7.5</v>
      </c>
      <c r="AI33" s="85">
        <v>17.5</v>
      </c>
      <c r="AJ33" s="84">
        <v>7.5</v>
      </c>
      <c r="AK33" s="86">
        <v>17.5</v>
      </c>
      <c r="AL33" s="717">
        <v>1.6469999999999999E-2</v>
      </c>
      <c r="AM33" s="718">
        <v>1.0529999999999999E-2</v>
      </c>
      <c r="AN33" s="719">
        <v>0</v>
      </c>
      <c r="AO33" s="715">
        <v>2.6999999999999996E-2</v>
      </c>
      <c r="AP33" s="716">
        <v>2.6999999999999996E-2</v>
      </c>
      <c r="AQ33" s="717">
        <v>0</v>
      </c>
      <c r="AR33" s="718">
        <v>1.7560975609756096E-2</v>
      </c>
      <c r="AS33" s="719">
        <v>0</v>
      </c>
      <c r="AT33" s="715">
        <v>1.7560975609756096E-2</v>
      </c>
      <c r="AU33" s="717">
        <v>0</v>
      </c>
      <c r="AV33" s="718">
        <v>1.7560975609756096E-2</v>
      </c>
      <c r="AW33" s="719">
        <v>0</v>
      </c>
      <c r="AX33" s="715">
        <v>1.7560975609756096E-2</v>
      </c>
      <c r="AY33" s="720">
        <v>0</v>
      </c>
      <c r="AZ33" s="720">
        <v>1.7999999999999999E-2</v>
      </c>
      <c r="BA33" s="720">
        <v>0</v>
      </c>
      <c r="BB33" s="721">
        <v>1.7999999999999999E-2</v>
      </c>
      <c r="BC33" s="716">
        <v>4.4999999999999991E-2</v>
      </c>
      <c r="BD33" s="710" t="s">
        <v>422</v>
      </c>
      <c r="BE33" s="87">
        <v>8.4999999999999992E-2</v>
      </c>
      <c r="BF33" s="80">
        <v>1.7999999999999999E-2</v>
      </c>
      <c r="BG33" s="88">
        <v>6.699999999999999E-2</v>
      </c>
    </row>
    <row r="34" spans="1:59" s="65" customFormat="1" ht="105.9" customHeight="1" x14ac:dyDescent="0.3">
      <c r="A34" s="546" t="s">
        <v>416</v>
      </c>
      <c r="B34" s="1007"/>
      <c r="C34" s="89" t="s">
        <v>101</v>
      </c>
      <c r="D34" s="563" t="s">
        <v>102</v>
      </c>
      <c r="E34" s="525" t="s">
        <v>103</v>
      </c>
      <c r="F34" s="672" t="s">
        <v>354</v>
      </c>
      <c r="G34" s="565" t="s">
        <v>353</v>
      </c>
      <c r="H34" s="564" t="s">
        <v>355</v>
      </c>
      <c r="I34" s="93" t="s">
        <v>106</v>
      </c>
      <c r="J34" s="566" t="s">
        <v>346</v>
      </c>
      <c r="K34" s="566" t="s">
        <v>346</v>
      </c>
      <c r="L34" s="95">
        <v>4.4999999999999998E-2</v>
      </c>
      <c r="M34" s="96">
        <v>2.988E-2</v>
      </c>
      <c r="N34" s="96">
        <v>1.5120000000000003E-2</v>
      </c>
      <c r="O34" s="97">
        <v>0</v>
      </c>
      <c r="P34" s="98">
        <v>2.5000000000000001E-2</v>
      </c>
      <c r="Q34" s="96" t="s">
        <v>93</v>
      </c>
      <c r="R34" s="871">
        <v>0.43</v>
      </c>
      <c r="S34" s="95">
        <v>0.12</v>
      </c>
      <c r="T34" s="99" t="s">
        <v>109</v>
      </c>
      <c r="U34" s="100" t="s">
        <v>95</v>
      </c>
      <c r="V34" s="1010"/>
      <c r="W34" s="101" t="s">
        <v>97</v>
      </c>
      <c r="X34" s="102" t="s">
        <v>98</v>
      </c>
      <c r="Y34" s="102" t="s">
        <v>340</v>
      </c>
      <c r="Z34" s="567">
        <v>18</v>
      </c>
      <c r="AA34" s="101" t="s">
        <v>338</v>
      </c>
      <c r="AB34" s="101" t="s">
        <v>339</v>
      </c>
      <c r="AC34" s="692">
        <v>100000</v>
      </c>
      <c r="AD34" s="101" t="s">
        <v>111</v>
      </c>
      <c r="AE34" s="105">
        <v>25</v>
      </c>
      <c r="AF34" s="106">
        <v>25</v>
      </c>
      <c r="AG34" s="107">
        <v>50</v>
      </c>
      <c r="AH34" s="108">
        <v>7.5</v>
      </c>
      <c r="AI34" s="109">
        <v>17.5</v>
      </c>
      <c r="AJ34" s="108">
        <v>7.5</v>
      </c>
      <c r="AK34" s="109">
        <v>17.5</v>
      </c>
      <c r="AL34" s="727">
        <v>1.7330399999999999E-2</v>
      </c>
      <c r="AM34" s="728">
        <v>9.8604000000000018E-3</v>
      </c>
      <c r="AN34" s="729">
        <v>2.6892000000000001E-3</v>
      </c>
      <c r="AO34" s="726">
        <v>2.988E-2</v>
      </c>
      <c r="AP34" s="722">
        <v>2.988E-2</v>
      </c>
      <c r="AQ34" s="727">
        <v>1.4751219512195126E-2</v>
      </c>
      <c r="AR34" s="728">
        <v>0</v>
      </c>
      <c r="AS34" s="729">
        <v>0</v>
      </c>
      <c r="AT34" s="726">
        <v>1.4751219512195126E-2</v>
      </c>
      <c r="AU34" s="727">
        <v>1.4751219512195126E-2</v>
      </c>
      <c r="AV34" s="728">
        <v>0</v>
      </c>
      <c r="AW34" s="729">
        <v>0</v>
      </c>
      <c r="AX34" s="726">
        <v>1.4751219512195126E-2</v>
      </c>
      <c r="AY34" s="720">
        <v>1.5120000000000003E-2</v>
      </c>
      <c r="AZ34" s="720">
        <v>0</v>
      </c>
      <c r="BA34" s="720">
        <v>0</v>
      </c>
      <c r="BB34" s="721">
        <v>1.5120000000000003E-2</v>
      </c>
      <c r="BC34" s="722">
        <v>4.5000000000000005E-2</v>
      </c>
      <c r="BD34" s="711" t="s">
        <v>423</v>
      </c>
      <c r="BE34" s="110">
        <v>8.4999999999999992E-2</v>
      </c>
      <c r="BF34" s="104">
        <v>1.7999999999999999E-2</v>
      </c>
      <c r="BG34" s="111">
        <v>6.699999999999999E-2</v>
      </c>
    </row>
    <row r="35" spans="1:59" ht="105.9" customHeight="1" x14ac:dyDescent="0.3">
      <c r="A35" s="546" t="s">
        <v>416</v>
      </c>
      <c r="B35" s="1007"/>
      <c r="C35" s="112" t="s">
        <v>112</v>
      </c>
      <c r="D35" s="568" t="s">
        <v>113</v>
      </c>
      <c r="E35" s="569" t="s">
        <v>114</v>
      </c>
      <c r="F35" s="671" t="s">
        <v>356</v>
      </c>
      <c r="G35" s="570" t="s">
        <v>358</v>
      </c>
      <c r="H35" s="555" t="s">
        <v>357</v>
      </c>
      <c r="I35" s="116" t="s">
        <v>90</v>
      </c>
      <c r="J35" s="571" t="s">
        <v>346</v>
      </c>
      <c r="K35" s="571" t="s">
        <v>346</v>
      </c>
      <c r="L35" s="118">
        <v>0.06</v>
      </c>
      <c r="M35" s="119">
        <v>3.5999999999999997E-2</v>
      </c>
      <c r="N35" s="119">
        <v>2.3999999999999997E-2</v>
      </c>
      <c r="O35" s="120">
        <v>0</v>
      </c>
      <c r="P35" s="121">
        <v>2.5000000000000001E-2</v>
      </c>
      <c r="Q35" s="119" t="s">
        <v>93</v>
      </c>
      <c r="R35" s="872">
        <v>0.43</v>
      </c>
      <c r="S35" s="118">
        <v>0.12</v>
      </c>
      <c r="T35" s="122" t="s">
        <v>109</v>
      </c>
      <c r="U35" s="123" t="s">
        <v>118</v>
      </c>
      <c r="V35" s="1010"/>
      <c r="W35" s="124" t="s">
        <v>97</v>
      </c>
      <c r="X35" s="125" t="s">
        <v>98</v>
      </c>
      <c r="Y35" s="125" t="s">
        <v>337</v>
      </c>
      <c r="Z35" s="572">
        <v>18</v>
      </c>
      <c r="AA35" s="126" t="s">
        <v>338</v>
      </c>
      <c r="AB35" s="126" t="s">
        <v>339</v>
      </c>
      <c r="AC35" s="693">
        <v>100000</v>
      </c>
      <c r="AD35" s="124" t="s">
        <v>100</v>
      </c>
      <c r="AE35" s="734">
        <v>25</v>
      </c>
      <c r="AF35" s="735">
        <v>25</v>
      </c>
      <c r="AG35" s="736">
        <v>50</v>
      </c>
      <c r="AH35" s="737">
        <v>7.5</v>
      </c>
      <c r="AI35" s="738">
        <v>17.5</v>
      </c>
      <c r="AJ35" s="737">
        <v>7.5</v>
      </c>
      <c r="AK35" s="738">
        <v>17.5</v>
      </c>
      <c r="AL35" s="727">
        <v>2.1959999999999997E-2</v>
      </c>
      <c r="AM35" s="728">
        <v>1.4039999999999999E-2</v>
      </c>
      <c r="AN35" s="729">
        <v>0</v>
      </c>
      <c r="AO35" s="726">
        <v>3.5999999999999997E-2</v>
      </c>
      <c r="AP35" s="722">
        <v>3.5999999999999997E-2</v>
      </c>
      <c r="AQ35" s="727">
        <v>0</v>
      </c>
      <c r="AR35" s="728">
        <v>2.3414634146341463E-2</v>
      </c>
      <c r="AS35" s="729">
        <v>0</v>
      </c>
      <c r="AT35" s="726">
        <v>2.3414634146341463E-2</v>
      </c>
      <c r="AU35" s="727">
        <v>0</v>
      </c>
      <c r="AV35" s="728">
        <v>2.3414634146341463E-2</v>
      </c>
      <c r="AW35" s="729">
        <v>0</v>
      </c>
      <c r="AX35" s="726">
        <v>2.3414634146341463E-2</v>
      </c>
      <c r="AY35" s="720">
        <v>0</v>
      </c>
      <c r="AZ35" s="720">
        <v>2.3999999999999997E-2</v>
      </c>
      <c r="BA35" s="720">
        <v>0</v>
      </c>
      <c r="BB35" s="721">
        <v>2.3999999999999997E-2</v>
      </c>
      <c r="BC35" s="722">
        <v>0.06</v>
      </c>
      <c r="BD35" s="710" t="s">
        <v>424</v>
      </c>
      <c r="BE35" s="739">
        <v>7.3700000000000002E-2</v>
      </c>
      <c r="BF35" s="573">
        <v>1.7999999999999999E-2</v>
      </c>
      <c r="BG35" s="740">
        <v>5.5700000000000006E-2</v>
      </c>
    </row>
    <row r="36" spans="1:59" ht="105.9" customHeight="1" x14ac:dyDescent="0.3">
      <c r="A36" s="546" t="s">
        <v>416</v>
      </c>
      <c r="B36" s="1007"/>
      <c r="C36" s="89" t="s">
        <v>119</v>
      </c>
      <c r="D36" s="563" t="s">
        <v>120</v>
      </c>
      <c r="E36" s="525" t="s">
        <v>121</v>
      </c>
      <c r="F36" s="672" t="s">
        <v>359</v>
      </c>
      <c r="G36" s="574" t="s">
        <v>358</v>
      </c>
      <c r="H36" s="564" t="s">
        <v>360</v>
      </c>
      <c r="I36" s="131" t="s">
        <v>106</v>
      </c>
      <c r="J36" s="566" t="s">
        <v>346</v>
      </c>
      <c r="K36" s="566" t="s">
        <v>346</v>
      </c>
      <c r="L36" s="132">
        <v>0.06</v>
      </c>
      <c r="M36" s="133">
        <v>3.984E-2</v>
      </c>
      <c r="N36" s="133">
        <v>2.0160000000000001E-2</v>
      </c>
      <c r="O36" s="134">
        <v>0</v>
      </c>
      <c r="P36" s="135">
        <v>2.5000000000000001E-2</v>
      </c>
      <c r="Q36" s="133" t="s">
        <v>93</v>
      </c>
      <c r="R36" s="873">
        <v>0.43</v>
      </c>
      <c r="S36" s="132">
        <v>0.12</v>
      </c>
      <c r="T36" s="136" t="s">
        <v>109</v>
      </c>
      <c r="U36" s="137" t="s">
        <v>118</v>
      </c>
      <c r="V36" s="1010"/>
      <c r="W36" s="101" t="s">
        <v>97</v>
      </c>
      <c r="X36" s="102" t="s">
        <v>98</v>
      </c>
      <c r="Y36" s="102" t="s">
        <v>340</v>
      </c>
      <c r="Z36" s="575">
        <v>18</v>
      </c>
      <c r="AA36" s="138" t="s">
        <v>338</v>
      </c>
      <c r="AB36" s="138" t="s">
        <v>339</v>
      </c>
      <c r="AC36" s="694">
        <v>100000</v>
      </c>
      <c r="AD36" s="101" t="s">
        <v>111</v>
      </c>
      <c r="AE36" s="105">
        <v>25</v>
      </c>
      <c r="AF36" s="106">
        <v>25</v>
      </c>
      <c r="AG36" s="107">
        <v>50</v>
      </c>
      <c r="AH36" s="108">
        <v>7.5</v>
      </c>
      <c r="AI36" s="109">
        <v>17.5</v>
      </c>
      <c r="AJ36" s="108">
        <v>7.5</v>
      </c>
      <c r="AK36" s="109">
        <v>17.5</v>
      </c>
      <c r="AL36" s="727">
        <v>2.3107199999999998E-2</v>
      </c>
      <c r="AM36" s="728">
        <v>1.3147200000000001E-2</v>
      </c>
      <c r="AN36" s="729">
        <v>3.5856E-3</v>
      </c>
      <c r="AO36" s="726">
        <v>3.984E-2</v>
      </c>
      <c r="AP36" s="722">
        <v>3.984E-2</v>
      </c>
      <c r="AQ36" s="727">
        <v>1.966829268292683E-2</v>
      </c>
      <c r="AR36" s="728">
        <v>0</v>
      </c>
      <c r="AS36" s="729">
        <v>0</v>
      </c>
      <c r="AT36" s="726">
        <v>1.966829268292683E-2</v>
      </c>
      <c r="AU36" s="727">
        <v>1.966829268292683E-2</v>
      </c>
      <c r="AV36" s="728">
        <v>0</v>
      </c>
      <c r="AW36" s="729">
        <v>0</v>
      </c>
      <c r="AX36" s="726">
        <v>1.966829268292683E-2</v>
      </c>
      <c r="AY36" s="720">
        <v>2.0160000000000001E-2</v>
      </c>
      <c r="AZ36" s="720">
        <v>0</v>
      </c>
      <c r="BA36" s="720">
        <v>0</v>
      </c>
      <c r="BB36" s="721">
        <v>2.0160000000000001E-2</v>
      </c>
      <c r="BC36" s="722">
        <v>0.06</v>
      </c>
      <c r="BD36" s="711" t="s">
        <v>425</v>
      </c>
      <c r="BE36" s="110">
        <v>7.3700000000000002E-2</v>
      </c>
      <c r="BF36" s="104">
        <v>1.7999999999999999E-2</v>
      </c>
      <c r="BG36" s="111">
        <v>5.5700000000000006E-2</v>
      </c>
    </row>
    <row r="37" spans="1:59" ht="105.9" customHeight="1" x14ac:dyDescent="0.3">
      <c r="A37" s="546" t="s">
        <v>416</v>
      </c>
      <c r="B37" s="1007"/>
      <c r="C37" s="112" t="s">
        <v>124</v>
      </c>
      <c r="D37" s="568" t="s">
        <v>125</v>
      </c>
      <c r="E37" s="569" t="s">
        <v>126</v>
      </c>
      <c r="F37" s="671" t="s">
        <v>361</v>
      </c>
      <c r="G37" s="576" t="s">
        <v>363</v>
      </c>
      <c r="H37" s="555" t="s">
        <v>362</v>
      </c>
      <c r="I37" s="116" t="s">
        <v>90</v>
      </c>
      <c r="J37" s="571" t="s">
        <v>346</v>
      </c>
      <c r="K37" s="571" t="s">
        <v>346</v>
      </c>
      <c r="L37" s="118">
        <v>0.08</v>
      </c>
      <c r="M37" s="119">
        <v>4.8000000000000001E-2</v>
      </c>
      <c r="N37" s="119">
        <v>3.2000000000000001E-2</v>
      </c>
      <c r="O37" s="120">
        <v>0</v>
      </c>
      <c r="P37" s="121">
        <v>2.5000000000000001E-2</v>
      </c>
      <c r="Q37" s="119" t="s">
        <v>93</v>
      </c>
      <c r="R37" s="872">
        <v>0.43</v>
      </c>
      <c r="S37" s="118">
        <v>0.12</v>
      </c>
      <c r="T37" s="122" t="s">
        <v>109</v>
      </c>
      <c r="U37" s="123" t="s">
        <v>130</v>
      </c>
      <c r="V37" s="1010"/>
      <c r="W37" s="124" t="s">
        <v>97</v>
      </c>
      <c r="X37" s="125" t="s">
        <v>98</v>
      </c>
      <c r="Y37" s="125" t="s">
        <v>337</v>
      </c>
      <c r="Z37" s="572">
        <v>18</v>
      </c>
      <c r="AA37" s="126" t="s">
        <v>338</v>
      </c>
      <c r="AB37" s="126" t="s">
        <v>339</v>
      </c>
      <c r="AC37" s="693">
        <v>100000</v>
      </c>
      <c r="AD37" s="124" t="s">
        <v>100</v>
      </c>
      <c r="AE37" s="734">
        <v>25</v>
      </c>
      <c r="AF37" s="735">
        <v>25</v>
      </c>
      <c r="AG37" s="736">
        <v>50</v>
      </c>
      <c r="AH37" s="737">
        <v>7.5</v>
      </c>
      <c r="AI37" s="738">
        <v>17.5</v>
      </c>
      <c r="AJ37" s="737">
        <v>7.5</v>
      </c>
      <c r="AK37" s="738">
        <v>17.5</v>
      </c>
      <c r="AL37" s="727">
        <v>2.9279999999999997E-2</v>
      </c>
      <c r="AM37" s="728">
        <v>1.8720000000000001E-2</v>
      </c>
      <c r="AN37" s="729">
        <v>0</v>
      </c>
      <c r="AO37" s="726">
        <v>4.8000000000000001E-2</v>
      </c>
      <c r="AP37" s="722">
        <v>4.8000000000000001E-2</v>
      </c>
      <c r="AQ37" s="727">
        <v>0</v>
      </c>
      <c r="AR37" s="728">
        <v>3.1219512195121958E-2</v>
      </c>
      <c r="AS37" s="729">
        <v>0</v>
      </c>
      <c r="AT37" s="726">
        <v>3.1219512195121958E-2</v>
      </c>
      <c r="AU37" s="727">
        <v>0</v>
      </c>
      <c r="AV37" s="728">
        <v>3.1219512195121958E-2</v>
      </c>
      <c r="AW37" s="729">
        <v>0</v>
      </c>
      <c r="AX37" s="726">
        <v>3.1219512195121958E-2</v>
      </c>
      <c r="AY37" s="720">
        <v>0</v>
      </c>
      <c r="AZ37" s="720">
        <v>3.2000000000000001E-2</v>
      </c>
      <c r="BA37" s="720">
        <v>0</v>
      </c>
      <c r="BB37" s="721">
        <v>3.2000000000000001E-2</v>
      </c>
      <c r="BC37" s="722">
        <v>8.0000000000000016E-2</v>
      </c>
      <c r="BD37" s="710" t="s">
        <v>426</v>
      </c>
      <c r="BE37" s="739">
        <v>6.6000000000000003E-2</v>
      </c>
      <c r="BF37" s="573">
        <v>1.7999999999999999E-2</v>
      </c>
      <c r="BG37" s="740">
        <v>4.8000000000000001E-2</v>
      </c>
    </row>
    <row r="38" spans="1:59" ht="105.9" customHeight="1" x14ac:dyDescent="0.3">
      <c r="A38" s="546" t="s">
        <v>416</v>
      </c>
      <c r="B38" s="1007"/>
      <c r="C38" s="89" t="s">
        <v>131</v>
      </c>
      <c r="D38" s="563" t="s">
        <v>132</v>
      </c>
      <c r="E38" s="525" t="s">
        <v>133</v>
      </c>
      <c r="F38" s="672" t="s">
        <v>364</v>
      </c>
      <c r="G38" s="577" t="s">
        <v>363</v>
      </c>
      <c r="H38" s="564" t="s">
        <v>365</v>
      </c>
      <c r="I38" s="131" t="s">
        <v>106</v>
      </c>
      <c r="J38" s="566" t="s">
        <v>346</v>
      </c>
      <c r="K38" s="566" t="s">
        <v>346</v>
      </c>
      <c r="L38" s="132">
        <v>0.08</v>
      </c>
      <c r="M38" s="133">
        <v>5.3120000000000001E-2</v>
      </c>
      <c r="N38" s="133">
        <v>2.6880000000000001E-2</v>
      </c>
      <c r="O38" s="134">
        <v>0</v>
      </c>
      <c r="P38" s="135">
        <v>2.5000000000000001E-2</v>
      </c>
      <c r="Q38" s="133" t="s">
        <v>93</v>
      </c>
      <c r="R38" s="873">
        <v>0.43</v>
      </c>
      <c r="S38" s="132">
        <v>0.12</v>
      </c>
      <c r="T38" s="136" t="s">
        <v>109</v>
      </c>
      <c r="U38" s="137" t="s">
        <v>130</v>
      </c>
      <c r="V38" s="1010"/>
      <c r="W38" s="101" t="s">
        <v>97</v>
      </c>
      <c r="X38" s="102" t="s">
        <v>98</v>
      </c>
      <c r="Y38" s="102" t="s">
        <v>340</v>
      </c>
      <c r="Z38" s="575">
        <v>18</v>
      </c>
      <c r="AA38" s="138" t="s">
        <v>338</v>
      </c>
      <c r="AB38" s="138" t="s">
        <v>339</v>
      </c>
      <c r="AC38" s="694">
        <v>100000</v>
      </c>
      <c r="AD38" s="101" t="s">
        <v>111</v>
      </c>
      <c r="AE38" s="105">
        <v>25</v>
      </c>
      <c r="AF38" s="106">
        <v>25</v>
      </c>
      <c r="AG38" s="107">
        <v>50</v>
      </c>
      <c r="AH38" s="108">
        <v>7.5</v>
      </c>
      <c r="AI38" s="109">
        <v>17.5</v>
      </c>
      <c r="AJ38" s="108">
        <v>7.5</v>
      </c>
      <c r="AK38" s="109">
        <v>17.5</v>
      </c>
      <c r="AL38" s="727">
        <v>3.0809599999999999E-2</v>
      </c>
      <c r="AM38" s="728">
        <v>1.7529599999999999E-2</v>
      </c>
      <c r="AN38" s="729">
        <v>4.7808E-3</v>
      </c>
      <c r="AO38" s="726">
        <v>5.3120000000000001E-2</v>
      </c>
      <c r="AP38" s="722">
        <v>5.3120000000000001E-2</v>
      </c>
      <c r="AQ38" s="727">
        <v>2.6224390243902444E-2</v>
      </c>
      <c r="AR38" s="728">
        <v>0</v>
      </c>
      <c r="AS38" s="729">
        <v>0</v>
      </c>
      <c r="AT38" s="726">
        <v>2.6224390243902444E-2</v>
      </c>
      <c r="AU38" s="727">
        <v>2.6224390243902444E-2</v>
      </c>
      <c r="AV38" s="728">
        <v>0</v>
      </c>
      <c r="AW38" s="729">
        <v>0</v>
      </c>
      <c r="AX38" s="726">
        <v>2.6224390243902444E-2</v>
      </c>
      <c r="AY38" s="720">
        <v>2.6880000000000001E-2</v>
      </c>
      <c r="AZ38" s="720">
        <v>0</v>
      </c>
      <c r="BA38" s="720">
        <v>0</v>
      </c>
      <c r="BB38" s="721">
        <v>2.6880000000000001E-2</v>
      </c>
      <c r="BC38" s="722">
        <v>0.08</v>
      </c>
      <c r="BD38" s="711" t="s">
        <v>427</v>
      </c>
      <c r="BE38" s="110">
        <v>6.6000000000000003E-2</v>
      </c>
      <c r="BF38" s="104">
        <v>1.7999999999999999E-2</v>
      </c>
      <c r="BG38" s="111">
        <v>4.8000000000000001E-2</v>
      </c>
    </row>
    <row r="39" spans="1:59" ht="105.9" customHeight="1" x14ac:dyDescent="0.3">
      <c r="A39" s="546" t="s">
        <v>416</v>
      </c>
      <c r="B39" s="1007"/>
      <c r="C39" s="112" t="s">
        <v>136</v>
      </c>
      <c r="D39" s="568" t="s">
        <v>137</v>
      </c>
      <c r="E39" s="569" t="s">
        <v>138</v>
      </c>
      <c r="F39" s="671" t="s">
        <v>366</v>
      </c>
      <c r="G39" s="578" t="s">
        <v>368</v>
      </c>
      <c r="H39" s="555" t="s">
        <v>367</v>
      </c>
      <c r="I39" s="116" t="s">
        <v>90</v>
      </c>
      <c r="J39" s="571" t="s">
        <v>346</v>
      </c>
      <c r="K39" s="571" t="s">
        <v>346</v>
      </c>
      <c r="L39" s="118">
        <v>0.1</v>
      </c>
      <c r="M39" s="119">
        <v>6.0000000000000012E-2</v>
      </c>
      <c r="N39" s="119">
        <v>4.0000000000000008E-2</v>
      </c>
      <c r="O39" s="120">
        <v>0</v>
      </c>
      <c r="P39" s="121">
        <v>2.5000000000000001E-2</v>
      </c>
      <c r="Q39" s="119" t="s">
        <v>93</v>
      </c>
      <c r="R39" s="872">
        <v>0.43</v>
      </c>
      <c r="S39" s="118">
        <v>0.12</v>
      </c>
      <c r="T39" s="122" t="s">
        <v>109</v>
      </c>
      <c r="U39" s="123" t="s">
        <v>142</v>
      </c>
      <c r="V39" s="1010"/>
      <c r="W39" s="124" t="s">
        <v>97</v>
      </c>
      <c r="X39" s="125" t="s">
        <v>98</v>
      </c>
      <c r="Y39" s="125" t="s">
        <v>337</v>
      </c>
      <c r="Z39" s="572">
        <v>18</v>
      </c>
      <c r="AA39" s="126" t="s">
        <v>338</v>
      </c>
      <c r="AB39" s="126" t="s">
        <v>339</v>
      </c>
      <c r="AC39" s="693">
        <v>100000</v>
      </c>
      <c r="AD39" s="124" t="s">
        <v>100</v>
      </c>
      <c r="AE39" s="734">
        <v>25</v>
      </c>
      <c r="AF39" s="735">
        <v>25</v>
      </c>
      <c r="AG39" s="736">
        <v>50</v>
      </c>
      <c r="AH39" s="737">
        <v>7.5</v>
      </c>
      <c r="AI39" s="738">
        <v>17.5</v>
      </c>
      <c r="AJ39" s="737">
        <v>7.5</v>
      </c>
      <c r="AK39" s="738">
        <v>17.5</v>
      </c>
      <c r="AL39" s="727">
        <v>3.6600000000000008E-2</v>
      </c>
      <c r="AM39" s="728">
        <v>2.3400000000000008E-2</v>
      </c>
      <c r="AN39" s="729">
        <v>0</v>
      </c>
      <c r="AO39" s="726">
        <v>6.0000000000000012E-2</v>
      </c>
      <c r="AP39" s="722">
        <v>6.0000000000000012E-2</v>
      </c>
      <c r="AQ39" s="727">
        <v>0</v>
      </c>
      <c r="AR39" s="728">
        <v>3.9024390243902453E-2</v>
      </c>
      <c r="AS39" s="729">
        <v>0</v>
      </c>
      <c r="AT39" s="726">
        <v>3.9024390243902453E-2</v>
      </c>
      <c r="AU39" s="727">
        <v>0</v>
      </c>
      <c r="AV39" s="728">
        <v>3.9024390243902453E-2</v>
      </c>
      <c r="AW39" s="729">
        <v>0</v>
      </c>
      <c r="AX39" s="726">
        <v>3.9024390243902453E-2</v>
      </c>
      <c r="AY39" s="720">
        <v>0</v>
      </c>
      <c r="AZ39" s="720">
        <v>4.0000000000000008E-2</v>
      </c>
      <c r="BA39" s="720">
        <v>0</v>
      </c>
      <c r="BB39" s="721">
        <v>4.0000000000000008E-2</v>
      </c>
      <c r="BC39" s="722">
        <v>0.10000000000000002</v>
      </c>
      <c r="BD39" s="710" t="s">
        <v>428</v>
      </c>
      <c r="BE39" s="739">
        <v>6.6000000000000003E-2</v>
      </c>
      <c r="BF39" s="573">
        <v>1.7999999999999999E-2</v>
      </c>
      <c r="BG39" s="740">
        <v>4.8000000000000001E-2</v>
      </c>
    </row>
    <row r="40" spans="1:59" ht="105.9" customHeight="1" thickBot="1" x14ac:dyDescent="0.35">
      <c r="A40" s="546" t="s">
        <v>416</v>
      </c>
      <c r="B40" s="1008"/>
      <c r="C40" s="140" t="s">
        <v>143</v>
      </c>
      <c r="D40" s="579" t="s">
        <v>144</v>
      </c>
      <c r="E40" s="580" t="s">
        <v>145</v>
      </c>
      <c r="F40" s="673" t="s">
        <v>369</v>
      </c>
      <c r="G40" s="582" t="s">
        <v>368</v>
      </c>
      <c r="H40" s="581" t="s">
        <v>370</v>
      </c>
      <c r="I40" s="143" t="s">
        <v>106</v>
      </c>
      <c r="J40" s="583" t="s">
        <v>346</v>
      </c>
      <c r="K40" s="583" t="s">
        <v>346</v>
      </c>
      <c r="L40" s="146">
        <v>0.1</v>
      </c>
      <c r="M40" s="147">
        <v>6.6400000000000001E-2</v>
      </c>
      <c r="N40" s="147">
        <v>3.3599999999999998E-2</v>
      </c>
      <c r="O40" s="148">
        <v>0</v>
      </c>
      <c r="P40" s="149">
        <v>2.5000000000000001E-2</v>
      </c>
      <c r="Q40" s="147" t="s">
        <v>93</v>
      </c>
      <c r="R40" s="874">
        <v>0.43</v>
      </c>
      <c r="S40" s="146">
        <v>0.12</v>
      </c>
      <c r="T40" s="150" t="s">
        <v>109</v>
      </c>
      <c r="U40" s="151" t="s">
        <v>142</v>
      </c>
      <c r="V40" s="1011"/>
      <c r="W40" s="152" t="s">
        <v>97</v>
      </c>
      <c r="X40" s="153" t="s">
        <v>98</v>
      </c>
      <c r="Y40" s="153" t="s">
        <v>340</v>
      </c>
      <c r="Z40" s="585">
        <v>18</v>
      </c>
      <c r="AA40" s="151" t="s">
        <v>338</v>
      </c>
      <c r="AB40" s="151" t="s">
        <v>339</v>
      </c>
      <c r="AC40" s="695">
        <v>100000</v>
      </c>
      <c r="AD40" s="152" t="s">
        <v>111</v>
      </c>
      <c r="AE40" s="741">
        <v>25</v>
      </c>
      <c r="AF40" s="742">
        <v>25</v>
      </c>
      <c r="AG40" s="743">
        <v>50</v>
      </c>
      <c r="AH40" s="744">
        <v>7.5</v>
      </c>
      <c r="AI40" s="745">
        <v>17.5</v>
      </c>
      <c r="AJ40" s="744">
        <v>7.5</v>
      </c>
      <c r="AK40" s="745">
        <v>17.5</v>
      </c>
      <c r="AL40" s="746">
        <v>3.8511999999999998E-2</v>
      </c>
      <c r="AM40" s="747">
        <v>2.1912000000000001E-2</v>
      </c>
      <c r="AN40" s="748">
        <v>5.9759999999999995E-3</v>
      </c>
      <c r="AO40" s="749">
        <v>6.6400000000000001E-2</v>
      </c>
      <c r="AP40" s="750">
        <v>6.6400000000000001E-2</v>
      </c>
      <c r="AQ40" s="746">
        <v>3.278048780487805E-2</v>
      </c>
      <c r="AR40" s="747">
        <v>0</v>
      </c>
      <c r="AS40" s="748">
        <v>0</v>
      </c>
      <c r="AT40" s="749">
        <v>3.278048780487805E-2</v>
      </c>
      <c r="AU40" s="746">
        <v>3.278048780487805E-2</v>
      </c>
      <c r="AV40" s="747">
        <v>0</v>
      </c>
      <c r="AW40" s="748">
        <v>0</v>
      </c>
      <c r="AX40" s="749">
        <v>3.278048780487805E-2</v>
      </c>
      <c r="AY40" s="751">
        <v>3.3599999999999998E-2</v>
      </c>
      <c r="AZ40" s="751">
        <v>0</v>
      </c>
      <c r="BA40" s="751">
        <v>0</v>
      </c>
      <c r="BB40" s="752">
        <v>3.3599999999999998E-2</v>
      </c>
      <c r="BC40" s="750">
        <v>0.1</v>
      </c>
      <c r="BD40" s="853" t="s">
        <v>429</v>
      </c>
      <c r="BE40" s="754">
        <v>6.6000000000000003E-2</v>
      </c>
      <c r="BF40" s="584">
        <v>1.7999999999999999E-2</v>
      </c>
      <c r="BG40" s="755">
        <v>4.8000000000000001E-2</v>
      </c>
    </row>
    <row r="41" spans="1:59" ht="105.9" customHeight="1" x14ac:dyDescent="0.3">
      <c r="A41" s="546" t="s">
        <v>416</v>
      </c>
      <c r="B41" s="1012" t="s">
        <v>371</v>
      </c>
      <c r="C41" s="155" t="s">
        <v>149</v>
      </c>
      <c r="D41" s="586" t="s">
        <v>150</v>
      </c>
      <c r="E41" s="587" t="s">
        <v>151</v>
      </c>
      <c r="F41" s="674" t="s">
        <v>372</v>
      </c>
      <c r="G41" s="589" t="s">
        <v>374</v>
      </c>
      <c r="H41" s="588" t="s">
        <v>373</v>
      </c>
      <c r="I41" s="158" t="s">
        <v>90</v>
      </c>
      <c r="J41" s="590" t="s">
        <v>346</v>
      </c>
      <c r="K41" s="590" t="s">
        <v>346</v>
      </c>
      <c r="L41" s="161">
        <v>4.4999999999999998E-2</v>
      </c>
      <c r="M41" s="162">
        <v>2.5874999999999995E-2</v>
      </c>
      <c r="N41" s="162">
        <v>1.9124999999999996E-2</v>
      </c>
      <c r="O41" s="163">
        <v>0</v>
      </c>
      <c r="P41" s="164">
        <v>2.5000000000000001E-2</v>
      </c>
      <c r="Q41" s="162" t="s">
        <v>93</v>
      </c>
      <c r="R41" s="875">
        <v>0.44900000000000001</v>
      </c>
      <c r="S41" s="875">
        <v>0.1</v>
      </c>
      <c r="T41" s="165" t="s">
        <v>109</v>
      </c>
      <c r="U41" s="166" t="s">
        <v>155</v>
      </c>
      <c r="V41" s="1015" t="s">
        <v>96</v>
      </c>
      <c r="W41" s="167" t="s">
        <v>97</v>
      </c>
      <c r="X41" s="168" t="s">
        <v>98</v>
      </c>
      <c r="Y41" s="168" t="s">
        <v>337</v>
      </c>
      <c r="Z41" s="592">
        <v>18</v>
      </c>
      <c r="AA41" s="166" t="s">
        <v>338</v>
      </c>
      <c r="AB41" s="166" t="s">
        <v>375</v>
      </c>
      <c r="AC41" s="696">
        <v>100000</v>
      </c>
      <c r="AD41" s="167" t="s">
        <v>100</v>
      </c>
      <c r="AE41" s="756">
        <v>25</v>
      </c>
      <c r="AF41" s="757">
        <v>25</v>
      </c>
      <c r="AG41" s="758">
        <v>50</v>
      </c>
      <c r="AH41" s="759">
        <v>7.5</v>
      </c>
      <c r="AI41" s="760">
        <v>17.5</v>
      </c>
      <c r="AJ41" s="759">
        <v>7.5</v>
      </c>
      <c r="AK41" s="761">
        <v>17.5</v>
      </c>
      <c r="AL41" s="717">
        <v>1.5783749999999996E-2</v>
      </c>
      <c r="AM41" s="718">
        <v>1.0091249999999998E-2</v>
      </c>
      <c r="AN41" s="719">
        <v>0</v>
      </c>
      <c r="AO41" s="715">
        <v>2.5874999999999995E-2</v>
      </c>
      <c r="AP41" s="716">
        <v>2.5874999999999995E-2</v>
      </c>
      <c r="AQ41" s="717">
        <v>0</v>
      </c>
      <c r="AR41" s="718">
        <v>1.8658536585365853E-2</v>
      </c>
      <c r="AS41" s="719">
        <v>0</v>
      </c>
      <c r="AT41" s="715">
        <v>1.8658536585365853E-2</v>
      </c>
      <c r="AU41" s="717">
        <v>0</v>
      </c>
      <c r="AV41" s="718">
        <v>1.8658536585365853E-2</v>
      </c>
      <c r="AW41" s="719">
        <v>0</v>
      </c>
      <c r="AX41" s="715">
        <v>1.8658536585365853E-2</v>
      </c>
      <c r="AY41" s="720">
        <v>0</v>
      </c>
      <c r="AZ41" s="720">
        <v>1.9124999999999996E-2</v>
      </c>
      <c r="BA41" s="720">
        <v>0</v>
      </c>
      <c r="BB41" s="721">
        <v>1.9124999999999996E-2</v>
      </c>
      <c r="BC41" s="716">
        <v>4.4999999999999991E-2</v>
      </c>
      <c r="BD41" s="854" t="s">
        <v>430</v>
      </c>
      <c r="BE41" s="763">
        <v>7.2999999999999995E-2</v>
      </c>
      <c r="BF41" s="591">
        <v>1.7999999999999999E-2</v>
      </c>
      <c r="BG41" s="764">
        <v>5.5E-2</v>
      </c>
    </row>
    <row r="42" spans="1:59" ht="105.9" customHeight="1" x14ac:dyDescent="0.3">
      <c r="A42" s="546" t="s">
        <v>416</v>
      </c>
      <c r="B42" s="1013"/>
      <c r="C42" s="170" t="s">
        <v>156</v>
      </c>
      <c r="D42" s="593" t="s">
        <v>157</v>
      </c>
      <c r="E42" s="594" t="s">
        <v>158</v>
      </c>
      <c r="F42" s="675" t="s">
        <v>376</v>
      </c>
      <c r="G42" s="596" t="s">
        <v>374</v>
      </c>
      <c r="H42" s="595" t="s">
        <v>377</v>
      </c>
      <c r="I42" s="174" t="s">
        <v>106</v>
      </c>
      <c r="J42" s="597" t="s">
        <v>346</v>
      </c>
      <c r="K42" s="597" t="s">
        <v>346</v>
      </c>
      <c r="L42" s="176">
        <v>4.4999999999999998E-2</v>
      </c>
      <c r="M42" s="177">
        <v>2.9879999999999993E-2</v>
      </c>
      <c r="N42" s="177">
        <v>1.512E-2</v>
      </c>
      <c r="O42" s="178">
        <v>0</v>
      </c>
      <c r="P42" s="179">
        <v>2.5000000000000001E-2</v>
      </c>
      <c r="Q42" s="177" t="s">
        <v>93</v>
      </c>
      <c r="R42" s="876">
        <v>0.44900000000000001</v>
      </c>
      <c r="S42" s="876">
        <v>0.1</v>
      </c>
      <c r="T42" s="180" t="s">
        <v>109</v>
      </c>
      <c r="U42" s="598" t="s">
        <v>155</v>
      </c>
      <c r="V42" s="1015"/>
      <c r="W42" s="181" t="s">
        <v>97</v>
      </c>
      <c r="X42" s="182" t="s">
        <v>98</v>
      </c>
      <c r="Y42" s="182" t="s">
        <v>340</v>
      </c>
      <c r="Z42" s="599">
        <v>18</v>
      </c>
      <c r="AA42" s="183" t="s">
        <v>338</v>
      </c>
      <c r="AB42" s="183" t="s">
        <v>375</v>
      </c>
      <c r="AC42" s="697">
        <v>100000</v>
      </c>
      <c r="AD42" s="181" t="s">
        <v>111</v>
      </c>
      <c r="AE42" s="765">
        <v>25</v>
      </c>
      <c r="AF42" s="766">
        <v>25</v>
      </c>
      <c r="AG42" s="767">
        <v>50</v>
      </c>
      <c r="AH42" s="768">
        <v>7.5</v>
      </c>
      <c r="AI42" s="769">
        <v>17.5</v>
      </c>
      <c r="AJ42" s="768">
        <v>7.5</v>
      </c>
      <c r="AK42" s="769">
        <v>17.5</v>
      </c>
      <c r="AL42" s="727">
        <v>1.7330399999999996E-2</v>
      </c>
      <c r="AM42" s="728">
        <v>9.8604000000000001E-3</v>
      </c>
      <c r="AN42" s="729">
        <v>2.6891999999999997E-3</v>
      </c>
      <c r="AO42" s="726">
        <v>2.9879999999999993E-2</v>
      </c>
      <c r="AP42" s="722">
        <v>2.9879999999999993E-2</v>
      </c>
      <c r="AQ42" s="727">
        <v>1.4751219512195123E-2</v>
      </c>
      <c r="AR42" s="728">
        <v>0</v>
      </c>
      <c r="AS42" s="729">
        <v>0</v>
      </c>
      <c r="AT42" s="726">
        <v>1.4751219512195123E-2</v>
      </c>
      <c r="AU42" s="727">
        <v>1.4751219512195123E-2</v>
      </c>
      <c r="AV42" s="728">
        <v>0</v>
      </c>
      <c r="AW42" s="729">
        <v>0</v>
      </c>
      <c r="AX42" s="726">
        <v>1.4751219512195123E-2</v>
      </c>
      <c r="AY42" s="720">
        <v>1.512E-2</v>
      </c>
      <c r="AZ42" s="720">
        <v>0</v>
      </c>
      <c r="BA42" s="720">
        <v>0</v>
      </c>
      <c r="BB42" s="721">
        <v>1.512E-2</v>
      </c>
      <c r="BC42" s="722">
        <v>4.4999999999999991E-2</v>
      </c>
      <c r="BD42" s="855" t="s">
        <v>431</v>
      </c>
      <c r="BE42" s="771">
        <v>7.2999999999999995E-2</v>
      </c>
      <c r="BF42" s="600">
        <v>1.7999999999999999E-2</v>
      </c>
      <c r="BG42" s="772">
        <v>5.5E-2</v>
      </c>
    </row>
    <row r="43" spans="1:59" ht="105.9" customHeight="1" x14ac:dyDescent="0.3">
      <c r="A43" s="546" t="s">
        <v>416</v>
      </c>
      <c r="B43" s="1013"/>
      <c r="C43" s="185" t="s">
        <v>161</v>
      </c>
      <c r="D43" s="601" t="s">
        <v>162</v>
      </c>
      <c r="E43" s="602" t="s">
        <v>163</v>
      </c>
      <c r="F43" s="674" t="s">
        <v>378</v>
      </c>
      <c r="G43" s="603" t="s">
        <v>380</v>
      </c>
      <c r="H43" s="588" t="s">
        <v>379</v>
      </c>
      <c r="I43" s="158" t="s">
        <v>90</v>
      </c>
      <c r="J43" s="604" t="s">
        <v>346</v>
      </c>
      <c r="K43" s="604" t="s">
        <v>346</v>
      </c>
      <c r="L43" s="190">
        <v>0.06</v>
      </c>
      <c r="M43" s="191">
        <v>3.4499999999999989E-2</v>
      </c>
      <c r="N43" s="191">
        <v>2.5499999999999995E-2</v>
      </c>
      <c r="O43" s="192">
        <v>0</v>
      </c>
      <c r="P43" s="193">
        <v>2.5000000000000001E-2</v>
      </c>
      <c r="Q43" s="191" t="s">
        <v>93</v>
      </c>
      <c r="R43" s="877">
        <v>0.44900000000000001</v>
      </c>
      <c r="S43" s="877">
        <v>0.1</v>
      </c>
      <c r="T43" s="194" t="s">
        <v>109</v>
      </c>
      <c r="U43" s="195" t="s">
        <v>167</v>
      </c>
      <c r="V43" s="1015"/>
      <c r="W43" s="196" t="s">
        <v>97</v>
      </c>
      <c r="X43" s="197" t="s">
        <v>98</v>
      </c>
      <c r="Y43" s="197" t="s">
        <v>337</v>
      </c>
      <c r="Z43" s="605">
        <v>18</v>
      </c>
      <c r="AA43" s="198" t="s">
        <v>338</v>
      </c>
      <c r="AB43" s="198" t="s">
        <v>375</v>
      </c>
      <c r="AC43" s="698">
        <v>100000</v>
      </c>
      <c r="AD43" s="196" t="s">
        <v>100</v>
      </c>
      <c r="AE43" s="773">
        <v>25</v>
      </c>
      <c r="AF43" s="774">
        <v>25</v>
      </c>
      <c r="AG43" s="775">
        <v>50</v>
      </c>
      <c r="AH43" s="776">
        <v>7.5</v>
      </c>
      <c r="AI43" s="777">
        <v>17.5</v>
      </c>
      <c r="AJ43" s="776">
        <v>7.5</v>
      </c>
      <c r="AK43" s="777">
        <v>17.5</v>
      </c>
      <c r="AL43" s="727">
        <v>2.1044999999999991E-2</v>
      </c>
      <c r="AM43" s="728">
        <v>1.3454999999999996E-2</v>
      </c>
      <c r="AN43" s="729">
        <v>0</v>
      </c>
      <c r="AO43" s="726">
        <v>3.4499999999999989E-2</v>
      </c>
      <c r="AP43" s="722">
        <v>3.4499999999999989E-2</v>
      </c>
      <c r="AQ43" s="727">
        <v>0</v>
      </c>
      <c r="AR43" s="728">
        <v>2.4878048780487803E-2</v>
      </c>
      <c r="AS43" s="729">
        <v>0</v>
      </c>
      <c r="AT43" s="726">
        <v>2.4878048780487803E-2</v>
      </c>
      <c r="AU43" s="727">
        <v>0</v>
      </c>
      <c r="AV43" s="728">
        <v>2.4878048780487803E-2</v>
      </c>
      <c r="AW43" s="729">
        <v>0</v>
      </c>
      <c r="AX43" s="726">
        <v>2.4878048780487803E-2</v>
      </c>
      <c r="AY43" s="720">
        <v>0</v>
      </c>
      <c r="AZ43" s="720">
        <v>2.5499999999999995E-2</v>
      </c>
      <c r="BA43" s="720">
        <v>0</v>
      </c>
      <c r="BB43" s="721">
        <v>2.5499999999999995E-2</v>
      </c>
      <c r="BC43" s="722">
        <v>5.9999999999999984E-2</v>
      </c>
      <c r="BD43" s="854" t="s">
        <v>432</v>
      </c>
      <c r="BE43" s="778">
        <v>6.5000000000000002E-2</v>
      </c>
      <c r="BF43" s="606">
        <v>1.7999999999999999E-2</v>
      </c>
      <c r="BG43" s="779">
        <v>4.7000000000000007E-2</v>
      </c>
    </row>
    <row r="44" spans="1:59" ht="105.9" customHeight="1" x14ac:dyDescent="0.3">
      <c r="A44" s="546" t="s">
        <v>416</v>
      </c>
      <c r="B44" s="1013"/>
      <c r="C44" s="170" t="s">
        <v>168</v>
      </c>
      <c r="D44" s="593" t="s">
        <v>169</v>
      </c>
      <c r="E44" s="594" t="s">
        <v>170</v>
      </c>
      <c r="F44" s="675" t="s">
        <v>381</v>
      </c>
      <c r="G44" s="596" t="s">
        <v>380</v>
      </c>
      <c r="H44" s="595" t="s">
        <v>382</v>
      </c>
      <c r="I44" s="174" t="s">
        <v>106</v>
      </c>
      <c r="J44" s="597" t="s">
        <v>346</v>
      </c>
      <c r="K44" s="597" t="s">
        <v>346</v>
      </c>
      <c r="L44" s="176">
        <v>0.06</v>
      </c>
      <c r="M44" s="177">
        <v>3.984E-2</v>
      </c>
      <c r="N44" s="177">
        <v>2.0159999999999997E-2</v>
      </c>
      <c r="O44" s="178">
        <v>0</v>
      </c>
      <c r="P44" s="179">
        <v>2.5000000000000001E-2</v>
      </c>
      <c r="Q44" s="177" t="s">
        <v>93</v>
      </c>
      <c r="R44" s="876">
        <v>0.44900000000000001</v>
      </c>
      <c r="S44" s="876">
        <v>0.1</v>
      </c>
      <c r="T44" s="180" t="s">
        <v>109</v>
      </c>
      <c r="U44" s="598" t="s">
        <v>167</v>
      </c>
      <c r="V44" s="1015"/>
      <c r="W44" s="181" t="s">
        <v>97</v>
      </c>
      <c r="X44" s="182" t="s">
        <v>98</v>
      </c>
      <c r="Y44" s="182" t="s">
        <v>340</v>
      </c>
      <c r="Z44" s="599">
        <v>18</v>
      </c>
      <c r="AA44" s="183" t="s">
        <v>338</v>
      </c>
      <c r="AB44" s="183" t="s">
        <v>375</v>
      </c>
      <c r="AC44" s="697">
        <v>100000</v>
      </c>
      <c r="AD44" s="181" t="s">
        <v>111</v>
      </c>
      <c r="AE44" s="765">
        <v>25</v>
      </c>
      <c r="AF44" s="766">
        <v>25</v>
      </c>
      <c r="AG44" s="767">
        <v>50</v>
      </c>
      <c r="AH44" s="768">
        <v>7.5</v>
      </c>
      <c r="AI44" s="769">
        <v>17.5</v>
      </c>
      <c r="AJ44" s="768">
        <v>7.5</v>
      </c>
      <c r="AK44" s="769">
        <v>17.5</v>
      </c>
      <c r="AL44" s="727">
        <v>2.3107199999999998E-2</v>
      </c>
      <c r="AM44" s="728">
        <v>1.31472E-2</v>
      </c>
      <c r="AN44" s="729">
        <v>3.5855999999999996E-3</v>
      </c>
      <c r="AO44" s="726">
        <v>3.984E-2</v>
      </c>
      <c r="AP44" s="722">
        <v>3.984E-2</v>
      </c>
      <c r="AQ44" s="727">
        <v>1.966829268292683E-2</v>
      </c>
      <c r="AR44" s="728">
        <v>0</v>
      </c>
      <c r="AS44" s="729">
        <v>0</v>
      </c>
      <c r="AT44" s="726">
        <v>1.966829268292683E-2</v>
      </c>
      <c r="AU44" s="727">
        <v>1.966829268292683E-2</v>
      </c>
      <c r="AV44" s="728">
        <v>0</v>
      </c>
      <c r="AW44" s="729">
        <v>0</v>
      </c>
      <c r="AX44" s="726">
        <v>1.966829268292683E-2</v>
      </c>
      <c r="AY44" s="720">
        <v>2.0159999999999997E-2</v>
      </c>
      <c r="AZ44" s="720">
        <v>0</v>
      </c>
      <c r="BA44" s="720">
        <v>0</v>
      </c>
      <c r="BB44" s="721">
        <v>2.0159999999999997E-2</v>
      </c>
      <c r="BC44" s="722">
        <v>0.06</v>
      </c>
      <c r="BD44" s="855" t="s">
        <v>433</v>
      </c>
      <c r="BE44" s="771">
        <v>6.5000000000000002E-2</v>
      </c>
      <c r="BF44" s="600">
        <v>1.7999999999999999E-2</v>
      </c>
      <c r="BG44" s="772">
        <v>4.7000000000000007E-2</v>
      </c>
    </row>
    <row r="45" spans="1:59" ht="105.9" customHeight="1" x14ac:dyDescent="0.3">
      <c r="A45" s="546" t="s">
        <v>416</v>
      </c>
      <c r="B45" s="1013"/>
      <c r="C45" s="185" t="s">
        <v>173</v>
      </c>
      <c r="D45" s="601" t="s">
        <v>174</v>
      </c>
      <c r="E45" s="602" t="s">
        <v>175</v>
      </c>
      <c r="F45" s="674" t="s">
        <v>383</v>
      </c>
      <c r="G45" s="607" t="s">
        <v>385</v>
      </c>
      <c r="H45" s="588" t="s">
        <v>384</v>
      </c>
      <c r="I45" s="158" t="s">
        <v>90</v>
      </c>
      <c r="J45" s="604" t="s">
        <v>346</v>
      </c>
      <c r="K45" s="604" t="s">
        <v>346</v>
      </c>
      <c r="L45" s="190">
        <v>0.08</v>
      </c>
      <c r="M45" s="191">
        <v>4.5999999999999999E-2</v>
      </c>
      <c r="N45" s="191">
        <v>3.4000000000000002E-2</v>
      </c>
      <c r="O45" s="192">
        <v>0</v>
      </c>
      <c r="P45" s="193">
        <v>2.5000000000000001E-2</v>
      </c>
      <c r="Q45" s="191" t="s">
        <v>93</v>
      </c>
      <c r="R45" s="877">
        <v>0.44900000000000001</v>
      </c>
      <c r="S45" s="877">
        <v>0.1</v>
      </c>
      <c r="T45" s="194" t="s">
        <v>109</v>
      </c>
      <c r="U45" s="195" t="s">
        <v>179</v>
      </c>
      <c r="V45" s="1015"/>
      <c r="W45" s="196" t="s">
        <v>97</v>
      </c>
      <c r="X45" s="197" t="s">
        <v>98</v>
      </c>
      <c r="Y45" s="197" t="s">
        <v>337</v>
      </c>
      <c r="Z45" s="605">
        <v>18</v>
      </c>
      <c r="AA45" s="198" t="s">
        <v>338</v>
      </c>
      <c r="AB45" s="198" t="s">
        <v>375</v>
      </c>
      <c r="AC45" s="698">
        <v>100000</v>
      </c>
      <c r="AD45" s="196" t="s">
        <v>100</v>
      </c>
      <c r="AE45" s="773">
        <v>25</v>
      </c>
      <c r="AF45" s="774">
        <v>25</v>
      </c>
      <c r="AG45" s="775">
        <v>50</v>
      </c>
      <c r="AH45" s="776">
        <v>7.5</v>
      </c>
      <c r="AI45" s="777">
        <v>17.5</v>
      </c>
      <c r="AJ45" s="776">
        <v>7.5</v>
      </c>
      <c r="AK45" s="777">
        <v>17.5</v>
      </c>
      <c r="AL45" s="727">
        <v>2.8059999999999998E-2</v>
      </c>
      <c r="AM45" s="728">
        <v>1.7940000000000001E-2</v>
      </c>
      <c r="AN45" s="729">
        <v>0</v>
      </c>
      <c r="AO45" s="726">
        <v>4.5999999999999999E-2</v>
      </c>
      <c r="AP45" s="722">
        <v>4.5999999999999999E-2</v>
      </c>
      <c r="AQ45" s="727">
        <v>0</v>
      </c>
      <c r="AR45" s="728">
        <v>3.3170731707317082E-2</v>
      </c>
      <c r="AS45" s="729">
        <v>0</v>
      </c>
      <c r="AT45" s="726">
        <v>3.3170731707317082E-2</v>
      </c>
      <c r="AU45" s="727">
        <v>0</v>
      </c>
      <c r="AV45" s="728">
        <v>3.3170731707317082E-2</v>
      </c>
      <c r="AW45" s="729">
        <v>0</v>
      </c>
      <c r="AX45" s="726">
        <v>3.3170731707317082E-2</v>
      </c>
      <c r="AY45" s="720">
        <v>0</v>
      </c>
      <c r="AZ45" s="720">
        <v>3.4000000000000002E-2</v>
      </c>
      <c r="BA45" s="720">
        <v>0</v>
      </c>
      <c r="BB45" s="721">
        <v>3.4000000000000002E-2</v>
      </c>
      <c r="BC45" s="722">
        <v>8.0000000000000016E-2</v>
      </c>
      <c r="BD45" s="854" t="s">
        <v>434</v>
      </c>
      <c r="BE45" s="778">
        <v>6.5000000000000002E-2</v>
      </c>
      <c r="BF45" s="606">
        <v>1.7999999999999999E-2</v>
      </c>
      <c r="BG45" s="779">
        <v>4.7000000000000007E-2</v>
      </c>
    </row>
    <row r="46" spans="1:59" ht="105.9" customHeight="1" thickBot="1" x14ac:dyDescent="0.35">
      <c r="A46" s="546" t="s">
        <v>416</v>
      </c>
      <c r="B46" s="1014"/>
      <c r="C46" s="200" t="s">
        <v>180</v>
      </c>
      <c r="D46" s="608" t="s">
        <v>181</v>
      </c>
      <c r="E46" s="609" t="s">
        <v>182</v>
      </c>
      <c r="F46" s="676" t="s">
        <v>386</v>
      </c>
      <c r="G46" s="611" t="s">
        <v>385</v>
      </c>
      <c r="H46" s="610" t="s">
        <v>387</v>
      </c>
      <c r="I46" s="203" t="s">
        <v>106</v>
      </c>
      <c r="J46" s="612" t="s">
        <v>346</v>
      </c>
      <c r="K46" s="612" t="s">
        <v>346</v>
      </c>
      <c r="L46" s="206">
        <v>0.08</v>
      </c>
      <c r="M46" s="207">
        <v>5.3120000000000001E-2</v>
      </c>
      <c r="N46" s="207">
        <v>2.6880000000000001E-2</v>
      </c>
      <c r="O46" s="208">
        <v>0</v>
      </c>
      <c r="P46" s="209">
        <v>2.5000000000000001E-2</v>
      </c>
      <c r="Q46" s="207" t="s">
        <v>93</v>
      </c>
      <c r="R46" s="878">
        <v>0.44900000000000001</v>
      </c>
      <c r="S46" s="878">
        <v>0.1</v>
      </c>
      <c r="T46" s="210" t="s">
        <v>109</v>
      </c>
      <c r="U46" s="211" t="s">
        <v>179</v>
      </c>
      <c r="V46" s="1016"/>
      <c r="W46" s="212" t="s">
        <v>97</v>
      </c>
      <c r="X46" s="213" t="s">
        <v>98</v>
      </c>
      <c r="Y46" s="213" t="s">
        <v>340</v>
      </c>
      <c r="Z46" s="614">
        <v>18</v>
      </c>
      <c r="AA46" s="211" t="s">
        <v>338</v>
      </c>
      <c r="AB46" s="211" t="s">
        <v>375</v>
      </c>
      <c r="AC46" s="699">
        <v>100000</v>
      </c>
      <c r="AD46" s="212" t="s">
        <v>111</v>
      </c>
      <c r="AE46" s="780">
        <v>25</v>
      </c>
      <c r="AF46" s="781">
        <v>25</v>
      </c>
      <c r="AG46" s="782">
        <v>50</v>
      </c>
      <c r="AH46" s="783">
        <v>7.5</v>
      </c>
      <c r="AI46" s="784">
        <v>17.5</v>
      </c>
      <c r="AJ46" s="783">
        <v>7.5</v>
      </c>
      <c r="AK46" s="784">
        <v>17.5</v>
      </c>
      <c r="AL46" s="746">
        <v>3.0809599999999999E-2</v>
      </c>
      <c r="AM46" s="747">
        <v>1.7529599999999999E-2</v>
      </c>
      <c r="AN46" s="748">
        <v>4.7808E-3</v>
      </c>
      <c r="AO46" s="749">
        <v>5.3120000000000001E-2</v>
      </c>
      <c r="AP46" s="750">
        <v>5.3120000000000001E-2</v>
      </c>
      <c r="AQ46" s="746">
        <v>2.622439024390244E-2</v>
      </c>
      <c r="AR46" s="747">
        <v>0</v>
      </c>
      <c r="AS46" s="748">
        <v>0</v>
      </c>
      <c r="AT46" s="749">
        <v>2.622439024390244E-2</v>
      </c>
      <c r="AU46" s="746">
        <v>2.622439024390244E-2</v>
      </c>
      <c r="AV46" s="747">
        <v>0</v>
      </c>
      <c r="AW46" s="748">
        <v>0</v>
      </c>
      <c r="AX46" s="749">
        <v>2.622439024390244E-2</v>
      </c>
      <c r="AY46" s="751">
        <v>2.6880000000000001E-2</v>
      </c>
      <c r="AZ46" s="751">
        <v>0</v>
      </c>
      <c r="BA46" s="751">
        <v>0</v>
      </c>
      <c r="BB46" s="752">
        <v>2.6880000000000001E-2</v>
      </c>
      <c r="BC46" s="750">
        <v>0.08</v>
      </c>
      <c r="BD46" s="856" t="s">
        <v>435</v>
      </c>
      <c r="BE46" s="786">
        <v>6.5000000000000002E-2</v>
      </c>
      <c r="BF46" s="613">
        <v>1.7999999999999999E-2</v>
      </c>
      <c r="BG46" s="787">
        <v>4.7000000000000007E-2</v>
      </c>
    </row>
    <row r="47" spans="1:59" ht="105.9" customHeight="1" x14ac:dyDescent="0.3">
      <c r="A47" s="546" t="s">
        <v>416</v>
      </c>
      <c r="B47" s="1031" t="s">
        <v>185</v>
      </c>
      <c r="C47" s="215" t="s">
        <v>186</v>
      </c>
      <c r="D47" s="615" t="s">
        <v>187</v>
      </c>
      <c r="E47" s="616" t="s">
        <v>188</v>
      </c>
      <c r="F47" s="677" t="s">
        <v>388</v>
      </c>
      <c r="G47" s="618" t="s">
        <v>390</v>
      </c>
      <c r="H47" s="617" t="s">
        <v>389</v>
      </c>
      <c r="I47" s="218" t="s">
        <v>90</v>
      </c>
      <c r="J47" s="619" t="s">
        <v>346</v>
      </c>
      <c r="K47" s="619" t="s">
        <v>346</v>
      </c>
      <c r="L47" s="221">
        <v>3.4999999999999996E-2</v>
      </c>
      <c r="M47" s="222">
        <v>2.0124999999999997E-2</v>
      </c>
      <c r="N47" s="222">
        <v>1.4874999999999998E-2</v>
      </c>
      <c r="O47" s="223">
        <v>0</v>
      </c>
      <c r="P47" s="221">
        <v>2.5000000000000001E-2</v>
      </c>
      <c r="Q47" s="222" t="s">
        <v>93</v>
      </c>
      <c r="R47" s="879">
        <v>0.44900000000000001</v>
      </c>
      <c r="S47" s="879">
        <v>0.1</v>
      </c>
      <c r="T47" s="224" t="s">
        <v>109</v>
      </c>
      <c r="U47" s="221" t="s">
        <v>95</v>
      </c>
      <c r="V47" s="1043" t="s">
        <v>391</v>
      </c>
      <c r="W47" s="225" t="s">
        <v>97</v>
      </c>
      <c r="X47" s="226" t="s">
        <v>98</v>
      </c>
      <c r="Y47" s="226" t="s">
        <v>337</v>
      </c>
      <c r="Z47" s="620">
        <v>18</v>
      </c>
      <c r="AA47" s="222" t="s">
        <v>338</v>
      </c>
      <c r="AB47" s="222" t="s">
        <v>375</v>
      </c>
      <c r="AC47" s="227">
        <v>100000</v>
      </c>
      <c r="AD47" s="228" t="s">
        <v>100</v>
      </c>
      <c r="AE47" s="788">
        <v>17.5</v>
      </c>
      <c r="AF47" s="789">
        <v>17.5</v>
      </c>
      <c r="AG47" s="790">
        <v>35</v>
      </c>
      <c r="AH47" s="791">
        <v>7.5</v>
      </c>
      <c r="AI47" s="792">
        <v>10</v>
      </c>
      <c r="AJ47" s="791">
        <v>7.5</v>
      </c>
      <c r="AK47" s="792">
        <v>10</v>
      </c>
      <c r="AL47" s="717">
        <v>1.2276249999999997E-2</v>
      </c>
      <c r="AM47" s="718">
        <v>7.8487499999999998E-3</v>
      </c>
      <c r="AN47" s="719">
        <v>0</v>
      </c>
      <c r="AO47" s="715">
        <v>2.0124999999999997E-2</v>
      </c>
      <c r="AP47" s="716">
        <v>2.0124999999999997E-2</v>
      </c>
      <c r="AQ47" s="717">
        <v>0</v>
      </c>
      <c r="AR47" s="718">
        <v>1.4512195121951219E-2</v>
      </c>
      <c r="AS47" s="719">
        <v>0</v>
      </c>
      <c r="AT47" s="715">
        <v>1.4512195121951219E-2</v>
      </c>
      <c r="AU47" s="717">
        <v>0</v>
      </c>
      <c r="AV47" s="718">
        <v>1.4512195121951219E-2</v>
      </c>
      <c r="AW47" s="719">
        <v>0</v>
      </c>
      <c r="AX47" s="715">
        <v>1.4512195121951219E-2</v>
      </c>
      <c r="AY47" s="720">
        <v>0</v>
      </c>
      <c r="AZ47" s="720">
        <v>1.4874999999999998E-2</v>
      </c>
      <c r="BA47" s="720">
        <v>0</v>
      </c>
      <c r="BB47" s="721">
        <v>1.4874999999999998E-2</v>
      </c>
      <c r="BC47" s="716">
        <v>3.4999999999999996E-2</v>
      </c>
      <c r="BD47" s="857" t="s">
        <v>436</v>
      </c>
      <c r="BE47" s="794">
        <v>9.5000000000000001E-2</v>
      </c>
      <c r="BF47" s="226">
        <v>1.7999999999999999E-2</v>
      </c>
      <c r="BG47" s="795">
        <v>7.6999999999999999E-2</v>
      </c>
    </row>
    <row r="48" spans="1:59" ht="105.9" customHeight="1" x14ac:dyDescent="0.3">
      <c r="A48" s="546" t="s">
        <v>416</v>
      </c>
      <c r="B48" s="1032"/>
      <c r="C48" s="229" t="s">
        <v>192</v>
      </c>
      <c r="D48" s="621" t="s">
        <v>193</v>
      </c>
      <c r="E48" s="622" t="s">
        <v>194</v>
      </c>
      <c r="F48" s="678" t="s">
        <v>392</v>
      </c>
      <c r="G48" s="624" t="s">
        <v>390</v>
      </c>
      <c r="H48" s="623" t="s">
        <v>393</v>
      </c>
      <c r="I48" s="233" t="s">
        <v>106</v>
      </c>
      <c r="J48" s="625" t="s">
        <v>346</v>
      </c>
      <c r="K48" s="625" t="s">
        <v>346</v>
      </c>
      <c r="L48" s="235">
        <v>3.5000000000000003E-2</v>
      </c>
      <c r="M48" s="236">
        <v>2.3240000000000004E-2</v>
      </c>
      <c r="N48" s="236">
        <v>1.1760000000000001E-2</v>
      </c>
      <c r="O48" s="237">
        <v>0</v>
      </c>
      <c r="P48" s="238">
        <v>2.5000000000000001E-2</v>
      </c>
      <c r="Q48" s="236" t="s">
        <v>93</v>
      </c>
      <c r="R48" s="880">
        <v>0.44900000000000001</v>
      </c>
      <c r="S48" s="880">
        <v>0.1</v>
      </c>
      <c r="T48" s="239" t="s">
        <v>109</v>
      </c>
      <c r="U48" s="238" t="s">
        <v>95</v>
      </c>
      <c r="V48" s="1044"/>
      <c r="W48" s="240" t="s">
        <v>97</v>
      </c>
      <c r="X48" s="241" t="s">
        <v>98</v>
      </c>
      <c r="Y48" s="241" t="s">
        <v>340</v>
      </c>
      <c r="Z48" s="626">
        <v>18</v>
      </c>
      <c r="AA48" s="242" t="s">
        <v>338</v>
      </c>
      <c r="AB48" s="242" t="s">
        <v>375</v>
      </c>
      <c r="AC48" s="243">
        <v>100000</v>
      </c>
      <c r="AD48" s="244" t="s">
        <v>111</v>
      </c>
      <c r="AE48" s="796">
        <v>17.5</v>
      </c>
      <c r="AF48" s="797">
        <v>17.5</v>
      </c>
      <c r="AG48" s="798">
        <v>35</v>
      </c>
      <c r="AH48" s="799">
        <v>7.5</v>
      </c>
      <c r="AI48" s="800">
        <v>10</v>
      </c>
      <c r="AJ48" s="799">
        <v>7.5</v>
      </c>
      <c r="AK48" s="800">
        <v>10</v>
      </c>
      <c r="AL48" s="727">
        <v>1.3479200000000004E-2</v>
      </c>
      <c r="AM48" s="728">
        <v>7.669200000000001E-3</v>
      </c>
      <c r="AN48" s="729">
        <v>2.0916000000000003E-3</v>
      </c>
      <c r="AO48" s="726">
        <v>2.3240000000000004E-2</v>
      </c>
      <c r="AP48" s="722">
        <v>2.3240000000000004E-2</v>
      </c>
      <c r="AQ48" s="727">
        <v>1.1473170731707321E-2</v>
      </c>
      <c r="AR48" s="728">
        <v>0</v>
      </c>
      <c r="AS48" s="729">
        <v>0</v>
      </c>
      <c r="AT48" s="726">
        <v>1.1473170731707321E-2</v>
      </c>
      <c r="AU48" s="727">
        <v>1.1473170731707321E-2</v>
      </c>
      <c r="AV48" s="728">
        <v>0</v>
      </c>
      <c r="AW48" s="729">
        <v>0</v>
      </c>
      <c r="AX48" s="726">
        <v>1.1473170731707321E-2</v>
      </c>
      <c r="AY48" s="720">
        <v>1.1760000000000001E-2</v>
      </c>
      <c r="AZ48" s="720">
        <v>0</v>
      </c>
      <c r="BA48" s="720">
        <v>0</v>
      </c>
      <c r="BB48" s="721">
        <v>1.1760000000000001E-2</v>
      </c>
      <c r="BC48" s="722">
        <v>3.5000000000000003E-2</v>
      </c>
      <c r="BD48" s="858" t="s">
        <v>437</v>
      </c>
      <c r="BE48" s="802">
        <v>9.5000000000000001E-2</v>
      </c>
      <c r="BF48" s="241">
        <v>1.7999999999999999E-2</v>
      </c>
      <c r="BG48" s="803">
        <v>7.6999999999999999E-2</v>
      </c>
    </row>
    <row r="49" spans="1:59" ht="105.9" customHeight="1" x14ac:dyDescent="0.3">
      <c r="A49" s="546" t="s">
        <v>416</v>
      </c>
      <c r="B49" s="1032"/>
      <c r="C49" s="245" t="s">
        <v>197</v>
      </c>
      <c r="D49" s="627" t="s">
        <v>198</v>
      </c>
      <c r="E49" s="628" t="s">
        <v>199</v>
      </c>
      <c r="F49" s="677" t="s">
        <v>394</v>
      </c>
      <c r="G49" s="618" t="s">
        <v>396</v>
      </c>
      <c r="H49" s="617" t="s">
        <v>395</v>
      </c>
      <c r="I49" s="218" t="s">
        <v>90</v>
      </c>
      <c r="J49" s="629" t="s">
        <v>346</v>
      </c>
      <c r="K49" s="629" t="s">
        <v>346</v>
      </c>
      <c r="L49" s="250">
        <v>4.5000000000000012E-2</v>
      </c>
      <c r="M49" s="251">
        <v>2.5875000000000006E-2</v>
      </c>
      <c r="N49" s="251">
        <v>1.9125000000000003E-2</v>
      </c>
      <c r="O49" s="252">
        <v>0</v>
      </c>
      <c r="P49" s="250">
        <v>2.5000000000000001E-2</v>
      </c>
      <c r="Q49" s="251" t="s">
        <v>93</v>
      </c>
      <c r="R49" s="881">
        <v>0.44900000000000001</v>
      </c>
      <c r="S49" s="881">
        <v>0.1</v>
      </c>
      <c r="T49" s="253" t="s">
        <v>109</v>
      </c>
      <c r="U49" s="250" t="s">
        <v>203</v>
      </c>
      <c r="V49" s="1044"/>
      <c r="W49" s="254" t="s">
        <v>97</v>
      </c>
      <c r="X49" s="255" t="s">
        <v>98</v>
      </c>
      <c r="Y49" s="255" t="s">
        <v>337</v>
      </c>
      <c r="Z49" s="630">
        <v>18</v>
      </c>
      <c r="AA49" s="256" t="s">
        <v>338</v>
      </c>
      <c r="AB49" s="256" t="s">
        <v>375</v>
      </c>
      <c r="AC49" s="257">
        <v>100000</v>
      </c>
      <c r="AD49" s="258" t="s">
        <v>100</v>
      </c>
      <c r="AE49" s="804">
        <v>17.5</v>
      </c>
      <c r="AF49" s="805">
        <v>17.5</v>
      </c>
      <c r="AG49" s="806">
        <v>35</v>
      </c>
      <c r="AH49" s="807">
        <v>7.5</v>
      </c>
      <c r="AI49" s="808">
        <v>10</v>
      </c>
      <c r="AJ49" s="807">
        <v>7.5</v>
      </c>
      <c r="AK49" s="808">
        <v>10</v>
      </c>
      <c r="AL49" s="727">
        <v>1.5783750000000003E-2</v>
      </c>
      <c r="AM49" s="728">
        <v>1.0091250000000003E-2</v>
      </c>
      <c r="AN49" s="729">
        <v>0</v>
      </c>
      <c r="AO49" s="726">
        <v>2.5875000000000006E-2</v>
      </c>
      <c r="AP49" s="722">
        <v>2.5875000000000006E-2</v>
      </c>
      <c r="AQ49" s="727">
        <v>0</v>
      </c>
      <c r="AR49" s="728">
        <v>1.865853658536586E-2</v>
      </c>
      <c r="AS49" s="729">
        <v>0</v>
      </c>
      <c r="AT49" s="726">
        <v>1.865853658536586E-2</v>
      </c>
      <c r="AU49" s="727">
        <v>0</v>
      </c>
      <c r="AV49" s="728">
        <v>1.865853658536586E-2</v>
      </c>
      <c r="AW49" s="729">
        <v>0</v>
      </c>
      <c r="AX49" s="726">
        <v>1.865853658536586E-2</v>
      </c>
      <c r="AY49" s="720">
        <v>0</v>
      </c>
      <c r="AZ49" s="720">
        <v>1.9125000000000003E-2</v>
      </c>
      <c r="BA49" s="720">
        <v>0</v>
      </c>
      <c r="BB49" s="721">
        <v>1.9125000000000003E-2</v>
      </c>
      <c r="BC49" s="722">
        <v>4.5000000000000012E-2</v>
      </c>
      <c r="BD49" s="857" t="s">
        <v>438</v>
      </c>
      <c r="BE49" s="809">
        <v>8.3000000000000004E-2</v>
      </c>
      <c r="BF49" s="255">
        <v>1.7999999999999999E-2</v>
      </c>
      <c r="BG49" s="810">
        <v>6.5000000000000002E-2</v>
      </c>
    </row>
    <row r="50" spans="1:59" ht="105.9" customHeight="1" x14ac:dyDescent="0.3">
      <c r="A50" s="546" t="s">
        <v>416</v>
      </c>
      <c r="B50" s="1032"/>
      <c r="C50" s="229" t="s">
        <v>204</v>
      </c>
      <c r="D50" s="621" t="s">
        <v>205</v>
      </c>
      <c r="E50" s="622" t="s">
        <v>206</v>
      </c>
      <c r="F50" s="678" t="s">
        <v>397</v>
      </c>
      <c r="G50" s="631" t="s">
        <v>396</v>
      </c>
      <c r="H50" s="623" t="s">
        <v>398</v>
      </c>
      <c r="I50" s="632" t="s">
        <v>106</v>
      </c>
      <c r="J50" s="625" t="s">
        <v>346</v>
      </c>
      <c r="K50" s="625" t="s">
        <v>346</v>
      </c>
      <c r="L50" s="235">
        <v>4.4999999999999991E-2</v>
      </c>
      <c r="M50" s="236">
        <v>2.9879999999999993E-2</v>
      </c>
      <c r="N50" s="236">
        <v>1.512E-2</v>
      </c>
      <c r="O50" s="237">
        <v>0</v>
      </c>
      <c r="P50" s="238">
        <v>2.5000000000000001E-2</v>
      </c>
      <c r="Q50" s="236" t="s">
        <v>93</v>
      </c>
      <c r="R50" s="880">
        <v>0.44900000000000001</v>
      </c>
      <c r="S50" s="880">
        <v>0.1</v>
      </c>
      <c r="T50" s="239" t="s">
        <v>109</v>
      </c>
      <c r="U50" s="238" t="s">
        <v>203</v>
      </c>
      <c r="V50" s="1044"/>
      <c r="W50" s="240" t="s">
        <v>97</v>
      </c>
      <c r="X50" s="241" t="s">
        <v>98</v>
      </c>
      <c r="Y50" s="241" t="s">
        <v>340</v>
      </c>
      <c r="Z50" s="626">
        <v>18</v>
      </c>
      <c r="AA50" s="242" t="s">
        <v>338</v>
      </c>
      <c r="AB50" s="242" t="s">
        <v>375</v>
      </c>
      <c r="AC50" s="243">
        <v>100000</v>
      </c>
      <c r="AD50" s="244" t="s">
        <v>111</v>
      </c>
      <c r="AE50" s="796">
        <v>17.5</v>
      </c>
      <c r="AF50" s="797">
        <v>17.5</v>
      </c>
      <c r="AG50" s="798">
        <v>35</v>
      </c>
      <c r="AH50" s="799">
        <v>7.5</v>
      </c>
      <c r="AI50" s="800">
        <v>10</v>
      </c>
      <c r="AJ50" s="799">
        <v>7.5</v>
      </c>
      <c r="AK50" s="800">
        <v>10</v>
      </c>
      <c r="AL50" s="727">
        <v>1.7330399999999996E-2</v>
      </c>
      <c r="AM50" s="728">
        <v>9.8604000000000001E-3</v>
      </c>
      <c r="AN50" s="729">
        <v>2.6891999999999997E-3</v>
      </c>
      <c r="AO50" s="726">
        <v>2.9879999999999993E-2</v>
      </c>
      <c r="AP50" s="722">
        <v>2.9879999999999993E-2</v>
      </c>
      <c r="AQ50" s="727">
        <v>1.4751219512195123E-2</v>
      </c>
      <c r="AR50" s="728">
        <v>0</v>
      </c>
      <c r="AS50" s="729">
        <v>0</v>
      </c>
      <c r="AT50" s="726">
        <v>1.4751219512195123E-2</v>
      </c>
      <c r="AU50" s="727">
        <v>1.4751219512195123E-2</v>
      </c>
      <c r="AV50" s="728">
        <v>0</v>
      </c>
      <c r="AW50" s="729">
        <v>0</v>
      </c>
      <c r="AX50" s="726">
        <v>1.4751219512195123E-2</v>
      </c>
      <c r="AY50" s="720">
        <v>1.512E-2</v>
      </c>
      <c r="AZ50" s="720">
        <v>0</v>
      </c>
      <c r="BA50" s="720">
        <v>0</v>
      </c>
      <c r="BB50" s="721">
        <v>1.512E-2</v>
      </c>
      <c r="BC50" s="722">
        <v>4.4999999999999991E-2</v>
      </c>
      <c r="BD50" s="858" t="s">
        <v>439</v>
      </c>
      <c r="BE50" s="802">
        <v>8.3000000000000004E-2</v>
      </c>
      <c r="BF50" s="241">
        <v>1.7999999999999999E-2</v>
      </c>
      <c r="BG50" s="803">
        <v>6.5000000000000002E-2</v>
      </c>
    </row>
    <row r="51" spans="1:59" ht="105.9" customHeight="1" x14ac:dyDescent="0.3">
      <c r="A51" s="546" t="s">
        <v>416</v>
      </c>
      <c r="B51" s="1032"/>
      <c r="C51" s="245" t="s">
        <v>209</v>
      </c>
      <c r="D51" s="627" t="s">
        <v>210</v>
      </c>
      <c r="E51" s="628" t="s">
        <v>211</v>
      </c>
      <c r="F51" s="677" t="s">
        <v>399</v>
      </c>
      <c r="G51" s="618" t="s">
        <v>401</v>
      </c>
      <c r="H51" s="617" t="s">
        <v>400</v>
      </c>
      <c r="I51" s="218" t="s">
        <v>90</v>
      </c>
      <c r="J51" s="629" t="s">
        <v>346</v>
      </c>
      <c r="K51" s="629" t="s">
        <v>346</v>
      </c>
      <c r="L51" s="250">
        <v>5.9999999999999984E-2</v>
      </c>
      <c r="M51" s="251">
        <v>3.4499999999999989E-2</v>
      </c>
      <c r="N51" s="251">
        <v>2.5499999999999995E-2</v>
      </c>
      <c r="O51" s="252">
        <v>0</v>
      </c>
      <c r="P51" s="250">
        <v>2.5000000000000001E-2</v>
      </c>
      <c r="Q51" s="251" t="s">
        <v>93</v>
      </c>
      <c r="R51" s="881">
        <v>0.44900000000000001</v>
      </c>
      <c r="S51" s="881">
        <v>0.1</v>
      </c>
      <c r="T51" s="253" t="s">
        <v>109</v>
      </c>
      <c r="U51" s="250" t="s">
        <v>215</v>
      </c>
      <c r="V51" s="1044"/>
      <c r="W51" s="254" t="s">
        <v>97</v>
      </c>
      <c r="X51" s="255" t="s">
        <v>98</v>
      </c>
      <c r="Y51" s="255" t="s">
        <v>337</v>
      </c>
      <c r="Z51" s="630">
        <v>18</v>
      </c>
      <c r="AA51" s="256" t="s">
        <v>338</v>
      </c>
      <c r="AB51" s="256" t="s">
        <v>375</v>
      </c>
      <c r="AC51" s="257">
        <v>100000</v>
      </c>
      <c r="AD51" s="258" t="s">
        <v>100</v>
      </c>
      <c r="AE51" s="804">
        <v>17.5</v>
      </c>
      <c r="AF51" s="805">
        <v>17.5</v>
      </c>
      <c r="AG51" s="806">
        <v>35</v>
      </c>
      <c r="AH51" s="807">
        <v>7.5</v>
      </c>
      <c r="AI51" s="808">
        <v>10</v>
      </c>
      <c r="AJ51" s="807">
        <v>7.5</v>
      </c>
      <c r="AK51" s="808">
        <v>10</v>
      </c>
      <c r="AL51" s="727">
        <v>2.1044999999999991E-2</v>
      </c>
      <c r="AM51" s="728">
        <v>1.3454999999999996E-2</v>
      </c>
      <c r="AN51" s="729">
        <v>0</v>
      </c>
      <c r="AO51" s="726">
        <v>3.4499999999999989E-2</v>
      </c>
      <c r="AP51" s="722">
        <v>3.4499999999999989E-2</v>
      </c>
      <c r="AQ51" s="727">
        <v>0</v>
      </c>
      <c r="AR51" s="728">
        <v>2.4878048780487803E-2</v>
      </c>
      <c r="AS51" s="729">
        <v>0</v>
      </c>
      <c r="AT51" s="726">
        <v>2.4878048780487803E-2</v>
      </c>
      <c r="AU51" s="727">
        <v>0</v>
      </c>
      <c r="AV51" s="728">
        <v>2.4878048780487803E-2</v>
      </c>
      <c r="AW51" s="729">
        <v>0</v>
      </c>
      <c r="AX51" s="726">
        <v>2.4878048780487803E-2</v>
      </c>
      <c r="AY51" s="720">
        <v>0</v>
      </c>
      <c r="AZ51" s="720">
        <v>2.5499999999999995E-2</v>
      </c>
      <c r="BA51" s="720">
        <v>0</v>
      </c>
      <c r="BB51" s="721">
        <v>2.5499999999999995E-2</v>
      </c>
      <c r="BC51" s="722">
        <v>5.9999999999999984E-2</v>
      </c>
      <c r="BD51" s="857" t="s">
        <v>440</v>
      </c>
      <c r="BE51" s="809">
        <v>7.2999999999999995E-2</v>
      </c>
      <c r="BF51" s="255">
        <v>1.7999999999999999E-2</v>
      </c>
      <c r="BG51" s="810">
        <v>5.5E-2</v>
      </c>
    </row>
    <row r="52" spans="1:59" ht="105.9" customHeight="1" thickBot="1" x14ac:dyDescent="0.35">
      <c r="A52" s="546" t="s">
        <v>416</v>
      </c>
      <c r="B52" s="1033"/>
      <c r="C52" s="259" t="s">
        <v>216</v>
      </c>
      <c r="D52" s="633" t="s">
        <v>217</v>
      </c>
      <c r="E52" s="634" t="s">
        <v>218</v>
      </c>
      <c r="F52" s="683" t="s">
        <v>402</v>
      </c>
      <c r="G52" s="636" t="s">
        <v>401</v>
      </c>
      <c r="H52" s="635" t="s">
        <v>403</v>
      </c>
      <c r="I52" s="263" t="s">
        <v>106</v>
      </c>
      <c r="J52" s="637" t="s">
        <v>346</v>
      </c>
      <c r="K52" s="637" t="s">
        <v>346</v>
      </c>
      <c r="L52" s="266">
        <v>0.06</v>
      </c>
      <c r="M52" s="267">
        <v>3.984E-2</v>
      </c>
      <c r="N52" s="267">
        <v>2.0159999999999997E-2</v>
      </c>
      <c r="O52" s="268">
        <v>0</v>
      </c>
      <c r="P52" s="269">
        <v>2.5000000000000001E-2</v>
      </c>
      <c r="Q52" s="267" t="s">
        <v>93</v>
      </c>
      <c r="R52" s="882">
        <v>0.44900000000000001</v>
      </c>
      <c r="S52" s="882">
        <v>0.1</v>
      </c>
      <c r="T52" s="270" t="s">
        <v>109</v>
      </c>
      <c r="U52" s="269" t="s">
        <v>215</v>
      </c>
      <c r="V52" s="1045"/>
      <c r="W52" s="271" t="s">
        <v>97</v>
      </c>
      <c r="X52" s="272" t="s">
        <v>98</v>
      </c>
      <c r="Y52" s="272" t="s">
        <v>340</v>
      </c>
      <c r="Z52" s="638">
        <v>18</v>
      </c>
      <c r="AA52" s="267" t="s">
        <v>338</v>
      </c>
      <c r="AB52" s="267" t="s">
        <v>375</v>
      </c>
      <c r="AC52" s="273">
        <v>100000</v>
      </c>
      <c r="AD52" s="274" t="s">
        <v>111</v>
      </c>
      <c r="AE52" s="811">
        <v>17.5</v>
      </c>
      <c r="AF52" s="812">
        <v>17.5</v>
      </c>
      <c r="AG52" s="813">
        <v>35</v>
      </c>
      <c r="AH52" s="814">
        <v>7.5</v>
      </c>
      <c r="AI52" s="815">
        <v>10</v>
      </c>
      <c r="AJ52" s="814">
        <v>7.5</v>
      </c>
      <c r="AK52" s="815">
        <v>10</v>
      </c>
      <c r="AL52" s="746">
        <v>2.3107199999999998E-2</v>
      </c>
      <c r="AM52" s="747">
        <v>1.31472E-2</v>
      </c>
      <c r="AN52" s="748">
        <v>3.5855999999999996E-3</v>
      </c>
      <c r="AO52" s="749">
        <v>3.984E-2</v>
      </c>
      <c r="AP52" s="750">
        <v>3.984E-2</v>
      </c>
      <c r="AQ52" s="746">
        <v>1.966829268292683E-2</v>
      </c>
      <c r="AR52" s="747">
        <v>0</v>
      </c>
      <c r="AS52" s="748">
        <v>0</v>
      </c>
      <c r="AT52" s="749">
        <v>1.966829268292683E-2</v>
      </c>
      <c r="AU52" s="746">
        <v>1.966829268292683E-2</v>
      </c>
      <c r="AV52" s="747">
        <v>0</v>
      </c>
      <c r="AW52" s="748">
        <v>0</v>
      </c>
      <c r="AX52" s="749">
        <v>1.966829268292683E-2</v>
      </c>
      <c r="AY52" s="751">
        <v>2.0159999999999997E-2</v>
      </c>
      <c r="AZ52" s="751">
        <v>0</v>
      </c>
      <c r="BA52" s="751">
        <v>0</v>
      </c>
      <c r="BB52" s="752">
        <v>2.0159999999999997E-2</v>
      </c>
      <c r="BC52" s="750">
        <v>0.06</v>
      </c>
      <c r="BD52" s="859" t="s">
        <v>441</v>
      </c>
      <c r="BE52" s="817">
        <v>7.2999999999999995E-2</v>
      </c>
      <c r="BF52" s="272">
        <v>1.7999999999999999E-2</v>
      </c>
      <c r="BG52" s="818">
        <v>5.5E-2</v>
      </c>
    </row>
    <row r="53" spans="1:59" ht="105.9" customHeight="1" x14ac:dyDescent="0.3">
      <c r="A53" s="546" t="s">
        <v>416</v>
      </c>
      <c r="B53" s="1017" t="s">
        <v>11</v>
      </c>
      <c r="C53" s="275" t="s">
        <v>221</v>
      </c>
      <c r="D53" s="639" t="s">
        <v>222</v>
      </c>
      <c r="E53" s="640" t="s">
        <v>223</v>
      </c>
      <c r="F53" s="684" t="s">
        <v>404</v>
      </c>
      <c r="G53" s="642" t="s">
        <v>406</v>
      </c>
      <c r="H53" s="641" t="s">
        <v>405</v>
      </c>
      <c r="I53" s="643" t="s">
        <v>347</v>
      </c>
      <c r="J53" s="644" t="s">
        <v>346</v>
      </c>
      <c r="K53" s="644" t="s">
        <v>346</v>
      </c>
      <c r="L53" s="281">
        <v>4.4999999999999998E-2</v>
      </c>
      <c r="M53" s="282">
        <v>3.4875000000000003E-2</v>
      </c>
      <c r="N53" s="282">
        <v>1.0124999999999999E-2</v>
      </c>
      <c r="O53" s="283">
        <v>0</v>
      </c>
      <c r="P53" s="284">
        <v>2.5000000000000001E-2</v>
      </c>
      <c r="Q53" s="285" t="s">
        <v>229</v>
      </c>
      <c r="R53" s="883">
        <v>0.44900000000000001</v>
      </c>
      <c r="S53" s="883">
        <v>0.1</v>
      </c>
      <c r="T53" s="286" t="s">
        <v>109</v>
      </c>
      <c r="U53" s="287" t="s">
        <v>230</v>
      </c>
      <c r="V53" s="1037" t="s">
        <v>231</v>
      </c>
      <c r="W53" s="288" t="s">
        <v>97</v>
      </c>
      <c r="X53" s="289" t="s">
        <v>98</v>
      </c>
      <c r="Y53" s="289" t="s">
        <v>340</v>
      </c>
      <c r="Z53" s="646">
        <v>18</v>
      </c>
      <c r="AA53" s="287" t="s">
        <v>338</v>
      </c>
      <c r="AB53" s="287" t="s">
        <v>339</v>
      </c>
      <c r="AC53" s="290">
        <v>100000</v>
      </c>
      <c r="AD53" s="288" t="s">
        <v>232</v>
      </c>
      <c r="AE53" s="819">
        <v>20.5</v>
      </c>
      <c r="AF53" s="820">
        <v>20.5</v>
      </c>
      <c r="AG53" s="821">
        <v>41</v>
      </c>
      <c r="AH53" s="822">
        <v>7.5</v>
      </c>
      <c r="AI53" s="823">
        <v>13</v>
      </c>
      <c r="AJ53" s="822">
        <v>7.5</v>
      </c>
      <c r="AK53" s="823">
        <v>13</v>
      </c>
      <c r="AL53" s="717">
        <v>2.325E-2</v>
      </c>
      <c r="AM53" s="718">
        <v>1.1625E-2</v>
      </c>
      <c r="AN53" s="719">
        <v>0</v>
      </c>
      <c r="AO53" s="715">
        <v>3.4875000000000003E-2</v>
      </c>
      <c r="AP53" s="716">
        <v>3.4875000000000003E-2</v>
      </c>
      <c r="AQ53" s="717">
        <v>9.878048780487805E-3</v>
      </c>
      <c r="AR53" s="718">
        <v>0</v>
      </c>
      <c r="AS53" s="719">
        <v>0</v>
      </c>
      <c r="AT53" s="715">
        <v>9.878048780487805E-3</v>
      </c>
      <c r="AU53" s="717">
        <v>9.878048780487805E-3</v>
      </c>
      <c r="AV53" s="718">
        <v>0</v>
      </c>
      <c r="AW53" s="719">
        <v>0</v>
      </c>
      <c r="AX53" s="715">
        <v>9.878048780487805E-3</v>
      </c>
      <c r="AY53" s="720">
        <v>1.0124999999999999E-2</v>
      </c>
      <c r="AZ53" s="720">
        <v>0</v>
      </c>
      <c r="BA53" s="720">
        <v>0</v>
      </c>
      <c r="BB53" s="721">
        <v>1.0124999999999999E-2</v>
      </c>
      <c r="BC53" s="716">
        <v>4.4999999999999998E-2</v>
      </c>
      <c r="BD53" s="860" t="s">
        <v>442</v>
      </c>
      <c r="BE53" s="825">
        <v>7.2999999999999995E-2</v>
      </c>
      <c r="BF53" s="645">
        <v>1.7999999999999999E-2</v>
      </c>
      <c r="BG53" s="826">
        <v>5.5E-2</v>
      </c>
    </row>
    <row r="54" spans="1:59" ht="105.9" customHeight="1" thickBot="1" x14ac:dyDescent="0.35">
      <c r="A54" s="546" t="s">
        <v>416</v>
      </c>
      <c r="B54" s="1018"/>
      <c r="C54" s="291" t="s">
        <v>233</v>
      </c>
      <c r="D54" s="647" t="s">
        <v>234</v>
      </c>
      <c r="E54" s="648" t="s">
        <v>235</v>
      </c>
      <c r="F54" s="685" t="s">
        <v>407</v>
      </c>
      <c r="G54" s="650" t="s">
        <v>406</v>
      </c>
      <c r="H54" s="649" t="s">
        <v>408</v>
      </c>
      <c r="I54" s="651" t="s">
        <v>347</v>
      </c>
      <c r="J54" s="652" t="s">
        <v>346</v>
      </c>
      <c r="K54" s="652" t="s">
        <v>346</v>
      </c>
      <c r="L54" s="297">
        <v>4.4999999999999998E-2</v>
      </c>
      <c r="M54" s="298">
        <v>3.4875000000000003E-2</v>
      </c>
      <c r="N54" s="298">
        <v>1.0124999999999999E-2</v>
      </c>
      <c r="O54" s="299">
        <v>0</v>
      </c>
      <c r="P54" s="300">
        <v>2.5000000000000001E-2</v>
      </c>
      <c r="Q54" s="301" t="s">
        <v>229</v>
      </c>
      <c r="R54" s="884">
        <v>0.44900000000000001</v>
      </c>
      <c r="S54" s="884">
        <v>0.1</v>
      </c>
      <c r="T54" s="302" t="s">
        <v>109</v>
      </c>
      <c r="U54" s="303" t="s">
        <v>230</v>
      </c>
      <c r="V54" s="1038"/>
      <c r="W54" s="304" t="s">
        <v>97</v>
      </c>
      <c r="X54" s="305" t="s">
        <v>98</v>
      </c>
      <c r="Y54" s="305" t="s">
        <v>340</v>
      </c>
      <c r="Z54" s="654">
        <v>18</v>
      </c>
      <c r="AA54" s="303" t="s">
        <v>338</v>
      </c>
      <c r="AB54" s="303" t="s">
        <v>339</v>
      </c>
      <c r="AC54" s="306">
        <v>100000</v>
      </c>
      <c r="AD54" s="304" t="s">
        <v>232</v>
      </c>
      <c r="AE54" s="827">
        <v>20.5</v>
      </c>
      <c r="AF54" s="828">
        <v>20.5</v>
      </c>
      <c r="AG54" s="829">
        <v>41</v>
      </c>
      <c r="AH54" s="830">
        <v>7.5</v>
      </c>
      <c r="AI54" s="831">
        <v>13</v>
      </c>
      <c r="AJ54" s="830">
        <v>7.5</v>
      </c>
      <c r="AK54" s="831">
        <v>13</v>
      </c>
      <c r="AL54" s="746">
        <v>2.325E-2</v>
      </c>
      <c r="AM54" s="747">
        <v>1.1625E-2</v>
      </c>
      <c r="AN54" s="748">
        <v>0</v>
      </c>
      <c r="AO54" s="749">
        <v>3.4875000000000003E-2</v>
      </c>
      <c r="AP54" s="750">
        <v>3.4875000000000003E-2</v>
      </c>
      <c r="AQ54" s="746">
        <v>9.878048780487805E-3</v>
      </c>
      <c r="AR54" s="747">
        <v>0</v>
      </c>
      <c r="AS54" s="748">
        <v>0</v>
      </c>
      <c r="AT54" s="749">
        <v>9.878048780487805E-3</v>
      </c>
      <c r="AU54" s="746">
        <v>9.878048780487805E-3</v>
      </c>
      <c r="AV54" s="747">
        <v>0</v>
      </c>
      <c r="AW54" s="748">
        <v>0</v>
      </c>
      <c r="AX54" s="749">
        <v>9.878048780487805E-3</v>
      </c>
      <c r="AY54" s="751">
        <v>1.0124999999999999E-2</v>
      </c>
      <c r="AZ54" s="751">
        <v>0</v>
      </c>
      <c r="BA54" s="751">
        <v>0</v>
      </c>
      <c r="BB54" s="752">
        <v>1.0124999999999999E-2</v>
      </c>
      <c r="BC54" s="750">
        <v>4.4999999999999998E-2</v>
      </c>
      <c r="BD54" s="861" t="s">
        <v>442</v>
      </c>
      <c r="BE54" s="833">
        <v>7.2999999999999995E-2</v>
      </c>
      <c r="BF54" s="653">
        <v>1.7999999999999999E-2</v>
      </c>
      <c r="BG54" s="834">
        <v>5.5E-2</v>
      </c>
    </row>
    <row r="55" spans="1:59" ht="105.9" customHeight="1" x14ac:dyDescent="0.3">
      <c r="A55" s="546" t="s">
        <v>416</v>
      </c>
      <c r="B55" s="1039" t="s">
        <v>10</v>
      </c>
      <c r="C55" s="309" t="s">
        <v>238</v>
      </c>
      <c r="D55" s="655" t="s">
        <v>248</v>
      </c>
      <c r="E55" s="656" t="s">
        <v>240</v>
      </c>
      <c r="F55" s="686" t="s">
        <v>409</v>
      </c>
      <c r="G55" s="658" t="s">
        <v>411</v>
      </c>
      <c r="H55" s="657" t="s">
        <v>410</v>
      </c>
      <c r="I55" s="659" t="s">
        <v>347</v>
      </c>
      <c r="J55" s="660" t="s">
        <v>346</v>
      </c>
      <c r="K55" s="660" t="s">
        <v>346</v>
      </c>
      <c r="L55" s="314">
        <v>0.08</v>
      </c>
      <c r="M55" s="315">
        <v>7.5563405779431311E-2</v>
      </c>
      <c r="N55" s="315">
        <v>4.4365942205686903E-3</v>
      </c>
      <c r="O55" s="316">
        <v>0</v>
      </c>
      <c r="P55" s="317">
        <v>2.5000000000000001E-2</v>
      </c>
      <c r="Q55" s="315" t="s">
        <v>93</v>
      </c>
      <c r="R55" s="885">
        <v>0.26</v>
      </c>
      <c r="S55" s="885" t="s">
        <v>418</v>
      </c>
      <c r="T55" s="318" t="s">
        <v>109</v>
      </c>
      <c r="U55" s="319" t="s">
        <v>245</v>
      </c>
      <c r="V55" s="1041" t="s">
        <v>96</v>
      </c>
      <c r="W55" s="320" t="s">
        <v>97</v>
      </c>
      <c r="X55" s="321" t="s">
        <v>98</v>
      </c>
      <c r="Y55" s="321" t="s">
        <v>340</v>
      </c>
      <c r="Z55" s="661">
        <v>60</v>
      </c>
      <c r="AA55" s="319" t="s">
        <v>339</v>
      </c>
      <c r="AB55" s="319" t="s">
        <v>412</v>
      </c>
      <c r="AC55" s="322">
        <v>100000</v>
      </c>
      <c r="AD55" s="320" t="s">
        <v>246</v>
      </c>
      <c r="AE55" s="835">
        <v>25</v>
      </c>
      <c r="AF55" s="836">
        <v>25</v>
      </c>
      <c r="AG55" s="837">
        <v>50</v>
      </c>
      <c r="AH55" s="838">
        <v>7.5</v>
      </c>
      <c r="AI55" s="839">
        <v>17.5</v>
      </c>
      <c r="AJ55" s="838">
        <v>7.5</v>
      </c>
      <c r="AK55" s="839">
        <v>17.5</v>
      </c>
      <c r="AL55" s="717">
        <v>7.5563405779431311E-2</v>
      </c>
      <c r="AM55" s="718">
        <v>0</v>
      </c>
      <c r="AN55" s="719">
        <v>0</v>
      </c>
      <c r="AO55" s="715">
        <v>7.5563405779431311E-2</v>
      </c>
      <c r="AP55" s="716">
        <v>7.5563405779431311E-2</v>
      </c>
      <c r="AQ55" s="717">
        <v>0</v>
      </c>
      <c r="AR55" s="718">
        <v>0</v>
      </c>
      <c r="AS55" s="719">
        <v>4.328384605432869E-3</v>
      </c>
      <c r="AT55" s="715">
        <v>4.328384605432869E-3</v>
      </c>
      <c r="AU55" s="717">
        <v>0</v>
      </c>
      <c r="AV55" s="718">
        <v>0</v>
      </c>
      <c r="AW55" s="719">
        <v>4.328384605432869E-3</v>
      </c>
      <c r="AX55" s="715">
        <v>4.328384605432869E-3</v>
      </c>
      <c r="AY55" s="840">
        <v>0</v>
      </c>
      <c r="AZ55" s="840">
        <v>0</v>
      </c>
      <c r="BA55" s="840">
        <v>4.4365942205686903E-3</v>
      </c>
      <c r="BB55" s="841">
        <v>4.4365942205686903E-3</v>
      </c>
      <c r="BC55" s="716">
        <v>0.08</v>
      </c>
      <c r="BD55" s="862" t="s">
        <v>443</v>
      </c>
      <c r="BE55" s="843">
        <v>0.08</v>
      </c>
      <c r="BF55" s="662">
        <v>1.44E-2</v>
      </c>
      <c r="BG55" s="844">
        <v>6.5600000000000006E-2</v>
      </c>
    </row>
    <row r="56" spans="1:59" ht="105.9" customHeight="1" thickBot="1" x14ac:dyDescent="0.35">
      <c r="A56" s="546" t="s">
        <v>416</v>
      </c>
      <c r="B56" s="1040"/>
      <c r="C56" s="324" t="s">
        <v>247</v>
      </c>
      <c r="D56" s="663" t="s">
        <v>239</v>
      </c>
      <c r="E56" s="664" t="s">
        <v>249</v>
      </c>
      <c r="F56" s="687" t="s">
        <v>413</v>
      </c>
      <c r="G56" s="688" t="s">
        <v>415</v>
      </c>
      <c r="H56" s="665" t="s">
        <v>414</v>
      </c>
      <c r="I56" s="666" t="s">
        <v>347</v>
      </c>
      <c r="J56" s="667" t="s">
        <v>346</v>
      </c>
      <c r="K56" s="667" t="s">
        <v>346</v>
      </c>
      <c r="L56" s="328">
        <v>0.08</v>
      </c>
      <c r="M56" s="329">
        <v>7.5563405779431311E-2</v>
      </c>
      <c r="N56" s="329">
        <v>4.4365942205686903E-3</v>
      </c>
      <c r="O56" s="330">
        <v>0</v>
      </c>
      <c r="P56" s="331">
        <v>2.5000000000000001E-2</v>
      </c>
      <c r="Q56" s="329" t="s">
        <v>93</v>
      </c>
      <c r="R56" s="886">
        <v>0.26</v>
      </c>
      <c r="S56" s="886" t="s">
        <v>418</v>
      </c>
      <c r="T56" s="332" t="s">
        <v>109</v>
      </c>
      <c r="U56" s="333" t="s">
        <v>245</v>
      </c>
      <c r="V56" s="1042"/>
      <c r="W56" s="334" t="s">
        <v>97</v>
      </c>
      <c r="X56" s="335" t="s">
        <v>98</v>
      </c>
      <c r="Y56" s="335" t="s">
        <v>340</v>
      </c>
      <c r="Z56" s="668">
        <v>60</v>
      </c>
      <c r="AA56" s="333" t="s">
        <v>339</v>
      </c>
      <c r="AB56" s="333" t="s">
        <v>412</v>
      </c>
      <c r="AC56" s="336">
        <v>100000</v>
      </c>
      <c r="AD56" s="334" t="s">
        <v>246</v>
      </c>
      <c r="AE56" s="845">
        <v>25</v>
      </c>
      <c r="AF56" s="846">
        <v>25</v>
      </c>
      <c r="AG56" s="847">
        <v>50</v>
      </c>
      <c r="AH56" s="848">
        <v>7.5</v>
      </c>
      <c r="AI56" s="849">
        <v>17.5</v>
      </c>
      <c r="AJ56" s="848">
        <v>7.5</v>
      </c>
      <c r="AK56" s="849">
        <v>17.5</v>
      </c>
      <c r="AL56" s="746">
        <v>7.5563405779431311E-2</v>
      </c>
      <c r="AM56" s="747">
        <v>0</v>
      </c>
      <c r="AN56" s="748">
        <v>0</v>
      </c>
      <c r="AO56" s="749">
        <v>7.5563405779431311E-2</v>
      </c>
      <c r="AP56" s="750">
        <v>7.5563405779431311E-2</v>
      </c>
      <c r="AQ56" s="746">
        <v>0</v>
      </c>
      <c r="AR56" s="747">
        <v>0</v>
      </c>
      <c r="AS56" s="748">
        <v>4.328384605432869E-3</v>
      </c>
      <c r="AT56" s="749">
        <v>4.328384605432869E-3</v>
      </c>
      <c r="AU56" s="746">
        <v>0</v>
      </c>
      <c r="AV56" s="747">
        <v>0</v>
      </c>
      <c r="AW56" s="748">
        <v>4.328384605432869E-3</v>
      </c>
      <c r="AX56" s="749">
        <v>4.328384605432869E-3</v>
      </c>
      <c r="AY56" s="751">
        <v>0</v>
      </c>
      <c r="AZ56" s="751">
        <v>0</v>
      </c>
      <c r="BA56" s="751">
        <v>4.4365942205686903E-3</v>
      </c>
      <c r="BB56" s="752">
        <v>4.4365942205686903E-3</v>
      </c>
      <c r="BC56" s="750">
        <v>0.08</v>
      </c>
      <c r="BD56" s="863" t="s">
        <v>444</v>
      </c>
      <c r="BE56" s="851">
        <v>0.08</v>
      </c>
      <c r="BF56" s="669">
        <v>1.44E-2</v>
      </c>
      <c r="BG56" s="852">
        <v>6.5600000000000006E-2</v>
      </c>
    </row>
    <row r="57" spans="1:59" ht="15" thickTop="1" x14ac:dyDescent="0.3"/>
    <row r="62" spans="1:59" x14ac:dyDescent="0.3">
      <c r="B62" s="1027" t="s">
        <v>252</v>
      </c>
      <c r="C62" s="1027"/>
      <c r="D62" s="1027"/>
      <c r="E62" s="337"/>
      <c r="F62" s="337"/>
      <c r="G62" s="337"/>
      <c r="H62" s="337"/>
    </row>
    <row r="63" spans="1:59" x14ac:dyDescent="0.3">
      <c r="B63" s="338" t="s">
        <v>253</v>
      </c>
      <c r="C63" s="338" t="s">
        <v>254</v>
      </c>
      <c r="D63" s="339" t="s">
        <v>255</v>
      </c>
      <c r="E63" s="44"/>
      <c r="F63" s="44"/>
      <c r="G63" s="44"/>
      <c r="H63" s="44"/>
    </row>
    <row r="64" spans="1:59" x14ac:dyDescent="0.3">
      <c r="B64" s="340" t="s">
        <v>91</v>
      </c>
      <c r="C64" s="340" t="s">
        <v>92</v>
      </c>
      <c r="D64" s="341" t="s">
        <v>90</v>
      </c>
      <c r="E64" s="342"/>
      <c r="F64" s="342"/>
      <c r="G64" s="342"/>
      <c r="H64" s="342"/>
    </row>
    <row r="65" spans="2:8" x14ac:dyDescent="0.3">
      <c r="B65" s="340" t="s">
        <v>107</v>
      </c>
      <c r="C65" s="340" t="s">
        <v>108</v>
      </c>
      <c r="D65" s="341" t="s">
        <v>256</v>
      </c>
      <c r="E65" s="342"/>
      <c r="F65" s="342"/>
      <c r="G65" s="342"/>
      <c r="H65" s="342"/>
    </row>
    <row r="66" spans="2:8" x14ac:dyDescent="0.3">
      <c r="B66" s="340" t="s">
        <v>227</v>
      </c>
      <c r="C66" s="340" t="s">
        <v>228</v>
      </c>
      <c r="D66" s="341" t="s">
        <v>257</v>
      </c>
      <c r="E66" s="342"/>
      <c r="F66" s="342"/>
      <c r="G66" s="342"/>
      <c r="H66" s="342"/>
    </row>
    <row r="67" spans="2:8" x14ac:dyDescent="0.3">
      <c r="B67" s="340" t="s">
        <v>243</v>
      </c>
      <c r="C67" s="340" t="s">
        <v>244</v>
      </c>
      <c r="D67" s="341" t="s">
        <v>10</v>
      </c>
      <c r="E67" s="342"/>
      <c r="F67" s="342"/>
      <c r="G67" s="342"/>
      <c r="H67" s="342"/>
    </row>
  </sheetData>
  <mergeCells count="21">
    <mergeCell ref="B53:B54"/>
    <mergeCell ref="AL3:BC3"/>
    <mergeCell ref="B7:B14"/>
    <mergeCell ref="B27:B28"/>
    <mergeCell ref="B62:D62"/>
    <mergeCell ref="B15:B20"/>
    <mergeCell ref="B21:B26"/>
    <mergeCell ref="C3:E3"/>
    <mergeCell ref="F3:H3"/>
    <mergeCell ref="B5:B6"/>
    <mergeCell ref="B31:B32"/>
    <mergeCell ref="V53:V54"/>
    <mergeCell ref="B55:B56"/>
    <mergeCell ref="V55:V56"/>
    <mergeCell ref="B47:B52"/>
    <mergeCell ref="V47:V52"/>
    <mergeCell ref="V31:V32"/>
    <mergeCell ref="B33:B40"/>
    <mergeCell ref="V33:V40"/>
    <mergeCell ref="B41:B46"/>
    <mergeCell ref="V41:V46"/>
  </mergeCell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53"/>
  <sheetViews>
    <sheetView showGridLines="0" tabSelected="1" topLeftCell="L58" zoomScaleNormal="100" workbookViewId="0">
      <selection activeCell="M74" sqref="M74:P76"/>
    </sheetView>
  </sheetViews>
  <sheetFormatPr defaultColWidth="9.109375" defaultRowHeight="14.4" x14ac:dyDescent="0.3"/>
  <cols>
    <col min="1" max="1" width="5.6640625" style="4" customWidth="1"/>
    <col min="2" max="2" width="80.109375" style="4" customWidth="1"/>
    <col min="3" max="3" width="15.33203125" style="4" customWidth="1"/>
    <col min="4" max="4" width="19.6640625" style="4" customWidth="1"/>
    <col min="5" max="5" width="18.44140625" style="4" customWidth="1"/>
    <col min="6" max="6" width="13.5546875" style="4" customWidth="1"/>
    <col min="7" max="7" width="1.5546875" style="4" customWidth="1"/>
    <col min="8" max="8" width="74" style="4" customWidth="1"/>
    <col min="9" max="9" width="36.5546875" style="4" customWidth="1"/>
    <col min="10" max="10" width="37.44140625" style="4" customWidth="1"/>
    <col min="11" max="11" width="28.33203125" style="4" customWidth="1"/>
    <col min="12" max="12" width="5.5546875" style="4" customWidth="1"/>
    <col min="13" max="13" width="86" style="4" customWidth="1"/>
    <col min="14" max="14" width="20.88671875" style="4" customWidth="1"/>
    <col min="15" max="15" width="21.44140625" style="4" customWidth="1"/>
    <col min="16" max="17" width="13.5546875" style="4" customWidth="1"/>
    <col min="18" max="18" width="13.5546875" style="7" customWidth="1"/>
    <col min="19" max="19" width="93.5546875" style="4" customWidth="1"/>
    <col min="20" max="20" width="81.6640625" style="4" customWidth="1"/>
    <col min="21" max="21" width="99.109375" style="4" customWidth="1"/>
    <col min="22" max="22" width="113.109375" style="4" customWidth="1"/>
    <col min="23" max="23" width="12.5546875" style="4" customWidth="1"/>
    <col min="24" max="24" width="17.5546875" style="4" bestFit="1" customWidth="1"/>
    <col min="25" max="16384" width="9.109375" style="4"/>
  </cols>
  <sheetData>
    <row r="1" spans="2:26" ht="24.75" customHeight="1" x14ac:dyDescent="0.3">
      <c r="R1" s="22"/>
      <c r="S1" s="474"/>
      <c r="T1" s="474"/>
    </row>
    <row r="2" spans="2:26" ht="15" customHeight="1" x14ac:dyDescent="0.3">
      <c r="B2" s="345" t="s">
        <v>273</v>
      </c>
      <c r="F2" s="475"/>
      <c r="G2" s="475"/>
      <c r="H2" s="475"/>
      <c r="I2" s="475"/>
      <c r="J2" s="475"/>
      <c r="K2" s="475"/>
      <c r="L2" s="475"/>
      <c r="M2" s="475"/>
      <c r="N2" s="475"/>
      <c r="O2" s="475"/>
      <c r="P2" s="475"/>
      <c r="Q2" s="475"/>
      <c r="R2" s="473"/>
      <c r="S2" s="16"/>
      <c r="T2" s="469"/>
    </row>
    <row r="3" spans="2:26" ht="8.25" customHeight="1" thickBot="1" x14ac:dyDescent="0.35"/>
    <row r="4" spans="2:26" ht="18" x14ac:dyDescent="0.35">
      <c r="B4" s="1051" t="s">
        <v>18</v>
      </c>
      <c r="C4" s="1052"/>
      <c r="D4" s="1052"/>
      <c r="E4" s="1053"/>
      <c r="F4" s="430"/>
      <c r="G4" s="430"/>
      <c r="H4" s="430"/>
      <c r="I4" s="430"/>
      <c r="J4" s="430"/>
      <c r="K4" s="430"/>
      <c r="L4" s="430"/>
      <c r="M4" s="430"/>
      <c r="N4" s="430"/>
      <c r="O4" s="430"/>
      <c r="P4" s="430"/>
      <c r="Q4" s="430"/>
    </row>
    <row r="5" spans="2:26" ht="18.600000000000001" thickBot="1" x14ac:dyDescent="0.4">
      <c r="B5" s="1048" t="str">
        <f>VLOOKUP(C9,'Product Map - IVASS'!$H$5:$BD$56,49,FALSE)</f>
        <v>SENIOR AUTO CPI 8.0%</v>
      </c>
      <c r="C5" s="1049"/>
      <c r="D5" s="1049"/>
      <c r="E5" s="1050"/>
      <c r="F5" s="429"/>
      <c r="G5" s="429"/>
      <c r="H5" s="1058"/>
      <c r="I5" s="1058"/>
      <c r="J5" s="1058"/>
      <c r="K5" s="1058"/>
      <c r="L5" s="429"/>
      <c r="M5" s="1059" t="s">
        <v>464</v>
      </c>
      <c r="N5" s="1059"/>
      <c r="O5" s="1059"/>
      <c r="P5" s="1059"/>
      <c r="Q5" s="429"/>
      <c r="S5" s="4" t="s">
        <v>447</v>
      </c>
      <c r="U5" s="1047"/>
      <c r="V5" s="1047"/>
      <c r="W5" s="1047"/>
      <c r="X5" s="1047"/>
      <c r="Y5" s="1047"/>
      <c r="Z5" s="1047"/>
    </row>
    <row r="6" spans="2:26" s="7" customFormat="1" ht="3.75" customHeight="1" thickBot="1" x14ac:dyDescent="0.4">
      <c r="B6" s="9"/>
      <c r="C6" s="9"/>
      <c r="D6" s="9"/>
      <c r="E6" s="9"/>
      <c r="F6" s="9"/>
      <c r="G6" s="9"/>
      <c r="H6" s="9"/>
      <c r="I6" s="9"/>
      <c r="J6" s="9"/>
      <c r="K6" s="9"/>
      <c r="L6" s="9"/>
      <c r="M6" s="9"/>
      <c r="N6" s="9"/>
      <c r="O6" s="9"/>
      <c r="P6" s="9"/>
      <c r="Q6" s="9"/>
    </row>
    <row r="7" spans="2:26" s="7" customFormat="1" ht="15" customHeight="1" thickBot="1" x14ac:dyDescent="0.4">
      <c r="B7" s="1054" t="s">
        <v>4</v>
      </c>
      <c r="C7" s="1055"/>
      <c r="D7" s="9"/>
      <c r="E7" s="9"/>
      <c r="F7" s="9"/>
      <c r="G7" s="9"/>
      <c r="H7" s="9"/>
      <c r="I7" s="995" t="s">
        <v>463</v>
      </c>
      <c r="J7" s="996"/>
      <c r="K7" s="997"/>
      <c r="L7" s="9"/>
      <c r="M7" s="9"/>
      <c r="N7" s="1060" t="s">
        <v>455</v>
      </c>
      <c r="O7" s="1061"/>
      <c r="P7" s="1061"/>
      <c r="Q7" s="9"/>
    </row>
    <row r="8" spans="2:26" s="7" customFormat="1" ht="4.5" customHeight="1" thickBot="1" x14ac:dyDescent="0.4">
      <c r="B8" s="10"/>
      <c r="C8" s="10"/>
      <c r="D8" s="9"/>
      <c r="E8" s="9"/>
      <c r="F8" s="9"/>
      <c r="G8" s="9"/>
      <c r="H8" s="9"/>
      <c r="I8" s="9"/>
      <c r="J8" s="9"/>
      <c r="K8" s="9"/>
      <c r="L8" s="9"/>
      <c r="M8" s="9"/>
      <c r="N8" s="9"/>
      <c r="O8" s="9"/>
      <c r="P8" s="9"/>
      <c r="Q8" s="9"/>
    </row>
    <row r="9" spans="2:26" s="7" customFormat="1" ht="15" customHeight="1" x14ac:dyDescent="0.35">
      <c r="B9" s="348" t="s">
        <v>258</v>
      </c>
      <c r="C9" s="354" t="s">
        <v>242</v>
      </c>
      <c r="D9" s="9"/>
      <c r="E9" s="9"/>
      <c r="F9" s="9"/>
      <c r="G9" s="9"/>
      <c r="H9" s="9"/>
      <c r="I9" s="915" t="str">
        <f>C9</f>
        <v>LOLA2</v>
      </c>
      <c r="J9" s="9"/>
      <c r="K9" s="9"/>
      <c r="L9" s="9"/>
      <c r="M9" s="9"/>
      <c r="N9" s="915" t="str">
        <f>C9</f>
        <v>LOLA2</v>
      </c>
      <c r="O9" s="9"/>
      <c r="P9" s="9"/>
      <c r="Q9" s="9"/>
    </row>
    <row r="10" spans="2:26" s="7" customFormat="1" ht="15" customHeight="1" x14ac:dyDescent="0.35">
      <c r="B10" s="349" t="s">
        <v>9</v>
      </c>
      <c r="C10" s="350">
        <v>42905</v>
      </c>
      <c r="D10" s="9"/>
      <c r="E10" s="466"/>
      <c r="F10" s="9"/>
      <c r="G10" s="9"/>
      <c r="H10" s="9"/>
      <c r="I10" s="916">
        <f>C10</f>
        <v>42905</v>
      </c>
      <c r="J10" s="9"/>
      <c r="K10" s="9"/>
      <c r="L10" s="9"/>
      <c r="M10" s="9"/>
      <c r="N10" s="916">
        <f>C10</f>
        <v>42905</v>
      </c>
      <c r="O10" s="9"/>
      <c r="P10" s="9"/>
      <c r="Q10" s="9"/>
    </row>
    <row r="11" spans="2:26" s="7" customFormat="1" ht="15" customHeight="1" x14ac:dyDescent="0.35">
      <c r="B11" s="351" t="s">
        <v>272</v>
      </c>
      <c r="C11" s="352">
        <v>44727</v>
      </c>
      <c r="D11" s="9"/>
      <c r="E11" s="961" t="s">
        <v>446</v>
      </c>
      <c r="F11" s="9"/>
      <c r="G11" s="9"/>
      <c r="H11" s="9"/>
      <c r="I11" s="917">
        <f>C11</f>
        <v>44727</v>
      </c>
      <c r="J11" s="9"/>
      <c r="K11" s="9"/>
      <c r="L11" s="9"/>
      <c r="M11" s="9"/>
      <c r="N11" s="917">
        <f>C11</f>
        <v>44727</v>
      </c>
      <c r="O11" s="9"/>
      <c r="P11" s="9"/>
      <c r="Q11" s="9"/>
    </row>
    <row r="12" spans="2:26" s="7" customFormat="1" ht="15" customHeight="1" x14ac:dyDescent="0.35">
      <c r="B12" s="351" t="s">
        <v>452</v>
      </c>
      <c r="C12" s="352">
        <v>43195</v>
      </c>
      <c r="D12" s="9"/>
      <c r="E12" s="961"/>
      <c r="F12" s="9"/>
      <c r="G12" s="9"/>
      <c r="H12" s="9"/>
      <c r="I12" s="918">
        <v>43237</v>
      </c>
      <c r="J12" s="906" t="s">
        <v>456</v>
      </c>
      <c r="K12" s="9"/>
      <c r="L12" s="9"/>
      <c r="M12" s="9"/>
      <c r="N12" s="918">
        <v>43237</v>
      </c>
      <c r="O12" s="905" t="s">
        <v>462</v>
      </c>
      <c r="P12" s="9"/>
      <c r="Q12" s="9"/>
    </row>
    <row r="13" spans="2:26" s="7" customFormat="1" ht="15" customHeight="1" x14ac:dyDescent="0.35">
      <c r="B13" s="888" t="s">
        <v>3</v>
      </c>
      <c r="C13" s="889">
        <v>17132.650000000001</v>
      </c>
      <c r="D13" s="963" t="s">
        <v>508</v>
      </c>
      <c r="E13" s="962">
        <f>C13+C44</f>
        <v>18503.262000000002</v>
      </c>
      <c r="F13" s="9"/>
      <c r="G13" s="9"/>
      <c r="H13" s="9"/>
      <c r="I13" s="919">
        <f>C13</f>
        <v>17132.650000000001</v>
      </c>
      <c r="J13" s="9"/>
      <c r="K13" s="9"/>
      <c r="L13" s="9"/>
      <c r="M13" s="9"/>
      <c r="N13" s="919">
        <f>C13</f>
        <v>17132.650000000001</v>
      </c>
      <c r="O13" s="9"/>
      <c r="P13" s="9"/>
      <c r="Q13" s="9"/>
    </row>
    <row r="14" spans="2:26" s="7" customFormat="1" ht="15" customHeight="1" x14ac:dyDescent="0.35">
      <c r="B14" s="888" t="s">
        <v>451</v>
      </c>
      <c r="C14" s="914">
        <v>14186.14</v>
      </c>
      <c r="D14" s="9"/>
      <c r="E14" s="961"/>
      <c r="F14" s="9"/>
      <c r="G14" s="9"/>
      <c r="H14" s="9"/>
      <c r="I14" s="922">
        <v>0</v>
      </c>
      <c r="J14" s="920" t="s">
        <v>457</v>
      </c>
      <c r="K14" s="921"/>
      <c r="L14" s="952"/>
      <c r="M14" s="9"/>
      <c r="N14" s="922">
        <v>0</v>
      </c>
      <c r="O14" s="906" t="s">
        <v>458</v>
      </c>
      <c r="P14" s="9"/>
      <c r="Q14" s="9"/>
    </row>
    <row r="15" spans="2:26" s="7" customFormat="1" ht="15" customHeight="1" thickBot="1" x14ac:dyDescent="0.4">
      <c r="B15" s="353" t="s">
        <v>465</v>
      </c>
      <c r="C15" s="901">
        <f>C14</f>
        <v>14186.14</v>
      </c>
      <c r="D15" s="9"/>
      <c r="E15" s="961"/>
      <c r="F15" s="9"/>
      <c r="G15" s="9"/>
      <c r="H15" s="9"/>
      <c r="I15" s="890">
        <f>C15+I14</f>
        <v>14186.14</v>
      </c>
      <c r="J15" s="9"/>
      <c r="K15" s="9"/>
      <c r="L15" s="9"/>
      <c r="N15" s="890">
        <f>SUM(C15,I14,N14)</f>
        <v>14186.14</v>
      </c>
      <c r="O15" s="9"/>
      <c r="P15" s="9"/>
      <c r="Q15" s="9"/>
    </row>
    <row r="16" spans="2:26" s="7" customFormat="1" ht="11.25" customHeight="1" thickBot="1" x14ac:dyDescent="0.4">
      <c r="B16" s="9"/>
      <c r="C16" s="9"/>
      <c r="D16" s="9"/>
      <c r="E16" s="9"/>
      <c r="F16" s="9"/>
      <c r="G16" s="9"/>
      <c r="H16" s="9"/>
      <c r="I16" s="9"/>
      <c r="J16" s="9"/>
      <c r="K16" s="9"/>
      <c r="L16" s="9"/>
      <c r="M16" s="9"/>
      <c r="N16" s="9"/>
      <c r="O16" s="9"/>
      <c r="P16" s="9"/>
      <c r="Q16" s="9"/>
      <c r="R16" s="9"/>
    </row>
    <row r="17" spans="1:25" ht="15" thickBot="1" x14ac:dyDescent="0.35">
      <c r="B17" s="435" t="s">
        <v>0</v>
      </c>
      <c r="C17" s="421" t="s">
        <v>259</v>
      </c>
      <c r="D17" s="421" t="s">
        <v>1</v>
      </c>
      <c r="E17" s="422" t="s">
        <v>2</v>
      </c>
      <c r="I17" s="421" t="s">
        <v>259</v>
      </c>
      <c r="J17" s="421" t="s">
        <v>1</v>
      </c>
      <c r="K17" s="422" t="s">
        <v>2</v>
      </c>
      <c r="N17" s="421" t="s">
        <v>259</v>
      </c>
      <c r="O17" s="421" t="s">
        <v>1</v>
      </c>
      <c r="P17" s="422" t="s">
        <v>2</v>
      </c>
      <c r="R17" s="19"/>
      <c r="S17" s="18"/>
      <c r="T17" s="7"/>
    </row>
    <row r="18" spans="1:25" s="7" customFormat="1" ht="3.75" customHeight="1" thickBot="1" x14ac:dyDescent="0.35">
      <c r="B18" s="420"/>
      <c r="C18" s="19"/>
      <c r="D18" s="19"/>
      <c r="E18" s="19"/>
      <c r="R18" s="19"/>
      <c r="S18" s="18"/>
    </row>
    <row r="19" spans="1:25" x14ac:dyDescent="0.3">
      <c r="B19" s="11" t="s">
        <v>275</v>
      </c>
      <c r="C19" s="423">
        <f>SUM(D19:E19)</f>
        <v>0.08</v>
      </c>
      <c r="D19" s="423">
        <f>VLOOKUP($C$9,'Product Map - IVASS'!$H$5:$S$56,6,FALSE)</f>
        <v>7.5563405779431311E-2</v>
      </c>
      <c r="E19" s="424">
        <f>VLOOKUP($C$9,'Product Map - IVASS'!$H$5:$S$56,7,FALSE)</f>
        <v>4.4365942205686903E-3</v>
      </c>
      <c r="I19" s="423">
        <f t="shared" ref="I19:K23" si="0">C19</f>
        <v>0.08</v>
      </c>
      <c r="J19" s="423">
        <f t="shared" si="0"/>
        <v>7.5563405779431311E-2</v>
      </c>
      <c r="K19" s="424">
        <f t="shared" si="0"/>
        <v>4.4365942205686903E-3</v>
      </c>
      <c r="N19" s="423">
        <f t="shared" ref="N19:P23" si="1">C19</f>
        <v>0.08</v>
      </c>
      <c r="O19" s="423">
        <f t="shared" si="1"/>
        <v>7.5563405779431311E-2</v>
      </c>
      <c r="P19" s="424">
        <f t="shared" si="1"/>
        <v>4.4365942205686903E-3</v>
      </c>
      <c r="R19" s="6"/>
      <c r="S19" s="7"/>
      <c r="T19" s="7"/>
    </row>
    <row r="20" spans="1:25" x14ac:dyDescent="0.3">
      <c r="B20" s="12" t="s">
        <v>274</v>
      </c>
      <c r="C20" s="26">
        <f>SUM(D20:E20)</f>
        <v>2.5000000000000001E-2</v>
      </c>
      <c r="D20" s="26">
        <f>VLOOKUP($C$9,'Product Map - IVASS'!$H$5:$S$56,8,FALSE)</f>
        <v>0</v>
      </c>
      <c r="E20" s="8">
        <f>VLOOKUP($C$9,'Product Map - IVASS'!$H$5:$S$56,9,FALSE)</f>
        <v>2.5000000000000001E-2</v>
      </c>
      <c r="I20" s="26">
        <f t="shared" si="0"/>
        <v>2.5000000000000001E-2</v>
      </c>
      <c r="J20" s="26">
        <f t="shared" si="0"/>
        <v>0</v>
      </c>
      <c r="K20" s="8">
        <f t="shared" si="0"/>
        <v>2.5000000000000001E-2</v>
      </c>
      <c r="N20" s="26">
        <f t="shared" si="1"/>
        <v>2.5000000000000001E-2</v>
      </c>
      <c r="O20" s="26">
        <f t="shared" si="1"/>
        <v>0</v>
      </c>
      <c r="P20" s="8">
        <f t="shared" si="1"/>
        <v>2.5000000000000001E-2</v>
      </c>
      <c r="R20" s="20"/>
      <c r="S20" s="7"/>
      <c r="T20" s="7"/>
    </row>
    <row r="21" spans="1:25" ht="15.6" x14ac:dyDescent="0.3">
      <c r="A21" s="27" t="s">
        <v>16</v>
      </c>
      <c r="B21" s="359" t="s">
        <v>276</v>
      </c>
      <c r="C21" s="541">
        <f>E21</f>
        <v>0.26</v>
      </c>
      <c r="D21" s="541">
        <f>VLOOKUP($C$9,'Product Map - IVASS'!$H$5:$S$56,11,FALSE)</f>
        <v>0.26</v>
      </c>
      <c r="E21" s="542">
        <f>VLOOKUP($C$9,'Product Map - IVASS'!$H$5:$S$56,11,FALSE)</f>
        <v>0.26</v>
      </c>
      <c r="I21" s="541">
        <f t="shared" si="0"/>
        <v>0.26</v>
      </c>
      <c r="J21" s="541">
        <f t="shared" si="0"/>
        <v>0.26</v>
      </c>
      <c r="K21" s="542">
        <f t="shared" si="0"/>
        <v>0.26</v>
      </c>
      <c r="N21" s="541">
        <f t="shared" si="1"/>
        <v>0.26</v>
      </c>
      <c r="O21" s="541">
        <f t="shared" si="1"/>
        <v>0.26</v>
      </c>
      <c r="P21" s="542">
        <f t="shared" si="1"/>
        <v>0.26</v>
      </c>
      <c r="R21" s="21"/>
      <c r="S21" s="7"/>
      <c r="T21" s="7"/>
    </row>
    <row r="22" spans="1:25" ht="15.6" x14ac:dyDescent="0.3">
      <c r="A22" s="27" t="s">
        <v>17</v>
      </c>
      <c r="B22" s="13" t="s">
        <v>277</v>
      </c>
      <c r="C22" s="23">
        <f>SUM(D22:E22)</f>
        <v>50</v>
      </c>
      <c r="D22" s="23">
        <f>VLOOKUP($C$9,'Product Map - IVASS'!$H$5:$AK$56,24,FALSE)</f>
        <v>25</v>
      </c>
      <c r="E22" s="343">
        <f>VLOOKUP($C$9,'Product Map - IVASS'!$H$5:$AK$56,25,FALSE)</f>
        <v>25</v>
      </c>
      <c r="I22" s="23">
        <f t="shared" si="0"/>
        <v>50</v>
      </c>
      <c r="J22" s="23">
        <f t="shared" si="0"/>
        <v>25</v>
      </c>
      <c r="K22" s="343">
        <f t="shared" si="0"/>
        <v>25</v>
      </c>
      <c r="N22" s="23">
        <f t="shared" si="1"/>
        <v>50</v>
      </c>
      <c r="O22" s="23">
        <f t="shared" si="1"/>
        <v>25</v>
      </c>
      <c r="P22" s="343">
        <f t="shared" si="1"/>
        <v>25</v>
      </c>
      <c r="R22" s="22"/>
      <c r="S22" s="7"/>
      <c r="T22" s="7"/>
    </row>
    <row r="23" spans="1:25" ht="16.2" thickBot="1" x14ac:dyDescent="0.35">
      <c r="A23" s="27" t="s">
        <v>21</v>
      </c>
      <c r="B23" s="14" t="s">
        <v>278</v>
      </c>
      <c r="C23" s="24">
        <f>SUM(D23:E23)</f>
        <v>15</v>
      </c>
      <c r="D23" s="24">
        <f>VLOOKUP($C$9,'Product Map - IVASS'!$H$5:$AK$56,27,FALSE)</f>
        <v>7.5</v>
      </c>
      <c r="E23" s="344">
        <f>VLOOKUP($C$9,'Product Map - IVASS'!$H$5:$AK$56,29,FALSE)</f>
        <v>7.5</v>
      </c>
      <c r="I23" s="24">
        <f t="shared" si="0"/>
        <v>15</v>
      </c>
      <c r="J23" s="24">
        <f t="shared" si="0"/>
        <v>7.5</v>
      </c>
      <c r="K23" s="344">
        <f t="shared" si="0"/>
        <v>7.5</v>
      </c>
      <c r="N23" s="24">
        <f t="shared" si="1"/>
        <v>15</v>
      </c>
      <c r="O23" s="24">
        <f t="shared" si="1"/>
        <v>7.5</v>
      </c>
      <c r="P23" s="344">
        <f t="shared" si="1"/>
        <v>7.5</v>
      </c>
      <c r="R23" s="4"/>
      <c r="S23" s="7"/>
      <c r="V23" s="1057"/>
      <c r="W23" s="1057"/>
    </row>
    <row r="24" spans="1:25" ht="3.75" customHeight="1" x14ac:dyDescent="0.3">
      <c r="F24" s="5"/>
      <c r="G24" s="5"/>
      <c r="H24" s="5"/>
      <c r="I24" s="5"/>
      <c r="J24" s="5"/>
      <c r="K24" s="5"/>
      <c r="L24" s="5"/>
      <c r="M24" s="5"/>
      <c r="N24" s="5"/>
      <c r="O24" s="5"/>
      <c r="P24" s="5"/>
      <c r="Q24" s="5"/>
      <c r="R24" s="4"/>
      <c r="S24" s="7"/>
    </row>
    <row r="25" spans="1:25" ht="15" thickBot="1" x14ac:dyDescent="0.35">
      <c r="E25" s="10"/>
      <c r="F25" s="5"/>
      <c r="G25" s="5"/>
      <c r="H25" s="5"/>
      <c r="I25" s="5"/>
      <c r="J25" s="5"/>
      <c r="K25" s="5"/>
      <c r="L25" s="5"/>
      <c r="M25" s="5"/>
      <c r="N25" s="5"/>
      <c r="O25" s="5"/>
      <c r="P25" s="5"/>
      <c r="Q25" s="5"/>
      <c r="S25" s="402"/>
      <c r="X25" s="7"/>
    </row>
    <row r="26" spans="1:25" s="7" customFormat="1" ht="15.75" customHeight="1" thickBot="1" x14ac:dyDescent="0.35">
      <c r="B26" s="436" t="s">
        <v>265</v>
      </c>
      <c r="C26" s="421" t="s">
        <v>259</v>
      </c>
      <c r="D26" s="421" t="s">
        <v>1</v>
      </c>
      <c r="E26" s="422" t="s">
        <v>2</v>
      </c>
      <c r="I26" s="421" t="s">
        <v>259</v>
      </c>
      <c r="J26" s="421" t="s">
        <v>1</v>
      </c>
      <c r="K26" s="422" t="s">
        <v>2</v>
      </c>
      <c r="N26" s="421" t="s">
        <v>259</v>
      </c>
      <c r="O26" s="421" t="s">
        <v>1</v>
      </c>
      <c r="P26" s="422" t="s">
        <v>2</v>
      </c>
      <c r="S26" s="33"/>
      <c r="X26" s="346"/>
    </row>
    <row r="27" spans="1:25" s="7" customFormat="1" ht="4.5" customHeight="1" thickBot="1" x14ac:dyDescent="0.35">
      <c r="B27" s="387"/>
      <c r="C27" s="19"/>
      <c r="D27" s="19"/>
      <c r="E27" s="19"/>
      <c r="R27" s="10"/>
      <c r="S27" s="33"/>
      <c r="X27" s="346"/>
    </row>
    <row r="28" spans="1:25" ht="15" customHeight="1" x14ac:dyDescent="0.3">
      <c r="B28" s="38" t="s">
        <v>268</v>
      </c>
      <c r="C28" s="426">
        <f>((C11-C10)/365.25)*12</f>
        <v>59.860369609856264</v>
      </c>
      <c r="D28" s="427"/>
      <c r="E28" s="428"/>
      <c r="I28" s="426">
        <f>((I11-I10)/365.25)*12</f>
        <v>59.860369609856264</v>
      </c>
      <c r="J28" s="427"/>
      <c r="K28" s="428"/>
      <c r="N28" s="426">
        <f>((N11-N10)/365.25)*12</f>
        <v>59.860369609856264</v>
      </c>
      <c r="O28" s="427"/>
      <c r="P28" s="428"/>
      <c r="R28" s="406"/>
      <c r="S28" s="33"/>
      <c r="T28" s="34"/>
      <c r="X28" s="7"/>
    </row>
    <row r="29" spans="1:25" x14ac:dyDescent="0.3">
      <c r="B29" s="39" t="s">
        <v>269</v>
      </c>
      <c r="C29" s="389">
        <f>((C12-C10)/365.25)*12</f>
        <v>9.5277207392197116</v>
      </c>
      <c r="D29" s="408"/>
      <c r="E29" s="411"/>
      <c r="I29" s="389">
        <f>((I12-I10)/365.25)*12</f>
        <v>10.907597535934292</v>
      </c>
      <c r="J29" s="408"/>
      <c r="K29" s="411"/>
      <c r="N29" s="389">
        <f>((N12-N10)/365.25)*12</f>
        <v>10.907597535934292</v>
      </c>
      <c r="O29" s="408"/>
      <c r="P29" s="411"/>
      <c r="R29" s="465"/>
      <c r="S29" s="33"/>
      <c r="T29" s="34"/>
      <c r="X29" s="1056"/>
      <c r="Y29" s="1056"/>
    </row>
    <row r="30" spans="1:25" ht="15" thickBot="1" x14ac:dyDescent="0.35">
      <c r="B30" s="400" t="s">
        <v>270</v>
      </c>
      <c r="C30" s="401">
        <f>IF(C28-C29&lt;0,0,C28-C29)</f>
        <v>50.332648870636554</v>
      </c>
      <c r="D30" s="409"/>
      <c r="E30" s="412"/>
      <c r="I30" s="401">
        <f>IF(I28-I29&lt;0,0,I28-I29)</f>
        <v>48.95277207392197</v>
      </c>
      <c r="J30" s="409"/>
      <c r="K30" s="412"/>
      <c r="N30" s="401">
        <f>IF(N28-N29&lt;0,0,N28-N29)</f>
        <v>48.95277207392197</v>
      </c>
      <c r="O30" s="409"/>
      <c r="P30" s="412"/>
      <c r="R30" s="407" t="s">
        <v>316</v>
      </c>
      <c r="S30" s="471" t="s">
        <v>315</v>
      </c>
      <c r="T30" s="471" t="s">
        <v>317</v>
      </c>
      <c r="U30" s="471" t="s">
        <v>314</v>
      </c>
      <c r="V30" s="471" t="s">
        <v>313</v>
      </c>
    </row>
    <row r="31" spans="1:25" x14ac:dyDescent="0.3">
      <c r="B31" s="398" t="s">
        <v>282</v>
      </c>
      <c r="C31" s="403">
        <f>SUM(D31:E31)</f>
        <v>1368.7580825372436</v>
      </c>
      <c r="D31" s="399">
        <f>C13*D19*100%/(100%+D20)</f>
        <v>1294.6013840269741</v>
      </c>
      <c r="E31" s="413">
        <f>C13*E19*100%/(100%+E20)</f>
        <v>74.15669851026945</v>
      </c>
      <c r="I31" s="403">
        <f>SUM(J31:K31)</f>
        <v>1368.7580825372436</v>
      </c>
      <c r="J31" s="399">
        <f>I13*J19*100%/(100%+J20)</f>
        <v>1294.6013840269741</v>
      </c>
      <c r="K31" s="413">
        <f>I13*K19*100%/(100%+K20)</f>
        <v>74.15669851026945</v>
      </c>
      <c r="N31" s="403">
        <f>SUM(O31:P31)</f>
        <v>1368.7580825372436</v>
      </c>
      <c r="O31" s="399">
        <f>N13*O19*100%/(100%+O20)</f>
        <v>1294.6013840269741</v>
      </c>
      <c r="P31" s="413">
        <f>N13*P19*100%/(100%+P20)</f>
        <v>74.15669851026945</v>
      </c>
      <c r="R31" s="468">
        <v>1</v>
      </c>
      <c r="S31" s="358">
        <f t="shared" ref="S31:S67" si="2">IF(R31&gt;$C$28,"",($D$31-$D$31*$D$21)*(($C$28-R31+1)*($C$28-R31)/($C$28*($C$28+1)))+$D$31*$D$21*($C$28-R31)/$C$28)</f>
        <v>1257.4962949884564</v>
      </c>
      <c r="T31" s="470">
        <f>IF(R31&gt;$C$28,"",S31-$D$22)</f>
        <v>1232.4962949884564</v>
      </c>
      <c r="U31" s="469">
        <f>IF(R31&gt;$C$28,"",$E$31*($C$28-R31)/$C$28)</f>
        <v>72.917870567949848</v>
      </c>
      <c r="V31" s="472">
        <f>IF(R31&gt;$C$28,"",U31-$E$22)</f>
        <v>47.917870567949848</v>
      </c>
    </row>
    <row r="32" spans="1:25" ht="15.75" customHeight="1" x14ac:dyDescent="0.3">
      <c r="B32" s="433" t="s">
        <v>267</v>
      </c>
      <c r="C32" s="404">
        <f>SUM(D32:E32)</f>
        <v>974.79358407690222</v>
      </c>
      <c r="D32" s="390">
        <f>(D31-D31*D21)*((C28-C29+1)*(C28-C29)/(C28*(C28+1)))+D31*D21*(C28-C29)/C28-D22</f>
        <v>937.44009224499621</v>
      </c>
      <c r="E32" s="15">
        <f>E31*(C28-C29)/C28-E22</f>
        <v>37.353491831906041</v>
      </c>
      <c r="I32" s="404">
        <f>SUM(J32:K32)</f>
        <v>928.93592150567747</v>
      </c>
      <c r="J32" s="390">
        <f>(J31-J31*J21)*((I28-I29+1)*(I28-I29)/(I28*(I28+1)))+J31*J21*(I28-I29)/I28-J22</f>
        <v>893.29185960649988</v>
      </c>
      <c r="K32" s="15">
        <f>K31*(I28-I29)/I28-K22</f>
        <v>35.644061899177537</v>
      </c>
      <c r="N32" s="404">
        <f>SUM(O32:P32)</f>
        <v>928.93592150567747</v>
      </c>
      <c r="O32" s="390">
        <f>(O31-O31*O21)*((N28-N29+1)*(N28-N29)/(N28*(N28+1)))+O31*O21*(N28-N29)/N28-O22</f>
        <v>893.29185960649988</v>
      </c>
      <c r="P32" s="15">
        <f>P31*(N28-N29)/N28-P22</f>
        <v>35.644061899177537</v>
      </c>
      <c r="R32" s="467">
        <v>2</v>
      </c>
      <c r="S32" s="358">
        <f t="shared" si="2"/>
        <v>1220.9171309343617</v>
      </c>
      <c r="T32" s="470">
        <f t="shared" ref="T32:T97" si="3">IF(R32&gt;$C$28,"",S32-$D$22)</f>
        <v>1195.9171309343617</v>
      </c>
      <c r="U32" s="469">
        <f t="shared" ref="U32:U97" si="4">IF(R32&gt;$C$28,"",$E$31*($C$28-R32)/$C$28)</f>
        <v>71.679042625630245</v>
      </c>
      <c r="V32" s="472">
        <f t="shared" ref="V32:V97" si="5">IF(R32&gt;$C$28,"",U32-$E$22)</f>
        <v>46.679042625630245</v>
      </c>
    </row>
    <row r="33" spans="1:22" ht="15.75" customHeight="1" thickBot="1" x14ac:dyDescent="0.35">
      <c r="B33" s="431" t="s">
        <v>266</v>
      </c>
      <c r="C33" s="414">
        <f>SUM(D33:E33)</f>
        <v>284.23365501439895</v>
      </c>
      <c r="D33" s="415">
        <f>D31*D21*(C28-C29)/C28-D23</f>
        <v>275.52174713810336</v>
      </c>
      <c r="E33" s="35">
        <f>E31*E21*(C28-C29)/C28-E23</f>
        <v>8.7119078762955731</v>
      </c>
      <c r="I33" s="414">
        <f>SUM(J33:K33)</f>
        <v>276.03012139128879</v>
      </c>
      <c r="J33" s="415">
        <f>J31*J21*(I28-I29)/I28-J23</f>
        <v>267.76266529750262</v>
      </c>
      <c r="K33" s="35">
        <f>K31*K21*(I28-I29)/I28-K23</f>
        <v>8.2674560937861621</v>
      </c>
      <c r="N33" s="414">
        <f>SUM(O33:P33)</f>
        <v>276.03012139128879</v>
      </c>
      <c r="O33" s="415">
        <f>O31*O21*(N28-N29)/N28-O23</f>
        <v>267.76266529750262</v>
      </c>
      <c r="P33" s="35">
        <f>P31*P21*(N28-N29)/N28-P23</f>
        <v>8.2674560937861621</v>
      </c>
      <c r="R33" s="7">
        <v>3</v>
      </c>
      <c r="S33" s="358">
        <f t="shared" si="2"/>
        <v>1184.8638918646902</v>
      </c>
      <c r="T33" s="470">
        <f t="shared" si="3"/>
        <v>1159.8638918646902</v>
      </c>
      <c r="U33" s="469">
        <f t="shared" si="4"/>
        <v>70.440214683310629</v>
      </c>
      <c r="V33" s="472">
        <f t="shared" si="5"/>
        <v>45.440214683310629</v>
      </c>
    </row>
    <row r="34" spans="1:22" ht="15" thickBot="1" x14ac:dyDescent="0.35">
      <c r="B34" s="410"/>
      <c r="C34" s="42"/>
      <c r="D34" s="42"/>
      <c r="E34" s="42"/>
      <c r="F34" s="4" t="s">
        <v>446</v>
      </c>
      <c r="I34" s="42"/>
      <c r="J34" s="42"/>
      <c r="K34" s="42"/>
      <c r="N34" s="42"/>
      <c r="O34" s="42"/>
      <c r="P34" s="42"/>
      <c r="R34" s="7">
        <v>4</v>
      </c>
      <c r="S34" s="358">
        <f t="shared" si="2"/>
        <v>1149.3365777794418</v>
      </c>
      <c r="T34" s="470">
        <f t="shared" si="3"/>
        <v>1124.3365777794418</v>
      </c>
      <c r="U34" s="469">
        <f t="shared" si="4"/>
        <v>69.201386740991026</v>
      </c>
      <c r="V34" s="472">
        <f t="shared" si="5"/>
        <v>44.201386740991026</v>
      </c>
    </row>
    <row r="35" spans="1:22" ht="15" thickBot="1" x14ac:dyDescent="0.35">
      <c r="A35" s="31"/>
      <c r="B35" s="545" t="s">
        <v>22</v>
      </c>
      <c r="C35" s="421" t="s">
        <v>259</v>
      </c>
      <c r="D35" s="421" t="s">
        <v>1</v>
      </c>
      <c r="E35" s="422" t="s">
        <v>2</v>
      </c>
      <c r="I35" s="421" t="s">
        <v>259</v>
      </c>
      <c r="J35" s="421" t="s">
        <v>1</v>
      </c>
      <c r="K35" s="422" t="s">
        <v>2</v>
      </c>
      <c r="N35" s="421" t="s">
        <v>259</v>
      </c>
      <c r="O35" s="421" t="s">
        <v>1</v>
      </c>
      <c r="P35" s="422" t="s">
        <v>2</v>
      </c>
      <c r="R35" s="7">
        <v>5</v>
      </c>
      <c r="S35" s="358">
        <f t="shared" si="2"/>
        <v>1114.3351886786168</v>
      </c>
      <c r="T35" s="470">
        <f t="shared" si="3"/>
        <v>1089.3351886786168</v>
      </c>
      <c r="U35" s="469">
        <f t="shared" si="4"/>
        <v>67.962558798671409</v>
      </c>
      <c r="V35" s="472">
        <f t="shared" si="5"/>
        <v>42.962558798671409</v>
      </c>
    </row>
    <row r="36" spans="1:22" ht="4.5" customHeight="1" thickBot="1" x14ac:dyDescent="0.35">
      <c r="A36" s="32"/>
      <c r="B36" s="10"/>
      <c r="D36" s="10"/>
      <c r="E36" s="388"/>
      <c r="J36" s="10"/>
      <c r="K36" s="388"/>
      <c r="O36" s="10"/>
      <c r="P36" s="388"/>
      <c r="R36" s="7">
        <v>6</v>
      </c>
      <c r="S36" s="358">
        <f t="shared" si="2"/>
        <v>1079.859724562215</v>
      </c>
      <c r="T36" s="470">
        <f t="shared" si="3"/>
        <v>1054.859724562215</v>
      </c>
      <c r="U36" s="469">
        <f t="shared" si="4"/>
        <v>66.723730856351807</v>
      </c>
      <c r="V36" s="472">
        <f t="shared" si="5"/>
        <v>41.723730856351807</v>
      </c>
    </row>
    <row r="37" spans="1:22" x14ac:dyDescent="0.3">
      <c r="A37" s="29"/>
      <c r="B37" s="391" t="s">
        <v>284</v>
      </c>
      <c r="C37" s="394">
        <f t="shared" ref="C37:E38" si="6">C22</f>
        <v>50</v>
      </c>
      <c r="D37" s="416">
        <f t="shared" si="6"/>
        <v>25</v>
      </c>
      <c r="E37" s="394">
        <f t="shared" si="6"/>
        <v>25</v>
      </c>
      <c r="I37" s="394">
        <f t="shared" ref="I37:K38" si="7">I22</f>
        <v>50</v>
      </c>
      <c r="J37" s="416">
        <f t="shared" si="7"/>
        <v>25</v>
      </c>
      <c r="K37" s="394">
        <f t="shared" si="7"/>
        <v>25</v>
      </c>
      <c r="N37" s="394">
        <f t="shared" ref="N37:P38" si="8">N22</f>
        <v>50</v>
      </c>
      <c r="O37" s="416">
        <f t="shared" si="8"/>
        <v>25</v>
      </c>
      <c r="P37" s="394">
        <f t="shared" si="8"/>
        <v>25</v>
      </c>
      <c r="R37" s="7">
        <v>7</v>
      </c>
      <c r="S37" s="358">
        <f t="shared" si="2"/>
        <v>1045.9101854302362</v>
      </c>
      <c r="T37" s="470">
        <f t="shared" si="3"/>
        <v>1020.9101854302362</v>
      </c>
      <c r="U37" s="469">
        <f t="shared" si="4"/>
        <v>65.48490291403219</v>
      </c>
      <c r="V37" s="472">
        <f t="shared" si="5"/>
        <v>40.48490291403219</v>
      </c>
    </row>
    <row r="38" spans="1:22" x14ac:dyDescent="0.3">
      <c r="A38" s="30"/>
      <c r="B38" s="392" t="s">
        <v>261</v>
      </c>
      <c r="C38" s="395">
        <f t="shared" si="6"/>
        <v>15</v>
      </c>
      <c r="D38" s="417">
        <f t="shared" si="6"/>
        <v>7.5</v>
      </c>
      <c r="E38" s="395">
        <f t="shared" si="6"/>
        <v>7.5</v>
      </c>
      <c r="I38" s="395">
        <f t="shared" si="7"/>
        <v>15</v>
      </c>
      <c r="J38" s="417">
        <f t="shared" si="7"/>
        <v>7.5</v>
      </c>
      <c r="K38" s="395">
        <f t="shared" si="7"/>
        <v>7.5</v>
      </c>
      <c r="N38" s="395">
        <f t="shared" si="8"/>
        <v>15</v>
      </c>
      <c r="O38" s="417">
        <f t="shared" si="8"/>
        <v>7.5</v>
      </c>
      <c r="P38" s="395">
        <f t="shared" si="8"/>
        <v>7.5</v>
      </c>
      <c r="R38" s="7">
        <v>8</v>
      </c>
      <c r="S38" s="358">
        <f t="shared" si="2"/>
        <v>1012.4865712826806</v>
      </c>
      <c r="T38" s="470">
        <f t="shared" si="3"/>
        <v>987.48657128268064</v>
      </c>
      <c r="U38" s="469">
        <f t="shared" si="4"/>
        <v>64.246074971712588</v>
      </c>
      <c r="V38" s="472">
        <f t="shared" si="5"/>
        <v>39.246074971712588</v>
      </c>
    </row>
    <row r="39" spans="1:22" ht="15.6" x14ac:dyDescent="0.3">
      <c r="B39" s="434" t="s">
        <v>283</v>
      </c>
      <c r="C39" s="396">
        <f>C32</f>
        <v>974.79358407690222</v>
      </c>
      <c r="D39" s="418">
        <f>D32</f>
        <v>937.44009224499621</v>
      </c>
      <c r="E39" s="396">
        <f>E32</f>
        <v>37.353491831906041</v>
      </c>
      <c r="I39" s="396">
        <f>I32</f>
        <v>928.93592150567747</v>
      </c>
      <c r="J39" s="418">
        <f>J32</f>
        <v>893.29185960649988</v>
      </c>
      <c r="K39" s="396">
        <f>K32</f>
        <v>35.644061899177537</v>
      </c>
      <c r="N39" s="396">
        <f>N32</f>
        <v>928.93592150567747</v>
      </c>
      <c r="O39" s="418">
        <f>O32</f>
        <v>893.29185960649988</v>
      </c>
      <c r="P39" s="396">
        <f>P32</f>
        <v>35.644061899177537</v>
      </c>
      <c r="R39" s="7">
        <v>9</v>
      </c>
      <c r="S39" s="358">
        <f t="shared" si="2"/>
        <v>979.58888211954832</v>
      </c>
      <c r="T39" s="470">
        <f t="shared" si="3"/>
        <v>954.58888211954832</v>
      </c>
      <c r="U39" s="469">
        <f t="shared" si="4"/>
        <v>63.007247029392978</v>
      </c>
      <c r="V39" s="472">
        <f t="shared" si="5"/>
        <v>38.007247029392978</v>
      </c>
    </row>
    <row r="40" spans="1:22" x14ac:dyDescent="0.3">
      <c r="B40" s="393" t="s">
        <v>8</v>
      </c>
      <c r="C40" s="395"/>
      <c r="D40" s="417"/>
      <c r="E40" s="395"/>
      <c r="I40" s="395"/>
      <c r="J40" s="417"/>
      <c r="K40" s="395"/>
      <c r="N40" s="395"/>
      <c r="O40" s="417"/>
      <c r="P40" s="395"/>
      <c r="R40" s="7">
        <v>10</v>
      </c>
      <c r="S40" s="358">
        <f t="shared" si="2"/>
        <v>947.21711794083922</v>
      </c>
      <c r="T40" s="470">
        <f t="shared" si="3"/>
        <v>922.21711794083922</v>
      </c>
      <c r="U40" s="469">
        <f t="shared" si="4"/>
        <v>61.768419087073369</v>
      </c>
      <c r="V40" s="472">
        <f t="shared" si="5"/>
        <v>36.768419087073369</v>
      </c>
    </row>
    <row r="41" spans="1:22" ht="15" thickBot="1" x14ac:dyDescent="0.35">
      <c r="B41" s="432" t="s">
        <v>263</v>
      </c>
      <c r="C41" s="397">
        <f>C33</f>
        <v>284.23365501439895</v>
      </c>
      <c r="D41" s="419">
        <f>D33</f>
        <v>275.52174713810336</v>
      </c>
      <c r="E41" s="397">
        <f>E33</f>
        <v>8.7119078762955731</v>
      </c>
      <c r="I41" s="397">
        <f>I33</f>
        <v>276.03012139128879</v>
      </c>
      <c r="J41" s="419">
        <f>J33</f>
        <v>267.76266529750262</v>
      </c>
      <c r="K41" s="397">
        <f>K33</f>
        <v>8.2674560937861621</v>
      </c>
      <c r="N41" s="397">
        <f>N33</f>
        <v>276.03012139128879</v>
      </c>
      <c r="O41" s="419">
        <f>O33</f>
        <v>267.76266529750262</v>
      </c>
      <c r="P41" s="397">
        <f>P33</f>
        <v>8.2674560937861621</v>
      </c>
      <c r="R41" s="7">
        <v>11</v>
      </c>
      <c r="S41" s="358">
        <f t="shared" si="2"/>
        <v>915.37127874655334</v>
      </c>
      <c r="T41" s="470">
        <f t="shared" si="3"/>
        <v>890.37127874655334</v>
      </c>
      <c r="U41" s="469">
        <f t="shared" si="4"/>
        <v>60.529591144753759</v>
      </c>
      <c r="V41" s="472">
        <f t="shared" si="5"/>
        <v>35.529591144753759</v>
      </c>
    </row>
    <row r="42" spans="1:22" ht="17.25" customHeight="1" thickBot="1" x14ac:dyDescent="0.35">
      <c r="B42" s="365" t="s">
        <v>285</v>
      </c>
      <c r="C42" s="366">
        <f>C39-C41</f>
        <v>690.55992906250322</v>
      </c>
      <c r="D42" s="366">
        <f>D39-D41</f>
        <v>661.91834510689284</v>
      </c>
      <c r="E42" s="366">
        <f>E39-E41</f>
        <v>28.641583955610468</v>
      </c>
      <c r="I42" s="366">
        <f>I39-I41</f>
        <v>652.90580011438874</v>
      </c>
      <c r="J42" s="366">
        <f>J39-J41</f>
        <v>625.52919430899726</v>
      </c>
      <c r="K42" s="366">
        <f>K39-K41</f>
        <v>27.376605805391375</v>
      </c>
      <c r="N42" s="366">
        <f>N39-N41</f>
        <v>652.90580011438874</v>
      </c>
      <c r="O42" s="366">
        <f>O39-O41</f>
        <v>625.52919430899726</v>
      </c>
      <c r="P42" s="366">
        <f>P39-P41</f>
        <v>27.376605805391375</v>
      </c>
      <c r="R42" s="7">
        <v>12</v>
      </c>
      <c r="S42" s="358">
        <f t="shared" si="2"/>
        <v>884.05136453669047</v>
      </c>
      <c r="T42" s="470">
        <f t="shared" si="3"/>
        <v>859.05136453669047</v>
      </c>
      <c r="U42" s="469">
        <f t="shared" si="4"/>
        <v>59.29076320243415</v>
      </c>
      <c r="V42" s="472">
        <f t="shared" si="5"/>
        <v>34.29076320243415</v>
      </c>
    </row>
    <row r="43" spans="1:22" ht="16.5" customHeight="1" thickTop="1" x14ac:dyDescent="0.3">
      <c r="B43" s="388"/>
      <c r="C43" s="388"/>
      <c r="D43" s="388"/>
      <c r="E43" s="388"/>
      <c r="F43" s="892" t="s">
        <v>445</v>
      </c>
      <c r="G43" s="892"/>
      <c r="H43" s="892"/>
      <c r="I43" s="388"/>
      <c r="J43" s="388"/>
      <c r="K43" s="388"/>
      <c r="L43" s="892"/>
      <c r="M43" s="892"/>
      <c r="N43" s="388"/>
      <c r="O43" s="388"/>
      <c r="P43" s="388"/>
      <c r="Q43" s="892"/>
      <c r="R43" s="7">
        <v>13</v>
      </c>
      <c r="S43" s="358">
        <f t="shared" si="2"/>
        <v>853.25737531125105</v>
      </c>
      <c r="T43" s="470">
        <f t="shared" si="3"/>
        <v>828.25737531125105</v>
      </c>
      <c r="U43" s="469">
        <f t="shared" si="4"/>
        <v>58.05193526011454</v>
      </c>
      <c r="V43" s="472">
        <f t="shared" si="5"/>
        <v>33.05193526011454</v>
      </c>
    </row>
    <row r="44" spans="1:22" x14ac:dyDescent="0.3">
      <c r="B44" s="479" t="s">
        <v>318</v>
      </c>
      <c r="C44" s="480">
        <f>SUM(D44:E44)</f>
        <v>1370.6120000000003</v>
      </c>
      <c r="D44" s="480">
        <f>C13*D19</f>
        <v>1294.6013840269741</v>
      </c>
      <c r="E44" s="480">
        <f>C13*E19</f>
        <v>76.010615973026177</v>
      </c>
      <c r="F44" s="893">
        <f>+E44*2.5/102.5</f>
        <v>1.8539174627567361</v>
      </c>
      <c r="G44" s="16"/>
      <c r="H44" s="479" t="s">
        <v>318</v>
      </c>
      <c r="I44" s="480">
        <f>SUM(J44:K44)</f>
        <v>1370.6120000000003</v>
      </c>
      <c r="J44" s="480">
        <f>I13*J19</f>
        <v>1294.6013840269741</v>
      </c>
      <c r="K44" s="480">
        <f>I13*K19</f>
        <v>76.010615973026177</v>
      </c>
      <c r="L44" s="16"/>
      <c r="M44" s="479" t="s">
        <v>318</v>
      </c>
      <c r="N44" s="480">
        <f>SUM(O44:P44)</f>
        <v>1370.6120000000003</v>
      </c>
      <c r="O44" s="480">
        <f>N13*O19</f>
        <v>1294.6013840269741</v>
      </c>
      <c r="P44" s="480">
        <f>N13*P19</f>
        <v>76.010615973026177</v>
      </c>
      <c r="Q44" s="16"/>
      <c r="R44" s="7">
        <v>14</v>
      </c>
      <c r="S44" s="358">
        <f t="shared" si="2"/>
        <v>822.98931107023463</v>
      </c>
      <c r="T44" s="470">
        <f t="shared" si="3"/>
        <v>797.98931107023463</v>
      </c>
      <c r="U44" s="469">
        <f t="shared" si="4"/>
        <v>56.813107317794938</v>
      </c>
      <c r="V44" s="472">
        <f t="shared" si="5"/>
        <v>31.813107317794938</v>
      </c>
    </row>
    <row r="45" spans="1:22" x14ac:dyDescent="0.3">
      <c r="B45" s="475" t="s">
        <v>319</v>
      </c>
      <c r="C45" s="477">
        <f>SUM(D45:E45)</f>
        <v>1024.7935840769023</v>
      </c>
      <c r="D45" s="478">
        <f>D32+D22</f>
        <v>962.44009224499621</v>
      </c>
      <c r="E45" s="478">
        <f>E32+E22</f>
        <v>62.353491831906041</v>
      </c>
      <c r="H45" s="475" t="s">
        <v>319</v>
      </c>
      <c r="I45" s="477">
        <f>SUM(J45:K45)</f>
        <v>978.93592150567747</v>
      </c>
      <c r="J45" s="478">
        <f>J32+J22</f>
        <v>918.29185960649988</v>
      </c>
      <c r="K45" s="478">
        <f>K32+K22</f>
        <v>60.644061899177537</v>
      </c>
      <c r="M45" s="475" t="s">
        <v>319</v>
      </c>
      <c r="N45" s="477">
        <f>SUM(O45:P45)</f>
        <v>978.93592150567747</v>
      </c>
      <c r="O45" s="478">
        <f>O32+O22</f>
        <v>918.29185960649988</v>
      </c>
      <c r="P45" s="478">
        <f>P32+P22</f>
        <v>60.644061899177537</v>
      </c>
      <c r="R45" s="7">
        <v>15</v>
      </c>
      <c r="S45" s="358">
        <f t="shared" si="2"/>
        <v>793.24717181364144</v>
      </c>
      <c r="T45" s="470">
        <f t="shared" si="3"/>
        <v>768.24717181364144</v>
      </c>
      <c r="U45" s="469">
        <f t="shared" si="4"/>
        <v>55.574279375475328</v>
      </c>
      <c r="V45" s="472">
        <f t="shared" si="5"/>
        <v>30.574279375475328</v>
      </c>
    </row>
    <row r="46" spans="1:22" x14ac:dyDescent="0.3">
      <c r="B46" s="41" t="s">
        <v>322</v>
      </c>
      <c r="C46" s="16">
        <f>SUM(D46:E46)</f>
        <v>725.55992906250333</v>
      </c>
      <c r="D46" s="16">
        <f>(D31-D31*D21)*((C28-C29+1)*(C28-C29)/(C28*(C28+1)))</f>
        <v>679.41834510689284</v>
      </c>
      <c r="E46" s="16">
        <f>E31*(1-E21)*(C28-C29)/C28</f>
        <v>46.141583955610471</v>
      </c>
      <c r="H46" s="41" t="s">
        <v>322</v>
      </c>
      <c r="I46" s="16">
        <f>SUM(J46:K46)</f>
        <v>687.90580011438863</v>
      </c>
      <c r="J46" s="16">
        <f>(J31-J31*J21)*((I28-I29+1)*(I28-I29)/(I28*(I28+1)))</f>
        <v>643.02919430899726</v>
      </c>
      <c r="K46" s="16">
        <f>K31*(1-K21)*(I28-I29)/I28</f>
        <v>44.876605805391378</v>
      </c>
      <c r="M46" s="41" t="s">
        <v>322</v>
      </c>
      <c r="N46" s="16">
        <f>SUM(O46:P46)</f>
        <v>687.90580011438863</v>
      </c>
      <c r="O46" s="16">
        <f>(O31-O31*O21)*((N28-N29+1)*(N28-N29)/(N28*(N28+1)))</f>
        <v>643.02919430899726</v>
      </c>
      <c r="P46" s="16">
        <f>P31*(1-P21)*(N28-N29)/N28</f>
        <v>44.876605805391378</v>
      </c>
      <c r="R46" s="7">
        <v>16</v>
      </c>
      <c r="S46" s="358">
        <f t="shared" si="2"/>
        <v>764.03095754147148</v>
      </c>
      <c r="T46" s="470">
        <f t="shared" si="3"/>
        <v>739.03095754147148</v>
      </c>
      <c r="U46" s="469">
        <f t="shared" si="4"/>
        <v>54.335451433155718</v>
      </c>
      <c r="V46" s="472">
        <f t="shared" si="5"/>
        <v>29.335451433155718</v>
      </c>
    </row>
    <row r="47" spans="1:22" ht="15" thickBot="1" x14ac:dyDescent="0.35">
      <c r="B47" s="41" t="s">
        <v>320</v>
      </c>
      <c r="C47" s="16">
        <f>SUM(D47:E47)</f>
        <v>299.23365501439895</v>
      </c>
      <c r="D47" s="16">
        <f>D31*D21*(C28-C29)/C28</f>
        <v>283.02174713810336</v>
      </c>
      <c r="E47" s="16">
        <f>E31*E21*(C28-C29)/C28</f>
        <v>16.211907876295573</v>
      </c>
      <c r="F47" s="470"/>
      <c r="G47" s="470"/>
      <c r="H47" s="41" t="s">
        <v>320</v>
      </c>
      <c r="I47" s="16">
        <f>SUM(J47:K47)</f>
        <v>291.03012139128879</v>
      </c>
      <c r="J47" s="16">
        <f>J31*J21*(I28-I29)/I28</f>
        <v>275.26266529750262</v>
      </c>
      <c r="K47" s="16">
        <f>K31*K21*(I28-I29)/I28</f>
        <v>15.767456093786162</v>
      </c>
      <c r="L47" s="470"/>
      <c r="M47" s="41" t="s">
        <v>320</v>
      </c>
      <c r="N47" s="16">
        <f>SUM(O47:P47)</f>
        <v>291.03012139128879</v>
      </c>
      <c r="O47" s="16">
        <f>O31*O21*(N28-N29)/N28</f>
        <v>275.26266529750262</v>
      </c>
      <c r="P47" s="16">
        <f>P31*P21*(N28-N29)/N28</f>
        <v>15.767456093786162</v>
      </c>
      <c r="Q47" s="470"/>
      <c r="R47" s="7">
        <v>17</v>
      </c>
      <c r="S47" s="358">
        <f t="shared" si="2"/>
        <v>735.34066825372463</v>
      </c>
      <c r="T47" s="470">
        <f t="shared" si="3"/>
        <v>710.34066825372463</v>
      </c>
      <c r="U47" s="469">
        <f t="shared" si="4"/>
        <v>53.096623490836109</v>
      </c>
      <c r="V47" s="472">
        <f t="shared" si="5"/>
        <v>28.096623490836109</v>
      </c>
    </row>
    <row r="48" spans="1:22" ht="15" thickBot="1" x14ac:dyDescent="0.35">
      <c r="A48" s="894"/>
      <c r="B48" s="895" t="s">
        <v>449</v>
      </c>
      <c r="C48" s="896">
        <f>C32</f>
        <v>974.79358407690222</v>
      </c>
      <c r="D48" s="896">
        <f>D32</f>
        <v>937.44009224499621</v>
      </c>
      <c r="E48" s="897">
        <f>E32</f>
        <v>37.353491831906041</v>
      </c>
      <c r="H48" s="903" t="s">
        <v>482</v>
      </c>
      <c r="I48" s="896">
        <f>I32</f>
        <v>928.93592150567747</v>
      </c>
      <c r="J48" s="896">
        <f>J32</f>
        <v>893.29185960649988</v>
      </c>
      <c r="K48" s="897">
        <f>K32</f>
        <v>35.644061899177537</v>
      </c>
      <c r="M48" s="903" t="s">
        <v>483</v>
      </c>
      <c r="N48" s="896">
        <f>N32</f>
        <v>928.93592150567747</v>
      </c>
      <c r="O48" s="896">
        <f>O32</f>
        <v>893.29185960649988</v>
      </c>
      <c r="P48" s="897">
        <f>P32</f>
        <v>35.644061899177537</v>
      </c>
      <c r="R48" s="7">
        <v>18</v>
      </c>
      <c r="S48" s="358">
        <f t="shared" si="2"/>
        <v>707.17630395040101</v>
      </c>
      <c r="T48" s="470">
        <f t="shared" si="3"/>
        <v>682.17630395040101</v>
      </c>
      <c r="U48" s="469">
        <f t="shared" si="4"/>
        <v>51.857795548516499</v>
      </c>
      <c r="V48" s="472">
        <f t="shared" si="5"/>
        <v>26.857795548516499</v>
      </c>
    </row>
    <row r="49" spans="1:22" x14ac:dyDescent="0.3">
      <c r="R49" s="7">
        <v>19</v>
      </c>
      <c r="S49" s="358">
        <f t="shared" si="2"/>
        <v>679.5378646315005</v>
      </c>
      <c r="T49" s="470">
        <f t="shared" si="3"/>
        <v>654.5378646315005</v>
      </c>
      <c r="U49" s="469">
        <f t="shared" si="4"/>
        <v>50.61896760619689</v>
      </c>
      <c r="V49" s="472">
        <f t="shared" si="5"/>
        <v>25.61896760619689</v>
      </c>
    </row>
    <row r="50" spans="1:22" x14ac:dyDescent="0.3">
      <c r="B50" s="4" t="s">
        <v>450</v>
      </c>
      <c r="C50" s="891">
        <f>C14/C13</f>
        <v>0.82801784896090203</v>
      </c>
      <c r="F50" s="892"/>
      <c r="G50" s="892"/>
      <c r="H50" s="4" t="s">
        <v>461</v>
      </c>
      <c r="I50" s="891">
        <f>I14/I13</f>
        <v>0</v>
      </c>
      <c r="L50" s="892"/>
      <c r="M50" s="4" t="s">
        <v>454</v>
      </c>
      <c r="N50" s="908">
        <f>1-(N15/N13)</f>
        <v>0.17198215103909797</v>
      </c>
      <c r="Q50" s="892"/>
      <c r="R50" s="7">
        <v>20</v>
      </c>
      <c r="S50" s="358">
        <f t="shared" si="2"/>
        <v>652.42535029702344</v>
      </c>
      <c r="T50" s="470">
        <f t="shared" si="3"/>
        <v>627.42535029702344</v>
      </c>
      <c r="U50" s="469">
        <f t="shared" si="4"/>
        <v>49.38013966387728</v>
      </c>
      <c r="V50" s="472">
        <f t="shared" si="5"/>
        <v>24.38013966387728</v>
      </c>
    </row>
    <row r="51" spans="1:22" x14ac:dyDescent="0.3">
      <c r="B51" s="933" t="s">
        <v>474</v>
      </c>
      <c r="C51" s="934">
        <f>SUM(D51:E51)</f>
        <v>848.5473791162899</v>
      </c>
      <c r="D51" s="935">
        <f t="shared" ref="D51:E52" si="9">D45*$C$50</f>
        <v>796.9175749344339</v>
      </c>
      <c r="E51" s="935">
        <f t="shared" si="9"/>
        <v>51.629804181856016</v>
      </c>
      <c r="F51" s="16"/>
      <c r="G51" s="16"/>
      <c r="H51" s="933" t="s">
        <v>478</v>
      </c>
      <c r="I51" s="937" t="str">
        <f t="shared" ref="I51:K53" si="10">IF($I$14=0,"n/a",I45*$I$50)</f>
        <v>n/a</v>
      </c>
      <c r="J51" s="937" t="str">
        <f t="shared" si="10"/>
        <v>n/a</v>
      </c>
      <c r="K51" s="937" t="str">
        <f t="shared" si="10"/>
        <v>n/a</v>
      </c>
      <c r="L51" s="16"/>
      <c r="M51" s="933" t="s">
        <v>481</v>
      </c>
      <c r="N51" s="934">
        <f t="shared" ref="N51:P53" si="11">N45*$N$50</f>
        <v>168.35950550998797</v>
      </c>
      <c r="O51" s="934">
        <f t="shared" si="11"/>
        <v>157.92980929681923</v>
      </c>
      <c r="P51" s="934">
        <f t="shared" si="11"/>
        <v>10.429696213168757</v>
      </c>
      <c r="Q51" s="16"/>
      <c r="R51" s="7">
        <v>21</v>
      </c>
      <c r="S51" s="358">
        <f t="shared" si="2"/>
        <v>625.83876094696939</v>
      </c>
      <c r="T51" s="470">
        <f t="shared" si="3"/>
        <v>600.83876094696939</v>
      </c>
      <c r="U51" s="469">
        <f t="shared" si="4"/>
        <v>48.14131172155767</v>
      </c>
      <c r="V51" s="472">
        <f t="shared" si="5"/>
        <v>23.14131172155767</v>
      </c>
    </row>
    <row r="52" spans="1:22" x14ac:dyDescent="0.3">
      <c r="A52" s="41"/>
      <c r="B52" s="939" t="s">
        <v>459</v>
      </c>
      <c r="C52" s="940">
        <f>SUM(D52:E52)</f>
        <v>600.77657175455863</v>
      </c>
      <c r="D52" s="940">
        <f t="shared" si="9"/>
        <v>562.57051665998517</v>
      </c>
      <c r="E52" s="940">
        <f t="shared" si="9"/>
        <v>38.206055094573451</v>
      </c>
      <c r="F52" s="41"/>
      <c r="G52" s="41"/>
      <c r="H52" s="939" t="s">
        <v>476</v>
      </c>
      <c r="I52" s="941" t="str">
        <f t="shared" si="10"/>
        <v>n/a</v>
      </c>
      <c r="J52" s="941" t="str">
        <f t="shared" si="10"/>
        <v>n/a</v>
      </c>
      <c r="K52" s="941" t="str">
        <f t="shared" si="10"/>
        <v>n/a</v>
      </c>
      <c r="L52" s="41"/>
      <c r="M52" s="939" t="s">
        <v>479</v>
      </c>
      <c r="N52" s="942">
        <f t="shared" si="11"/>
        <v>118.30751921594432</v>
      </c>
      <c r="O52" s="942">
        <f t="shared" si="11"/>
        <v>110.58954401819945</v>
      </c>
      <c r="P52" s="942">
        <f t="shared" si="11"/>
        <v>7.7179751977448809</v>
      </c>
      <c r="R52" s="7">
        <v>22</v>
      </c>
      <c r="S52" s="358">
        <f t="shared" si="2"/>
        <v>599.77809658133856</v>
      </c>
      <c r="T52" s="470">
        <f t="shared" si="3"/>
        <v>574.77809658133856</v>
      </c>
      <c r="U52" s="469">
        <f t="shared" si="4"/>
        <v>46.902483779238068</v>
      </c>
      <c r="V52" s="472">
        <f t="shared" si="5"/>
        <v>21.902483779238068</v>
      </c>
    </row>
    <row r="53" spans="1:22" ht="15" customHeight="1" x14ac:dyDescent="0.3">
      <c r="A53" s="41"/>
      <c r="B53" s="939" t="s">
        <v>460</v>
      </c>
      <c r="C53" s="940">
        <f>SUM(D53:E53)</f>
        <v>247.77080736173124</v>
      </c>
      <c r="D53" s="940">
        <f>D47*$C$50</f>
        <v>234.34705827444867</v>
      </c>
      <c r="E53" s="940">
        <f>E47*$C$50</f>
        <v>13.423749087282566</v>
      </c>
      <c r="F53" s="41"/>
      <c r="G53" s="41"/>
      <c r="H53" s="939" t="s">
        <v>477</v>
      </c>
      <c r="I53" s="941" t="str">
        <f t="shared" si="10"/>
        <v>n/a</v>
      </c>
      <c r="J53" s="941" t="str">
        <f t="shared" si="10"/>
        <v>n/a</v>
      </c>
      <c r="K53" s="941" t="str">
        <f t="shared" si="10"/>
        <v>n/a</v>
      </c>
      <c r="L53" s="41"/>
      <c r="M53" s="939" t="s">
        <v>480</v>
      </c>
      <c r="N53" s="942">
        <f t="shared" si="11"/>
        <v>50.051986294043644</v>
      </c>
      <c r="O53" s="942">
        <f t="shared" si="11"/>
        <v>47.340265278619768</v>
      </c>
      <c r="P53" s="942">
        <f t="shared" si="11"/>
        <v>2.7117210154238776</v>
      </c>
      <c r="R53" s="7">
        <v>23</v>
      </c>
      <c r="S53" s="358">
        <f t="shared" si="2"/>
        <v>574.24335720013084</v>
      </c>
      <c r="T53" s="470">
        <f t="shared" si="3"/>
        <v>549.24335720013084</v>
      </c>
      <c r="U53" s="469">
        <f t="shared" si="4"/>
        <v>45.663655836918458</v>
      </c>
      <c r="V53" s="472">
        <f t="shared" si="5"/>
        <v>20.663655836918458</v>
      </c>
    </row>
    <row r="54" spans="1:22" x14ac:dyDescent="0.3">
      <c r="B54" s="4" t="s">
        <v>453</v>
      </c>
      <c r="C54" s="902">
        <f>C22</f>
        <v>50</v>
      </c>
      <c r="D54" s="902">
        <f t="shared" ref="D54:E54" si="12">D22</f>
        <v>25</v>
      </c>
      <c r="E54" s="902">
        <f t="shared" si="12"/>
        <v>25</v>
      </c>
      <c r="H54" s="4" t="s">
        <v>453</v>
      </c>
      <c r="I54" s="907" t="str">
        <f>IF($I$14=0,"n/a",I22)</f>
        <v>n/a</v>
      </c>
      <c r="J54" s="907" t="str">
        <f>IF($I$14=0,"n/a",J22)</f>
        <v>n/a</v>
      </c>
      <c r="K54" s="907" t="str">
        <f>IF($I$14=0,"n/a",K22)</f>
        <v>n/a</v>
      </c>
      <c r="M54" s="936" t="s">
        <v>453</v>
      </c>
      <c r="N54" s="938">
        <f>N22</f>
        <v>50</v>
      </c>
      <c r="O54" s="938">
        <f>O22</f>
        <v>25</v>
      </c>
      <c r="P54" s="938">
        <f>P22</f>
        <v>25</v>
      </c>
      <c r="R54" s="7">
        <v>24</v>
      </c>
      <c r="S54" s="358">
        <f t="shared" si="2"/>
        <v>549.23454280334636</v>
      </c>
      <c r="T54" s="470">
        <f t="shared" si="3"/>
        <v>524.23454280334636</v>
      </c>
      <c r="U54" s="469">
        <f t="shared" si="4"/>
        <v>44.424827894598849</v>
      </c>
      <c r="V54" s="472">
        <f t="shared" si="5"/>
        <v>19.424827894598849</v>
      </c>
    </row>
    <row r="55" spans="1:22" ht="15" thickBot="1" x14ac:dyDescent="0.35">
      <c r="B55" s="899" t="s">
        <v>448</v>
      </c>
      <c r="C55" s="900">
        <f>C51-C54</f>
        <v>798.5473791162899</v>
      </c>
      <c r="D55" s="900">
        <f t="shared" ref="D55:E55" si="13">D51-D54</f>
        <v>771.9175749344339</v>
      </c>
      <c r="E55" s="900">
        <f t="shared" si="13"/>
        <v>26.629804181856016</v>
      </c>
      <c r="H55" s="913" t="s">
        <v>475</v>
      </c>
      <c r="I55" s="912" t="str">
        <f>IF($I$14=0,"n/a",I51-I54)</f>
        <v>n/a</v>
      </c>
      <c r="J55" s="912" t="str">
        <f t="shared" ref="J55:K55" si="14">IF($I$14=0,"n/a",J51-J54)</f>
        <v>n/a</v>
      </c>
      <c r="K55" s="912" t="str">
        <f t="shared" si="14"/>
        <v>n/a</v>
      </c>
      <c r="L55" s="923"/>
      <c r="M55" s="913" t="s">
        <v>466</v>
      </c>
      <c r="N55" s="900">
        <f>N51-N54</f>
        <v>118.35950550998797</v>
      </c>
      <c r="O55" s="900">
        <f t="shared" ref="O55:P55" si="15">O51-O54</f>
        <v>132.92980929681923</v>
      </c>
      <c r="P55" s="900">
        <f t="shared" si="15"/>
        <v>-14.570303786831243</v>
      </c>
      <c r="R55" s="7">
        <v>25</v>
      </c>
      <c r="S55" s="358">
        <f t="shared" si="2"/>
        <v>524.7516533909851</v>
      </c>
      <c r="T55" s="470">
        <f t="shared" si="3"/>
        <v>499.7516533909851</v>
      </c>
      <c r="U55" s="469">
        <f t="shared" si="4"/>
        <v>43.185999952279239</v>
      </c>
      <c r="V55" s="472">
        <f t="shared" si="5"/>
        <v>18.185999952279239</v>
      </c>
    </row>
    <row r="56" spans="1:22" ht="15" thickTop="1" x14ac:dyDescent="0.3">
      <c r="B56" s="939" t="s">
        <v>506</v>
      </c>
      <c r="C56" s="942">
        <f>SUM(D56:E56)</f>
        <v>565.77657175455863</v>
      </c>
      <c r="D56" s="960">
        <f>D52-(D22-D23)</f>
        <v>545.07051665998517</v>
      </c>
      <c r="E56" s="960">
        <f>E52-(E22-E23)</f>
        <v>20.706055094573451</v>
      </c>
      <c r="H56" s="939" t="s">
        <v>506</v>
      </c>
      <c r="I56" s="941">
        <f>IFERROR(SUM(J56:K56),"n/a")</f>
        <v>0</v>
      </c>
      <c r="J56" s="941" t="str">
        <f>IFERROR(J52-(J22-J23),"n/a")</f>
        <v>n/a</v>
      </c>
      <c r="K56" s="941" t="str">
        <f>IFERROR(K52-(K22-K23),"n/a")</f>
        <v>n/a</v>
      </c>
      <c r="L56" s="923"/>
      <c r="M56" s="939" t="s">
        <v>506</v>
      </c>
      <c r="N56" s="941">
        <f>IFERROR(SUM(O56:P56),"n/a")</f>
        <v>83.307519215944325</v>
      </c>
      <c r="O56" s="941">
        <f>IFERROR(O52-(O22-O23),"n/a")</f>
        <v>93.089544018199447</v>
      </c>
      <c r="P56" s="941">
        <f>IFERROR(P52-(P22-P23),"n/a")</f>
        <v>-9.7820248022551191</v>
      </c>
      <c r="R56" s="7">
        <v>26</v>
      </c>
      <c r="S56" s="358">
        <f t="shared" si="2"/>
        <v>500.79468896304707</v>
      </c>
      <c r="T56" s="470">
        <f t="shared" si="3"/>
        <v>475.79468896304707</v>
      </c>
      <c r="U56" s="469">
        <f t="shared" si="4"/>
        <v>41.947172009959637</v>
      </c>
      <c r="V56" s="472">
        <f t="shared" si="5"/>
        <v>16.947172009959637</v>
      </c>
    </row>
    <row r="57" spans="1:22" x14ac:dyDescent="0.3">
      <c r="B57" s="964" t="s">
        <v>509</v>
      </c>
      <c r="C57" s="965">
        <f>SUM(D57:E57)</f>
        <v>232.77080736173124</v>
      </c>
      <c r="D57" s="966">
        <f>D53-D23</f>
        <v>226.84705827444867</v>
      </c>
      <c r="E57" s="966">
        <f>E53-E23</f>
        <v>5.923749087282566</v>
      </c>
      <c r="H57" s="939" t="s">
        <v>507</v>
      </c>
      <c r="I57" s="941">
        <f>IFERROR(SUM(J57:K57),"n/a")</f>
        <v>0</v>
      </c>
      <c r="J57" s="941" t="str">
        <f>IFERROR(J53-J23,"n/a")</f>
        <v>n/a</v>
      </c>
      <c r="K57" s="941" t="str">
        <f>IFERROR(K53-K23,"n/a")</f>
        <v>n/a</v>
      </c>
      <c r="L57" s="923"/>
      <c r="M57" s="939" t="s">
        <v>507</v>
      </c>
      <c r="N57" s="941">
        <f>IFERROR(SUM(O57:P57),"n/a")</f>
        <v>35.051986294043644</v>
      </c>
      <c r="O57" s="941">
        <f>IFERROR(O53-O23,"n/a")</f>
        <v>39.840265278619768</v>
      </c>
      <c r="P57" s="941">
        <f>IFERROR(P53-P23,"n/a")</f>
        <v>-4.788278984576122</v>
      </c>
      <c r="R57" s="7">
        <v>27</v>
      </c>
      <c r="S57" s="358">
        <f t="shared" si="2"/>
        <v>477.36364951953215</v>
      </c>
      <c r="T57" s="470">
        <f t="shared" si="3"/>
        <v>452.36364951953215</v>
      </c>
      <c r="U57" s="469">
        <f t="shared" si="4"/>
        <v>40.708344067640027</v>
      </c>
      <c r="V57" s="472">
        <f t="shared" si="5"/>
        <v>15.708344067640027</v>
      </c>
    </row>
    <row r="58" spans="1:22" x14ac:dyDescent="0.3">
      <c r="C58" s="470"/>
      <c r="D58" s="16"/>
      <c r="L58" s="923"/>
      <c r="S58" s="358"/>
      <c r="T58" s="470"/>
      <c r="U58" s="469"/>
      <c r="V58" s="472"/>
    </row>
    <row r="59" spans="1:22" ht="15" thickBot="1" x14ac:dyDescent="0.35">
      <c r="C59" s="470"/>
      <c r="D59" s="16"/>
      <c r="L59" s="923"/>
      <c r="S59" s="358"/>
      <c r="T59" s="470"/>
      <c r="U59" s="469"/>
      <c r="V59" s="472"/>
    </row>
    <row r="60" spans="1:22" ht="15" thickBot="1" x14ac:dyDescent="0.35">
      <c r="C60" s="470"/>
      <c r="M60" s="475" t="s">
        <v>484</v>
      </c>
      <c r="N60" s="421" t="s">
        <v>259</v>
      </c>
      <c r="O60" s="421" t="s">
        <v>1</v>
      </c>
      <c r="P60" s="422" t="s">
        <v>2</v>
      </c>
      <c r="R60" s="7">
        <v>28</v>
      </c>
      <c r="S60" s="358">
        <f t="shared" si="2"/>
        <v>454.45853506044045</v>
      </c>
      <c r="T60" s="470">
        <f t="shared" si="3"/>
        <v>429.45853506044045</v>
      </c>
      <c r="U60" s="469">
        <f t="shared" si="4"/>
        <v>39.469516125320418</v>
      </c>
      <c r="V60" s="472">
        <f t="shared" si="5"/>
        <v>14.469516125320418</v>
      </c>
    </row>
    <row r="61" spans="1:22" x14ac:dyDescent="0.3">
      <c r="B61" s="17" t="s">
        <v>12</v>
      </c>
      <c r="D61" s="932"/>
      <c r="M61" s="4" t="s">
        <v>485</v>
      </c>
      <c r="N61" s="953">
        <f>C51</f>
        <v>848.5473791162899</v>
      </c>
      <c r="O61" s="953">
        <f>D51</f>
        <v>796.9175749344339</v>
      </c>
      <c r="P61" s="953">
        <f>E51</f>
        <v>51.629804181856016</v>
      </c>
      <c r="R61" s="7">
        <v>29</v>
      </c>
      <c r="S61" s="358">
        <f t="shared" si="2"/>
        <v>432.07934558577188</v>
      </c>
      <c r="T61" s="470">
        <f t="shared" si="3"/>
        <v>407.07934558577188</v>
      </c>
      <c r="U61" s="469">
        <f t="shared" si="4"/>
        <v>38.230688183000808</v>
      </c>
      <c r="V61" s="472">
        <f t="shared" si="5"/>
        <v>13.230688183000808</v>
      </c>
    </row>
    <row r="62" spans="1:22" x14ac:dyDescent="0.3">
      <c r="B62" s="4" t="s">
        <v>14</v>
      </c>
      <c r="H62" s="7"/>
      <c r="I62" s="904"/>
      <c r="J62" s="7"/>
      <c r="K62" s="7"/>
      <c r="M62" s="4" t="s">
        <v>486</v>
      </c>
      <c r="N62" s="472" t="str">
        <f>I51</f>
        <v>n/a</v>
      </c>
      <c r="O62" s="472" t="str">
        <f>J51</f>
        <v>n/a</v>
      </c>
      <c r="P62" s="472" t="str">
        <f>K51</f>
        <v>n/a</v>
      </c>
      <c r="R62" s="7">
        <v>30</v>
      </c>
      <c r="S62" s="358">
        <f t="shared" si="2"/>
        <v>410.22608109552664</v>
      </c>
      <c r="T62" s="470">
        <f t="shared" si="3"/>
        <v>385.22608109552664</v>
      </c>
      <c r="U62" s="469">
        <f t="shared" si="4"/>
        <v>36.991860240681206</v>
      </c>
      <c r="V62" s="472">
        <f t="shared" si="5"/>
        <v>11.991860240681206</v>
      </c>
    </row>
    <row r="63" spans="1:22" x14ac:dyDescent="0.3">
      <c r="B63" s="4" t="s">
        <v>13</v>
      </c>
      <c r="H63" s="469"/>
      <c r="I63" s="469"/>
      <c r="J63" s="469"/>
      <c r="K63" s="469"/>
      <c r="M63" s="944" t="s">
        <v>487</v>
      </c>
      <c r="N63" s="954">
        <f>N51</f>
        <v>168.35950550998797</v>
      </c>
      <c r="O63" s="954">
        <f>O51</f>
        <v>157.92980929681923</v>
      </c>
      <c r="P63" s="954">
        <f>P51</f>
        <v>10.429696213168757</v>
      </c>
      <c r="R63" s="7">
        <v>31</v>
      </c>
      <c r="S63" s="358">
        <f t="shared" si="2"/>
        <v>388.89874158970451</v>
      </c>
      <c r="T63" s="470">
        <f t="shared" si="3"/>
        <v>363.89874158970451</v>
      </c>
      <c r="U63" s="469">
        <f t="shared" si="4"/>
        <v>35.753032298361596</v>
      </c>
      <c r="V63" s="472">
        <f t="shared" si="5"/>
        <v>10.753032298361596</v>
      </c>
    </row>
    <row r="64" spans="1:22" x14ac:dyDescent="0.3">
      <c r="H64" s="7"/>
      <c r="I64" s="909"/>
      <c r="J64" s="909"/>
      <c r="K64" s="909"/>
      <c r="M64" s="475" t="s">
        <v>492</v>
      </c>
      <c r="N64" s="955">
        <f>SUM(N61:N63)</f>
        <v>1016.9068846262778</v>
      </c>
      <c r="O64" s="955">
        <f t="shared" ref="O64:P64" si="16">SUM(O61:O63)</f>
        <v>954.84738423125316</v>
      </c>
      <c r="P64" s="955">
        <f t="shared" si="16"/>
        <v>62.05950039502477</v>
      </c>
      <c r="R64" s="7">
        <v>32</v>
      </c>
      <c r="S64" s="358">
        <f t="shared" si="2"/>
        <v>368.09732706830556</v>
      </c>
      <c r="T64" s="470">
        <f t="shared" si="3"/>
        <v>343.09732706830556</v>
      </c>
      <c r="U64" s="469">
        <f t="shared" si="4"/>
        <v>34.514204356041986</v>
      </c>
      <c r="V64" s="472">
        <f t="shared" si="5"/>
        <v>9.5142043560419864</v>
      </c>
    </row>
    <row r="65" spans="3:22" x14ac:dyDescent="0.3">
      <c r="C65" s="470"/>
      <c r="D65" s="470"/>
      <c r="E65" s="470"/>
      <c r="H65" s="910"/>
      <c r="I65" s="911"/>
      <c r="J65" s="911"/>
      <c r="K65" s="911"/>
      <c r="N65" s="16"/>
      <c r="O65" s="16"/>
      <c r="P65" s="16"/>
      <c r="R65" s="7">
        <v>33</v>
      </c>
      <c r="S65" s="358">
        <f t="shared" si="2"/>
        <v>347.82183753132983</v>
      </c>
      <c r="T65" s="470">
        <f t="shared" si="3"/>
        <v>322.82183753132983</v>
      </c>
      <c r="U65" s="469">
        <f t="shared" si="4"/>
        <v>33.275376413722377</v>
      </c>
      <c r="V65" s="472">
        <f t="shared" si="5"/>
        <v>8.2753764137223769</v>
      </c>
    </row>
    <row r="66" spans="3:22" x14ac:dyDescent="0.3">
      <c r="C66" s="470"/>
      <c r="D66" s="470"/>
      <c r="E66" s="470"/>
      <c r="M66" s="4" t="s">
        <v>494</v>
      </c>
      <c r="N66" s="953">
        <f>-SUM(C54,I54,N54)</f>
        <v>-100</v>
      </c>
      <c r="O66" s="953">
        <f>-SUM(D54,J54,O54)</f>
        <v>-50</v>
      </c>
      <c r="P66" s="953">
        <f>-SUM(E54,K54,P54)</f>
        <v>-50</v>
      </c>
      <c r="R66" s="7">
        <v>34</v>
      </c>
      <c r="S66" s="358">
        <f t="shared" si="2"/>
        <v>328.07227297877728</v>
      </c>
      <c r="T66" s="470">
        <f t="shared" si="3"/>
        <v>303.07227297877728</v>
      </c>
      <c r="U66" s="469">
        <f t="shared" si="4"/>
        <v>32.036548471402767</v>
      </c>
      <c r="V66" s="472">
        <f t="shared" si="5"/>
        <v>7.0365484714027673</v>
      </c>
    </row>
    <row r="67" spans="3:22" x14ac:dyDescent="0.3">
      <c r="C67" s="932"/>
      <c r="N67" s="16"/>
      <c r="O67" s="16"/>
      <c r="P67" s="16"/>
      <c r="R67" s="7">
        <v>35</v>
      </c>
      <c r="S67" s="358">
        <f t="shared" si="2"/>
        <v>308.84863341064795</v>
      </c>
      <c r="T67" s="470">
        <f t="shared" si="3"/>
        <v>283.84863341064795</v>
      </c>
      <c r="U67" s="469">
        <f t="shared" si="4"/>
        <v>30.797720529083158</v>
      </c>
      <c r="V67" s="472">
        <f t="shared" si="5"/>
        <v>5.7977205290831577</v>
      </c>
    </row>
    <row r="68" spans="3:22" x14ac:dyDescent="0.3">
      <c r="M68" s="4" t="s">
        <v>489</v>
      </c>
      <c r="N68" s="16">
        <f>C55</f>
        <v>798.5473791162899</v>
      </c>
      <c r="O68" s="16">
        <f>D55</f>
        <v>771.9175749344339</v>
      </c>
      <c r="P68" s="16">
        <f>E55</f>
        <v>26.629804181856016</v>
      </c>
      <c r="R68" s="7">
        <v>36</v>
      </c>
      <c r="S68" s="358">
        <f t="shared" ref="S68:S90" si="17">IF(R68&gt;$C$28,"",($D$31-$D$31*$D$21)*(($C$28-R68+1)*($C$28-R68)/($C$28*($C$28+1)))+$D$31*$D$21*($C$28-R68)/$C$28)</f>
        <v>290.15091882694173</v>
      </c>
      <c r="T68" s="470">
        <f t="shared" si="3"/>
        <v>265.15091882694173</v>
      </c>
      <c r="U68" s="469">
        <f t="shared" si="4"/>
        <v>29.558892586763552</v>
      </c>
      <c r="V68" s="472">
        <f t="shared" si="5"/>
        <v>4.5588925867635517</v>
      </c>
    </row>
    <row r="69" spans="3:22" x14ac:dyDescent="0.3">
      <c r="M69" s="4" t="s">
        <v>490</v>
      </c>
      <c r="N69" s="943" t="str">
        <f>I55</f>
        <v>n/a</v>
      </c>
      <c r="O69" s="943" t="str">
        <f>J55</f>
        <v>n/a</v>
      </c>
      <c r="P69" s="943" t="str">
        <f>K55</f>
        <v>n/a</v>
      </c>
      <c r="R69" s="7">
        <v>37</v>
      </c>
      <c r="S69" s="358">
        <f t="shared" si="17"/>
        <v>271.97912922765875</v>
      </c>
      <c r="T69" s="470">
        <f t="shared" si="3"/>
        <v>246.97912922765875</v>
      </c>
      <c r="U69" s="469">
        <f t="shared" si="4"/>
        <v>28.320064644443942</v>
      </c>
      <c r="V69" s="472">
        <f t="shared" si="5"/>
        <v>3.3200646444439421</v>
      </c>
    </row>
    <row r="70" spans="3:22" x14ac:dyDescent="0.3">
      <c r="M70" s="944" t="s">
        <v>491</v>
      </c>
      <c r="N70" s="945">
        <f>N55</f>
        <v>118.35950550998797</v>
      </c>
      <c r="O70" s="945">
        <f>O55</f>
        <v>132.92980929681923</v>
      </c>
      <c r="P70" s="945">
        <f>P55</f>
        <v>-14.570303786831243</v>
      </c>
      <c r="R70" s="7">
        <v>38</v>
      </c>
      <c r="S70" s="358">
        <f t="shared" si="17"/>
        <v>254.33326461279898</v>
      </c>
      <c r="T70" s="470">
        <f t="shared" si="3"/>
        <v>229.33326461279898</v>
      </c>
      <c r="U70" s="469">
        <f t="shared" si="4"/>
        <v>27.081236702124333</v>
      </c>
      <c r="V70" s="472">
        <f t="shared" si="5"/>
        <v>2.0812367021243325</v>
      </c>
    </row>
    <row r="71" spans="3:22" x14ac:dyDescent="0.3">
      <c r="M71" s="475" t="s">
        <v>493</v>
      </c>
      <c r="N71" s="955"/>
      <c r="O71" s="955"/>
      <c r="P71" s="955"/>
      <c r="R71" s="7">
        <v>39</v>
      </c>
      <c r="S71" s="358">
        <f t="shared" si="17"/>
        <v>237.21332498236239</v>
      </c>
      <c r="T71" s="470">
        <f t="shared" si="3"/>
        <v>212.21332498236239</v>
      </c>
      <c r="U71" s="469">
        <f t="shared" si="4"/>
        <v>25.842408759804723</v>
      </c>
      <c r="V71" s="472">
        <f t="shared" si="5"/>
        <v>0.84240875980472296</v>
      </c>
    </row>
    <row r="72" spans="3:22" x14ac:dyDescent="0.3">
      <c r="R72" s="7">
        <v>40</v>
      </c>
      <c r="S72" s="358">
        <f t="shared" si="17"/>
        <v>220.61931033634897</v>
      </c>
      <c r="T72" s="470">
        <f t="shared" si="3"/>
        <v>195.61931033634897</v>
      </c>
      <c r="U72" s="469">
        <f t="shared" si="4"/>
        <v>24.60358081748512</v>
      </c>
      <c r="V72" s="472">
        <f t="shared" si="5"/>
        <v>-0.39641918251487951</v>
      </c>
    </row>
    <row r="73" spans="3:22" x14ac:dyDescent="0.3">
      <c r="R73" s="7">
        <v>41</v>
      </c>
      <c r="S73" s="358">
        <f t="shared" si="17"/>
        <v>204.55122067475875</v>
      </c>
      <c r="T73" s="470">
        <f t="shared" si="3"/>
        <v>179.55122067475875</v>
      </c>
      <c r="U73" s="469">
        <f t="shared" si="4"/>
        <v>23.364752875165511</v>
      </c>
      <c r="V73" s="472">
        <f t="shared" si="5"/>
        <v>-1.6352471248344891</v>
      </c>
    </row>
    <row r="74" spans="3:22" x14ac:dyDescent="0.3">
      <c r="M74" s="1046" t="s">
        <v>495</v>
      </c>
      <c r="N74" s="1046"/>
      <c r="O74" s="1046"/>
      <c r="P74" s="1046"/>
      <c r="R74" s="7">
        <v>42</v>
      </c>
      <c r="S74" s="358">
        <f t="shared" si="17"/>
        <v>189.00905599759176</v>
      </c>
      <c r="T74" s="470">
        <f t="shared" si="3"/>
        <v>164.00905599759176</v>
      </c>
      <c r="U74" s="469">
        <f t="shared" si="4"/>
        <v>22.125924932845901</v>
      </c>
      <c r="V74" s="472">
        <f t="shared" si="5"/>
        <v>-2.8740750671540987</v>
      </c>
    </row>
    <row r="75" spans="3:22" x14ac:dyDescent="0.3">
      <c r="M75" s="1046"/>
      <c r="N75" s="1046"/>
      <c r="O75" s="1046"/>
      <c r="P75" s="1046"/>
      <c r="R75" s="7">
        <v>43</v>
      </c>
      <c r="S75" s="358">
        <f t="shared" si="17"/>
        <v>173.99281630484791</v>
      </c>
      <c r="T75" s="470">
        <f t="shared" si="3"/>
        <v>148.99281630484791</v>
      </c>
      <c r="U75" s="469">
        <f t="shared" si="4"/>
        <v>20.887096990526292</v>
      </c>
      <c r="V75" s="472">
        <f t="shared" si="5"/>
        <v>-4.1129030094737082</v>
      </c>
    </row>
    <row r="76" spans="3:22" x14ac:dyDescent="0.3">
      <c r="M76" s="1046"/>
      <c r="N76" s="1046"/>
      <c r="O76" s="1046"/>
      <c r="P76" s="1046"/>
      <c r="R76" s="7">
        <v>44</v>
      </c>
      <c r="S76" s="358">
        <f t="shared" si="17"/>
        <v>159.50250159652728</v>
      </c>
      <c r="T76" s="470">
        <f t="shared" si="3"/>
        <v>134.50250159652728</v>
      </c>
      <c r="U76" s="469">
        <f t="shared" si="4"/>
        <v>19.648269048206686</v>
      </c>
      <c r="V76" s="472">
        <f t="shared" si="5"/>
        <v>-5.3517309517933143</v>
      </c>
    </row>
    <row r="77" spans="3:22" x14ac:dyDescent="0.3">
      <c r="M77" s="475"/>
      <c r="R77" s="7">
        <v>45</v>
      </c>
      <c r="S77" s="358">
        <f t="shared" si="17"/>
        <v>145.53811187262983</v>
      </c>
      <c r="T77" s="470">
        <f t="shared" si="3"/>
        <v>120.53811187262983</v>
      </c>
      <c r="U77" s="469">
        <f t="shared" si="4"/>
        <v>18.409441105887076</v>
      </c>
      <c r="V77" s="472">
        <f t="shared" si="5"/>
        <v>-6.5905588941129238</v>
      </c>
    </row>
    <row r="78" spans="3:22" x14ac:dyDescent="0.3">
      <c r="M78" s="475" t="s">
        <v>499</v>
      </c>
      <c r="R78" s="7">
        <v>46</v>
      </c>
      <c r="S78" s="358">
        <f t="shared" si="17"/>
        <v>132.09964713315554</v>
      </c>
      <c r="T78" s="470">
        <f t="shared" si="3"/>
        <v>107.09964713315554</v>
      </c>
      <c r="U78" s="469">
        <f t="shared" si="4"/>
        <v>17.170613163567467</v>
      </c>
      <c r="V78" s="472">
        <f t="shared" si="5"/>
        <v>-7.8293868364325334</v>
      </c>
    </row>
    <row r="79" spans="3:22" x14ac:dyDescent="0.3">
      <c r="M79" s="17" t="s">
        <v>500</v>
      </c>
      <c r="N79" s="946" t="s">
        <v>259</v>
      </c>
      <c r="O79" s="946" t="s">
        <v>1</v>
      </c>
      <c r="P79" s="946" t="s">
        <v>2</v>
      </c>
      <c r="R79" s="7">
        <v>47</v>
      </c>
      <c r="S79" s="358">
        <f t="shared" si="17"/>
        <v>119.18710737810449</v>
      </c>
      <c r="T79" s="470">
        <f t="shared" si="3"/>
        <v>94.187107378104486</v>
      </c>
      <c r="U79" s="469">
        <f t="shared" si="4"/>
        <v>15.931785221247859</v>
      </c>
      <c r="V79" s="472">
        <f t="shared" si="5"/>
        <v>-9.0682147787521412</v>
      </c>
    </row>
    <row r="80" spans="3:22" x14ac:dyDescent="0.3">
      <c r="D80" s="470"/>
      <c r="M80" s="4" t="s">
        <v>496</v>
      </c>
      <c r="N80" s="472">
        <v>798.54737911628968</v>
      </c>
      <c r="O80" s="472">
        <v>771.91757493443367</v>
      </c>
      <c r="P80" s="472">
        <v>26.629804181856024</v>
      </c>
      <c r="R80" s="7">
        <v>48</v>
      </c>
      <c r="S80" s="358">
        <f t="shared" si="17"/>
        <v>106.80049260747661</v>
      </c>
      <c r="T80" s="470">
        <f t="shared" si="3"/>
        <v>81.800492607476613</v>
      </c>
      <c r="U80" s="469">
        <f t="shared" si="4"/>
        <v>14.692957278928251</v>
      </c>
      <c r="V80" s="472">
        <f t="shared" si="5"/>
        <v>-10.307042721071749</v>
      </c>
    </row>
    <row r="81" spans="13:22" x14ac:dyDescent="0.3">
      <c r="M81" s="4" t="s">
        <v>497</v>
      </c>
      <c r="N81" s="472" t="s">
        <v>326</v>
      </c>
      <c r="O81" s="472" t="s">
        <v>326</v>
      </c>
      <c r="P81" s="472" t="s">
        <v>326</v>
      </c>
      <c r="R81" s="7">
        <v>49</v>
      </c>
      <c r="S81" s="358">
        <f t="shared" si="17"/>
        <v>94.939802821271925</v>
      </c>
      <c r="T81" s="470">
        <f t="shared" si="3"/>
        <v>69.939802821271925</v>
      </c>
      <c r="U81" s="469">
        <f t="shared" si="4"/>
        <v>13.454129336608643</v>
      </c>
      <c r="V81" s="472">
        <f t="shared" si="5"/>
        <v>-11.545870663391357</v>
      </c>
    </row>
    <row r="82" spans="13:22" x14ac:dyDescent="0.3">
      <c r="M82" s="4" t="s">
        <v>498</v>
      </c>
      <c r="N82" s="472">
        <v>196.67597911170978</v>
      </c>
      <c r="O82" s="472">
        <v>206.39465883562676</v>
      </c>
      <c r="P82" s="472">
        <v>-9.718679723916944</v>
      </c>
      <c r="R82" s="7">
        <v>50</v>
      </c>
      <c r="S82" s="358">
        <f t="shared" si="17"/>
        <v>83.605038019490436</v>
      </c>
      <c r="T82" s="470">
        <f t="shared" si="3"/>
        <v>58.605038019490436</v>
      </c>
      <c r="U82" s="469">
        <f t="shared" si="4"/>
        <v>12.215301394289034</v>
      </c>
      <c r="V82" s="472">
        <f t="shared" si="5"/>
        <v>-12.784698605710966</v>
      </c>
    </row>
    <row r="83" spans="13:22" x14ac:dyDescent="0.3">
      <c r="M83" s="475" t="s">
        <v>488</v>
      </c>
      <c r="N83" s="956">
        <v>995.22335822799948</v>
      </c>
      <c r="O83" s="956">
        <v>978.3122337700604</v>
      </c>
      <c r="P83" s="956">
        <v>16.911124457939081</v>
      </c>
      <c r="R83" s="7">
        <v>51</v>
      </c>
      <c r="S83" s="358">
        <f t="shared" si="17"/>
        <v>72.796198202132132</v>
      </c>
      <c r="T83" s="470">
        <f t="shared" si="3"/>
        <v>47.796198202132132</v>
      </c>
      <c r="U83" s="469">
        <f t="shared" si="4"/>
        <v>10.976473451969426</v>
      </c>
      <c r="V83" s="472">
        <f t="shared" si="5"/>
        <v>-14.023526548030574</v>
      </c>
    </row>
    <row r="84" spans="13:22" x14ac:dyDescent="0.3">
      <c r="N84" s="16"/>
      <c r="O84" s="16"/>
      <c r="P84" s="16"/>
      <c r="R84" s="7">
        <v>52</v>
      </c>
      <c r="S84" s="358">
        <f t="shared" si="17"/>
        <v>62.513283369197012</v>
      </c>
      <c r="T84" s="470">
        <f t="shared" si="3"/>
        <v>37.513283369197012</v>
      </c>
      <c r="U84" s="469">
        <f t="shared" si="4"/>
        <v>9.7376455096498162</v>
      </c>
      <c r="V84" s="472">
        <f t="shared" si="5"/>
        <v>-15.262354490350184</v>
      </c>
    </row>
    <row r="85" spans="13:22" x14ac:dyDescent="0.3">
      <c r="M85" s="17" t="s">
        <v>501</v>
      </c>
      <c r="N85" s="957" t="s">
        <v>259</v>
      </c>
      <c r="O85" s="957" t="s">
        <v>1</v>
      </c>
      <c r="P85" s="957" t="s">
        <v>2</v>
      </c>
      <c r="R85" s="7">
        <v>53</v>
      </c>
      <c r="S85" s="358">
        <f t="shared" si="17"/>
        <v>52.756293520685091</v>
      </c>
      <c r="T85" s="470">
        <f t="shared" si="3"/>
        <v>27.756293520685091</v>
      </c>
      <c r="U85" s="469">
        <f t="shared" si="4"/>
        <v>8.4988175673302102</v>
      </c>
      <c r="V85" s="472">
        <f t="shared" si="5"/>
        <v>-16.50118243266979</v>
      </c>
    </row>
    <row r="86" spans="13:22" x14ac:dyDescent="0.3">
      <c r="M86" s="4" t="s">
        <v>496</v>
      </c>
      <c r="N86" s="472">
        <v>798.54737911628968</v>
      </c>
      <c r="O86" s="472">
        <v>771.91757493443367</v>
      </c>
      <c r="P86" s="472">
        <v>26.629804181856024</v>
      </c>
      <c r="R86" s="7">
        <v>54</v>
      </c>
      <c r="S86" s="358">
        <f t="shared" si="17"/>
        <v>43.525228656596362</v>
      </c>
      <c r="T86" s="470">
        <f t="shared" si="3"/>
        <v>18.525228656596362</v>
      </c>
      <c r="U86" s="469">
        <f t="shared" si="4"/>
        <v>7.2599896250106015</v>
      </c>
      <c r="V86" s="472">
        <f t="shared" si="5"/>
        <v>-17.740010374989399</v>
      </c>
    </row>
    <row r="87" spans="13:22" x14ac:dyDescent="0.3">
      <c r="M87" s="4" t="s">
        <v>497</v>
      </c>
      <c r="N87" s="472" t="s">
        <v>326</v>
      </c>
      <c r="O87" s="472" t="s">
        <v>326</v>
      </c>
      <c r="P87" s="472" t="s">
        <v>326</v>
      </c>
      <c r="R87" s="7">
        <v>55</v>
      </c>
      <c r="S87" s="358">
        <f t="shared" si="17"/>
        <v>34.820088776930824</v>
      </c>
      <c r="T87" s="470">
        <f t="shared" si="3"/>
        <v>9.8200887769308238</v>
      </c>
      <c r="U87" s="469">
        <f t="shared" si="4"/>
        <v>6.0211616826909928</v>
      </c>
      <c r="V87" s="472">
        <f t="shared" si="5"/>
        <v>-18.978838317309005</v>
      </c>
    </row>
    <row r="88" spans="13:22" x14ac:dyDescent="0.3">
      <c r="M88" s="4" t="s">
        <v>498</v>
      </c>
      <c r="N88" s="472">
        <v>196.67597911170978</v>
      </c>
      <c r="O88" s="958">
        <v>196.67597911170978</v>
      </c>
      <c r="P88" s="472">
        <v>0</v>
      </c>
      <c r="R88" s="7">
        <v>56</v>
      </c>
      <c r="S88" s="358">
        <f t="shared" si="17"/>
        <v>26.640873881688478</v>
      </c>
      <c r="T88" s="470">
        <f t="shared" si="3"/>
        <v>1.6408738816884778</v>
      </c>
      <c r="U88" s="469">
        <f t="shared" si="4"/>
        <v>4.782333740371385</v>
      </c>
      <c r="V88" s="472">
        <f t="shared" si="5"/>
        <v>-20.217666259628615</v>
      </c>
    </row>
    <row r="89" spans="13:22" x14ac:dyDescent="0.3">
      <c r="M89" s="475" t="s">
        <v>488</v>
      </c>
      <c r="N89" s="959">
        <f>SUM(N86:N88)</f>
        <v>995.22335822799948</v>
      </c>
      <c r="O89" s="959">
        <f t="shared" ref="O89:P89" si="18">SUM(O86:O88)</f>
        <v>968.59355404614348</v>
      </c>
      <c r="P89" s="959">
        <f t="shared" si="18"/>
        <v>26.629804181856024</v>
      </c>
      <c r="R89" s="7">
        <v>57</v>
      </c>
      <c r="S89" s="358">
        <f t="shared" si="17"/>
        <v>18.98758397086932</v>
      </c>
      <c r="T89" s="470">
        <f t="shared" si="3"/>
        <v>-6.0124160291306801</v>
      </c>
      <c r="U89" s="469">
        <f t="shared" si="4"/>
        <v>3.5435057980517759</v>
      </c>
      <c r="V89" s="472">
        <f t="shared" si="5"/>
        <v>-21.456494201948225</v>
      </c>
    </row>
    <row r="90" spans="13:22" x14ac:dyDescent="0.3">
      <c r="R90" s="7">
        <v>58</v>
      </c>
      <c r="S90" s="358">
        <f t="shared" si="17"/>
        <v>11.860219044473352</v>
      </c>
      <c r="T90" s="470">
        <f t="shared" si="3"/>
        <v>-13.139780955526648</v>
      </c>
      <c r="U90" s="469">
        <f t="shared" si="4"/>
        <v>2.3046778557321677</v>
      </c>
      <c r="V90" s="472">
        <f t="shared" si="5"/>
        <v>-22.695322144267834</v>
      </c>
    </row>
    <row r="91" spans="13:22" x14ac:dyDescent="0.3">
      <c r="R91" s="7">
        <v>59</v>
      </c>
      <c r="S91" s="358">
        <f>IF(R91&gt;$C$28,"",($D$31-$D$31*$D$21)*(($C$28-R91+1)*($C$28-R91)/($C$28*($C$28+1)))+$D$31*$D$21*($C$28-R91)/$C$28)</f>
        <v>5.2587791025005775</v>
      </c>
      <c r="T91" s="470">
        <f t="shared" si="3"/>
        <v>-19.741220897499424</v>
      </c>
      <c r="U91" s="469">
        <f t="shared" si="4"/>
        <v>1.0658499134125592</v>
      </c>
      <c r="V91" s="472">
        <f t="shared" si="5"/>
        <v>-23.93415008658744</v>
      </c>
    </row>
    <row r="92" spans="13:22" x14ac:dyDescent="0.3">
      <c r="R92" s="7">
        <v>60</v>
      </c>
      <c r="S92" s="358" t="str">
        <f>IF(R92&gt;$C$28,"",($D$31-$D$31*$D$21)*(($C$28-R92+1)*($C$28-R92)/($C$28*($C$28+1)))+$D$31*$D$21*($C$28-R92)/$C$28)</f>
        <v/>
      </c>
      <c r="T92" s="470" t="str">
        <f t="shared" si="3"/>
        <v/>
      </c>
      <c r="U92" s="469" t="str">
        <f t="shared" si="4"/>
        <v/>
      </c>
      <c r="V92" s="472" t="str">
        <f t="shared" si="5"/>
        <v/>
      </c>
    </row>
    <row r="93" spans="13:22" x14ac:dyDescent="0.3">
      <c r="R93" s="7">
        <v>61</v>
      </c>
      <c r="S93" s="358" t="str">
        <f t="shared" ref="S93:S153" si="19">IF(R93&gt;$C$28,"",($D$31-$D$31*$D$21)*(($C$28-R93+1)*($C$28-R93)/($C$28*($C$28+1)))+$D$31*$D$21*($C$28-R93)/$C$28)</f>
        <v/>
      </c>
      <c r="T93" s="470" t="str">
        <f t="shared" si="3"/>
        <v/>
      </c>
      <c r="U93" s="469" t="str">
        <f t="shared" si="4"/>
        <v/>
      </c>
      <c r="V93" s="472" t="str">
        <f t="shared" si="5"/>
        <v/>
      </c>
    </row>
    <row r="94" spans="13:22" x14ac:dyDescent="0.3">
      <c r="R94" s="7">
        <v>62</v>
      </c>
      <c r="S94" s="358" t="str">
        <f t="shared" si="19"/>
        <v/>
      </c>
      <c r="T94" s="470" t="str">
        <f t="shared" si="3"/>
        <v/>
      </c>
      <c r="U94" s="469" t="str">
        <f t="shared" si="4"/>
        <v/>
      </c>
      <c r="V94" s="472" t="str">
        <f t="shared" si="5"/>
        <v/>
      </c>
    </row>
    <row r="95" spans="13:22" x14ac:dyDescent="0.3">
      <c r="R95" s="7">
        <v>63</v>
      </c>
      <c r="S95" s="358" t="str">
        <f t="shared" si="19"/>
        <v/>
      </c>
      <c r="T95" s="470" t="str">
        <f t="shared" si="3"/>
        <v/>
      </c>
      <c r="U95" s="469" t="str">
        <f t="shared" si="4"/>
        <v/>
      </c>
      <c r="V95" s="472" t="str">
        <f t="shared" si="5"/>
        <v/>
      </c>
    </row>
    <row r="96" spans="13:22" x14ac:dyDescent="0.3">
      <c r="R96" s="7">
        <v>64</v>
      </c>
      <c r="S96" s="358" t="str">
        <f t="shared" si="19"/>
        <v/>
      </c>
      <c r="T96" s="470" t="str">
        <f t="shared" si="3"/>
        <v/>
      </c>
      <c r="U96" s="469" t="str">
        <f t="shared" si="4"/>
        <v/>
      </c>
      <c r="V96" s="472" t="str">
        <f t="shared" si="5"/>
        <v/>
      </c>
    </row>
    <row r="97" spans="18:22" x14ac:dyDescent="0.3">
      <c r="R97" s="7">
        <v>65</v>
      </c>
      <c r="S97" s="358" t="str">
        <f t="shared" si="19"/>
        <v/>
      </c>
      <c r="T97" s="470" t="str">
        <f t="shared" si="3"/>
        <v/>
      </c>
      <c r="U97" s="469" t="str">
        <f t="shared" si="4"/>
        <v/>
      </c>
      <c r="V97" s="472" t="str">
        <f t="shared" si="5"/>
        <v/>
      </c>
    </row>
    <row r="98" spans="18:22" x14ac:dyDescent="0.3">
      <c r="R98" s="7">
        <v>66</v>
      </c>
      <c r="S98" s="358" t="str">
        <f t="shared" si="19"/>
        <v/>
      </c>
      <c r="T98" s="470" t="str">
        <f t="shared" ref="T98:T153" si="20">IF(R98&gt;$C$28,"",S98-$D$22)</f>
        <v/>
      </c>
      <c r="U98" s="469" t="str">
        <f t="shared" ref="U98:U153" si="21">IF(R98&gt;$C$28,"",$E$31*($C$28-R98)/$C$28)</f>
        <v/>
      </c>
      <c r="V98" s="472" t="str">
        <f t="shared" ref="V98:V153" si="22">IF(R98&gt;$C$28,"",U98-$E$22)</f>
        <v/>
      </c>
    </row>
    <row r="99" spans="18:22" x14ac:dyDescent="0.3">
      <c r="R99" s="7">
        <v>67</v>
      </c>
      <c r="S99" s="358" t="str">
        <f t="shared" si="19"/>
        <v/>
      </c>
      <c r="T99" s="470" t="str">
        <f t="shared" si="20"/>
        <v/>
      </c>
      <c r="U99" s="469" t="str">
        <f t="shared" si="21"/>
        <v/>
      </c>
      <c r="V99" s="472" t="str">
        <f t="shared" si="22"/>
        <v/>
      </c>
    </row>
    <row r="100" spans="18:22" x14ac:dyDescent="0.3">
      <c r="R100" s="7">
        <v>68</v>
      </c>
      <c r="S100" s="358" t="str">
        <f t="shared" si="19"/>
        <v/>
      </c>
      <c r="T100" s="470" t="str">
        <f t="shared" si="20"/>
        <v/>
      </c>
      <c r="U100" s="469" t="str">
        <f t="shared" si="21"/>
        <v/>
      </c>
      <c r="V100" s="472" t="str">
        <f t="shared" si="22"/>
        <v/>
      </c>
    </row>
    <row r="101" spans="18:22" x14ac:dyDescent="0.3">
      <c r="R101" s="7">
        <v>69</v>
      </c>
      <c r="S101" s="358" t="str">
        <f t="shared" si="19"/>
        <v/>
      </c>
      <c r="T101" s="470" t="str">
        <f t="shared" si="20"/>
        <v/>
      </c>
      <c r="U101" s="469" t="str">
        <f t="shared" si="21"/>
        <v/>
      </c>
      <c r="V101" s="472" t="str">
        <f t="shared" si="22"/>
        <v/>
      </c>
    </row>
    <row r="102" spans="18:22" x14ac:dyDescent="0.3">
      <c r="R102" s="7">
        <v>70</v>
      </c>
      <c r="S102" s="358" t="str">
        <f t="shared" si="19"/>
        <v/>
      </c>
      <c r="T102" s="470" t="str">
        <f t="shared" si="20"/>
        <v/>
      </c>
      <c r="U102" s="469" t="str">
        <f t="shared" si="21"/>
        <v/>
      </c>
      <c r="V102" s="472" t="str">
        <f t="shared" si="22"/>
        <v/>
      </c>
    </row>
    <row r="103" spans="18:22" x14ac:dyDescent="0.3">
      <c r="R103" s="7">
        <v>71</v>
      </c>
      <c r="S103" s="358" t="str">
        <f t="shared" si="19"/>
        <v/>
      </c>
      <c r="T103" s="470" t="str">
        <f t="shared" si="20"/>
        <v/>
      </c>
      <c r="U103" s="469" t="str">
        <f t="shared" si="21"/>
        <v/>
      </c>
      <c r="V103" s="472" t="str">
        <f t="shared" si="22"/>
        <v/>
      </c>
    </row>
    <row r="104" spans="18:22" x14ac:dyDescent="0.3">
      <c r="R104" s="7">
        <v>72</v>
      </c>
      <c r="S104" s="358" t="str">
        <f t="shared" si="19"/>
        <v/>
      </c>
      <c r="T104" s="470" t="str">
        <f t="shared" si="20"/>
        <v/>
      </c>
      <c r="U104" s="469" t="str">
        <f t="shared" si="21"/>
        <v/>
      </c>
      <c r="V104" s="472" t="str">
        <f t="shared" si="22"/>
        <v/>
      </c>
    </row>
    <row r="105" spans="18:22" x14ac:dyDescent="0.3">
      <c r="R105" s="7">
        <v>73</v>
      </c>
      <c r="S105" s="358" t="str">
        <f t="shared" si="19"/>
        <v/>
      </c>
      <c r="T105" s="470" t="str">
        <f t="shared" si="20"/>
        <v/>
      </c>
      <c r="U105" s="469" t="str">
        <f t="shared" si="21"/>
        <v/>
      </c>
      <c r="V105" s="472" t="str">
        <f t="shared" si="22"/>
        <v/>
      </c>
    </row>
    <row r="106" spans="18:22" x14ac:dyDescent="0.3">
      <c r="R106" s="7">
        <v>74</v>
      </c>
      <c r="S106" s="358" t="str">
        <f t="shared" si="19"/>
        <v/>
      </c>
      <c r="T106" s="470" t="str">
        <f t="shared" si="20"/>
        <v/>
      </c>
      <c r="U106" s="469" t="str">
        <f t="shared" si="21"/>
        <v/>
      </c>
      <c r="V106" s="472" t="str">
        <f t="shared" si="22"/>
        <v/>
      </c>
    </row>
    <row r="107" spans="18:22" x14ac:dyDescent="0.3">
      <c r="R107" s="7">
        <v>75</v>
      </c>
      <c r="S107" s="358" t="str">
        <f t="shared" si="19"/>
        <v/>
      </c>
      <c r="T107" s="470" t="str">
        <f t="shared" si="20"/>
        <v/>
      </c>
      <c r="U107" s="469" t="str">
        <f t="shared" si="21"/>
        <v/>
      </c>
      <c r="V107" s="472" t="str">
        <f t="shared" si="22"/>
        <v/>
      </c>
    </row>
    <row r="108" spans="18:22" x14ac:dyDescent="0.3">
      <c r="R108" s="7">
        <v>76</v>
      </c>
      <c r="S108" s="358" t="str">
        <f t="shared" si="19"/>
        <v/>
      </c>
      <c r="T108" s="470" t="str">
        <f t="shared" si="20"/>
        <v/>
      </c>
      <c r="U108" s="469" t="str">
        <f t="shared" si="21"/>
        <v/>
      </c>
      <c r="V108" s="472" t="str">
        <f t="shared" si="22"/>
        <v/>
      </c>
    </row>
    <row r="109" spans="18:22" x14ac:dyDescent="0.3">
      <c r="R109" s="7">
        <v>77</v>
      </c>
      <c r="S109" s="358" t="str">
        <f t="shared" si="19"/>
        <v/>
      </c>
      <c r="T109" s="470" t="str">
        <f t="shared" si="20"/>
        <v/>
      </c>
      <c r="U109" s="469" t="str">
        <f t="shared" si="21"/>
        <v/>
      </c>
      <c r="V109" s="472" t="str">
        <f t="shared" si="22"/>
        <v/>
      </c>
    </row>
    <row r="110" spans="18:22" x14ac:dyDescent="0.3">
      <c r="R110" s="7">
        <v>78</v>
      </c>
      <c r="S110" s="358" t="str">
        <f t="shared" si="19"/>
        <v/>
      </c>
      <c r="T110" s="470" t="str">
        <f t="shared" si="20"/>
        <v/>
      </c>
      <c r="U110" s="469" t="str">
        <f t="shared" si="21"/>
        <v/>
      </c>
      <c r="V110" s="472" t="str">
        <f t="shared" si="22"/>
        <v/>
      </c>
    </row>
    <row r="111" spans="18:22" x14ac:dyDescent="0.3">
      <c r="R111" s="7">
        <v>79</v>
      </c>
      <c r="S111" s="358" t="str">
        <f t="shared" si="19"/>
        <v/>
      </c>
      <c r="T111" s="470" t="str">
        <f t="shared" si="20"/>
        <v/>
      </c>
      <c r="U111" s="469" t="str">
        <f t="shared" si="21"/>
        <v/>
      </c>
      <c r="V111" s="472" t="str">
        <f t="shared" si="22"/>
        <v/>
      </c>
    </row>
    <row r="112" spans="18:22" x14ac:dyDescent="0.3">
      <c r="R112" s="7">
        <v>80</v>
      </c>
      <c r="S112" s="358" t="str">
        <f t="shared" si="19"/>
        <v/>
      </c>
      <c r="T112" s="470" t="str">
        <f t="shared" si="20"/>
        <v/>
      </c>
      <c r="U112" s="469" t="str">
        <f t="shared" si="21"/>
        <v/>
      </c>
      <c r="V112" s="472" t="str">
        <f t="shared" si="22"/>
        <v/>
      </c>
    </row>
    <row r="113" spans="18:22" x14ac:dyDescent="0.3">
      <c r="R113" s="7">
        <v>81</v>
      </c>
      <c r="S113" s="358" t="str">
        <f t="shared" si="19"/>
        <v/>
      </c>
      <c r="T113" s="470" t="str">
        <f t="shared" si="20"/>
        <v/>
      </c>
      <c r="U113" s="469" t="str">
        <f t="shared" si="21"/>
        <v/>
      </c>
      <c r="V113" s="472" t="str">
        <f t="shared" si="22"/>
        <v/>
      </c>
    </row>
    <row r="114" spans="18:22" x14ac:dyDescent="0.3">
      <c r="R114" s="7">
        <v>82</v>
      </c>
      <c r="S114" s="358" t="str">
        <f t="shared" si="19"/>
        <v/>
      </c>
      <c r="T114" s="470" t="str">
        <f t="shared" si="20"/>
        <v/>
      </c>
      <c r="U114" s="469" t="str">
        <f t="shared" si="21"/>
        <v/>
      </c>
      <c r="V114" s="472" t="str">
        <f t="shared" si="22"/>
        <v/>
      </c>
    </row>
    <row r="115" spans="18:22" x14ac:dyDescent="0.3">
      <c r="R115" s="7">
        <v>83</v>
      </c>
      <c r="S115" s="358" t="str">
        <f t="shared" si="19"/>
        <v/>
      </c>
      <c r="T115" s="470" t="str">
        <f t="shared" si="20"/>
        <v/>
      </c>
      <c r="U115" s="469" t="str">
        <f t="shared" si="21"/>
        <v/>
      </c>
      <c r="V115" s="472" t="str">
        <f t="shared" si="22"/>
        <v/>
      </c>
    </row>
    <row r="116" spans="18:22" x14ac:dyDescent="0.3">
      <c r="R116" s="7">
        <v>84</v>
      </c>
      <c r="S116" s="358" t="str">
        <f t="shared" si="19"/>
        <v/>
      </c>
      <c r="T116" s="470" t="str">
        <f t="shared" si="20"/>
        <v/>
      </c>
      <c r="U116" s="469" t="str">
        <f t="shared" si="21"/>
        <v/>
      </c>
      <c r="V116" s="472" t="str">
        <f t="shared" si="22"/>
        <v/>
      </c>
    </row>
    <row r="117" spans="18:22" x14ac:dyDescent="0.3">
      <c r="R117" s="7">
        <v>85</v>
      </c>
      <c r="S117" s="358" t="str">
        <f t="shared" si="19"/>
        <v/>
      </c>
      <c r="T117" s="470" t="str">
        <f t="shared" si="20"/>
        <v/>
      </c>
      <c r="U117" s="469" t="str">
        <f t="shared" si="21"/>
        <v/>
      </c>
      <c r="V117" s="472" t="str">
        <f t="shared" si="22"/>
        <v/>
      </c>
    </row>
    <row r="118" spans="18:22" x14ac:dyDescent="0.3">
      <c r="R118" s="7">
        <v>86</v>
      </c>
      <c r="S118" s="358" t="str">
        <f t="shared" si="19"/>
        <v/>
      </c>
      <c r="T118" s="470" t="str">
        <f t="shared" si="20"/>
        <v/>
      </c>
      <c r="U118" s="469" t="str">
        <f t="shared" si="21"/>
        <v/>
      </c>
      <c r="V118" s="472" t="str">
        <f t="shared" si="22"/>
        <v/>
      </c>
    </row>
    <row r="119" spans="18:22" x14ac:dyDescent="0.3">
      <c r="R119" s="7">
        <v>87</v>
      </c>
      <c r="S119" s="358" t="str">
        <f t="shared" si="19"/>
        <v/>
      </c>
      <c r="T119" s="470" t="str">
        <f t="shared" si="20"/>
        <v/>
      </c>
      <c r="U119" s="469" t="str">
        <f t="shared" si="21"/>
        <v/>
      </c>
      <c r="V119" s="472" t="str">
        <f t="shared" si="22"/>
        <v/>
      </c>
    </row>
    <row r="120" spans="18:22" x14ac:dyDescent="0.3">
      <c r="R120" s="7">
        <v>88</v>
      </c>
      <c r="S120" s="358" t="str">
        <f t="shared" si="19"/>
        <v/>
      </c>
      <c r="T120" s="470" t="str">
        <f t="shared" si="20"/>
        <v/>
      </c>
      <c r="U120" s="469" t="str">
        <f t="shared" si="21"/>
        <v/>
      </c>
      <c r="V120" s="472" t="str">
        <f t="shared" si="22"/>
        <v/>
      </c>
    </row>
    <row r="121" spans="18:22" x14ac:dyDescent="0.3">
      <c r="R121" s="7">
        <v>89</v>
      </c>
      <c r="S121" s="358" t="str">
        <f t="shared" si="19"/>
        <v/>
      </c>
      <c r="T121" s="470" t="str">
        <f t="shared" si="20"/>
        <v/>
      </c>
      <c r="U121" s="469" t="str">
        <f t="shared" si="21"/>
        <v/>
      </c>
      <c r="V121" s="472" t="str">
        <f t="shared" si="22"/>
        <v/>
      </c>
    </row>
    <row r="122" spans="18:22" x14ac:dyDescent="0.3">
      <c r="R122" s="7">
        <v>90</v>
      </c>
      <c r="S122" s="358" t="str">
        <f t="shared" si="19"/>
        <v/>
      </c>
      <c r="T122" s="470" t="str">
        <f t="shared" si="20"/>
        <v/>
      </c>
      <c r="U122" s="469" t="str">
        <f t="shared" si="21"/>
        <v/>
      </c>
      <c r="V122" s="472" t="str">
        <f t="shared" si="22"/>
        <v/>
      </c>
    </row>
    <row r="123" spans="18:22" x14ac:dyDescent="0.3">
      <c r="R123" s="7">
        <v>91</v>
      </c>
      <c r="S123" s="358" t="str">
        <f t="shared" si="19"/>
        <v/>
      </c>
      <c r="T123" s="470" t="str">
        <f t="shared" si="20"/>
        <v/>
      </c>
      <c r="U123" s="469" t="str">
        <f t="shared" si="21"/>
        <v/>
      </c>
      <c r="V123" s="472" t="str">
        <f t="shared" si="22"/>
        <v/>
      </c>
    </row>
    <row r="124" spans="18:22" x14ac:dyDescent="0.3">
      <c r="R124" s="7">
        <v>92</v>
      </c>
      <c r="S124" s="358" t="str">
        <f t="shared" si="19"/>
        <v/>
      </c>
      <c r="T124" s="470" t="str">
        <f t="shared" si="20"/>
        <v/>
      </c>
      <c r="U124" s="469" t="str">
        <f t="shared" si="21"/>
        <v/>
      </c>
      <c r="V124" s="472" t="str">
        <f t="shared" si="22"/>
        <v/>
      </c>
    </row>
    <row r="125" spans="18:22" x14ac:dyDescent="0.3">
      <c r="R125" s="7">
        <v>93</v>
      </c>
      <c r="S125" s="358" t="str">
        <f t="shared" si="19"/>
        <v/>
      </c>
      <c r="T125" s="470" t="str">
        <f t="shared" si="20"/>
        <v/>
      </c>
      <c r="U125" s="469" t="str">
        <f t="shared" si="21"/>
        <v/>
      </c>
      <c r="V125" s="472" t="str">
        <f t="shared" si="22"/>
        <v/>
      </c>
    </row>
    <row r="126" spans="18:22" x14ac:dyDescent="0.3">
      <c r="R126" s="7">
        <v>94</v>
      </c>
      <c r="S126" s="358" t="str">
        <f t="shared" si="19"/>
        <v/>
      </c>
      <c r="T126" s="470" t="str">
        <f t="shared" si="20"/>
        <v/>
      </c>
      <c r="U126" s="469" t="str">
        <f t="shared" si="21"/>
        <v/>
      </c>
      <c r="V126" s="472" t="str">
        <f t="shared" si="22"/>
        <v/>
      </c>
    </row>
    <row r="127" spans="18:22" x14ac:dyDescent="0.3">
      <c r="R127" s="7">
        <v>95</v>
      </c>
      <c r="S127" s="358" t="str">
        <f t="shared" si="19"/>
        <v/>
      </c>
      <c r="T127" s="470" t="str">
        <f t="shared" si="20"/>
        <v/>
      </c>
      <c r="U127" s="469" t="str">
        <f t="shared" si="21"/>
        <v/>
      </c>
      <c r="V127" s="472" t="str">
        <f t="shared" si="22"/>
        <v/>
      </c>
    </row>
    <row r="128" spans="18:22" x14ac:dyDescent="0.3">
      <c r="R128" s="7">
        <v>96</v>
      </c>
      <c r="S128" s="358" t="str">
        <f t="shared" si="19"/>
        <v/>
      </c>
      <c r="T128" s="470" t="str">
        <f t="shared" si="20"/>
        <v/>
      </c>
      <c r="U128" s="469" t="str">
        <f t="shared" si="21"/>
        <v/>
      </c>
      <c r="V128" s="472" t="str">
        <f t="shared" si="22"/>
        <v/>
      </c>
    </row>
    <row r="129" spans="18:22" x14ac:dyDescent="0.3">
      <c r="R129" s="7">
        <v>97</v>
      </c>
      <c r="S129" s="358" t="str">
        <f t="shared" si="19"/>
        <v/>
      </c>
      <c r="T129" s="470" t="str">
        <f t="shared" si="20"/>
        <v/>
      </c>
      <c r="U129" s="469" t="str">
        <f t="shared" si="21"/>
        <v/>
      </c>
      <c r="V129" s="472" t="str">
        <f t="shared" si="22"/>
        <v/>
      </c>
    </row>
    <row r="130" spans="18:22" x14ac:dyDescent="0.3">
      <c r="R130" s="7">
        <v>98</v>
      </c>
      <c r="S130" s="358" t="str">
        <f t="shared" si="19"/>
        <v/>
      </c>
      <c r="T130" s="470" t="str">
        <f t="shared" si="20"/>
        <v/>
      </c>
      <c r="U130" s="469" t="str">
        <f t="shared" si="21"/>
        <v/>
      </c>
      <c r="V130" s="472" t="str">
        <f t="shared" si="22"/>
        <v/>
      </c>
    </row>
    <row r="131" spans="18:22" x14ac:dyDescent="0.3">
      <c r="R131" s="7">
        <v>99</v>
      </c>
      <c r="S131" s="358" t="str">
        <f t="shared" si="19"/>
        <v/>
      </c>
      <c r="T131" s="470" t="str">
        <f t="shared" si="20"/>
        <v/>
      </c>
      <c r="U131" s="469" t="str">
        <f t="shared" si="21"/>
        <v/>
      </c>
      <c r="V131" s="472" t="str">
        <f t="shared" si="22"/>
        <v/>
      </c>
    </row>
    <row r="132" spans="18:22" x14ac:dyDescent="0.3">
      <c r="R132" s="7">
        <v>100</v>
      </c>
      <c r="S132" s="358" t="str">
        <f t="shared" si="19"/>
        <v/>
      </c>
      <c r="T132" s="470" t="str">
        <f t="shared" si="20"/>
        <v/>
      </c>
      <c r="U132" s="469" t="str">
        <f t="shared" si="21"/>
        <v/>
      </c>
      <c r="V132" s="472" t="str">
        <f t="shared" si="22"/>
        <v/>
      </c>
    </row>
    <row r="133" spans="18:22" x14ac:dyDescent="0.3">
      <c r="R133" s="7">
        <v>101</v>
      </c>
      <c r="S133" s="358" t="str">
        <f t="shared" si="19"/>
        <v/>
      </c>
      <c r="T133" s="470" t="str">
        <f t="shared" si="20"/>
        <v/>
      </c>
      <c r="U133" s="469" t="str">
        <f t="shared" si="21"/>
        <v/>
      </c>
      <c r="V133" s="472" t="str">
        <f t="shared" si="22"/>
        <v/>
      </c>
    </row>
    <row r="134" spans="18:22" x14ac:dyDescent="0.3">
      <c r="R134" s="7">
        <v>102</v>
      </c>
      <c r="S134" s="358" t="str">
        <f t="shared" si="19"/>
        <v/>
      </c>
      <c r="T134" s="470" t="str">
        <f t="shared" si="20"/>
        <v/>
      </c>
      <c r="U134" s="469" t="str">
        <f t="shared" si="21"/>
        <v/>
      </c>
      <c r="V134" s="472" t="str">
        <f t="shared" si="22"/>
        <v/>
      </c>
    </row>
    <row r="135" spans="18:22" x14ac:dyDescent="0.3">
      <c r="R135" s="7">
        <v>103</v>
      </c>
      <c r="S135" s="358" t="str">
        <f t="shared" si="19"/>
        <v/>
      </c>
      <c r="T135" s="470" t="str">
        <f t="shared" si="20"/>
        <v/>
      </c>
      <c r="U135" s="469" t="str">
        <f t="shared" si="21"/>
        <v/>
      </c>
      <c r="V135" s="472" t="str">
        <f t="shared" si="22"/>
        <v/>
      </c>
    </row>
    <row r="136" spans="18:22" x14ac:dyDescent="0.3">
      <c r="R136" s="7">
        <v>104</v>
      </c>
      <c r="S136" s="358" t="str">
        <f t="shared" si="19"/>
        <v/>
      </c>
      <c r="T136" s="470" t="str">
        <f t="shared" si="20"/>
        <v/>
      </c>
      <c r="U136" s="469" t="str">
        <f t="shared" si="21"/>
        <v/>
      </c>
      <c r="V136" s="472" t="str">
        <f t="shared" si="22"/>
        <v/>
      </c>
    </row>
    <row r="137" spans="18:22" x14ac:dyDescent="0.3">
      <c r="R137" s="7">
        <v>105</v>
      </c>
      <c r="S137" s="358" t="str">
        <f t="shared" si="19"/>
        <v/>
      </c>
      <c r="T137" s="470" t="str">
        <f t="shared" si="20"/>
        <v/>
      </c>
      <c r="U137" s="469" t="str">
        <f t="shared" si="21"/>
        <v/>
      </c>
      <c r="V137" s="472" t="str">
        <f t="shared" si="22"/>
        <v/>
      </c>
    </row>
    <row r="138" spans="18:22" x14ac:dyDescent="0.3">
      <c r="R138" s="7">
        <v>106</v>
      </c>
      <c r="S138" s="358" t="str">
        <f t="shared" si="19"/>
        <v/>
      </c>
      <c r="T138" s="470" t="str">
        <f t="shared" si="20"/>
        <v/>
      </c>
      <c r="U138" s="469" t="str">
        <f t="shared" si="21"/>
        <v/>
      </c>
      <c r="V138" s="472" t="str">
        <f t="shared" si="22"/>
        <v/>
      </c>
    </row>
    <row r="139" spans="18:22" x14ac:dyDescent="0.3">
      <c r="R139" s="7">
        <v>107</v>
      </c>
      <c r="S139" s="358" t="str">
        <f t="shared" si="19"/>
        <v/>
      </c>
      <c r="T139" s="470" t="str">
        <f t="shared" si="20"/>
        <v/>
      </c>
      <c r="U139" s="469" t="str">
        <f t="shared" si="21"/>
        <v/>
      </c>
      <c r="V139" s="472" t="str">
        <f t="shared" si="22"/>
        <v/>
      </c>
    </row>
    <row r="140" spans="18:22" x14ac:dyDescent="0.3">
      <c r="R140" s="7">
        <v>108</v>
      </c>
      <c r="S140" s="358" t="str">
        <f t="shared" si="19"/>
        <v/>
      </c>
      <c r="T140" s="470" t="str">
        <f t="shared" si="20"/>
        <v/>
      </c>
      <c r="U140" s="469" t="str">
        <f t="shared" si="21"/>
        <v/>
      </c>
      <c r="V140" s="472" t="str">
        <f t="shared" si="22"/>
        <v/>
      </c>
    </row>
    <row r="141" spans="18:22" x14ac:dyDescent="0.3">
      <c r="R141" s="7">
        <v>109</v>
      </c>
      <c r="S141" s="358" t="str">
        <f t="shared" si="19"/>
        <v/>
      </c>
      <c r="T141" s="470" t="str">
        <f t="shared" si="20"/>
        <v/>
      </c>
      <c r="U141" s="469" t="str">
        <f t="shared" si="21"/>
        <v/>
      </c>
      <c r="V141" s="472" t="str">
        <f t="shared" si="22"/>
        <v/>
      </c>
    </row>
    <row r="142" spans="18:22" x14ac:dyDescent="0.3">
      <c r="R142" s="7">
        <v>110</v>
      </c>
      <c r="S142" s="358" t="str">
        <f t="shared" si="19"/>
        <v/>
      </c>
      <c r="T142" s="470" t="str">
        <f t="shared" si="20"/>
        <v/>
      </c>
      <c r="U142" s="469" t="str">
        <f t="shared" si="21"/>
        <v/>
      </c>
      <c r="V142" s="472" t="str">
        <f t="shared" si="22"/>
        <v/>
      </c>
    </row>
    <row r="143" spans="18:22" x14ac:dyDescent="0.3">
      <c r="R143" s="7">
        <v>111</v>
      </c>
      <c r="S143" s="358" t="str">
        <f t="shared" si="19"/>
        <v/>
      </c>
      <c r="T143" s="470" t="str">
        <f t="shared" si="20"/>
        <v/>
      </c>
      <c r="U143" s="469" t="str">
        <f t="shared" si="21"/>
        <v/>
      </c>
      <c r="V143" s="472" t="str">
        <f t="shared" si="22"/>
        <v/>
      </c>
    </row>
    <row r="144" spans="18:22" x14ac:dyDescent="0.3">
      <c r="R144" s="7">
        <v>112</v>
      </c>
      <c r="S144" s="358" t="str">
        <f t="shared" si="19"/>
        <v/>
      </c>
      <c r="T144" s="470" t="str">
        <f t="shared" si="20"/>
        <v/>
      </c>
      <c r="U144" s="469" t="str">
        <f t="shared" si="21"/>
        <v/>
      </c>
      <c r="V144" s="472" t="str">
        <f t="shared" si="22"/>
        <v/>
      </c>
    </row>
    <row r="145" spans="18:22" x14ac:dyDescent="0.3">
      <c r="R145" s="7">
        <v>113</v>
      </c>
      <c r="S145" s="358" t="str">
        <f t="shared" si="19"/>
        <v/>
      </c>
      <c r="T145" s="470" t="str">
        <f t="shared" si="20"/>
        <v/>
      </c>
      <c r="U145" s="469" t="str">
        <f t="shared" si="21"/>
        <v/>
      </c>
      <c r="V145" s="472" t="str">
        <f t="shared" si="22"/>
        <v/>
      </c>
    </row>
    <row r="146" spans="18:22" x14ac:dyDescent="0.3">
      <c r="R146" s="7">
        <v>114</v>
      </c>
      <c r="S146" s="358" t="str">
        <f t="shared" si="19"/>
        <v/>
      </c>
      <c r="T146" s="470" t="str">
        <f t="shared" si="20"/>
        <v/>
      </c>
      <c r="U146" s="469" t="str">
        <f t="shared" si="21"/>
        <v/>
      </c>
      <c r="V146" s="472" t="str">
        <f t="shared" si="22"/>
        <v/>
      </c>
    </row>
    <row r="147" spans="18:22" x14ac:dyDescent="0.3">
      <c r="R147" s="7">
        <v>115</v>
      </c>
      <c r="S147" s="358" t="str">
        <f t="shared" si="19"/>
        <v/>
      </c>
      <c r="T147" s="470" t="str">
        <f t="shared" si="20"/>
        <v/>
      </c>
      <c r="U147" s="469" t="str">
        <f t="shared" si="21"/>
        <v/>
      </c>
      <c r="V147" s="472" t="str">
        <f t="shared" si="22"/>
        <v/>
      </c>
    </row>
    <row r="148" spans="18:22" x14ac:dyDescent="0.3">
      <c r="R148" s="7">
        <v>116</v>
      </c>
      <c r="S148" s="358" t="str">
        <f t="shared" si="19"/>
        <v/>
      </c>
      <c r="T148" s="470" t="str">
        <f t="shared" si="20"/>
        <v/>
      </c>
      <c r="U148" s="469" t="str">
        <f t="shared" si="21"/>
        <v/>
      </c>
      <c r="V148" s="472" t="str">
        <f t="shared" si="22"/>
        <v/>
      </c>
    </row>
    <row r="149" spans="18:22" x14ac:dyDescent="0.3">
      <c r="R149" s="7">
        <v>117</v>
      </c>
      <c r="S149" s="358" t="str">
        <f t="shared" si="19"/>
        <v/>
      </c>
      <c r="T149" s="470" t="str">
        <f t="shared" si="20"/>
        <v/>
      </c>
      <c r="U149" s="469" t="str">
        <f t="shared" si="21"/>
        <v/>
      </c>
      <c r="V149" s="472" t="str">
        <f t="shared" si="22"/>
        <v/>
      </c>
    </row>
    <row r="150" spans="18:22" x14ac:dyDescent="0.3">
      <c r="R150" s="7">
        <v>118</v>
      </c>
      <c r="S150" s="358" t="str">
        <f t="shared" si="19"/>
        <v/>
      </c>
      <c r="T150" s="470" t="str">
        <f t="shared" si="20"/>
        <v/>
      </c>
      <c r="U150" s="469" t="str">
        <f t="shared" si="21"/>
        <v/>
      </c>
      <c r="V150" s="472" t="str">
        <f t="shared" si="22"/>
        <v/>
      </c>
    </row>
    <row r="151" spans="18:22" x14ac:dyDescent="0.3">
      <c r="R151" s="7">
        <v>119</v>
      </c>
      <c r="S151" s="358" t="str">
        <f t="shared" si="19"/>
        <v/>
      </c>
      <c r="T151" s="470" t="str">
        <f t="shared" si="20"/>
        <v/>
      </c>
      <c r="U151" s="469" t="str">
        <f t="shared" si="21"/>
        <v/>
      </c>
      <c r="V151" s="472" t="str">
        <f t="shared" si="22"/>
        <v/>
      </c>
    </row>
    <row r="152" spans="18:22" x14ac:dyDescent="0.3">
      <c r="R152" s="7">
        <v>120</v>
      </c>
      <c r="S152" s="358" t="str">
        <f t="shared" si="19"/>
        <v/>
      </c>
      <c r="T152" s="470" t="str">
        <f t="shared" si="20"/>
        <v/>
      </c>
      <c r="U152" s="469" t="str">
        <f t="shared" si="21"/>
        <v/>
      </c>
      <c r="V152" s="472" t="str">
        <f t="shared" si="22"/>
        <v/>
      </c>
    </row>
    <row r="153" spans="18:22" x14ac:dyDescent="0.3">
      <c r="R153" s="7">
        <v>121</v>
      </c>
      <c r="S153" s="358" t="str">
        <f t="shared" si="19"/>
        <v/>
      </c>
      <c r="T153" s="470" t="str">
        <f t="shared" si="20"/>
        <v/>
      </c>
      <c r="U153" s="469" t="str">
        <f t="shared" si="21"/>
        <v/>
      </c>
      <c r="V153" s="472" t="str">
        <f t="shared" si="22"/>
        <v/>
      </c>
    </row>
  </sheetData>
  <mergeCells count="11">
    <mergeCell ref="M74:P76"/>
    <mergeCell ref="U5:Z5"/>
    <mergeCell ref="B5:E5"/>
    <mergeCell ref="B4:E4"/>
    <mergeCell ref="B7:C7"/>
    <mergeCell ref="X29:Y29"/>
    <mergeCell ref="V23:W23"/>
    <mergeCell ref="H5:K5"/>
    <mergeCell ref="I7:K7"/>
    <mergeCell ref="M5:P5"/>
    <mergeCell ref="N7:P7"/>
  </mergeCells>
  <pageMargins left="0.7" right="0.7" top="0.75" bottom="0.75" header="0.3" footer="0.3"/>
  <pageSetup paperSize="9" orientation="landscape"/>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9"/>
  <sheetViews>
    <sheetView showGridLines="0" topLeftCell="A10" zoomScale="70" zoomScaleNormal="70" workbookViewId="0">
      <selection activeCell="C67" sqref="C67"/>
    </sheetView>
  </sheetViews>
  <sheetFormatPr defaultColWidth="9.109375" defaultRowHeight="14.4" x14ac:dyDescent="0.3"/>
  <cols>
    <col min="1" max="1" width="6.44140625" style="4" customWidth="1"/>
    <col min="2" max="2" width="102.44140625" style="4" customWidth="1"/>
    <col min="3" max="3" width="21.5546875" style="4" customWidth="1"/>
    <col min="4" max="4" width="22" style="4" customWidth="1"/>
    <col min="5" max="5" width="19.88671875" style="4" customWidth="1"/>
    <col min="6" max="6" width="6" style="4" customWidth="1"/>
    <col min="7" max="7" width="13.5546875" style="4" customWidth="1"/>
    <col min="8" max="8" width="59.33203125" style="7" customWidth="1"/>
    <col min="9" max="10" width="59.6640625" style="4" customWidth="1"/>
    <col min="11" max="11" width="51.88671875" style="4" customWidth="1"/>
    <col min="12" max="12" width="17.5546875" style="4" bestFit="1" customWidth="1"/>
    <col min="13" max="13" width="12.5546875" style="4" customWidth="1"/>
    <col min="14" max="14" width="17.5546875" style="4" bestFit="1" customWidth="1"/>
    <col min="15" max="16384" width="9.109375" style="4"/>
  </cols>
  <sheetData>
    <row r="1" spans="1:16" ht="9.75" customHeight="1" x14ac:dyDescent="0.3"/>
    <row r="2" spans="1:16" ht="15" customHeight="1" x14ac:dyDescent="0.3">
      <c r="B2" s="345" t="s">
        <v>273</v>
      </c>
    </row>
    <row r="3" spans="1:16" ht="8.25" customHeight="1" thickBot="1" x14ac:dyDescent="0.35"/>
    <row r="4" spans="1:16" ht="18" x14ac:dyDescent="0.35">
      <c r="B4" s="1051" t="s">
        <v>18</v>
      </c>
      <c r="C4" s="1052"/>
      <c r="D4" s="1052"/>
      <c r="E4" s="1053"/>
      <c r="F4" s="430"/>
      <c r="G4" s="430"/>
    </row>
    <row r="5" spans="1:16" ht="18.600000000000001" thickBot="1" x14ac:dyDescent="0.4">
      <c r="B5" s="1048" t="str">
        <f>VLOOKUP(C9,'Product Map - IVASS'!$H$5:$BD$56,49,FALSE)</f>
        <v>LEASING CPI 4.5%</v>
      </c>
      <c r="C5" s="1049"/>
      <c r="D5" s="1049"/>
      <c r="E5" s="1050"/>
      <c r="F5" s="429"/>
      <c r="G5" s="429"/>
      <c r="K5" s="1047"/>
      <c r="L5" s="1047"/>
      <c r="M5" s="1047"/>
      <c r="N5" s="1047"/>
      <c r="O5" s="1047"/>
      <c r="P5" s="1047"/>
    </row>
    <row r="6" spans="1:16" s="7" customFormat="1" ht="3.75" customHeight="1" thickBot="1" x14ac:dyDescent="0.4">
      <c r="B6" s="9"/>
      <c r="C6" s="9"/>
      <c r="D6" s="9"/>
      <c r="E6" s="9"/>
      <c r="F6" s="9"/>
      <c r="G6" s="9"/>
    </row>
    <row r="7" spans="1:16" s="7" customFormat="1" ht="15" customHeight="1" thickBot="1" x14ac:dyDescent="0.4">
      <c r="B7" s="1054" t="s">
        <v>4</v>
      </c>
      <c r="C7" s="1055"/>
      <c r="D7" s="9"/>
      <c r="E7" s="9"/>
      <c r="F7" s="9"/>
      <c r="G7" s="9"/>
    </row>
    <row r="8" spans="1:16" s="7" customFormat="1" ht="4.5" customHeight="1" thickBot="1" x14ac:dyDescent="0.4">
      <c r="B8" s="10"/>
      <c r="C8" s="10"/>
      <c r="D8" s="9"/>
      <c r="E8" s="9"/>
      <c r="F8" s="9"/>
      <c r="G8" s="9"/>
    </row>
    <row r="9" spans="1:16" s="7" customFormat="1" ht="15" customHeight="1" x14ac:dyDescent="0.35">
      <c r="B9" s="348" t="s">
        <v>258</v>
      </c>
      <c r="C9" s="354" t="s">
        <v>237</v>
      </c>
      <c r="D9" s="9"/>
      <c r="E9" s="9"/>
      <c r="F9" s="9"/>
      <c r="G9" s="9"/>
    </row>
    <row r="10" spans="1:16" s="7" customFormat="1" ht="15" customHeight="1" x14ac:dyDescent="0.35">
      <c r="B10" s="349" t="s">
        <v>9</v>
      </c>
      <c r="C10" s="350">
        <v>42872</v>
      </c>
      <c r="D10" s="9"/>
      <c r="E10" s="9"/>
      <c r="F10" s="9"/>
      <c r="G10" s="9"/>
    </row>
    <row r="11" spans="1:16" s="7" customFormat="1" ht="15" customHeight="1" x14ac:dyDescent="0.35">
      <c r="B11" s="351" t="s">
        <v>272</v>
      </c>
      <c r="C11" s="352">
        <v>44713</v>
      </c>
      <c r="D11" s="9"/>
      <c r="E11" s="9"/>
      <c r="F11" s="9"/>
      <c r="G11" s="9"/>
    </row>
    <row r="12" spans="1:16" s="7" customFormat="1" ht="15" customHeight="1" x14ac:dyDescent="0.35">
      <c r="B12" s="351" t="s">
        <v>271</v>
      </c>
      <c r="C12" s="352">
        <v>43075</v>
      </c>
      <c r="D12" s="9"/>
      <c r="E12" s="9"/>
      <c r="F12" s="9"/>
      <c r="G12" s="9"/>
    </row>
    <row r="13" spans="1:16" s="7" customFormat="1" ht="15" customHeight="1" x14ac:dyDescent="0.35">
      <c r="B13" s="888" t="s">
        <v>3</v>
      </c>
      <c r="C13" s="889">
        <v>10000</v>
      </c>
      <c r="D13" s="9"/>
      <c r="E13" s="9"/>
      <c r="F13" s="9"/>
      <c r="G13" s="9"/>
    </row>
    <row r="14" spans="1:16" s="7" customFormat="1" ht="11.25" customHeight="1" x14ac:dyDescent="0.35">
      <c r="B14" s="351" t="s">
        <v>451</v>
      </c>
      <c r="C14" s="898">
        <v>4000</v>
      </c>
      <c r="D14" s="9"/>
      <c r="E14" s="9"/>
      <c r="F14" s="9"/>
      <c r="G14" s="9"/>
      <c r="H14" s="9"/>
    </row>
    <row r="15" spans="1:16" ht="18.600000000000001" thickBot="1" x14ac:dyDescent="0.4">
      <c r="A15" s="7"/>
      <c r="B15" s="353" t="s">
        <v>465</v>
      </c>
      <c r="C15" s="901">
        <f>C14</f>
        <v>4000</v>
      </c>
      <c r="D15" s="9"/>
      <c r="E15" s="9"/>
      <c r="G15" s="19"/>
      <c r="H15" s="19"/>
      <c r="I15" s="18"/>
      <c r="J15" s="7"/>
    </row>
    <row r="16" spans="1:16" s="7" customFormat="1" ht="3.75" customHeight="1" thickBot="1" x14ac:dyDescent="0.4">
      <c r="B16" s="9"/>
      <c r="C16" s="9"/>
      <c r="D16" s="9"/>
      <c r="E16" s="9"/>
      <c r="G16" s="19"/>
      <c r="H16" s="19"/>
      <c r="I16" s="18"/>
    </row>
    <row r="17" spans="1:14" ht="15" thickBot="1" x14ac:dyDescent="0.35">
      <c r="B17" s="435" t="s">
        <v>0</v>
      </c>
      <c r="C17" s="421" t="s">
        <v>259</v>
      </c>
      <c r="D17" s="421" t="s">
        <v>1</v>
      </c>
      <c r="E17" s="422" t="s">
        <v>2</v>
      </c>
      <c r="G17" s="7"/>
      <c r="H17" s="6"/>
      <c r="I17" s="7"/>
      <c r="J17" s="7"/>
    </row>
    <row r="18" spans="1:14" ht="15" thickBot="1" x14ac:dyDescent="0.35">
      <c r="A18" s="7"/>
      <c r="B18" s="420"/>
      <c r="C18" s="19"/>
      <c r="D18" s="19"/>
      <c r="E18" s="19"/>
      <c r="G18" s="7"/>
      <c r="H18" s="20"/>
      <c r="I18" s="7"/>
      <c r="J18" s="7"/>
    </row>
    <row r="19" spans="1:14" x14ac:dyDescent="0.3">
      <c r="B19" s="11" t="s">
        <v>275</v>
      </c>
      <c r="C19" s="423">
        <f>SUM(D19:E19)</f>
        <v>4.4999999999999998E-2</v>
      </c>
      <c r="D19" s="423">
        <f>VLOOKUP($C$9,'Product Map - IVASS'!$H$5:$S$56,6,FALSE)</f>
        <v>3.4875000000000003E-2</v>
      </c>
      <c r="E19" s="424">
        <f>VLOOKUP($C$9,'Product Map - IVASS'!$H$5:$S$56,7,FALSE)</f>
        <v>1.0124999999999999E-2</v>
      </c>
      <c r="G19" s="21"/>
      <c r="H19" s="21"/>
      <c r="I19" s="7"/>
      <c r="J19" s="7"/>
    </row>
    <row r="20" spans="1:14" x14ac:dyDescent="0.3">
      <c r="B20" s="12" t="s">
        <v>274</v>
      </c>
      <c r="C20" s="26">
        <f>SUM(D20:E20)</f>
        <v>2.5000000000000001E-2</v>
      </c>
      <c r="D20" s="26">
        <f>VLOOKUP($C$9,'Product Map - IVASS'!$H$5:$S$56,8,FALSE)</f>
        <v>0</v>
      </c>
      <c r="E20" s="8">
        <f>VLOOKUP($C$9,'Product Map - IVASS'!$H$5:$S$56,9,FALSE)</f>
        <v>2.5000000000000001E-2</v>
      </c>
      <c r="G20" s="437"/>
      <c r="H20" s="22"/>
      <c r="I20" s="7"/>
      <c r="J20" s="7"/>
    </row>
    <row r="21" spans="1:14" ht="15.6" x14ac:dyDescent="0.3">
      <c r="A21" s="27" t="s">
        <v>16</v>
      </c>
      <c r="B21" s="359" t="s">
        <v>276</v>
      </c>
      <c r="C21" s="360">
        <f>E21</f>
        <v>0.44900000000000001</v>
      </c>
      <c r="D21" s="360">
        <f>VLOOKUP($C$9,'Product Map - IVASS'!$H$5:$S$56,11,FALSE)</f>
        <v>0.44900000000000001</v>
      </c>
      <c r="E21" s="425">
        <f>VLOOKUP($C$9,'Product Map - IVASS'!$H$5:$S$56,11,FALSE)</f>
        <v>0.44900000000000001</v>
      </c>
      <c r="G21" s="437"/>
      <c r="H21" s="4"/>
      <c r="I21" s="7"/>
      <c r="L21" s="1057"/>
      <c r="M21" s="1057"/>
    </row>
    <row r="22" spans="1:14" ht="16.5" customHeight="1" x14ac:dyDescent="0.3">
      <c r="A22" s="27" t="s">
        <v>17</v>
      </c>
      <c r="B22" s="13" t="s">
        <v>277</v>
      </c>
      <c r="C22" s="23">
        <f>SUM(D22:E22)</f>
        <v>41</v>
      </c>
      <c r="D22" s="23">
        <f>VLOOKUP($C$9,'Product Map - IVASS'!$H$5:$AK$56,24,FALSE)</f>
        <v>20.5</v>
      </c>
      <c r="E22" s="343">
        <f>VLOOKUP($C$9,'Product Map - IVASS'!$H$5:$AK$56,25,FALSE)</f>
        <v>20.5</v>
      </c>
      <c r="F22" s="5"/>
      <c r="G22" s="5"/>
      <c r="H22" s="4"/>
      <c r="I22" s="7"/>
    </row>
    <row r="23" spans="1:14" ht="16.2" thickBot="1" x14ac:dyDescent="0.35">
      <c r="A23" s="27" t="s">
        <v>21</v>
      </c>
      <c r="B23" s="14" t="s">
        <v>278</v>
      </c>
      <c r="C23" s="24">
        <f>SUM(D23:E23)</f>
        <v>15</v>
      </c>
      <c r="D23" s="24">
        <f>VLOOKUP($C$9,'Product Map - IVASS'!$H$5:$AK$56,27,FALSE)</f>
        <v>7.5</v>
      </c>
      <c r="E23" s="344">
        <f>VLOOKUP($C$9,'Product Map - IVASS'!$H$5:$AK$56,29,FALSE)</f>
        <v>7.5</v>
      </c>
      <c r="F23" s="5"/>
      <c r="G23" s="1064"/>
      <c r="H23" s="1064"/>
      <c r="I23" s="402"/>
      <c r="N23" s="7"/>
    </row>
    <row r="24" spans="1:14" s="7" customFormat="1" ht="15.75" customHeight="1" x14ac:dyDescent="0.3">
      <c r="A24" s="4"/>
      <c r="B24" s="4"/>
      <c r="C24" s="4"/>
      <c r="D24" s="4"/>
      <c r="E24" s="4"/>
      <c r="G24" s="10"/>
      <c r="H24" s="10"/>
      <c r="I24" s="33"/>
      <c r="N24" s="346"/>
    </row>
    <row r="25" spans="1:14" s="7" customFormat="1" ht="4.5" customHeight="1" thickBot="1" x14ac:dyDescent="0.35">
      <c r="A25" s="4"/>
      <c r="B25" s="4"/>
      <c r="C25" s="4"/>
      <c r="D25" s="4"/>
      <c r="E25" s="10"/>
      <c r="G25" s="10"/>
      <c r="H25" s="10"/>
      <c r="I25" s="33"/>
      <c r="N25" s="346"/>
    </row>
    <row r="26" spans="1:14" ht="15" customHeight="1" thickBot="1" x14ac:dyDescent="0.35">
      <c r="A26" s="7"/>
      <c r="B26" s="436" t="s">
        <v>265</v>
      </c>
      <c r="C26" s="421" t="s">
        <v>259</v>
      </c>
      <c r="D26" s="421" t="s">
        <v>1</v>
      </c>
      <c r="E26" s="422" t="s">
        <v>2</v>
      </c>
      <c r="G26" s="405"/>
      <c r="H26" s="406"/>
      <c r="I26" s="33"/>
      <c r="J26" s="34"/>
      <c r="N26" s="7"/>
    </row>
    <row r="27" spans="1:14" ht="15" thickBot="1" x14ac:dyDescent="0.35">
      <c r="A27" s="7"/>
      <c r="B27" s="387"/>
      <c r="C27" s="19"/>
      <c r="D27" s="19"/>
      <c r="E27" s="19"/>
      <c r="G27" s="1063"/>
      <c r="H27" s="1063"/>
      <c r="I27" s="33"/>
      <c r="J27" s="34"/>
      <c r="N27" s="7"/>
    </row>
    <row r="28" spans="1:14" x14ac:dyDescent="0.3">
      <c r="B28" s="38" t="s">
        <v>268</v>
      </c>
      <c r="C28" s="426">
        <f>((C11-C10)/365.25)*12</f>
        <v>60.484599589322379</v>
      </c>
      <c r="D28" s="427"/>
      <c r="E28" s="428"/>
      <c r="G28" s="482" t="s">
        <v>316</v>
      </c>
      <c r="H28" s="471" t="s">
        <v>315</v>
      </c>
      <c r="I28" s="471" t="s">
        <v>317</v>
      </c>
      <c r="J28" s="471" t="s">
        <v>314</v>
      </c>
      <c r="K28" s="471" t="s">
        <v>313</v>
      </c>
      <c r="N28" s="7"/>
    </row>
    <row r="29" spans="1:14" x14ac:dyDescent="0.3">
      <c r="B29" s="39" t="s">
        <v>269</v>
      </c>
      <c r="C29" s="389">
        <f>((C12-C10)/365.25)*12</f>
        <v>6.669404517453799</v>
      </c>
      <c r="D29" s="408"/>
      <c r="E29" s="411"/>
      <c r="G29" s="468">
        <v>1</v>
      </c>
      <c r="H29" s="358">
        <f>IF(G29&gt;$C$28,"",($D$31-$D$31*$D$21)*(($C$28-G29+1)*($C$28-G29)/($C$28*($C$28+1)))+$D$31*$D$21*($C$28-G29)/$C$28)</f>
        <v>339.91038558528641</v>
      </c>
      <c r="I29" s="470">
        <f>IF(G29&gt;$C$28,"",H29-$D$22)</f>
        <v>319.41038558528641</v>
      </c>
      <c r="J29" s="469">
        <f>IF(G29&gt;$C$28,"",$E$31*($C$28-G29)/$C$28)</f>
        <v>97.147336746995933</v>
      </c>
      <c r="K29" s="472">
        <f>IF(G29&gt;$C$28,"",J29-$E$22)</f>
        <v>76.647336746995933</v>
      </c>
      <c r="N29" s="347"/>
    </row>
    <row r="30" spans="1:14" ht="15.75" customHeight="1" thickBot="1" x14ac:dyDescent="0.35">
      <c r="B30" s="400" t="s">
        <v>270</v>
      </c>
      <c r="C30" s="401">
        <f>IF(C28-C29&lt;0,0,C28-C29)</f>
        <v>53.81519507186858</v>
      </c>
      <c r="D30" s="409"/>
      <c r="E30" s="412"/>
      <c r="G30" s="467">
        <v>2</v>
      </c>
      <c r="H30" s="358">
        <f t="shared" ref="H30:H93" si="0">IF(G30&gt;$C$28,"",($D$31-$D$31*$D$21)*(($C$28-G30+1)*($C$28-G30)/($C$28*($C$28+1)))+$D$31*$D$21*($C$28-G30)/$C$28)</f>
        <v>331.17411502412369</v>
      </c>
      <c r="I30" s="470">
        <f t="shared" ref="I30:I93" si="1">IF(G30&gt;$C$28,"",H30-$D$22)</f>
        <v>310.67411502412369</v>
      </c>
      <c r="J30" s="469">
        <f t="shared" ref="J30:J88" si="2">IF(G30&gt;$C$28,"",$E$31*($C$28-G30)/$C$28)</f>
        <v>95.514185689113816</v>
      </c>
      <c r="K30" s="472">
        <f t="shared" ref="K30:K88" si="3">IF(G30&gt;$C$28,"",J30-$E$22)</f>
        <v>75.014185689113816</v>
      </c>
    </row>
    <row r="31" spans="1:14" ht="15.75" customHeight="1" x14ac:dyDescent="0.3">
      <c r="B31" s="398" t="s">
        <v>282</v>
      </c>
      <c r="C31" s="403">
        <f>SUM(D31:E31)</f>
        <v>447.53048780487813</v>
      </c>
      <c r="D31" s="399">
        <f>C13*D19*100%/(100%+D20)</f>
        <v>348.75000000000006</v>
      </c>
      <c r="E31" s="413">
        <f>C13*E19*100%/(100%+E20)</f>
        <v>98.780487804878049</v>
      </c>
      <c r="G31" s="7">
        <v>3</v>
      </c>
      <c r="H31" s="358">
        <f t="shared" si="0"/>
        <v>322.54118831651186</v>
      </c>
      <c r="I31" s="470">
        <f t="shared" si="1"/>
        <v>302.04118831651186</v>
      </c>
      <c r="J31" s="469">
        <f t="shared" si="2"/>
        <v>93.881034631231699</v>
      </c>
      <c r="K31" s="472">
        <f t="shared" si="3"/>
        <v>73.381034631231699</v>
      </c>
    </row>
    <row r="32" spans="1:14" ht="15.75" customHeight="1" x14ac:dyDescent="0.3">
      <c r="B32" s="433" t="s">
        <v>281</v>
      </c>
      <c r="C32" s="404">
        <f>SUM(D32:E32)</f>
        <v>338.63717420309013</v>
      </c>
      <c r="D32" s="390">
        <f>(D31-D31*D21)*((C28-C29+1)*(C28-C29)/(C28*(C28+1)))+D31*D21*(C28-C29)/C28-D22</f>
        <v>271.24883144133548</v>
      </c>
      <c r="E32" s="15">
        <f>E31*(C28-C29)/C28-E22</f>
        <v>67.388342761754615</v>
      </c>
      <c r="G32" s="7">
        <v>4</v>
      </c>
      <c r="H32" s="358">
        <f t="shared" si="0"/>
        <v>314.01160546245092</v>
      </c>
      <c r="I32" s="470">
        <f t="shared" si="1"/>
        <v>293.51160546245092</v>
      </c>
      <c r="J32" s="469">
        <f t="shared" si="2"/>
        <v>92.247883573349583</v>
      </c>
      <c r="K32" s="472">
        <f t="shared" si="3"/>
        <v>71.747883573349583</v>
      </c>
    </row>
    <row r="33" spans="1:15" x14ac:dyDescent="0.3">
      <c r="B33" s="461" t="s">
        <v>266</v>
      </c>
      <c r="C33" s="462">
        <f>SUM(D33:E33)</f>
        <v>163.78417578595941</v>
      </c>
      <c r="D33" s="463">
        <f>D31*D21*(C28-C29)/C28-D23</f>
        <v>131.82230988593159</v>
      </c>
      <c r="E33" s="464">
        <f>E31*E21*(C28-C29)/C28-E23</f>
        <v>31.961865900027817</v>
      </c>
      <c r="G33" s="7">
        <v>5</v>
      </c>
      <c r="H33" s="358">
        <f t="shared" si="0"/>
        <v>305.58536646194091</v>
      </c>
      <c r="I33" s="470">
        <f t="shared" si="1"/>
        <v>285.08536646194091</v>
      </c>
      <c r="J33" s="469">
        <f t="shared" si="2"/>
        <v>90.61473251546748</v>
      </c>
      <c r="K33" s="472">
        <f t="shared" si="3"/>
        <v>70.11473251546748</v>
      </c>
    </row>
    <row r="34" spans="1:15" ht="15" thickBot="1" x14ac:dyDescent="0.35">
      <c r="B34" s="457" t="s">
        <v>312</v>
      </c>
      <c r="C34" s="458">
        <f>SUM(D34:E34)</f>
        <v>174.85299841713069</v>
      </c>
      <c r="D34" s="459">
        <f>D31*(1-D21)*((C28-C29+1)*(C28-C29)/(C28*(C28+1)))-D22+D23</f>
        <v>139.42652155540389</v>
      </c>
      <c r="E34" s="460">
        <f>E31*(1-E21)*(C28-C29)/C28-E22+E23</f>
        <v>35.42647686172679</v>
      </c>
      <c r="G34" s="7">
        <v>6</v>
      </c>
      <c r="H34" s="358">
        <f t="shared" si="0"/>
        <v>297.26247131498178</v>
      </c>
      <c r="I34" s="470">
        <f t="shared" si="1"/>
        <v>276.76247131498178</v>
      </c>
      <c r="J34" s="469">
        <f t="shared" si="2"/>
        <v>88.981581457585364</v>
      </c>
      <c r="K34" s="472">
        <f t="shared" si="3"/>
        <v>68.481581457585364</v>
      </c>
    </row>
    <row r="35" spans="1:15" ht="18" customHeight="1" thickBot="1" x14ac:dyDescent="0.35">
      <c r="B35" s="410"/>
      <c r="C35" s="42"/>
      <c r="D35" s="42"/>
      <c r="E35" s="42"/>
      <c r="G35" s="7">
        <v>7</v>
      </c>
      <c r="H35" s="358">
        <f t="shared" si="0"/>
        <v>289.04292002157354</v>
      </c>
      <c r="I35" s="470">
        <f t="shared" si="1"/>
        <v>268.54292002157354</v>
      </c>
      <c r="J35" s="469">
        <f t="shared" si="2"/>
        <v>87.348430399703233</v>
      </c>
      <c r="K35" s="472">
        <f t="shared" si="3"/>
        <v>66.848430399703233</v>
      </c>
      <c r="N35" s="358"/>
    </row>
    <row r="36" spans="1:15" ht="15" thickBot="1" x14ac:dyDescent="0.35">
      <c r="A36" s="31"/>
      <c r="B36" s="436" t="s">
        <v>22</v>
      </c>
      <c r="C36" s="421" t="s">
        <v>259</v>
      </c>
      <c r="D36" s="421" t="s">
        <v>1</v>
      </c>
      <c r="E36" s="422" t="s">
        <v>2</v>
      </c>
      <c r="G36" s="7">
        <v>8</v>
      </c>
      <c r="H36" s="358">
        <f t="shared" si="0"/>
        <v>280.92671258171629</v>
      </c>
      <c r="I36" s="470">
        <f t="shared" si="1"/>
        <v>260.42671258171629</v>
      </c>
      <c r="J36" s="469">
        <f t="shared" si="2"/>
        <v>85.715279341821116</v>
      </c>
      <c r="K36" s="472">
        <f t="shared" si="3"/>
        <v>65.215279341821116</v>
      </c>
    </row>
    <row r="37" spans="1:15" ht="15" thickBot="1" x14ac:dyDescent="0.35">
      <c r="A37" s="32"/>
      <c r="B37" s="10"/>
      <c r="D37" s="10"/>
      <c r="E37" s="388"/>
      <c r="G37" s="7">
        <v>9</v>
      </c>
      <c r="H37" s="358">
        <f t="shared" si="0"/>
        <v>272.91384899540981</v>
      </c>
      <c r="I37" s="470">
        <f t="shared" si="1"/>
        <v>252.41384899540981</v>
      </c>
      <c r="J37" s="469">
        <f t="shared" si="2"/>
        <v>84.082128283938999</v>
      </c>
      <c r="K37" s="472">
        <f t="shared" si="3"/>
        <v>63.582128283938999</v>
      </c>
    </row>
    <row r="38" spans="1:15" x14ac:dyDescent="0.3">
      <c r="A38" s="29"/>
      <c r="B38" s="391" t="s">
        <v>284</v>
      </c>
      <c r="C38" s="394">
        <f t="shared" ref="C38:E39" si="4">C22</f>
        <v>41</v>
      </c>
      <c r="D38" s="416">
        <f t="shared" si="4"/>
        <v>20.5</v>
      </c>
      <c r="E38" s="394">
        <f t="shared" si="4"/>
        <v>20.5</v>
      </c>
      <c r="G38" s="7">
        <v>10</v>
      </c>
      <c r="H38" s="358">
        <f t="shared" si="0"/>
        <v>265.00432926265432</v>
      </c>
      <c r="I38" s="470">
        <f t="shared" si="1"/>
        <v>244.50432926265432</v>
      </c>
      <c r="J38" s="469">
        <f t="shared" si="2"/>
        <v>82.448977226056897</v>
      </c>
      <c r="K38" s="472">
        <f t="shared" si="3"/>
        <v>61.948977226056897</v>
      </c>
    </row>
    <row r="39" spans="1:15" x14ac:dyDescent="0.3">
      <c r="A39" s="30"/>
      <c r="B39" s="392" t="s">
        <v>261</v>
      </c>
      <c r="C39" s="395">
        <f t="shared" si="4"/>
        <v>15</v>
      </c>
      <c r="D39" s="417">
        <f t="shared" si="4"/>
        <v>7.5</v>
      </c>
      <c r="E39" s="395">
        <f t="shared" si="4"/>
        <v>7.5</v>
      </c>
      <c r="G39" s="7">
        <v>11</v>
      </c>
      <c r="H39" s="358">
        <f t="shared" si="0"/>
        <v>257.19815338344972</v>
      </c>
      <c r="I39" s="470">
        <f t="shared" si="1"/>
        <v>236.69815338344972</v>
      </c>
      <c r="J39" s="469">
        <f t="shared" si="2"/>
        <v>80.81582616817478</v>
      </c>
      <c r="K39" s="472">
        <f t="shared" si="3"/>
        <v>60.31582616817478</v>
      </c>
    </row>
    <row r="40" spans="1:15" ht="15.6" x14ac:dyDescent="0.3">
      <c r="B40" s="434" t="s">
        <v>280</v>
      </c>
      <c r="C40" s="396">
        <f>C32</f>
        <v>338.63717420309013</v>
      </c>
      <c r="D40" s="418">
        <f>D32</f>
        <v>271.24883144133548</v>
      </c>
      <c r="E40" s="396">
        <f>E32</f>
        <v>67.388342761754615</v>
      </c>
      <c r="G40" s="7">
        <v>12</v>
      </c>
      <c r="H40" s="358">
        <f t="shared" si="0"/>
        <v>249.49532135779603</v>
      </c>
      <c r="I40" s="470">
        <f t="shared" si="1"/>
        <v>228.99532135779603</v>
      </c>
      <c r="J40" s="469">
        <f t="shared" si="2"/>
        <v>79.182675110292649</v>
      </c>
      <c r="K40" s="472">
        <f t="shared" si="3"/>
        <v>58.682675110292649</v>
      </c>
      <c r="N40" s="41"/>
    </row>
    <row r="41" spans="1:15" ht="17.25" customHeight="1" x14ac:dyDescent="0.3">
      <c r="B41" s="393" t="s">
        <v>8</v>
      </c>
      <c r="C41" s="395"/>
      <c r="D41" s="417"/>
      <c r="E41" s="395"/>
      <c r="G41" s="7">
        <v>13</v>
      </c>
      <c r="H41" s="358">
        <f t="shared" si="0"/>
        <v>241.89583318569322</v>
      </c>
      <c r="I41" s="470">
        <f t="shared" si="1"/>
        <v>221.39583318569322</v>
      </c>
      <c r="J41" s="469">
        <f t="shared" si="2"/>
        <v>77.549524052410533</v>
      </c>
      <c r="K41" s="472">
        <f t="shared" si="3"/>
        <v>57.049524052410533</v>
      </c>
      <c r="N41" s="36"/>
      <c r="O41" s="28"/>
    </row>
    <row r="42" spans="1:15" ht="16.5" customHeight="1" thickBot="1" x14ac:dyDescent="0.35">
      <c r="B42" s="432" t="s">
        <v>263</v>
      </c>
      <c r="C42" s="397">
        <f>C33</f>
        <v>163.78417578595941</v>
      </c>
      <c r="D42" s="419">
        <f>D33</f>
        <v>131.82230988593159</v>
      </c>
      <c r="E42" s="397">
        <f>E33</f>
        <v>31.961865900027817</v>
      </c>
      <c r="G42" s="7">
        <v>14</v>
      </c>
      <c r="H42" s="358">
        <f t="shared" si="0"/>
        <v>234.39968886714135</v>
      </c>
      <c r="I42" s="470">
        <f t="shared" si="1"/>
        <v>213.89968886714135</v>
      </c>
      <c r="J42" s="469">
        <f t="shared" si="2"/>
        <v>75.916372994528416</v>
      </c>
      <c r="K42" s="472">
        <f t="shared" si="3"/>
        <v>55.416372994528416</v>
      </c>
      <c r="N42" s="36"/>
    </row>
    <row r="43" spans="1:15" ht="15" thickBot="1" x14ac:dyDescent="0.35">
      <c r="B43" s="365" t="s">
        <v>262</v>
      </c>
      <c r="C43" s="366">
        <f>C40-C42</f>
        <v>174.85299841713072</v>
      </c>
      <c r="D43" s="366">
        <f>D40-D42</f>
        <v>139.42652155540389</v>
      </c>
      <c r="E43" s="366">
        <f>E40-E42</f>
        <v>35.426476861726798</v>
      </c>
      <c r="G43" s="7">
        <v>15</v>
      </c>
      <c r="H43" s="358">
        <f t="shared" si="0"/>
        <v>227.00688840214031</v>
      </c>
      <c r="I43" s="470">
        <f t="shared" si="1"/>
        <v>206.50688840214031</v>
      </c>
      <c r="J43" s="469">
        <f t="shared" si="2"/>
        <v>74.283221936646314</v>
      </c>
      <c r="K43" s="472">
        <f t="shared" si="3"/>
        <v>53.783221936646314</v>
      </c>
    </row>
    <row r="44" spans="1:15" ht="15" thickTop="1" x14ac:dyDescent="0.3">
      <c r="B44" s="365"/>
      <c r="C44" s="481"/>
      <c r="D44" s="481"/>
      <c r="E44" s="481"/>
      <c r="G44" s="7">
        <v>16</v>
      </c>
      <c r="H44" s="358">
        <f t="shared" si="0"/>
        <v>219.71743179069023</v>
      </c>
      <c r="I44" s="470">
        <f t="shared" si="1"/>
        <v>199.21743179069023</v>
      </c>
      <c r="J44" s="469">
        <f t="shared" si="2"/>
        <v>72.650070878764197</v>
      </c>
      <c r="K44" s="472">
        <f t="shared" si="3"/>
        <v>52.150070878764197</v>
      </c>
    </row>
    <row r="45" spans="1:15" x14ac:dyDescent="0.3">
      <c r="B45" s="479" t="s">
        <v>318</v>
      </c>
      <c r="C45" s="480">
        <f>SUM(D45:E45)</f>
        <v>450.00000000000006</v>
      </c>
      <c r="D45" s="480">
        <f>C13*D19</f>
        <v>348.75000000000006</v>
      </c>
      <c r="E45" s="480">
        <f>C13*E19</f>
        <v>101.24999999999999</v>
      </c>
      <c r="G45" s="7">
        <v>17</v>
      </c>
      <c r="H45" s="358">
        <f t="shared" si="0"/>
        <v>212.53131903279103</v>
      </c>
      <c r="I45" s="470">
        <f t="shared" si="1"/>
        <v>192.03131903279103</v>
      </c>
      <c r="J45" s="469">
        <f t="shared" si="2"/>
        <v>71.01691982088208</v>
      </c>
      <c r="K45" s="472">
        <f t="shared" si="3"/>
        <v>50.51691982088208</v>
      </c>
    </row>
    <row r="46" spans="1:15" x14ac:dyDescent="0.3">
      <c r="B46" s="475" t="s">
        <v>319</v>
      </c>
      <c r="C46" s="477">
        <f>SUM(D46:E46)</f>
        <v>379.63717420309013</v>
      </c>
      <c r="D46" s="478">
        <f>D32+D22</f>
        <v>291.74883144133548</v>
      </c>
      <c r="E46" s="478">
        <f>E32+E22</f>
        <v>87.888342761754615</v>
      </c>
      <c r="G46" s="7">
        <v>18</v>
      </c>
      <c r="H46" s="358">
        <f t="shared" si="0"/>
        <v>205.44855012844272</v>
      </c>
      <c r="I46" s="470">
        <f t="shared" si="1"/>
        <v>184.94855012844272</v>
      </c>
      <c r="J46" s="469">
        <f t="shared" si="2"/>
        <v>69.383768762999949</v>
      </c>
      <c r="K46" s="472">
        <f t="shared" si="3"/>
        <v>48.883768762999949</v>
      </c>
    </row>
    <row r="47" spans="1:15" x14ac:dyDescent="0.3">
      <c r="B47" s="4" t="s">
        <v>322</v>
      </c>
      <c r="C47" s="16">
        <f>SUM(D47:E47)</f>
        <v>200.85299841713072</v>
      </c>
      <c r="D47" s="16">
        <f>(D31-D31*D21)*((C28-C29+1)*(C28-C29)/(C28*(C28+1)))</f>
        <v>152.42652155540392</v>
      </c>
      <c r="E47" s="16">
        <f>E31*(1-E21)*(C28-C29)/C28</f>
        <v>48.42647686172679</v>
      </c>
      <c r="G47" s="7">
        <v>19</v>
      </c>
      <c r="H47" s="358">
        <f t="shared" si="0"/>
        <v>198.46912507764534</v>
      </c>
      <c r="I47" s="470">
        <f t="shared" si="1"/>
        <v>177.96912507764534</v>
      </c>
      <c r="J47" s="469">
        <f t="shared" si="2"/>
        <v>67.750617705117847</v>
      </c>
      <c r="K47" s="472">
        <f t="shared" si="3"/>
        <v>47.250617705117847</v>
      </c>
    </row>
    <row r="48" spans="1:15" x14ac:dyDescent="0.3">
      <c r="B48" s="4" t="s">
        <v>320</v>
      </c>
      <c r="C48" s="16">
        <f>SUM(D48:E48)</f>
        <v>178.78417578595941</v>
      </c>
      <c r="D48" s="16">
        <f>D31*D21*(C28-C29)/C28</f>
        <v>139.32230988593159</v>
      </c>
      <c r="E48" s="16">
        <f>E31*E21*(C28-C29)/C28</f>
        <v>39.461865900027817</v>
      </c>
      <c r="G48" s="7">
        <v>20</v>
      </c>
      <c r="H48" s="358">
        <f t="shared" si="0"/>
        <v>191.59304388039885</v>
      </c>
      <c r="I48" s="470">
        <f t="shared" si="1"/>
        <v>171.09304388039885</v>
      </c>
      <c r="J48" s="469">
        <f t="shared" si="2"/>
        <v>66.11746664723573</v>
      </c>
      <c r="K48" s="472">
        <f t="shared" si="3"/>
        <v>45.61746664723573</v>
      </c>
    </row>
    <row r="49" spans="2:11" x14ac:dyDescent="0.3">
      <c r="B49" s="475" t="s">
        <v>321</v>
      </c>
      <c r="C49" s="476">
        <f>C32</f>
        <v>338.63717420309013</v>
      </c>
      <c r="D49" s="476">
        <f>D32</f>
        <v>271.24883144133548</v>
      </c>
      <c r="E49" s="476">
        <f>E32</f>
        <v>67.388342761754615</v>
      </c>
      <c r="G49" s="7">
        <v>21</v>
      </c>
      <c r="H49" s="358">
        <f t="shared" si="0"/>
        <v>184.82030653670327</v>
      </c>
      <c r="I49" s="470">
        <f t="shared" si="1"/>
        <v>164.32030653670327</v>
      </c>
      <c r="J49" s="469">
        <f t="shared" si="2"/>
        <v>64.484315589353614</v>
      </c>
      <c r="K49" s="472">
        <f t="shared" si="3"/>
        <v>43.984315589353614</v>
      </c>
    </row>
    <row r="50" spans="2:11" ht="15" thickBot="1" x14ac:dyDescent="0.35">
      <c r="B50" s="929" t="s">
        <v>312</v>
      </c>
      <c r="C50" s="926">
        <f>C34</f>
        <v>174.85299841713069</v>
      </c>
      <c r="D50" s="926">
        <f>D34</f>
        <v>139.42652155540389</v>
      </c>
      <c r="E50" s="926">
        <f>E34</f>
        <v>35.42647686172679</v>
      </c>
      <c r="G50" s="7">
        <v>22</v>
      </c>
      <c r="H50" s="358">
        <f t="shared" si="0"/>
        <v>178.15091304655857</v>
      </c>
      <c r="I50" s="470">
        <f t="shared" si="1"/>
        <v>157.65091304655857</v>
      </c>
      <c r="J50" s="469">
        <f t="shared" si="2"/>
        <v>62.85116453147149</v>
      </c>
      <c r="K50" s="472">
        <f t="shared" si="3"/>
        <v>42.35116453147149</v>
      </c>
    </row>
    <row r="51" spans="2:11" ht="15" thickTop="1" x14ac:dyDescent="0.3">
      <c r="B51" s="924"/>
      <c r="C51" s="481"/>
      <c r="D51" s="481"/>
      <c r="E51" s="481"/>
      <c r="G51" s="7">
        <v>23</v>
      </c>
      <c r="H51" s="358">
        <f t="shared" si="0"/>
        <v>171.58486340996478</v>
      </c>
      <c r="I51" s="470">
        <f t="shared" si="1"/>
        <v>151.08486340996478</v>
      </c>
      <c r="J51" s="469">
        <f t="shared" si="2"/>
        <v>61.21801347358938</v>
      </c>
      <c r="K51" s="472">
        <f t="shared" si="3"/>
        <v>40.71801347358938</v>
      </c>
    </row>
    <row r="52" spans="2:11" x14ac:dyDescent="0.3">
      <c r="B52" s="4" t="s">
        <v>469</v>
      </c>
      <c r="C52" s="928">
        <f>C31</f>
        <v>447.53048780487813</v>
      </c>
      <c r="D52" s="928">
        <f>D31</f>
        <v>348.75000000000006</v>
      </c>
      <c r="E52" s="928">
        <f>E31</f>
        <v>98.780487804878049</v>
      </c>
      <c r="G52" s="7">
        <v>24</v>
      </c>
      <c r="H52" s="358">
        <f t="shared" si="0"/>
        <v>165.12215762692193</v>
      </c>
      <c r="I52" s="470">
        <f t="shared" si="1"/>
        <v>144.62215762692193</v>
      </c>
      <c r="J52" s="469">
        <f t="shared" si="2"/>
        <v>59.584862415707256</v>
      </c>
      <c r="K52" s="472">
        <f t="shared" si="3"/>
        <v>39.084862415707256</v>
      </c>
    </row>
    <row r="53" spans="2:11" x14ac:dyDescent="0.3">
      <c r="B53" s="4" t="s">
        <v>450</v>
      </c>
      <c r="C53" s="925">
        <f>C14/C13</f>
        <v>0.4</v>
      </c>
      <c r="D53" s="481"/>
      <c r="E53" s="481"/>
      <c r="G53" s="7">
        <v>25</v>
      </c>
      <c r="H53" s="358">
        <f t="shared" si="0"/>
        <v>158.76279569742994</v>
      </c>
      <c r="I53" s="470">
        <f t="shared" si="1"/>
        <v>138.26279569742994</v>
      </c>
      <c r="J53" s="469">
        <f t="shared" si="2"/>
        <v>57.951711357825147</v>
      </c>
      <c r="K53" s="472">
        <f t="shared" si="3"/>
        <v>37.451711357825147</v>
      </c>
    </row>
    <row r="54" spans="2:11" x14ac:dyDescent="0.3">
      <c r="B54" s="347" t="s">
        <v>503</v>
      </c>
      <c r="C54" s="948">
        <f>C52*$C$53</f>
        <v>179.01219512195127</v>
      </c>
      <c r="D54" s="948">
        <f>D52*$C$53</f>
        <v>139.50000000000003</v>
      </c>
      <c r="E54" s="948">
        <f>E52*$C$53</f>
        <v>39.512195121951223</v>
      </c>
      <c r="G54" s="7">
        <v>26</v>
      </c>
      <c r="H54" s="358">
        <f t="shared" si="0"/>
        <v>152.50677762148888</v>
      </c>
      <c r="I54" s="470">
        <f t="shared" si="1"/>
        <v>132.00677762148888</v>
      </c>
      <c r="J54" s="469">
        <f t="shared" si="2"/>
        <v>56.31856029994303</v>
      </c>
      <c r="K54" s="472">
        <f t="shared" si="3"/>
        <v>35.81856029994303</v>
      </c>
    </row>
    <row r="55" spans="2:11" x14ac:dyDescent="0.3">
      <c r="B55" s="950" t="s">
        <v>453</v>
      </c>
      <c r="C55" s="951">
        <f>C22</f>
        <v>41</v>
      </c>
      <c r="D55" s="951">
        <f t="shared" ref="D55:E55" si="5">D22</f>
        <v>20.5</v>
      </c>
      <c r="E55" s="951">
        <f t="shared" si="5"/>
        <v>20.5</v>
      </c>
      <c r="G55" s="7">
        <v>27</v>
      </c>
      <c r="H55" s="358">
        <f t="shared" si="0"/>
        <v>146.3541033990987</v>
      </c>
      <c r="I55" s="470">
        <f t="shared" si="1"/>
        <v>125.8541033990987</v>
      </c>
      <c r="J55" s="469">
        <f t="shared" si="2"/>
        <v>54.685409242060913</v>
      </c>
      <c r="K55" s="472">
        <f t="shared" si="3"/>
        <v>34.185409242060913</v>
      </c>
    </row>
    <row r="56" spans="2:11" ht="15" thickBot="1" x14ac:dyDescent="0.35">
      <c r="B56" s="899" t="s">
        <v>505</v>
      </c>
      <c r="C56" s="927">
        <f>C54-C55</f>
        <v>138.01219512195127</v>
      </c>
      <c r="D56" s="927">
        <f t="shared" ref="D56:E56" si="6">D54-D55</f>
        <v>119.00000000000003</v>
      </c>
      <c r="E56" s="927">
        <f t="shared" si="6"/>
        <v>19.012195121951223</v>
      </c>
      <c r="G56" s="7">
        <v>28</v>
      </c>
      <c r="H56" s="358">
        <f t="shared" si="0"/>
        <v>140.30477303025941</v>
      </c>
      <c r="I56" s="470">
        <f t="shared" si="1"/>
        <v>119.80477303025941</v>
      </c>
      <c r="J56" s="469">
        <f t="shared" si="2"/>
        <v>53.052258184178797</v>
      </c>
      <c r="K56" s="472">
        <f t="shared" si="3"/>
        <v>32.552258184178797</v>
      </c>
    </row>
    <row r="57" spans="2:11" ht="15" thickTop="1" x14ac:dyDescent="0.3">
      <c r="B57" s="924"/>
      <c r="C57" s="481"/>
      <c r="D57" s="481"/>
      <c r="E57" s="481"/>
      <c r="G57" s="7">
        <v>29</v>
      </c>
      <c r="H57" s="358">
        <f t="shared" si="0"/>
        <v>134.35878651497103</v>
      </c>
      <c r="I57" s="470">
        <f t="shared" si="1"/>
        <v>113.85878651497103</v>
      </c>
      <c r="J57" s="469">
        <f t="shared" si="2"/>
        <v>51.419107126296687</v>
      </c>
      <c r="K57" s="472">
        <f t="shared" si="3"/>
        <v>30.919107126296687</v>
      </c>
    </row>
    <row r="58" spans="2:11" x14ac:dyDescent="0.3">
      <c r="B58" s="4" t="s">
        <v>470</v>
      </c>
      <c r="C58" s="908">
        <f>1-C15/C13</f>
        <v>0.6</v>
      </c>
      <c r="D58" s="481"/>
      <c r="E58" s="481"/>
      <c r="G58" s="7">
        <v>30</v>
      </c>
      <c r="H58" s="358">
        <f t="shared" si="0"/>
        <v>128.51614385323356</v>
      </c>
      <c r="I58" s="470">
        <f t="shared" si="1"/>
        <v>108.01614385323356</v>
      </c>
      <c r="J58" s="469">
        <f t="shared" si="2"/>
        <v>49.785956068414563</v>
      </c>
      <c r="K58" s="472">
        <f t="shared" si="3"/>
        <v>29.285956068414563</v>
      </c>
    </row>
    <row r="59" spans="2:11" x14ac:dyDescent="0.3">
      <c r="B59" s="933" t="s">
        <v>502</v>
      </c>
      <c r="C59" s="949">
        <f t="shared" ref="C59:E61" si="7">C46*$C$53</f>
        <v>151.85486968123607</v>
      </c>
      <c r="D59" s="949">
        <f t="shared" si="7"/>
        <v>116.6995325765342</v>
      </c>
      <c r="E59" s="949">
        <f t="shared" si="7"/>
        <v>35.15533710470185</v>
      </c>
      <c r="G59" s="7">
        <v>31</v>
      </c>
      <c r="H59" s="358">
        <f t="shared" si="0"/>
        <v>122.776845045047</v>
      </c>
      <c r="I59" s="470">
        <f t="shared" si="1"/>
        <v>102.276845045047</v>
      </c>
      <c r="J59" s="469">
        <f t="shared" si="2"/>
        <v>48.152805010532447</v>
      </c>
      <c r="K59" s="472">
        <f t="shared" si="3"/>
        <v>27.652805010532447</v>
      </c>
    </row>
    <row r="60" spans="2:11" x14ac:dyDescent="0.3">
      <c r="B60" s="923" t="s">
        <v>467</v>
      </c>
      <c r="C60" s="947">
        <f t="shared" si="7"/>
        <v>80.341199366852294</v>
      </c>
      <c r="D60" s="947">
        <f t="shared" si="7"/>
        <v>60.970608622161571</v>
      </c>
      <c r="E60" s="947">
        <f t="shared" si="7"/>
        <v>19.370590744690716</v>
      </c>
      <c r="G60" s="7">
        <v>32</v>
      </c>
      <c r="H60" s="358">
        <f t="shared" si="0"/>
        <v>117.14089009041135</v>
      </c>
      <c r="I60" s="470">
        <f t="shared" si="1"/>
        <v>96.640890090411347</v>
      </c>
      <c r="J60" s="469">
        <f t="shared" si="2"/>
        <v>46.519653952650337</v>
      </c>
      <c r="K60" s="472">
        <f t="shared" si="3"/>
        <v>26.019653952650337</v>
      </c>
    </row>
    <row r="61" spans="2:11" x14ac:dyDescent="0.3">
      <c r="B61" s="923" t="s">
        <v>468</v>
      </c>
      <c r="C61" s="947">
        <f t="shared" si="7"/>
        <v>71.513670314383759</v>
      </c>
      <c r="D61" s="947">
        <f t="shared" si="7"/>
        <v>55.72892395437264</v>
      </c>
      <c r="E61" s="947">
        <f t="shared" si="7"/>
        <v>15.784746360011127</v>
      </c>
      <c r="G61" s="7">
        <v>33</v>
      </c>
      <c r="H61" s="358">
        <f t="shared" si="0"/>
        <v>111.60827898932658</v>
      </c>
      <c r="I61" s="470">
        <f t="shared" si="1"/>
        <v>91.108278989326578</v>
      </c>
      <c r="J61" s="469">
        <f t="shared" si="2"/>
        <v>44.886502894768213</v>
      </c>
      <c r="K61" s="472">
        <f t="shared" si="3"/>
        <v>24.386502894768213</v>
      </c>
    </row>
    <row r="62" spans="2:11" x14ac:dyDescent="0.3">
      <c r="G62" s="7">
        <v>34</v>
      </c>
      <c r="H62" s="358">
        <f t="shared" si="0"/>
        <v>106.17901174179272</v>
      </c>
      <c r="I62" s="470">
        <f t="shared" si="1"/>
        <v>85.679011741792721</v>
      </c>
      <c r="J62" s="469">
        <f t="shared" si="2"/>
        <v>43.253351836886104</v>
      </c>
      <c r="K62" s="472">
        <f t="shared" si="3"/>
        <v>22.753351836886104</v>
      </c>
    </row>
    <row r="63" spans="2:11" x14ac:dyDescent="0.3">
      <c r="G63" s="7">
        <v>35</v>
      </c>
      <c r="H63" s="358">
        <f t="shared" si="0"/>
        <v>100.85308834780976</v>
      </c>
      <c r="I63" s="470">
        <f t="shared" si="1"/>
        <v>80.353088347809759</v>
      </c>
      <c r="J63" s="469">
        <f t="shared" si="2"/>
        <v>41.620200779003987</v>
      </c>
      <c r="K63" s="472">
        <f t="shared" si="3"/>
        <v>21.120200779003987</v>
      </c>
    </row>
    <row r="64" spans="2:11" x14ac:dyDescent="0.3">
      <c r="B64" s="4" t="s">
        <v>471</v>
      </c>
      <c r="C64" s="358">
        <f>C49*$C$58</f>
        <v>203.18230452185406</v>
      </c>
      <c r="D64" s="358">
        <f>D49*$C$58</f>
        <v>162.74929886480129</v>
      </c>
      <c r="E64" s="358">
        <f>E49*$C$58</f>
        <v>40.433005657052767</v>
      </c>
      <c r="G64" s="7">
        <v>36</v>
      </c>
      <c r="H64" s="358">
        <f t="shared" si="0"/>
        <v>95.63050880737768</v>
      </c>
      <c r="I64" s="470">
        <f t="shared" si="1"/>
        <v>75.13050880737768</v>
      </c>
      <c r="J64" s="469">
        <f t="shared" si="2"/>
        <v>39.987049721121871</v>
      </c>
      <c r="K64" s="472">
        <f t="shared" si="3"/>
        <v>19.487049721121871</v>
      </c>
    </row>
    <row r="65" spans="2:11" ht="15" thickBot="1" x14ac:dyDescent="0.35">
      <c r="B65" s="899" t="s">
        <v>472</v>
      </c>
      <c r="C65" s="931">
        <f>C64-C22</f>
        <v>162.18230452185406</v>
      </c>
      <c r="D65" s="931">
        <f>D64-D22</f>
        <v>142.24929886480129</v>
      </c>
      <c r="E65" s="931">
        <f>E64-E22</f>
        <v>19.933005657052767</v>
      </c>
      <c r="G65" s="7">
        <v>37</v>
      </c>
      <c r="H65" s="358">
        <f t="shared" si="0"/>
        <v>90.51127312049654</v>
      </c>
      <c r="I65" s="470">
        <f t="shared" si="1"/>
        <v>70.01127312049654</v>
      </c>
      <c r="J65" s="469">
        <f t="shared" si="2"/>
        <v>38.353898663239754</v>
      </c>
      <c r="K65" s="472">
        <f t="shared" si="3"/>
        <v>17.853898663239754</v>
      </c>
    </row>
    <row r="66" spans="2:11" ht="15.6" thickTop="1" thickBot="1" x14ac:dyDescent="0.35">
      <c r="B66" s="929" t="s">
        <v>473</v>
      </c>
      <c r="C66" s="930">
        <f>C50*$C$58</f>
        <v>104.91179905027842</v>
      </c>
      <c r="D66" s="930">
        <f>D50*$C$58</f>
        <v>83.655912933242334</v>
      </c>
      <c r="E66" s="930">
        <f>E50*$C$58</f>
        <v>21.255886117036074</v>
      </c>
      <c r="G66" s="7">
        <v>38</v>
      </c>
      <c r="H66" s="358">
        <f t="shared" si="0"/>
        <v>85.495381287166296</v>
      </c>
      <c r="I66" s="470">
        <f t="shared" si="1"/>
        <v>64.995381287166296</v>
      </c>
      <c r="J66" s="469">
        <f t="shared" si="2"/>
        <v>36.72074760535763</v>
      </c>
      <c r="K66" s="472">
        <f t="shared" si="3"/>
        <v>16.22074760535763</v>
      </c>
    </row>
    <row r="67" spans="2:11" ht="15" thickTop="1" x14ac:dyDescent="0.3">
      <c r="G67" s="7">
        <v>39</v>
      </c>
      <c r="H67" s="358">
        <f t="shared" si="0"/>
        <v>80.582833307386935</v>
      </c>
      <c r="I67" s="470">
        <f t="shared" si="1"/>
        <v>60.082833307386935</v>
      </c>
      <c r="J67" s="469">
        <f t="shared" si="2"/>
        <v>35.08759654747552</v>
      </c>
      <c r="K67" s="472">
        <f t="shared" si="3"/>
        <v>14.58759654747552</v>
      </c>
    </row>
    <row r="68" spans="2:11" x14ac:dyDescent="0.3">
      <c r="G68" s="7">
        <v>40</v>
      </c>
      <c r="H68" s="358">
        <f t="shared" si="0"/>
        <v>75.773629181158483</v>
      </c>
      <c r="I68" s="470">
        <f t="shared" si="1"/>
        <v>55.273629181158483</v>
      </c>
      <c r="J68" s="469">
        <f t="shared" si="2"/>
        <v>33.454445489593404</v>
      </c>
      <c r="K68" s="472">
        <f t="shared" si="3"/>
        <v>12.954445489593404</v>
      </c>
    </row>
    <row r="69" spans="2:11" x14ac:dyDescent="0.3">
      <c r="G69" s="7">
        <v>41</v>
      </c>
      <c r="H69" s="358">
        <f t="shared" si="0"/>
        <v>71.067768908480943</v>
      </c>
      <c r="I69" s="470">
        <f t="shared" si="1"/>
        <v>50.567768908480943</v>
      </c>
      <c r="J69" s="469">
        <f t="shared" si="2"/>
        <v>31.821294431711291</v>
      </c>
      <c r="K69" s="472">
        <f t="shared" si="3"/>
        <v>11.321294431711291</v>
      </c>
    </row>
    <row r="70" spans="2:11" x14ac:dyDescent="0.3">
      <c r="G70" s="7">
        <v>42</v>
      </c>
      <c r="H70" s="358">
        <f t="shared" si="0"/>
        <v>66.465252489354299</v>
      </c>
      <c r="I70" s="470">
        <f t="shared" si="1"/>
        <v>45.965252489354299</v>
      </c>
      <c r="J70" s="469">
        <f t="shared" si="2"/>
        <v>30.18814337382917</v>
      </c>
      <c r="K70" s="472">
        <f t="shared" si="3"/>
        <v>9.6881433738291705</v>
      </c>
    </row>
    <row r="71" spans="2:11" x14ac:dyDescent="0.3">
      <c r="G71" s="7">
        <v>43</v>
      </c>
      <c r="H71" s="358">
        <f t="shared" si="0"/>
        <v>61.966079923778551</v>
      </c>
      <c r="I71" s="470">
        <f t="shared" si="1"/>
        <v>41.466079923778551</v>
      </c>
      <c r="J71" s="469">
        <f t="shared" si="2"/>
        <v>28.554992315947054</v>
      </c>
      <c r="K71" s="472">
        <f t="shared" si="3"/>
        <v>8.0549923159470538</v>
      </c>
    </row>
    <row r="72" spans="2:11" x14ac:dyDescent="0.3">
      <c r="G72" s="7">
        <v>44</v>
      </c>
      <c r="H72" s="358">
        <f t="shared" si="0"/>
        <v>57.570251211753714</v>
      </c>
      <c r="I72" s="470">
        <f t="shared" si="1"/>
        <v>37.070251211753714</v>
      </c>
      <c r="J72" s="469">
        <f t="shared" si="2"/>
        <v>26.921841258064941</v>
      </c>
      <c r="K72" s="472">
        <f t="shared" si="3"/>
        <v>6.4218412580649407</v>
      </c>
    </row>
    <row r="73" spans="2:11" x14ac:dyDescent="0.3">
      <c r="B73" s="1062" t="s">
        <v>504</v>
      </c>
      <c r="C73" s="1062"/>
      <c r="D73" s="1062"/>
      <c r="E73" s="1062"/>
      <c r="G73" s="7">
        <v>45</v>
      </c>
      <c r="H73" s="358">
        <f t="shared" si="0"/>
        <v>53.277766353279787</v>
      </c>
      <c r="I73" s="470">
        <f t="shared" si="1"/>
        <v>32.777766353279787</v>
      </c>
      <c r="J73" s="469">
        <f t="shared" si="2"/>
        <v>25.288690200182824</v>
      </c>
      <c r="K73" s="472">
        <f t="shared" si="3"/>
        <v>4.788690200182824</v>
      </c>
    </row>
    <row r="74" spans="2:11" x14ac:dyDescent="0.3">
      <c r="B74" s="1062"/>
      <c r="C74" s="1062"/>
      <c r="D74" s="1062"/>
      <c r="E74" s="1062"/>
      <c r="G74" s="7">
        <v>46</v>
      </c>
      <c r="H74" s="358">
        <f t="shared" si="0"/>
        <v>49.088625348356743</v>
      </c>
      <c r="I74" s="470">
        <f t="shared" si="1"/>
        <v>28.588625348356743</v>
      </c>
      <c r="J74" s="469">
        <f t="shared" si="2"/>
        <v>23.655539142300707</v>
      </c>
      <c r="K74" s="472">
        <f t="shared" si="3"/>
        <v>3.1555391423007073</v>
      </c>
    </row>
    <row r="75" spans="2:11" x14ac:dyDescent="0.3">
      <c r="B75" s="17" t="s">
        <v>12</v>
      </c>
      <c r="G75" s="7">
        <v>47</v>
      </c>
      <c r="H75" s="358">
        <f t="shared" si="0"/>
        <v>45.002828196984609</v>
      </c>
      <c r="I75" s="470">
        <f t="shared" si="1"/>
        <v>24.502828196984609</v>
      </c>
      <c r="J75" s="469">
        <f t="shared" si="2"/>
        <v>22.022388084418591</v>
      </c>
      <c r="K75" s="472">
        <f t="shared" si="3"/>
        <v>1.5223880844185906</v>
      </c>
    </row>
    <row r="76" spans="2:11" x14ac:dyDescent="0.3">
      <c r="B76" s="4" t="s">
        <v>14</v>
      </c>
      <c r="G76" s="7">
        <v>48</v>
      </c>
      <c r="H76" s="358">
        <f t="shared" si="0"/>
        <v>41.020374899163372</v>
      </c>
      <c r="I76" s="470">
        <f t="shared" si="1"/>
        <v>20.520374899163372</v>
      </c>
      <c r="J76" s="469">
        <f t="shared" si="2"/>
        <v>20.389237026536478</v>
      </c>
      <c r="K76" s="472">
        <f t="shared" si="3"/>
        <v>-0.11076297346352248</v>
      </c>
    </row>
    <row r="77" spans="2:11" x14ac:dyDescent="0.3">
      <c r="B77" s="4" t="s">
        <v>13</v>
      </c>
      <c r="G77" s="7">
        <v>49</v>
      </c>
      <c r="H77" s="358">
        <f t="shared" si="0"/>
        <v>37.141265454893052</v>
      </c>
      <c r="I77" s="470">
        <f t="shared" si="1"/>
        <v>16.641265454893052</v>
      </c>
      <c r="J77" s="469">
        <f t="shared" si="2"/>
        <v>18.756085968654361</v>
      </c>
      <c r="K77" s="472">
        <f t="shared" si="3"/>
        <v>-1.7439140313456392</v>
      </c>
    </row>
    <row r="78" spans="2:11" x14ac:dyDescent="0.3">
      <c r="G78" s="7">
        <v>50</v>
      </c>
      <c r="H78" s="358">
        <f t="shared" si="0"/>
        <v>33.365499864173621</v>
      </c>
      <c r="I78" s="470">
        <f t="shared" si="1"/>
        <v>12.865499864173621</v>
      </c>
      <c r="J78" s="469">
        <f t="shared" si="2"/>
        <v>17.122934910772241</v>
      </c>
      <c r="K78" s="472">
        <f t="shared" si="3"/>
        <v>-3.3770650892277594</v>
      </c>
    </row>
    <row r="79" spans="2:11" x14ac:dyDescent="0.3">
      <c r="G79" s="7">
        <v>51</v>
      </c>
      <c r="H79" s="358">
        <f t="shared" si="0"/>
        <v>29.693078127005094</v>
      </c>
      <c r="I79" s="470">
        <f t="shared" si="1"/>
        <v>9.1930781270050943</v>
      </c>
      <c r="J79" s="469">
        <f t="shared" si="2"/>
        <v>15.489783852890127</v>
      </c>
      <c r="K79" s="472">
        <f t="shared" si="3"/>
        <v>-5.0102161471098725</v>
      </c>
    </row>
    <row r="80" spans="2:11" x14ac:dyDescent="0.3">
      <c r="G80" s="7">
        <v>52</v>
      </c>
      <c r="H80" s="358">
        <f t="shared" si="0"/>
        <v>26.124000243387474</v>
      </c>
      <c r="I80" s="470">
        <f t="shared" si="1"/>
        <v>5.6240002433874743</v>
      </c>
      <c r="J80" s="469">
        <f t="shared" si="2"/>
        <v>13.856632795008011</v>
      </c>
      <c r="K80" s="472">
        <f t="shared" si="3"/>
        <v>-6.6433672049919892</v>
      </c>
    </row>
    <row r="81" spans="7:11" x14ac:dyDescent="0.3">
      <c r="G81" s="7">
        <v>53</v>
      </c>
      <c r="H81" s="358">
        <f t="shared" si="0"/>
        <v>22.658266213320751</v>
      </c>
      <c r="I81" s="470">
        <f t="shared" si="1"/>
        <v>2.1582662133207506</v>
      </c>
      <c r="J81" s="469">
        <f t="shared" si="2"/>
        <v>12.223481737125894</v>
      </c>
      <c r="K81" s="472">
        <f t="shared" si="3"/>
        <v>-8.2765182628741059</v>
      </c>
    </row>
    <row r="82" spans="7:11" x14ac:dyDescent="0.3">
      <c r="G82" s="7">
        <v>54</v>
      </c>
      <c r="H82" s="358">
        <f t="shared" si="0"/>
        <v>19.295876036804934</v>
      </c>
      <c r="I82" s="470">
        <f t="shared" si="1"/>
        <v>-1.204123963195066</v>
      </c>
      <c r="J82" s="469">
        <f t="shared" si="2"/>
        <v>10.590330679243779</v>
      </c>
      <c r="K82" s="472">
        <f t="shared" si="3"/>
        <v>-9.9096693207562208</v>
      </c>
    </row>
    <row r="83" spans="7:11" x14ac:dyDescent="0.3">
      <c r="G83" s="7">
        <v>55</v>
      </c>
      <c r="H83" s="358">
        <f t="shared" si="0"/>
        <v>16.036829713840014</v>
      </c>
      <c r="I83" s="470">
        <f t="shared" si="1"/>
        <v>-4.4631702861599862</v>
      </c>
      <c r="J83" s="469">
        <f t="shared" si="2"/>
        <v>8.9571796213616626</v>
      </c>
      <c r="K83" s="472">
        <f t="shared" si="3"/>
        <v>-11.542820378638337</v>
      </c>
    </row>
    <row r="84" spans="7:11" x14ac:dyDescent="0.3">
      <c r="G84" s="7">
        <v>56</v>
      </c>
      <c r="H84" s="358">
        <f t="shared" si="0"/>
        <v>12.881127244426001</v>
      </c>
      <c r="I84" s="470">
        <f t="shared" si="1"/>
        <v>-7.6188727555739995</v>
      </c>
      <c r="J84" s="469">
        <f t="shared" si="2"/>
        <v>7.3240285634795468</v>
      </c>
      <c r="K84" s="472">
        <f t="shared" si="3"/>
        <v>-13.175971436520452</v>
      </c>
    </row>
    <row r="85" spans="7:11" x14ac:dyDescent="0.3">
      <c r="G85" s="7">
        <v>57</v>
      </c>
      <c r="H85" s="358">
        <f t="shared" si="0"/>
        <v>9.8287686285628855</v>
      </c>
      <c r="I85" s="470">
        <f t="shared" si="1"/>
        <v>-10.671231371437115</v>
      </c>
      <c r="J85" s="469">
        <f t="shared" si="2"/>
        <v>5.6908775055974301</v>
      </c>
      <c r="K85" s="472">
        <f t="shared" si="3"/>
        <v>-14.809122494402569</v>
      </c>
    </row>
    <row r="86" spans="7:11" x14ac:dyDescent="0.3">
      <c r="G86" s="7">
        <v>58</v>
      </c>
      <c r="H86" s="358">
        <f t="shared" si="0"/>
        <v>6.8797538662506756</v>
      </c>
      <c r="I86" s="470">
        <f t="shared" si="1"/>
        <v>-13.620246133749324</v>
      </c>
      <c r="J86" s="469">
        <f t="shared" si="2"/>
        <v>4.0577264477153134</v>
      </c>
      <c r="K86" s="472">
        <f t="shared" si="3"/>
        <v>-16.442273552284686</v>
      </c>
    </row>
    <row r="87" spans="7:11" x14ac:dyDescent="0.3">
      <c r="G87" s="7">
        <v>59</v>
      </c>
      <c r="H87" s="358">
        <f t="shared" si="0"/>
        <v>4.0340829574893675</v>
      </c>
      <c r="I87" s="470">
        <f t="shared" si="1"/>
        <v>-16.465917042510632</v>
      </c>
      <c r="J87" s="469">
        <f t="shared" si="2"/>
        <v>2.4245753898331976</v>
      </c>
      <c r="K87" s="472">
        <f t="shared" si="3"/>
        <v>-18.075424610166802</v>
      </c>
    </row>
    <row r="88" spans="7:11" x14ac:dyDescent="0.3">
      <c r="G88" s="7">
        <v>60</v>
      </c>
      <c r="H88" s="358">
        <f t="shared" si="0"/>
        <v>1.2917559022789602</v>
      </c>
      <c r="I88" s="470">
        <f t="shared" si="1"/>
        <v>-19.208244097721039</v>
      </c>
      <c r="J88" s="469">
        <f t="shared" si="2"/>
        <v>0.79142433195108175</v>
      </c>
      <c r="K88" s="472">
        <f t="shared" si="3"/>
        <v>-19.708575668048919</v>
      </c>
    </row>
    <row r="89" spans="7:11" x14ac:dyDescent="0.3">
      <c r="G89" s="7">
        <v>61</v>
      </c>
      <c r="H89" s="358" t="str">
        <f t="shared" si="0"/>
        <v/>
      </c>
      <c r="I89" s="470" t="str">
        <f t="shared" si="1"/>
        <v/>
      </c>
      <c r="J89" s="469" t="str">
        <f t="shared" ref="J89:J149" si="8">IF(G89&gt;$C$28,"",$E$31*($C$28-G89)/$C$28)</f>
        <v/>
      </c>
      <c r="K89" s="472" t="str">
        <f t="shared" ref="K89:K149" si="9">IF(G89&gt;$C$28,"",J89-$E$22)</f>
        <v/>
      </c>
    </row>
    <row r="90" spans="7:11" x14ac:dyDescent="0.3">
      <c r="G90" s="7">
        <v>62</v>
      </c>
      <c r="H90" s="358" t="str">
        <f t="shared" si="0"/>
        <v/>
      </c>
      <c r="I90" s="470" t="str">
        <f t="shared" si="1"/>
        <v/>
      </c>
      <c r="J90" s="469" t="str">
        <f t="shared" si="8"/>
        <v/>
      </c>
      <c r="K90" s="472" t="str">
        <f t="shared" si="9"/>
        <v/>
      </c>
    </row>
    <row r="91" spans="7:11" x14ac:dyDescent="0.3">
      <c r="G91" s="7">
        <v>63</v>
      </c>
      <c r="H91" s="358" t="str">
        <f t="shared" si="0"/>
        <v/>
      </c>
      <c r="I91" s="470" t="str">
        <f t="shared" si="1"/>
        <v/>
      </c>
      <c r="J91" s="469" t="str">
        <f t="shared" si="8"/>
        <v/>
      </c>
      <c r="K91" s="472" t="str">
        <f t="shared" si="9"/>
        <v/>
      </c>
    </row>
    <row r="92" spans="7:11" x14ac:dyDescent="0.3">
      <c r="G92" s="7">
        <v>64</v>
      </c>
      <c r="H92" s="358" t="str">
        <f t="shared" si="0"/>
        <v/>
      </c>
      <c r="I92" s="470" t="str">
        <f t="shared" si="1"/>
        <v/>
      </c>
      <c r="J92" s="469" t="str">
        <f t="shared" si="8"/>
        <v/>
      </c>
      <c r="K92" s="472" t="str">
        <f t="shared" si="9"/>
        <v/>
      </c>
    </row>
    <row r="93" spans="7:11" x14ac:dyDescent="0.3">
      <c r="G93" s="7">
        <v>65</v>
      </c>
      <c r="H93" s="358" t="str">
        <f t="shared" si="0"/>
        <v/>
      </c>
      <c r="I93" s="470" t="str">
        <f t="shared" si="1"/>
        <v/>
      </c>
      <c r="J93" s="469" t="str">
        <f t="shared" si="8"/>
        <v/>
      </c>
      <c r="K93" s="472" t="str">
        <f t="shared" si="9"/>
        <v/>
      </c>
    </row>
    <row r="94" spans="7:11" x14ac:dyDescent="0.3">
      <c r="G94" s="7">
        <v>66</v>
      </c>
      <c r="H94" s="358" t="str">
        <f t="shared" ref="H94:H149" si="10">IF(G94&gt;$C$28,"",($D$31-$D$31*$D$21)*(($C$28-G94+1)*($C$28-G94)/($C$28*($C$28+1)))+$D$31*$D$21*($C$28-G94)/$C$28)</f>
        <v/>
      </c>
      <c r="I94" s="470" t="str">
        <f t="shared" ref="I94:I149" si="11">IF(G94&gt;$C$28,"",H94-$D$22)</f>
        <v/>
      </c>
      <c r="J94" s="469" t="str">
        <f t="shared" si="8"/>
        <v/>
      </c>
      <c r="K94" s="472" t="str">
        <f t="shared" si="9"/>
        <v/>
      </c>
    </row>
    <row r="95" spans="7:11" x14ac:dyDescent="0.3">
      <c r="G95" s="7">
        <v>67</v>
      </c>
      <c r="H95" s="358" t="str">
        <f t="shared" si="10"/>
        <v/>
      </c>
      <c r="I95" s="470" t="str">
        <f t="shared" si="11"/>
        <v/>
      </c>
      <c r="J95" s="469" t="str">
        <f t="shared" si="8"/>
        <v/>
      </c>
      <c r="K95" s="472" t="str">
        <f t="shared" si="9"/>
        <v/>
      </c>
    </row>
    <row r="96" spans="7:11" x14ac:dyDescent="0.3">
      <c r="G96" s="7">
        <v>68</v>
      </c>
      <c r="H96" s="358" t="str">
        <f t="shared" si="10"/>
        <v/>
      </c>
      <c r="I96" s="470" t="str">
        <f t="shared" si="11"/>
        <v/>
      </c>
      <c r="J96" s="469" t="str">
        <f t="shared" si="8"/>
        <v/>
      </c>
      <c r="K96" s="472" t="str">
        <f t="shared" si="9"/>
        <v/>
      </c>
    </row>
    <row r="97" spans="7:11" x14ac:dyDescent="0.3">
      <c r="G97" s="7">
        <v>69</v>
      </c>
      <c r="H97" s="358" t="str">
        <f t="shared" si="10"/>
        <v/>
      </c>
      <c r="I97" s="470" t="str">
        <f t="shared" si="11"/>
        <v/>
      </c>
      <c r="J97" s="469" t="str">
        <f t="shared" si="8"/>
        <v/>
      </c>
      <c r="K97" s="472" t="str">
        <f t="shared" si="9"/>
        <v/>
      </c>
    </row>
    <row r="98" spans="7:11" x14ac:dyDescent="0.3">
      <c r="G98" s="7">
        <v>70</v>
      </c>
      <c r="H98" s="358" t="str">
        <f t="shared" si="10"/>
        <v/>
      </c>
      <c r="I98" s="470" t="str">
        <f t="shared" si="11"/>
        <v/>
      </c>
      <c r="J98" s="469" t="str">
        <f t="shared" si="8"/>
        <v/>
      </c>
      <c r="K98" s="472" t="str">
        <f t="shared" si="9"/>
        <v/>
      </c>
    </row>
    <row r="99" spans="7:11" x14ac:dyDescent="0.3">
      <c r="G99" s="7">
        <v>71</v>
      </c>
      <c r="H99" s="358" t="str">
        <f t="shared" si="10"/>
        <v/>
      </c>
      <c r="I99" s="470" t="str">
        <f t="shared" si="11"/>
        <v/>
      </c>
      <c r="J99" s="469" t="str">
        <f t="shared" si="8"/>
        <v/>
      </c>
      <c r="K99" s="472" t="str">
        <f t="shared" si="9"/>
        <v/>
      </c>
    </row>
    <row r="100" spans="7:11" x14ac:dyDescent="0.3">
      <c r="G100" s="7">
        <v>72</v>
      </c>
      <c r="H100" s="358" t="str">
        <f t="shared" si="10"/>
        <v/>
      </c>
      <c r="I100" s="470" t="str">
        <f t="shared" si="11"/>
        <v/>
      </c>
      <c r="J100" s="469" t="str">
        <f t="shared" si="8"/>
        <v/>
      </c>
      <c r="K100" s="472" t="str">
        <f t="shared" si="9"/>
        <v/>
      </c>
    </row>
    <row r="101" spans="7:11" x14ac:dyDescent="0.3">
      <c r="G101" s="7">
        <v>73</v>
      </c>
      <c r="H101" s="358" t="str">
        <f t="shared" si="10"/>
        <v/>
      </c>
      <c r="I101" s="470" t="str">
        <f t="shared" si="11"/>
        <v/>
      </c>
      <c r="J101" s="469" t="str">
        <f t="shared" si="8"/>
        <v/>
      </c>
      <c r="K101" s="472" t="str">
        <f t="shared" si="9"/>
        <v/>
      </c>
    </row>
    <row r="102" spans="7:11" x14ac:dyDescent="0.3">
      <c r="G102" s="7">
        <v>74</v>
      </c>
      <c r="H102" s="358" t="str">
        <f t="shared" si="10"/>
        <v/>
      </c>
      <c r="I102" s="470" t="str">
        <f t="shared" si="11"/>
        <v/>
      </c>
      <c r="J102" s="469" t="str">
        <f t="shared" si="8"/>
        <v/>
      </c>
      <c r="K102" s="472" t="str">
        <f t="shared" si="9"/>
        <v/>
      </c>
    </row>
    <row r="103" spans="7:11" x14ac:dyDescent="0.3">
      <c r="G103" s="7">
        <v>75</v>
      </c>
      <c r="H103" s="358" t="str">
        <f t="shared" si="10"/>
        <v/>
      </c>
      <c r="I103" s="470" t="str">
        <f t="shared" si="11"/>
        <v/>
      </c>
      <c r="J103" s="469" t="str">
        <f t="shared" si="8"/>
        <v/>
      </c>
      <c r="K103" s="472" t="str">
        <f t="shared" si="9"/>
        <v/>
      </c>
    </row>
    <row r="104" spans="7:11" x14ac:dyDescent="0.3">
      <c r="G104" s="7">
        <v>76</v>
      </c>
      <c r="H104" s="358" t="str">
        <f t="shared" si="10"/>
        <v/>
      </c>
      <c r="I104" s="470" t="str">
        <f t="shared" si="11"/>
        <v/>
      </c>
      <c r="J104" s="469" t="str">
        <f t="shared" si="8"/>
        <v/>
      </c>
      <c r="K104" s="472" t="str">
        <f t="shared" si="9"/>
        <v/>
      </c>
    </row>
    <row r="105" spans="7:11" x14ac:dyDescent="0.3">
      <c r="G105" s="7">
        <v>77</v>
      </c>
      <c r="H105" s="358" t="str">
        <f t="shared" si="10"/>
        <v/>
      </c>
      <c r="I105" s="470" t="str">
        <f t="shared" si="11"/>
        <v/>
      </c>
      <c r="J105" s="469" t="str">
        <f t="shared" si="8"/>
        <v/>
      </c>
      <c r="K105" s="472" t="str">
        <f t="shared" si="9"/>
        <v/>
      </c>
    </row>
    <row r="106" spans="7:11" x14ac:dyDescent="0.3">
      <c r="G106" s="7">
        <v>78</v>
      </c>
      <c r="H106" s="358" t="str">
        <f t="shared" si="10"/>
        <v/>
      </c>
      <c r="I106" s="470" t="str">
        <f t="shared" si="11"/>
        <v/>
      </c>
      <c r="J106" s="469" t="str">
        <f t="shared" si="8"/>
        <v/>
      </c>
      <c r="K106" s="472" t="str">
        <f t="shared" si="9"/>
        <v/>
      </c>
    </row>
    <row r="107" spans="7:11" x14ac:dyDescent="0.3">
      <c r="G107" s="7">
        <v>79</v>
      </c>
      <c r="H107" s="358" t="str">
        <f t="shared" si="10"/>
        <v/>
      </c>
      <c r="I107" s="470" t="str">
        <f t="shared" si="11"/>
        <v/>
      </c>
      <c r="J107" s="469" t="str">
        <f t="shared" si="8"/>
        <v/>
      </c>
      <c r="K107" s="472" t="str">
        <f t="shared" si="9"/>
        <v/>
      </c>
    </row>
    <row r="108" spans="7:11" x14ac:dyDescent="0.3">
      <c r="G108" s="7">
        <v>80</v>
      </c>
      <c r="H108" s="358" t="str">
        <f t="shared" si="10"/>
        <v/>
      </c>
      <c r="I108" s="470" t="str">
        <f t="shared" si="11"/>
        <v/>
      </c>
      <c r="J108" s="469" t="str">
        <f t="shared" si="8"/>
        <v/>
      </c>
      <c r="K108" s="472" t="str">
        <f t="shared" si="9"/>
        <v/>
      </c>
    </row>
    <row r="109" spans="7:11" x14ac:dyDescent="0.3">
      <c r="G109" s="7">
        <v>81</v>
      </c>
      <c r="H109" s="358" t="str">
        <f t="shared" si="10"/>
        <v/>
      </c>
      <c r="I109" s="470" t="str">
        <f t="shared" si="11"/>
        <v/>
      </c>
      <c r="J109" s="469" t="str">
        <f t="shared" si="8"/>
        <v/>
      </c>
      <c r="K109" s="472" t="str">
        <f t="shared" si="9"/>
        <v/>
      </c>
    </row>
    <row r="110" spans="7:11" x14ac:dyDescent="0.3">
      <c r="G110" s="7">
        <v>82</v>
      </c>
      <c r="H110" s="358" t="str">
        <f t="shared" si="10"/>
        <v/>
      </c>
      <c r="I110" s="470" t="str">
        <f t="shared" si="11"/>
        <v/>
      </c>
      <c r="J110" s="469" t="str">
        <f t="shared" si="8"/>
        <v/>
      </c>
      <c r="K110" s="472" t="str">
        <f t="shared" si="9"/>
        <v/>
      </c>
    </row>
    <row r="111" spans="7:11" x14ac:dyDescent="0.3">
      <c r="G111" s="7">
        <v>83</v>
      </c>
      <c r="H111" s="358" t="str">
        <f t="shared" si="10"/>
        <v/>
      </c>
      <c r="I111" s="470" t="str">
        <f t="shared" si="11"/>
        <v/>
      </c>
      <c r="J111" s="469" t="str">
        <f t="shared" si="8"/>
        <v/>
      </c>
      <c r="K111" s="472" t="str">
        <f t="shared" si="9"/>
        <v/>
      </c>
    </row>
    <row r="112" spans="7:11" x14ac:dyDescent="0.3">
      <c r="G112" s="7">
        <v>84</v>
      </c>
      <c r="H112" s="358" t="str">
        <f t="shared" si="10"/>
        <v/>
      </c>
      <c r="I112" s="470" t="str">
        <f t="shared" si="11"/>
        <v/>
      </c>
      <c r="J112" s="469" t="str">
        <f t="shared" si="8"/>
        <v/>
      </c>
      <c r="K112" s="472" t="str">
        <f t="shared" si="9"/>
        <v/>
      </c>
    </row>
    <row r="113" spans="7:11" x14ac:dyDescent="0.3">
      <c r="G113" s="7">
        <v>85</v>
      </c>
      <c r="H113" s="358" t="str">
        <f t="shared" si="10"/>
        <v/>
      </c>
      <c r="I113" s="470" t="str">
        <f t="shared" si="11"/>
        <v/>
      </c>
      <c r="J113" s="469" t="str">
        <f t="shared" si="8"/>
        <v/>
      </c>
      <c r="K113" s="472" t="str">
        <f t="shared" si="9"/>
        <v/>
      </c>
    </row>
    <row r="114" spans="7:11" x14ac:dyDescent="0.3">
      <c r="G114" s="7">
        <v>86</v>
      </c>
      <c r="H114" s="358" t="str">
        <f t="shared" si="10"/>
        <v/>
      </c>
      <c r="I114" s="470" t="str">
        <f t="shared" si="11"/>
        <v/>
      </c>
      <c r="J114" s="469" t="str">
        <f t="shared" si="8"/>
        <v/>
      </c>
      <c r="K114" s="472" t="str">
        <f t="shared" si="9"/>
        <v/>
      </c>
    </row>
    <row r="115" spans="7:11" x14ac:dyDescent="0.3">
      <c r="G115" s="7">
        <v>87</v>
      </c>
      <c r="H115" s="358" t="str">
        <f t="shared" si="10"/>
        <v/>
      </c>
      <c r="I115" s="470" t="str">
        <f t="shared" si="11"/>
        <v/>
      </c>
      <c r="J115" s="469" t="str">
        <f t="shared" si="8"/>
        <v/>
      </c>
      <c r="K115" s="472" t="str">
        <f t="shared" si="9"/>
        <v/>
      </c>
    </row>
    <row r="116" spans="7:11" x14ac:dyDescent="0.3">
      <c r="G116" s="7">
        <v>88</v>
      </c>
      <c r="H116" s="358" t="str">
        <f t="shared" si="10"/>
        <v/>
      </c>
      <c r="I116" s="470" t="str">
        <f t="shared" si="11"/>
        <v/>
      </c>
      <c r="J116" s="469" t="str">
        <f t="shared" si="8"/>
        <v/>
      </c>
      <c r="K116" s="472" t="str">
        <f t="shared" si="9"/>
        <v/>
      </c>
    </row>
    <row r="117" spans="7:11" x14ac:dyDescent="0.3">
      <c r="G117" s="7">
        <v>89</v>
      </c>
      <c r="H117" s="358" t="str">
        <f t="shared" si="10"/>
        <v/>
      </c>
      <c r="I117" s="470" t="str">
        <f t="shared" si="11"/>
        <v/>
      </c>
      <c r="J117" s="469" t="str">
        <f t="shared" si="8"/>
        <v/>
      </c>
      <c r="K117" s="472" t="str">
        <f t="shared" si="9"/>
        <v/>
      </c>
    </row>
    <row r="118" spans="7:11" x14ac:dyDescent="0.3">
      <c r="G118" s="7">
        <v>90</v>
      </c>
      <c r="H118" s="358" t="str">
        <f t="shared" si="10"/>
        <v/>
      </c>
      <c r="I118" s="470" t="str">
        <f t="shared" si="11"/>
        <v/>
      </c>
      <c r="J118" s="469" t="str">
        <f t="shared" si="8"/>
        <v/>
      </c>
      <c r="K118" s="472" t="str">
        <f t="shared" si="9"/>
        <v/>
      </c>
    </row>
    <row r="119" spans="7:11" x14ac:dyDescent="0.3">
      <c r="G119" s="7">
        <v>91</v>
      </c>
      <c r="H119" s="358" t="str">
        <f t="shared" si="10"/>
        <v/>
      </c>
      <c r="I119" s="470" t="str">
        <f t="shared" si="11"/>
        <v/>
      </c>
      <c r="J119" s="469" t="str">
        <f t="shared" si="8"/>
        <v/>
      </c>
      <c r="K119" s="472" t="str">
        <f t="shared" si="9"/>
        <v/>
      </c>
    </row>
    <row r="120" spans="7:11" x14ac:dyDescent="0.3">
      <c r="G120" s="7">
        <v>92</v>
      </c>
      <c r="H120" s="358" t="str">
        <f t="shared" si="10"/>
        <v/>
      </c>
      <c r="I120" s="470" t="str">
        <f t="shared" si="11"/>
        <v/>
      </c>
      <c r="J120" s="469" t="str">
        <f t="shared" si="8"/>
        <v/>
      </c>
      <c r="K120" s="472" t="str">
        <f t="shared" si="9"/>
        <v/>
      </c>
    </row>
    <row r="121" spans="7:11" x14ac:dyDescent="0.3">
      <c r="G121" s="7">
        <v>93</v>
      </c>
      <c r="H121" s="358" t="str">
        <f t="shared" si="10"/>
        <v/>
      </c>
      <c r="I121" s="470" t="str">
        <f t="shared" si="11"/>
        <v/>
      </c>
      <c r="J121" s="469" t="str">
        <f t="shared" si="8"/>
        <v/>
      </c>
      <c r="K121" s="472" t="str">
        <f t="shared" si="9"/>
        <v/>
      </c>
    </row>
    <row r="122" spans="7:11" x14ac:dyDescent="0.3">
      <c r="G122" s="7">
        <v>94</v>
      </c>
      <c r="H122" s="358" t="str">
        <f t="shared" si="10"/>
        <v/>
      </c>
      <c r="I122" s="470" t="str">
        <f t="shared" si="11"/>
        <v/>
      </c>
      <c r="J122" s="469" t="str">
        <f t="shared" si="8"/>
        <v/>
      </c>
      <c r="K122" s="472" t="str">
        <f t="shared" si="9"/>
        <v/>
      </c>
    </row>
    <row r="123" spans="7:11" x14ac:dyDescent="0.3">
      <c r="G123" s="7">
        <v>95</v>
      </c>
      <c r="H123" s="358" t="str">
        <f t="shared" si="10"/>
        <v/>
      </c>
      <c r="I123" s="470" t="str">
        <f t="shared" si="11"/>
        <v/>
      </c>
      <c r="J123" s="469" t="str">
        <f t="shared" si="8"/>
        <v/>
      </c>
      <c r="K123" s="472" t="str">
        <f t="shared" si="9"/>
        <v/>
      </c>
    </row>
    <row r="124" spans="7:11" x14ac:dyDescent="0.3">
      <c r="G124" s="7">
        <v>96</v>
      </c>
      <c r="H124" s="358" t="str">
        <f t="shared" si="10"/>
        <v/>
      </c>
      <c r="I124" s="470" t="str">
        <f t="shared" si="11"/>
        <v/>
      </c>
      <c r="J124" s="469" t="str">
        <f t="shared" si="8"/>
        <v/>
      </c>
      <c r="K124" s="472" t="str">
        <f t="shared" si="9"/>
        <v/>
      </c>
    </row>
    <row r="125" spans="7:11" x14ac:dyDescent="0.3">
      <c r="G125" s="7">
        <v>97</v>
      </c>
      <c r="H125" s="358" t="str">
        <f t="shared" si="10"/>
        <v/>
      </c>
      <c r="I125" s="470" t="str">
        <f t="shared" si="11"/>
        <v/>
      </c>
      <c r="J125" s="469" t="str">
        <f t="shared" si="8"/>
        <v/>
      </c>
      <c r="K125" s="472" t="str">
        <f t="shared" si="9"/>
        <v/>
      </c>
    </row>
    <row r="126" spans="7:11" x14ac:dyDescent="0.3">
      <c r="G126" s="7">
        <v>98</v>
      </c>
      <c r="H126" s="358" t="str">
        <f t="shared" si="10"/>
        <v/>
      </c>
      <c r="I126" s="470" t="str">
        <f t="shared" si="11"/>
        <v/>
      </c>
      <c r="J126" s="469" t="str">
        <f t="shared" si="8"/>
        <v/>
      </c>
      <c r="K126" s="472" t="str">
        <f t="shared" si="9"/>
        <v/>
      </c>
    </row>
    <row r="127" spans="7:11" x14ac:dyDescent="0.3">
      <c r="G127" s="7">
        <v>99</v>
      </c>
      <c r="H127" s="358" t="str">
        <f t="shared" si="10"/>
        <v/>
      </c>
      <c r="I127" s="470" t="str">
        <f t="shared" si="11"/>
        <v/>
      </c>
      <c r="J127" s="469" t="str">
        <f t="shared" si="8"/>
        <v/>
      </c>
      <c r="K127" s="472" t="str">
        <f t="shared" si="9"/>
        <v/>
      </c>
    </row>
    <row r="128" spans="7:11" x14ac:dyDescent="0.3">
      <c r="G128" s="7">
        <v>100</v>
      </c>
      <c r="H128" s="358" t="str">
        <f t="shared" si="10"/>
        <v/>
      </c>
      <c r="I128" s="470" t="str">
        <f t="shared" si="11"/>
        <v/>
      </c>
      <c r="J128" s="469" t="str">
        <f t="shared" si="8"/>
        <v/>
      </c>
      <c r="K128" s="472" t="str">
        <f t="shared" si="9"/>
        <v/>
      </c>
    </row>
    <row r="129" spans="7:11" x14ac:dyDescent="0.3">
      <c r="G129" s="7">
        <v>101</v>
      </c>
      <c r="H129" s="358" t="str">
        <f t="shared" si="10"/>
        <v/>
      </c>
      <c r="I129" s="470" t="str">
        <f t="shared" si="11"/>
        <v/>
      </c>
      <c r="J129" s="469" t="str">
        <f t="shared" si="8"/>
        <v/>
      </c>
      <c r="K129" s="472" t="str">
        <f t="shared" si="9"/>
        <v/>
      </c>
    </row>
    <row r="130" spans="7:11" x14ac:dyDescent="0.3">
      <c r="G130" s="7">
        <v>102</v>
      </c>
      <c r="H130" s="358" t="str">
        <f t="shared" si="10"/>
        <v/>
      </c>
      <c r="I130" s="470" t="str">
        <f t="shared" si="11"/>
        <v/>
      </c>
      <c r="J130" s="469" t="str">
        <f t="shared" si="8"/>
        <v/>
      </c>
      <c r="K130" s="472" t="str">
        <f t="shared" si="9"/>
        <v/>
      </c>
    </row>
    <row r="131" spans="7:11" x14ac:dyDescent="0.3">
      <c r="G131" s="7">
        <v>103</v>
      </c>
      <c r="H131" s="358" t="str">
        <f t="shared" si="10"/>
        <v/>
      </c>
      <c r="I131" s="470" t="str">
        <f t="shared" si="11"/>
        <v/>
      </c>
      <c r="J131" s="469" t="str">
        <f t="shared" si="8"/>
        <v/>
      </c>
      <c r="K131" s="472" t="str">
        <f t="shared" si="9"/>
        <v/>
      </c>
    </row>
    <row r="132" spans="7:11" x14ac:dyDescent="0.3">
      <c r="G132" s="7">
        <v>104</v>
      </c>
      <c r="H132" s="358" t="str">
        <f t="shared" si="10"/>
        <v/>
      </c>
      <c r="I132" s="470" t="str">
        <f t="shared" si="11"/>
        <v/>
      </c>
      <c r="J132" s="469" t="str">
        <f t="shared" si="8"/>
        <v/>
      </c>
      <c r="K132" s="472" t="str">
        <f t="shared" si="9"/>
        <v/>
      </c>
    </row>
    <row r="133" spans="7:11" x14ac:dyDescent="0.3">
      <c r="G133" s="7">
        <v>105</v>
      </c>
      <c r="H133" s="358" t="str">
        <f t="shared" si="10"/>
        <v/>
      </c>
      <c r="I133" s="470" t="str">
        <f t="shared" si="11"/>
        <v/>
      </c>
      <c r="J133" s="469" t="str">
        <f t="shared" si="8"/>
        <v/>
      </c>
      <c r="K133" s="472" t="str">
        <f t="shared" si="9"/>
        <v/>
      </c>
    </row>
    <row r="134" spans="7:11" x14ac:dyDescent="0.3">
      <c r="G134" s="7">
        <v>106</v>
      </c>
      <c r="H134" s="358" t="str">
        <f t="shared" si="10"/>
        <v/>
      </c>
      <c r="I134" s="470" t="str">
        <f t="shared" si="11"/>
        <v/>
      </c>
      <c r="J134" s="469" t="str">
        <f t="shared" si="8"/>
        <v/>
      </c>
      <c r="K134" s="472" t="str">
        <f t="shared" si="9"/>
        <v/>
      </c>
    </row>
    <row r="135" spans="7:11" x14ac:dyDescent="0.3">
      <c r="G135" s="7">
        <v>107</v>
      </c>
      <c r="H135" s="358" t="str">
        <f t="shared" si="10"/>
        <v/>
      </c>
      <c r="I135" s="470" t="str">
        <f t="shared" si="11"/>
        <v/>
      </c>
      <c r="J135" s="469" t="str">
        <f t="shared" si="8"/>
        <v/>
      </c>
      <c r="K135" s="472" t="str">
        <f t="shared" si="9"/>
        <v/>
      </c>
    </row>
    <row r="136" spans="7:11" x14ac:dyDescent="0.3">
      <c r="G136" s="7">
        <v>108</v>
      </c>
      <c r="H136" s="358" t="str">
        <f t="shared" si="10"/>
        <v/>
      </c>
      <c r="I136" s="470" t="str">
        <f t="shared" si="11"/>
        <v/>
      </c>
      <c r="J136" s="469" t="str">
        <f t="shared" si="8"/>
        <v/>
      </c>
      <c r="K136" s="472" t="str">
        <f t="shared" si="9"/>
        <v/>
      </c>
    </row>
    <row r="137" spans="7:11" x14ac:dyDescent="0.3">
      <c r="G137" s="7">
        <v>109</v>
      </c>
      <c r="H137" s="358" t="str">
        <f t="shared" si="10"/>
        <v/>
      </c>
      <c r="I137" s="470" t="str">
        <f t="shared" si="11"/>
        <v/>
      </c>
      <c r="J137" s="469" t="str">
        <f t="shared" si="8"/>
        <v/>
      </c>
      <c r="K137" s="472" t="str">
        <f t="shared" si="9"/>
        <v/>
      </c>
    </row>
    <row r="138" spans="7:11" x14ac:dyDescent="0.3">
      <c r="G138" s="7">
        <v>110</v>
      </c>
      <c r="H138" s="358" t="str">
        <f t="shared" si="10"/>
        <v/>
      </c>
      <c r="I138" s="470" t="str">
        <f t="shared" si="11"/>
        <v/>
      </c>
      <c r="J138" s="469" t="str">
        <f t="shared" si="8"/>
        <v/>
      </c>
      <c r="K138" s="472" t="str">
        <f t="shared" si="9"/>
        <v/>
      </c>
    </row>
    <row r="139" spans="7:11" x14ac:dyDescent="0.3">
      <c r="G139" s="7">
        <v>111</v>
      </c>
      <c r="H139" s="358" t="str">
        <f t="shared" si="10"/>
        <v/>
      </c>
      <c r="I139" s="470" t="str">
        <f t="shared" si="11"/>
        <v/>
      </c>
      <c r="J139" s="469" t="str">
        <f t="shared" si="8"/>
        <v/>
      </c>
      <c r="K139" s="472" t="str">
        <f t="shared" si="9"/>
        <v/>
      </c>
    </row>
    <row r="140" spans="7:11" x14ac:dyDescent="0.3">
      <c r="G140" s="7">
        <v>112</v>
      </c>
      <c r="H140" s="358" t="str">
        <f t="shared" si="10"/>
        <v/>
      </c>
      <c r="I140" s="470" t="str">
        <f t="shared" si="11"/>
        <v/>
      </c>
      <c r="J140" s="469" t="str">
        <f t="shared" si="8"/>
        <v/>
      </c>
      <c r="K140" s="472" t="str">
        <f t="shared" si="9"/>
        <v/>
      </c>
    </row>
    <row r="141" spans="7:11" x14ac:dyDescent="0.3">
      <c r="G141" s="7">
        <v>113</v>
      </c>
      <c r="H141" s="358" t="str">
        <f t="shared" si="10"/>
        <v/>
      </c>
      <c r="I141" s="470" t="str">
        <f t="shared" si="11"/>
        <v/>
      </c>
      <c r="J141" s="469" t="str">
        <f t="shared" si="8"/>
        <v/>
      </c>
      <c r="K141" s="472" t="str">
        <f t="shared" si="9"/>
        <v/>
      </c>
    </row>
    <row r="142" spans="7:11" x14ac:dyDescent="0.3">
      <c r="G142" s="7">
        <v>114</v>
      </c>
      <c r="H142" s="358" t="str">
        <f t="shared" si="10"/>
        <v/>
      </c>
      <c r="I142" s="470" t="str">
        <f t="shared" si="11"/>
        <v/>
      </c>
      <c r="J142" s="469" t="str">
        <f t="shared" si="8"/>
        <v/>
      </c>
      <c r="K142" s="472" t="str">
        <f t="shared" si="9"/>
        <v/>
      </c>
    </row>
    <row r="143" spans="7:11" x14ac:dyDescent="0.3">
      <c r="G143" s="7">
        <v>115</v>
      </c>
      <c r="H143" s="358" t="str">
        <f t="shared" si="10"/>
        <v/>
      </c>
      <c r="I143" s="470" t="str">
        <f t="shared" si="11"/>
        <v/>
      </c>
      <c r="J143" s="469" t="str">
        <f t="shared" si="8"/>
        <v/>
      </c>
      <c r="K143" s="472" t="str">
        <f t="shared" si="9"/>
        <v/>
      </c>
    </row>
    <row r="144" spans="7:11" x14ac:dyDescent="0.3">
      <c r="G144" s="7">
        <v>116</v>
      </c>
      <c r="H144" s="358" t="str">
        <f t="shared" si="10"/>
        <v/>
      </c>
      <c r="I144" s="470" t="str">
        <f t="shared" si="11"/>
        <v/>
      </c>
      <c r="J144" s="469" t="str">
        <f t="shared" si="8"/>
        <v/>
      </c>
      <c r="K144" s="472" t="str">
        <f t="shared" si="9"/>
        <v/>
      </c>
    </row>
    <row r="145" spans="7:11" x14ac:dyDescent="0.3">
      <c r="G145" s="7">
        <v>117</v>
      </c>
      <c r="H145" s="358" t="str">
        <f t="shared" si="10"/>
        <v/>
      </c>
      <c r="I145" s="470" t="str">
        <f t="shared" si="11"/>
        <v/>
      </c>
      <c r="J145" s="469" t="str">
        <f t="shared" si="8"/>
        <v/>
      </c>
      <c r="K145" s="472" t="str">
        <f t="shared" si="9"/>
        <v/>
      </c>
    </row>
    <row r="146" spans="7:11" x14ac:dyDescent="0.3">
      <c r="G146" s="7">
        <v>118</v>
      </c>
      <c r="H146" s="358" t="str">
        <f t="shared" si="10"/>
        <v/>
      </c>
      <c r="I146" s="470" t="str">
        <f t="shared" si="11"/>
        <v/>
      </c>
      <c r="J146" s="469" t="str">
        <f t="shared" si="8"/>
        <v/>
      </c>
      <c r="K146" s="472" t="str">
        <f t="shared" si="9"/>
        <v/>
      </c>
    </row>
    <row r="147" spans="7:11" x14ac:dyDescent="0.3">
      <c r="G147" s="7">
        <v>119</v>
      </c>
      <c r="H147" s="358" t="str">
        <f t="shared" si="10"/>
        <v/>
      </c>
      <c r="I147" s="470" t="str">
        <f t="shared" si="11"/>
        <v/>
      </c>
      <c r="J147" s="469" t="str">
        <f t="shared" si="8"/>
        <v/>
      </c>
      <c r="K147" s="472" t="str">
        <f t="shared" si="9"/>
        <v/>
      </c>
    </row>
    <row r="148" spans="7:11" x14ac:dyDescent="0.3">
      <c r="G148" s="7">
        <v>120</v>
      </c>
      <c r="H148" s="358" t="str">
        <f t="shared" si="10"/>
        <v/>
      </c>
      <c r="I148" s="470" t="str">
        <f t="shared" si="11"/>
        <v/>
      </c>
      <c r="J148" s="469" t="str">
        <f t="shared" si="8"/>
        <v/>
      </c>
      <c r="K148" s="472" t="str">
        <f t="shared" si="9"/>
        <v/>
      </c>
    </row>
    <row r="149" spans="7:11" x14ac:dyDescent="0.3">
      <c r="G149" s="7">
        <v>121</v>
      </c>
      <c r="H149" s="358" t="str">
        <f t="shared" si="10"/>
        <v/>
      </c>
      <c r="I149" s="470" t="str">
        <f t="shared" si="11"/>
        <v/>
      </c>
      <c r="J149" s="469" t="str">
        <f t="shared" si="8"/>
        <v/>
      </c>
      <c r="K149" s="472" t="str">
        <f t="shared" si="9"/>
        <v/>
      </c>
    </row>
  </sheetData>
  <mergeCells count="8">
    <mergeCell ref="B73:E74"/>
    <mergeCell ref="G27:H27"/>
    <mergeCell ref="B4:E4"/>
    <mergeCell ref="B5:E5"/>
    <mergeCell ref="K5:P5"/>
    <mergeCell ref="B7:C7"/>
    <mergeCell ref="L21:M21"/>
    <mergeCell ref="G23:H23"/>
  </mergeCells>
  <pageMargins left="0.7" right="0.7" top="0.75" bottom="0.75" header="0.3" footer="0.3"/>
  <pageSetup paperSize="9" orientation="landscape"/>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Rules - NEW</vt:lpstr>
      <vt:lpstr>Product Map - IVASS</vt:lpstr>
      <vt:lpstr>Refund calculator (Other) - NEW</vt:lpstr>
      <vt:lpstr>Refund calculator (Leasing)-NEW</vt:lpstr>
    </vt:vector>
  </TitlesOfParts>
  <Company>CNP Assurances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prottma1a</dc:creator>
  <cp:lastModifiedBy>Nicola Donadio</cp:lastModifiedBy>
  <cp:lastPrinted>2014-02-11T15:03:53Z</cp:lastPrinted>
  <dcterms:created xsi:type="dcterms:W3CDTF">2011-01-07T09:12:23Z</dcterms:created>
  <dcterms:modified xsi:type="dcterms:W3CDTF">2018-07-18T09:00:57Z</dcterms:modified>
</cp:coreProperties>
</file>