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24226"/>
  <mc:AlternateContent xmlns:mc="http://schemas.openxmlformats.org/markup-compatibility/2006">
    <mc:Choice Requires="x15">
      <x15ac:absPath xmlns:x15ac="http://schemas.microsoft.com/office/spreadsheetml/2010/11/ac" url="E:\Progetti\CBP\CBP\Modellini\"/>
    </mc:Choice>
  </mc:AlternateContent>
  <xr:revisionPtr revIDLastSave="0" documentId="13_ncr:1_{CFECCD6D-8DF2-4078-8EF3-C7731B4775DF}" xr6:coauthVersionLast="45" xr6:coauthVersionMax="45" xr10:uidLastSave="{00000000-0000-0000-0000-000000000000}"/>
  <bookViews>
    <workbookView xWindow="-108" yWindow="-108" windowWidth="23256" windowHeight="12576" tabRatio="890" firstSheet="2" activeTab="4" xr2:uid="{00000000-000D-0000-FFFF-FFFF00000000}"/>
  </bookViews>
  <sheets>
    <sheet name="Rules-Pre-IVASS Cardif (OLD)" sheetId="25" state="hidden" r:id="rId1"/>
    <sheet name="Rules-IVASS products(OLD)" sheetId="26" state="hidden" r:id="rId2"/>
    <sheet name="Rules - NEW from 18.02.2019" sheetId="22" r:id="rId3"/>
    <sheet name="Loadings issue- CARDIF" sheetId="24" r:id="rId4"/>
    <sheet name="Product Map" sheetId="16" r:id="rId5"/>
    <sheet name="Refund calculator (Other) - NEW" sheetId="18" r:id="rId6"/>
    <sheet name="Refund calculator (Leasing)" sheetId="21" r:id="rId7"/>
    <sheet name="Loan simulator-estimates ONLY" sheetId="2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3" i="18" l="1"/>
  <c r="C65" i="18"/>
  <c r="BA18" i="16"/>
  <c r="BA17" i="16"/>
  <c r="BA16" i="16"/>
  <c r="B7" i="23"/>
  <c r="E11" i="23" s="1"/>
  <c r="BW16" i="16"/>
  <c r="E33" i="18"/>
  <c r="D33" i="18"/>
  <c r="D21" i="21"/>
  <c r="E21" i="21"/>
  <c r="E20" i="21"/>
  <c r="E36" i="21" s="1"/>
  <c r="D20" i="21"/>
  <c r="E19" i="21"/>
  <c r="C19" i="21" s="1"/>
  <c r="D19" i="21"/>
  <c r="E18" i="21"/>
  <c r="D18" i="21"/>
  <c r="E17" i="21"/>
  <c r="E43" i="21" s="1"/>
  <c r="D17" i="21"/>
  <c r="B5" i="21"/>
  <c r="B5" i="18"/>
  <c r="D23" i="18"/>
  <c r="D53" i="18" s="1"/>
  <c r="D32" i="18"/>
  <c r="C32" i="18" s="1"/>
  <c r="E32" i="18"/>
  <c r="E31" i="18"/>
  <c r="E47" i="18" s="1"/>
  <c r="D31" i="18"/>
  <c r="E30" i="18"/>
  <c r="E91" i="18" s="1"/>
  <c r="D30" i="18"/>
  <c r="E29" i="18"/>
  <c r="C29" i="18" s="1"/>
  <c r="D29" i="18"/>
  <c r="E24" i="18"/>
  <c r="C24" i="18" s="1"/>
  <c r="D24" i="18"/>
  <c r="E23" i="18"/>
  <c r="CI7" i="16"/>
  <c r="CI8" i="16"/>
  <c r="CI9" i="16"/>
  <c r="CI10" i="16"/>
  <c r="CI11" i="16"/>
  <c r="CI12" i="16"/>
  <c r="CI13" i="16"/>
  <c r="CI14" i="16"/>
  <c r="CI15" i="16"/>
  <c r="CI16" i="16"/>
  <c r="CI17" i="16"/>
  <c r="CI18" i="16"/>
  <c r="CI19" i="16"/>
  <c r="CI20" i="16"/>
  <c r="CI21" i="16"/>
  <c r="CI22" i="16"/>
  <c r="CI23" i="16"/>
  <c r="CI24" i="16"/>
  <c r="CI25" i="16"/>
  <c r="CI6" i="16"/>
  <c r="CE7" i="16"/>
  <c r="CE8" i="16"/>
  <c r="CE9" i="16"/>
  <c r="CE10" i="16"/>
  <c r="CE11" i="16"/>
  <c r="CE12" i="16"/>
  <c r="CE13" i="16"/>
  <c r="CE14" i="16"/>
  <c r="CE15" i="16"/>
  <c r="CE16" i="16"/>
  <c r="CE17" i="16"/>
  <c r="CE18" i="16"/>
  <c r="CE19" i="16"/>
  <c r="CE20" i="16"/>
  <c r="CE21" i="16"/>
  <c r="CE22" i="16"/>
  <c r="CE23" i="16"/>
  <c r="CE24" i="16"/>
  <c r="CE25" i="16"/>
  <c r="CE6" i="16"/>
  <c r="CA6" i="16"/>
  <c r="CA7" i="16"/>
  <c r="CA8" i="16"/>
  <c r="CA9" i="16"/>
  <c r="CA10" i="16"/>
  <c r="CA11" i="16"/>
  <c r="CA12" i="16"/>
  <c r="CA13" i="16"/>
  <c r="CA14" i="16"/>
  <c r="CA15" i="16"/>
  <c r="CA16" i="16"/>
  <c r="CA17" i="16"/>
  <c r="CA18" i="16"/>
  <c r="CA19" i="16"/>
  <c r="CA20" i="16"/>
  <c r="CA21" i="16"/>
  <c r="CA22" i="16"/>
  <c r="CA23" i="16"/>
  <c r="CA24" i="16"/>
  <c r="CA25" i="16"/>
  <c r="BW7" i="16"/>
  <c r="BW8" i="16"/>
  <c r="BW9" i="16"/>
  <c r="BW10" i="16"/>
  <c r="BW11" i="16"/>
  <c r="BW12" i="16"/>
  <c r="BW13" i="16"/>
  <c r="BW14" i="16"/>
  <c r="BW15" i="16"/>
  <c r="BW17" i="16"/>
  <c r="BW18" i="16"/>
  <c r="BW19" i="16"/>
  <c r="BW20" i="16"/>
  <c r="BW21" i="16"/>
  <c r="BW22" i="16"/>
  <c r="BW23" i="16"/>
  <c r="BW24" i="16"/>
  <c r="BW25" i="16"/>
  <c r="BW6" i="16"/>
  <c r="C27" i="21"/>
  <c r="C26" i="21"/>
  <c r="K90" i="21"/>
  <c r="C37" i="18"/>
  <c r="K116" i="18" s="1"/>
  <c r="C38" i="18"/>
  <c r="J89" i="21"/>
  <c r="J91" i="21"/>
  <c r="J95" i="21"/>
  <c r="J99" i="21"/>
  <c r="J103" i="21"/>
  <c r="J105" i="21"/>
  <c r="J111" i="21"/>
  <c r="J113" i="21"/>
  <c r="J115" i="21"/>
  <c r="J121" i="21"/>
  <c r="J123" i="21"/>
  <c r="J127" i="21"/>
  <c r="J131" i="21"/>
  <c r="J135" i="21"/>
  <c r="J137" i="21"/>
  <c r="J143" i="21"/>
  <c r="J145" i="21"/>
  <c r="J147" i="21"/>
  <c r="I95" i="21"/>
  <c r="I99" i="21"/>
  <c r="I107" i="21"/>
  <c r="I115" i="21"/>
  <c r="I123" i="21"/>
  <c r="I127" i="21"/>
  <c r="I139" i="21"/>
  <c r="I143" i="21"/>
  <c r="I147" i="21"/>
  <c r="K93" i="21"/>
  <c r="K95" i="21"/>
  <c r="K99" i="21"/>
  <c r="K103" i="21"/>
  <c r="K107" i="21"/>
  <c r="K109" i="21"/>
  <c r="K115" i="21"/>
  <c r="K117" i="21"/>
  <c r="K119" i="21"/>
  <c r="K125" i="21"/>
  <c r="K127" i="21"/>
  <c r="K131" i="21"/>
  <c r="K135" i="21"/>
  <c r="K139" i="21"/>
  <c r="K141" i="21"/>
  <c r="K147" i="21"/>
  <c r="K149" i="21"/>
  <c r="I92" i="21"/>
  <c r="I104" i="21"/>
  <c r="I108" i="21"/>
  <c r="I116" i="21"/>
  <c r="I124" i="21"/>
  <c r="I132" i="21"/>
  <c r="I136" i="21"/>
  <c r="I148" i="21"/>
  <c r="J90" i="21"/>
  <c r="J92" i="21"/>
  <c r="J98" i="21"/>
  <c r="J100" i="21"/>
  <c r="J104" i="21"/>
  <c r="J108" i="21"/>
  <c r="J112" i="21"/>
  <c r="J114" i="21"/>
  <c r="J120" i="21"/>
  <c r="J122" i="21"/>
  <c r="J124" i="21"/>
  <c r="J130" i="21"/>
  <c r="J132" i="21"/>
  <c r="J136" i="21"/>
  <c r="J140" i="21"/>
  <c r="J144" i="21"/>
  <c r="J146" i="21"/>
  <c r="I93" i="21"/>
  <c r="I97" i="21"/>
  <c r="I101" i="21"/>
  <c r="I113" i="21"/>
  <c r="I117" i="21"/>
  <c r="I125" i="21"/>
  <c r="I133" i="21"/>
  <c r="I141" i="21"/>
  <c r="I145" i="21"/>
  <c r="K100" i="21"/>
  <c r="K108" i="21"/>
  <c r="K116" i="21"/>
  <c r="K140" i="21"/>
  <c r="K148" i="21"/>
  <c r="I118" i="21"/>
  <c r="H91" i="21"/>
  <c r="H99" i="21"/>
  <c r="H103" i="21"/>
  <c r="H115" i="21"/>
  <c r="H119" i="21"/>
  <c r="H123" i="21"/>
  <c r="H135" i="21"/>
  <c r="H139" i="21"/>
  <c r="H147" i="21"/>
  <c r="K102" i="21"/>
  <c r="K118" i="21"/>
  <c r="K126" i="21"/>
  <c r="I90" i="21"/>
  <c r="I106" i="21"/>
  <c r="I122" i="21"/>
  <c r="H96" i="21"/>
  <c r="H100" i="21"/>
  <c r="H108" i="21"/>
  <c r="H116" i="21"/>
  <c r="H124" i="21"/>
  <c r="H128" i="21"/>
  <c r="H140" i="21"/>
  <c r="H144" i="21"/>
  <c r="H148" i="21"/>
  <c r="K112" i="21"/>
  <c r="K120" i="21"/>
  <c r="K136" i="21"/>
  <c r="I94" i="21"/>
  <c r="I126" i="21"/>
  <c r="I142" i="21"/>
  <c r="H97" i="21"/>
  <c r="H101" i="21"/>
  <c r="H105" i="21"/>
  <c r="H117" i="21"/>
  <c r="H121" i="21"/>
  <c r="H129" i="21"/>
  <c r="H137" i="21"/>
  <c r="H145" i="21"/>
  <c r="H149" i="21"/>
  <c r="I114" i="21"/>
  <c r="H98" i="21"/>
  <c r="H114" i="21"/>
  <c r="K106" i="21"/>
  <c r="K138" i="21"/>
  <c r="H102" i="21"/>
  <c r="H134" i="21"/>
  <c r="K146" i="21"/>
  <c r="I146" i="21"/>
  <c r="H122" i="21"/>
  <c r="H138" i="21"/>
  <c r="H110" i="21"/>
  <c r="D36" i="21"/>
  <c r="D91" i="18"/>
  <c r="D46" i="18"/>
  <c r="E29" i="21"/>
  <c r="J61" i="21" s="1"/>
  <c r="K61" i="21" s="1"/>
  <c r="H90" i="21"/>
  <c r="H118" i="21"/>
  <c r="H146" i="21"/>
  <c r="K98" i="21"/>
  <c r="H133" i="21"/>
  <c r="H113" i="21"/>
  <c r="H89" i="21"/>
  <c r="K144" i="21"/>
  <c r="K104" i="21"/>
  <c r="H132" i="21"/>
  <c r="H112" i="21"/>
  <c r="H92" i="21"/>
  <c r="K134" i="21"/>
  <c r="K94" i="21"/>
  <c r="H131" i="21"/>
  <c r="H107" i="21"/>
  <c r="I134" i="21"/>
  <c r="K132" i="21"/>
  <c r="I149" i="21"/>
  <c r="I129" i="21"/>
  <c r="I109" i="21"/>
  <c r="J148" i="21"/>
  <c r="J138" i="21"/>
  <c r="J128" i="21"/>
  <c r="J116" i="21"/>
  <c r="J106" i="21"/>
  <c r="J96" i="21"/>
  <c r="I140" i="21"/>
  <c r="I120" i="21"/>
  <c r="I100" i="21"/>
  <c r="K143" i="21"/>
  <c r="K133" i="21"/>
  <c r="K123" i="21"/>
  <c r="K111" i="21"/>
  <c r="K101" i="21"/>
  <c r="K91" i="21"/>
  <c r="I131" i="21"/>
  <c r="I111" i="21"/>
  <c r="I91" i="21"/>
  <c r="J139" i="21"/>
  <c r="J129" i="21"/>
  <c r="J119" i="21"/>
  <c r="J107" i="21"/>
  <c r="J97" i="21"/>
  <c r="H126" i="21"/>
  <c r="H94" i="21"/>
  <c r="I98" i="21"/>
  <c r="H142" i="21"/>
  <c r="J93" i="21"/>
  <c r="J101" i="21"/>
  <c r="J109" i="21"/>
  <c r="J117" i="21"/>
  <c r="J125" i="21"/>
  <c r="J133" i="21"/>
  <c r="J141" i="21"/>
  <c r="J149" i="21"/>
  <c r="I103" i="21"/>
  <c r="I119" i="21"/>
  <c r="I135" i="21"/>
  <c r="K89" i="21"/>
  <c r="K97" i="21"/>
  <c r="K105" i="21"/>
  <c r="K113" i="21"/>
  <c r="K121" i="21"/>
  <c r="K129" i="21"/>
  <c r="K137" i="21"/>
  <c r="K145" i="21"/>
  <c r="I96" i="21"/>
  <c r="I112" i="21"/>
  <c r="I128" i="21"/>
  <c r="I144" i="21"/>
  <c r="J94" i="21"/>
  <c r="J102" i="21"/>
  <c r="J110" i="21"/>
  <c r="J118" i="21"/>
  <c r="J126" i="21"/>
  <c r="J134" i="21"/>
  <c r="J142" i="21"/>
  <c r="I89" i="21"/>
  <c r="I105" i="21"/>
  <c r="I121" i="21"/>
  <c r="I137" i="21"/>
  <c r="K92" i="21"/>
  <c r="K124" i="21"/>
  <c r="I102" i="21"/>
  <c r="H95" i="21"/>
  <c r="H111" i="21"/>
  <c r="H127" i="21"/>
  <c r="H143" i="21"/>
  <c r="K110" i="21"/>
  <c r="K142" i="21"/>
  <c r="I138" i="21"/>
  <c r="H104" i="21"/>
  <c r="H120" i="21"/>
  <c r="H136" i="21"/>
  <c r="K96" i="21"/>
  <c r="K128" i="21"/>
  <c r="I110" i="21"/>
  <c r="H93" i="21"/>
  <c r="H109" i="21"/>
  <c r="H125" i="21"/>
  <c r="H141" i="21"/>
  <c r="K130" i="21"/>
  <c r="H130" i="21"/>
  <c r="I130" i="21"/>
  <c r="K114" i="21"/>
  <c r="H106" i="21"/>
  <c r="K122" i="21"/>
  <c r="K144" i="18"/>
  <c r="K139" i="18"/>
  <c r="D37" i="21"/>
  <c r="C18" i="21"/>
  <c r="D47" i="18"/>
  <c r="C33" i="18"/>
  <c r="E37" i="21"/>
  <c r="C21" i="21"/>
  <c r="C37" i="21" s="1"/>
  <c r="D43" i="21"/>
  <c r="C43" i="21" s="1"/>
  <c r="C17" i="21"/>
  <c r="D29" i="21"/>
  <c r="H62" i="21" s="1"/>
  <c r="I62" i="21" s="1"/>
  <c r="D40" i="18" l="1"/>
  <c r="D27" i="18" s="1"/>
  <c r="J65" i="21"/>
  <c r="K65" i="21" s="1"/>
  <c r="J71" i="21"/>
  <c r="K71" i="21" s="1"/>
  <c r="J84" i="21"/>
  <c r="K84" i="21" s="1"/>
  <c r="C31" i="18"/>
  <c r="C47" i="18" s="1"/>
  <c r="H69" i="21"/>
  <c r="I69" i="21" s="1"/>
  <c r="J62" i="21"/>
  <c r="K62" i="21" s="1"/>
  <c r="J75" i="21"/>
  <c r="K75" i="21" s="1"/>
  <c r="H83" i="21"/>
  <c r="I83" i="21" s="1"/>
  <c r="H31" i="21"/>
  <c r="I31" i="21" s="1"/>
  <c r="H67" i="21"/>
  <c r="I67" i="21" s="1"/>
  <c r="H32" i="21"/>
  <c r="I32" i="21" s="1"/>
  <c r="H76" i="21"/>
  <c r="I76" i="21" s="1"/>
  <c r="H52" i="21"/>
  <c r="I52" i="21" s="1"/>
  <c r="J77" i="21"/>
  <c r="K77" i="21" s="1"/>
  <c r="J81" i="21"/>
  <c r="K81" i="21" s="1"/>
  <c r="J32" i="21"/>
  <c r="K32" i="21" s="1"/>
  <c r="J58" i="21"/>
  <c r="K58" i="21" s="1"/>
  <c r="J50" i="21"/>
  <c r="K50" i="21" s="1"/>
  <c r="J63" i="21"/>
  <c r="K63" i="21" s="1"/>
  <c r="J34" i="21"/>
  <c r="K34" i="21" s="1"/>
  <c r="J38" i="21"/>
  <c r="K38" i="21" s="1"/>
  <c r="C30" i="18"/>
  <c r="J46" i="21"/>
  <c r="K46" i="21" s="1"/>
  <c r="J69" i="21"/>
  <c r="K69" i="21" s="1"/>
  <c r="J39" i="21"/>
  <c r="K39" i="21" s="1"/>
  <c r="J57" i="21"/>
  <c r="K57" i="21" s="1"/>
  <c r="J44" i="21"/>
  <c r="K44" i="21" s="1"/>
  <c r="J36" i="21"/>
  <c r="K36" i="21" s="1"/>
  <c r="J48" i="21"/>
  <c r="K48" i="21" s="1"/>
  <c r="J64" i="21"/>
  <c r="K64" i="21" s="1"/>
  <c r="J54" i="21"/>
  <c r="K54" i="21" s="1"/>
  <c r="J78" i="21"/>
  <c r="K78" i="21" s="1"/>
  <c r="J87" i="21"/>
  <c r="K87" i="21" s="1"/>
  <c r="H87" i="21"/>
  <c r="I87" i="21" s="1"/>
  <c r="J85" i="21"/>
  <c r="K85" i="21" s="1"/>
  <c r="J52" i="21"/>
  <c r="K52" i="21" s="1"/>
  <c r="J59" i="21"/>
  <c r="K59" i="21" s="1"/>
  <c r="J56" i="21"/>
  <c r="K56" i="21" s="1"/>
  <c r="J83" i="21"/>
  <c r="K83" i="21" s="1"/>
  <c r="J35" i="21"/>
  <c r="K35" i="21" s="1"/>
  <c r="J53" i="21"/>
  <c r="K53" i="21" s="1"/>
  <c r="J40" i="21"/>
  <c r="K40" i="21" s="1"/>
  <c r="J45" i="21"/>
  <c r="K45" i="21" s="1"/>
  <c r="J86" i="21"/>
  <c r="K86" i="21" s="1"/>
  <c r="J73" i="21"/>
  <c r="K73" i="21" s="1"/>
  <c r="J66" i="21"/>
  <c r="K66" i="21" s="1"/>
  <c r="J41" i="21"/>
  <c r="K41" i="21" s="1"/>
  <c r="J47" i="21"/>
  <c r="K47" i="21" s="1"/>
  <c r="J49" i="21"/>
  <c r="K49" i="21" s="1"/>
  <c r="E46" i="18"/>
  <c r="C20" i="21"/>
  <c r="C36" i="21" s="1"/>
  <c r="E46" i="21"/>
  <c r="J67" i="21"/>
  <c r="K67" i="21" s="1"/>
  <c r="J88" i="21"/>
  <c r="K88" i="21" s="1"/>
  <c r="J79" i="21"/>
  <c r="K79" i="21" s="1"/>
  <c r="E30" i="21"/>
  <c r="E44" i="21" s="1"/>
  <c r="J51" i="21"/>
  <c r="K51" i="21" s="1"/>
  <c r="J80" i="21"/>
  <c r="K80" i="21" s="1"/>
  <c r="J33" i="21"/>
  <c r="K33" i="21" s="1"/>
  <c r="J72" i="21"/>
  <c r="K72" i="21" s="1"/>
  <c r="J74" i="21"/>
  <c r="K74" i="21" s="1"/>
  <c r="J55" i="21"/>
  <c r="K55" i="21" s="1"/>
  <c r="J37" i="21"/>
  <c r="K37" i="21" s="1"/>
  <c r="J70" i="21"/>
  <c r="K70" i="21" s="1"/>
  <c r="J42" i="21"/>
  <c r="K42" i="21" s="1"/>
  <c r="J43" i="21"/>
  <c r="K43" i="21" s="1"/>
  <c r="F43" i="21"/>
  <c r="J31" i="21"/>
  <c r="K31" i="21" s="1"/>
  <c r="J82" i="21"/>
  <c r="K82" i="21" s="1"/>
  <c r="J29" i="21"/>
  <c r="K29" i="21" s="1"/>
  <c r="J60" i="21"/>
  <c r="K60" i="21" s="1"/>
  <c r="J76" i="21"/>
  <c r="K76" i="21" s="1"/>
  <c r="J68" i="21"/>
  <c r="K68" i="21" s="1"/>
  <c r="J30" i="21"/>
  <c r="K30" i="21" s="1"/>
  <c r="H47" i="21"/>
  <c r="I47" i="21" s="1"/>
  <c r="H88" i="21"/>
  <c r="I88" i="21" s="1"/>
  <c r="H81" i="21"/>
  <c r="I81" i="21" s="1"/>
  <c r="H43" i="21"/>
  <c r="I43" i="21" s="1"/>
  <c r="H42" i="21"/>
  <c r="I42" i="21" s="1"/>
  <c r="H68" i="21"/>
  <c r="I68" i="21" s="1"/>
  <c r="H50" i="21"/>
  <c r="I50" i="21" s="1"/>
  <c r="D46" i="21"/>
  <c r="H55" i="21"/>
  <c r="I55" i="21" s="1"/>
  <c r="H65" i="21"/>
  <c r="I65" i="21" s="1"/>
  <c r="H72" i="21"/>
  <c r="I72" i="21" s="1"/>
  <c r="H86" i="21"/>
  <c r="I86" i="21" s="1"/>
  <c r="H77" i="21"/>
  <c r="I77" i="21" s="1"/>
  <c r="H58" i="21"/>
  <c r="I58" i="21" s="1"/>
  <c r="H53" i="21"/>
  <c r="I53" i="21" s="1"/>
  <c r="D45" i="21"/>
  <c r="H36" i="21"/>
  <c r="I36" i="21" s="1"/>
  <c r="H51" i="21"/>
  <c r="I51" i="21" s="1"/>
  <c r="H75" i="21"/>
  <c r="I75" i="21" s="1"/>
  <c r="H60" i="21"/>
  <c r="I60" i="21" s="1"/>
  <c r="C29" i="21"/>
  <c r="D32" i="21"/>
  <c r="H64" i="21"/>
  <c r="I64" i="21" s="1"/>
  <c r="H130" i="18"/>
  <c r="H56" i="21"/>
  <c r="I56" i="21" s="1"/>
  <c r="H40" i="18"/>
  <c r="E38" i="21"/>
  <c r="I120" i="18"/>
  <c r="H70" i="21"/>
  <c r="I70" i="21" s="1"/>
  <c r="H34" i="21"/>
  <c r="I34" i="21" s="1"/>
  <c r="H38" i="21"/>
  <c r="I38" i="21" s="1"/>
  <c r="I68" i="18"/>
  <c r="J95" i="18"/>
  <c r="K137" i="18"/>
  <c r="I130" i="18"/>
  <c r="I131" i="18"/>
  <c r="J139" i="18"/>
  <c r="H109" i="18"/>
  <c r="K148" i="18"/>
  <c r="I142" i="18"/>
  <c r="I113" i="18"/>
  <c r="H146" i="18"/>
  <c r="K123" i="18"/>
  <c r="K136" i="18"/>
  <c r="I135" i="18"/>
  <c r="K118" i="18"/>
  <c r="K131" i="18"/>
  <c r="J124" i="18"/>
  <c r="I127" i="18"/>
  <c r="I137" i="18"/>
  <c r="K145" i="18"/>
  <c r="I116" i="18"/>
  <c r="J122" i="18"/>
  <c r="J125" i="18"/>
  <c r="K119" i="18"/>
  <c r="K107" i="18"/>
  <c r="H115" i="18"/>
  <c r="K134" i="18"/>
  <c r="H104" i="18"/>
  <c r="K96" i="18"/>
  <c r="K102" i="18"/>
  <c r="H45" i="18"/>
  <c r="H33" i="18"/>
  <c r="H57" i="18"/>
  <c r="H87" i="18"/>
  <c r="H36" i="18"/>
  <c r="I36" i="18"/>
  <c r="I65" i="18"/>
  <c r="I88" i="18"/>
  <c r="H94" i="18"/>
  <c r="H139" i="18"/>
  <c r="J142" i="18"/>
  <c r="J141" i="18"/>
  <c r="J111" i="18"/>
  <c r="I138" i="18"/>
  <c r="K109" i="18"/>
  <c r="K133" i="18"/>
  <c r="H135" i="18"/>
  <c r="H132" i="18"/>
  <c r="H136" i="18"/>
  <c r="K124" i="18"/>
  <c r="K111" i="18"/>
  <c r="J116" i="18"/>
  <c r="I149" i="18"/>
  <c r="I114" i="18"/>
  <c r="K135" i="18"/>
  <c r="I118" i="18"/>
  <c r="K122" i="18"/>
  <c r="I134" i="18"/>
  <c r="H108" i="18"/>
  <c r="H114" i="18"/>
  <c r="J134" i="18"/>
  <c r="H117" i="18"/>
  <c r="I126" i="18"/>
  <c r="H105" i="18"/>
  <c r="J103" i="18"/>
  <c r="K93" i="18"/>
  <c r="K99" i="18"/>
  <c r="K98" i="18"/>
  <c r="K104" i="18"/>
  <c r="H69" i="18"/>
  <c r="I86" i="18"/>
  <c r="I55" i="18"/>
  <c r="H38" i="18"/>
  <c r="I30" i="18"/>
  <c r="I80" i="18"/>
  <c r="I93" i="18"/>
  <c r="I81" i="18"/>
  <c r="H70" i="18"/>
  <c r="J120" i="18"/>
  <c r="H134" i="18"/>
  <c r="H121" i="18"/>
  <c r="J118" i="18"/>
  <c r="I124" i="18"/>
  <c r="I110" i="18"/>
  <c r="J147" i="18"/>
  <c r="J130" i="18"/>
  <c r="I148" i="18"/>
  <c r="H145" i="18"/>
  <c r="H127" i="18"/>
  <c r="H113" i="18"/>
  <c r="J131" i="18"/>
  <c r="K129" i="18"/>
  <c r="H126" i="18"/>
  <c r="J137" i="18"/>
  <c r="K106" i="18"/>
  <c r="J123" i="18"/>
  <c r="J127" i="18"/>
  <c r="K132" i="18"/>
  <c r="J109" i="18"/>
  <c r="I144" i="18"/>
  <c r="I104" i="18"/>
  <c r="H103" i="18"/>
  <c r="J97" i="18"/>
  <c r="J91" i="18"/>
  <c r="K100" i="18"/>
  <c r="K92" i="18"/>
  <c r="I57" i="18"/>
  <c r="H92" i="18"/>
  <c r="H82" i="18"/>
  <c r="I91" i="18"/>
  <c r="I89" i="18"/>
  <c r="H62" i="18"/>
  <c r="I66" i="18"/>
  <c r="H31" i="18"/>
  <c r="I40" i="18"/>
  <c r="H72" i="18"/>
  <c r="H60" i="18"/>
  <c r="I74" i="18"/>
  <c r="I92" i="18"/>
  <c r="H74" i="18"/>
  <c r="J138" i="18"/>
  <c r="H140" i="18"/>
  <c r="I143" i="18"/>
  <c r="K149" i="18"/>
  <c r="H138" i="18"/>
  <c r="J107" i="18"/>
  <c r="H123" i="18"/>
  <c r="K114" i="18"/>
  <c r="J106" i="18"/>
  <c r="I109" i="18"/>
  <c r="K146" i="18"/>
  <c r="J136" i="18"/>
  <c r="K140" i="18"/>
  <c r="J148" i="18"/>
  <c r="I145" i="18"/>
  <c r="H120" i="18"/>
  <c r="I121" i="18"/>
  <c r="H148" i="18"/>
  <c r="K108" i="18"/>
  <c r="H144" i="18"/>
  <c r="I123" i="18"/>
  <c r="K89" i="18"/>
  <c r="I102" i="18"/>
  <c r="K95" i="18"/>
  <c r="K94" i="18"/>
  <c r="K90" i="18"/>
  <c r="K105" i="18"/>
  <c r="K101" i="18"/>
  <c r="H75" i="18"/>
  <c r="I33" i="18"/>
  <c r="I61" i="18"/>
  <c r="I41" i="18"/>
  <c r="I100" i="18"/>
  <c r="I90" i="18"/>
  <c r="H30" i="18"/>
  <c r="I46" i="18"/>
  <c r="H53" i="18"/>
  <c r="I32" i="18"/>
  <c r="H99" i="18"/>
  <c r="I83" i="18"/>
  <c r="H91" i="18"/>
  <c r="I69" i="18"/>
  <c r="H133" i="18"/>
  <c r="I139" i="18"/>
  <c r="I132" i="18"/>
  <c r="J113" i="18"/>
  <c r="J121" i="18"/>
  <c r="I136" i="18"/>
  <c r="J119" i="18"/>
  <c r="I146" i="18"/>
  <c r="I125" i="18"/>
  <c r="K147" i="18"/>
  <c r="J144" i="18"/>
  <c r="J132" i="18"/>
  <c r="H147" i="18"/>
  <c r="C7" i="23"/>
  <c r="I106" i="18"/>
  <c r="H131" i="18"/>
  <c r="H111" i="18"/>
  <c r="I112" i="18"/>
  <c r="I108" i="18"/>
  <c r="K130" i="18"/>
  <c r="I129" i="18"/>
  <c r="K113" i="18"/>
  <c r="H102" i="18"/>
  <c r="J96" i="18"/>
  <c r="J102" i="18"/>
  <c r="H93" i="18"/>
  <c r="I94" i="18"/>
  <c r="I35" i="18"/>
  <c r="I79" i="18"/>
  <c r="H85" i="18"/>
  <c r="I39" i="18"/>
  <c r="I98" i="18"/>
  <c r="H56" i="18"/>
  <c r="I50" i="18"/>
  <c r="H51" i="18"/>
  <c r="H63" i="18"/>
  <c r="I47" i="18"/>
  <c r="I58" i="18"/>
  <c r="D58" i="18"/>
  <c r="K143" i="18"/>
  <c r="I115" i="18"/>
  <c r="H116" i="18"/>
  <c r="J115" i="18"/>
  <c r="H107" i="18"/>
  <c r="H143" i="18"/>
  <c r="J140" i="18"/>
  <c r="J149" i="18"/>
  <c r="K112" i="18"/>
  <c r="K125" i="18"/>
  <c r="J92" i="18"/>
  <c r="H35" i="18"/>
  <c r="I63" i="18"/>
  <c r="H44" i="18"/>
  <c r="I96" i="18"/>
  <c r="I31" i="18"/>
  <c r="H58" i="18"/>
  <c r="I128" i="18"/>
  <c r="H118" i="18"/>
  <c r="H129" i="18"/>
  <c r="J126" i="18"/>
  <c r="I117" i="18"/>
  <c r="I122" i="18"/>
  <c r="J110" i="18"/>
  <c r="I133" i="18"/>
  <c r="J112" i="18"/>
  <c r="I105" i="18"/>
  <c r="J93" i="18"/>
  <c r="J104" i="18"/>
  <c r="J105" i="18"/>
  <c r="I75" i="18"/>
  <c r="I60" i="18"/>
  <c r="I99" i="18"/>
  <c r="H64" i="18"/>
  <c r="H67" i="18"/>
  <c r="H32" i="18"/>
  <c r="H29" i="18"/>
  <c r="H59" i="18"/>
  <c r="H84" i="18"/>
  <c r="H83" i="18"/>
  <c r="I141" i="18"/>
  <c r="K138" i="18"/>
  <c r="H125" i="18"/>
  <c r="K121" i="18"/>
  <c r="H124" i="18"/>
  <c r="H106" i="18"/>
  <c r="J108" i="18"/>
  <c r="J114" i="18"/>
  <c r="I103" i="18"/>
  <c r="K91" i="18"/>
  <c r="J100" i="18"/>
  <c r="J94" i="18"/>
  <c r="I43" i="18"/>
  <c r="H100" i="18"/>
  <c r="H81" i="18"/>
  <c r="I29" i="18"/>
  <c r="H37" i="18"/>
  <c r="H50" i="18"/>
  <c r="I70" i="18"/>
  <c r="I85" i="18"/>
  <c r="I64" i="18"/>
  <c r="I67" i="18"/>
  <c r="I140" i="18"/>
  <c r="K110" i="18"/>
  <c r="K128" i="18"/>
  <c r="I107" i="18"/>
  <c r="I101" i="18"/>
  <c r="J90" i="18"/>
  <c r="I95" i="18"/>
  <c r="H78" i="18"/>
  <c r="I42" i="18"/>
  <c r="H43" i="18"/>
  <c r="I59" i="18"/>
  <c r="H54" i="18"/>
  <c r="K120" i="18"/>
  <c r="H128" i="18"/>
  <c r="H137" i="18"/>
  <c r="K126" i="18"/>
  <c r="I84" i="18"/>
  <c r="H88" i="18"/>
  <c r="H98" i="18"/>
  <c r="H55" i="18"/>
  <c r="H65" i="18"/>
  <c r="I37" i="18"/>
  <c r="J133" i="18"/>
  <c r="J146" i="18"/>
  <c r="J145" i="18"/>
  <c r="K117" i="18"/>
  <c r="H49" i="18"/>
  <c r="H89" i="18"/>
  <c r="I82" i="18"/>
  <c r="I34" i="18"/>
  <c r="I77" i="18"/>
  <c r="I38" i="18"/>
  <c r="H141" i="18"/>
  <c r="H112" i="18"/>
  <c r="K142" i="18"/>
  <c r="H149" i="18"/>
  <c r="J143" i="18"/>
  <c r="J98" i="18"/>
  <c r="J101" i="18"/>
  <c r="H90" i="18"/>
  <c r="H68" i="18"/>
  <c r="H96" i="18"/>
  <c r="I52" i="18"/>
  <c r="H79" i="18"/>
  <c r="I56" i="18"/>
  <c r="D42" i="18"/>
  <c r="J135" i="18"/>
  <c r="H122" i="18"/>
  <c r="H142" i="18"/>
  <c r="H46" i="21"/>
  <c r="I46" i="21" s="1"/>
  <c r="D30" i="21"/>
  <c r="C39" i="18"/>
  <c r="H110" i="18"/>
  <c r="F11" i="23"/>
  <c r="H35" i="21"/>
  <c r="I35" i="21" s="1"/>
  <c r="H29" i="21"/>
  <c r="I29" i="21" s="1"/>
  <c r="H42" i="18"/>
  <c r="I78" i="18"/>
  <c r="K97" i="18"/>
  <c r="I119" i="18"/>
  <c r="K141" i="18"/>
  <c r="J129" i="18"/>
  <c r="C28" i="21"/>
  <c r="E31" i="21"/>
  <c r="E40" i="21" s="1"/>
  <c r="E45" i="21"/>
  <c r="H39" i="21"/>
  <c r="I39" i="21" s="1"/>
  <c r="H73" i="21"/>
  <c r="I73" i="21" s="1"/>
  <c r="H79" i="21"/>
  <c r="I79" i="21" s="1"/>
  <c r="H33" i="21"/>
  <c r="I33" i="21" s="1"/>
  <c r="H49" i="21"/>
  <c r="I49" i="21" s="1"/>
  <c r="H66" i="21"/>
  <c r="I66" i="21" s="1"/>
  <c r="H74" i="21"/>
  <c r="I74" i="21" s="1"/>
  <c r="I76" i="18"/>
  <c r="H71" i="18"/>
  <c r="I49" i="18"/>
  <c r="I62" i="18"/>
  <c r="J99" i="18"/>
  <c r="J117" i="18"/>
  <c r="K115" i="18"/>
  <c r="I45" i="18"/>
  <c r="I97" i="18"/>
  <c r="H63" i="21"/>
  <c r="I63" i="21" s="1"/>
  <c r="H54" i="21"/>
  <c r="I54" i="21" s="1"/>
  <c r="H41" i="21"/>
  <c r="I41" i="21" s="1"/>
  <c r="I51" i="18"/>
  <c r="H97" i="18"/>
  <c r="I147" i="18"/>
  <c r="D31" i="21"/>
  <c r="H30" i="21"/>
  <c r="I30" i="21" s="1"/>
  <c r="H45" i="21"/>
  <c r="I45" i="21" s="1"/>
  <c r="E40" i="18"/>
  <c r="J51" i="18" s="1"/>
  <c r="K51" i="18" s="1"/>
  <c r="C23" i="18"/>
  <c r="E53" i="18"/>
  <c r="C53" i="18" s="1"/>
  <c r="C19" i="18" s="1"/>
  <c r="H40" i="21"/>
  <c r="I40" i="21" s="1"/>
  <c r="H71" i="21"/>
  <c r="I71" i="21" s="1"/>
  <c r="H48" i="21"/>
  <c r="I48" i="21" s="1"/>
  <c r="H82" i="21"/>
  <c r="I82" i="21" s="1"/>
  <c r="H41" i="18"/>
  <c r="I87" i="18"/>
  <c r="I54" i="18"/>
  <c r="H95" i="18"/>
  <c r="K127" i="18"/>
  <c r="J128" i="18"/>
  <c r="K103" i="18"/>
  <c r="H37" i="21"/>
  <c r="I37" i="21" s="1"/>
  <c r="J89" i="18"/>
  <c r="H44" i="21"/>
  <c r="I44" i="21" s="1"/>
  <c r="H80" i="21"/>
  <c r="I80" i="21" s="1"/>
  <c r="H59" i="21"/>
  <c r="I59" i="21" s="1"/>
  <c r="H85" i="21"/>
  <c r="I85" i="21" s="1"/>
  <c r="H61" i="21"/>
  <c r="I61" i="21" s="1"/>
  <c r="H84" i="21"/>
  <c r="I84" i="21" s="1"/>
  <c r="H78" i="21"/>
  <c r="I78" i="21" s="1"/>
  <c r="H57" i="21"/>
  <c r="I57" i="21" s="1"/>
  <c r="E32" i="21"/>
  <c r="E48" i="21" s="1"/>
  <c r="I53" i="18"/>
  <c r="H34" i="18"/>
  <c r="H52" i="18"/>
  <c r="H101" i="18"/>
  <c r="I111" i="18"/>
  <c r="H119" i="18"/>
  <c r="D26" i="18"/>
  <c r="D63" i="18"/>
  <c r="D41" i="18"/>
  <c r="D121" i="18"/>
  <c r="D55" i="18"/>
  <c r="E47" i="21" l="1"/>
  <c r="D122" i="18"/>
  <c r="J80" i="18"/>
  <c r="K80" i="18" s="1"/>
  <c r="C46" i="21"/>
  <c r="I48" i="18"/>
  <c r="H61" i="18"/>
  <c r="H48" i="18"/>
  <c r="H80" i="18"/>
  <c r="H47" i="18"/>
  <c r="D28" i="18"/>
  <c r="D123" i="18" s="1"/>
  <c r="J52" i="18"/>
  <c r="K52" i="18" s="1"/>
  <c r="H86" i="18"/>
  <c r="H66" i="18"/>
  <c r="I72" i="18"/>
  <c r="D25" i="18"/>
  <c r="H76" i="18"/>
  <c r="I73" i="18"/>
  <c r="H39" i="18"/>
  <c r="H77" i="18"/>
  <c r="H46" i="18"/>
  <c r="I71" i="18"/>
  <c r="H73" i="18"/>
  <c r="I44" i="18"/>
  <c r="J46" i="18"/>
  <c r="K46" i="18" s="1"/>
  <c r="J66" i="18"/>
  <c r="K66" i="18" s="1"/>
  <c r="C91" i="18"/>
  <c r="C46" i="18"/>
  <c r="J47" i="18"/>
  <c r="K47" i="18" s="1"/>
  <c r="E41" i="21"/>
  <c r="J69" i="18"/>
  <c r="K69" i="18" s="1"/>
  <c r="J71" i="18"/>
  <c r="K71" i="18" s="1"/>
  <c r="D38" i="21"/>
  <c r="C30" i="21"/>
  <c r="D47" i="21"/>
  <c r="D44" i="21"/>
  <c r="C44" i="21" s="1"/>
  <c r="J85" i="18"/>
  <c r="K85" i="18" s="1"/>
  <c r="J29" i="18"/>
  <c r="K29" i="18" s="1"/>
  <c r="J36" i="18"/>
  <c r="K36" i="18" s="1"/>
  <c r="J48" i="18"/>
  <c r="K48" i="18" s="1"/>
  <c r="B108" i="23"/>
  <c r="C52" i="23"/>
  <c r="B119" i="23"/>
  <c r="B20" i="23"/>
  <c r="C16" i="23"/>
  <c r="B63" i="23"/>
  <c r="D63" i="23" s="1"/>
  <c r="B14" i="23"/>
  <c r="D14" i="23" s="1"/>
  <c r="B131" i="23"/>
  <c r="D131" i="23" s="1"/>
  <c r="B122" i="23"/>
  <c r="B77" i="23"/>
  <c r="B84" i="23"/>
  <c r="C89" i="23"/>
  <c r="B103" i="23"/>
  <c r="C56" i="23"/>
  <c r="B111" i="23"/>
  <c r="D111" i="23" s="1"/>
  <c r="B53" i="23"/>
  <c r="D53" i="23" s="1"/>
  <c r="B83" i="23"/>
  <c r="B117" i="23"/>
  <c r="C14" i="23"/>
  <c r="B74" i="23"/>
  <c r="C43" i="23"/>
  <c r="C47" i="23"/>
  <c r="B45" i="23"/>
  <c r="D45" i="23" s="1"/>
  <c r="B44" i="23"/>
  <c r="D44" i="23" s="1"/>
  <c r="C115" i="23"/>
  <c r="B124" i="23"/>
  <c r="C130" i="23"/>
  <c r="C37" i="23"/>
  <c r="B16" i="23"/>
  <c r="D16" i="23" s="1"/>
  <c r="C26" i="23"/>
  <c r="B26" i="23"/>
  <c r="D26" i="23" s="1"/>
  <c r="B129" i="23"/>
  <c r="B56" i="23"/>
  <c r="B71" i="23"/>
  <c r="B90" i="23"/>
  <c r="B41" i="23"/>
  <c r="B115" i="23"/>
  <c r="D115" i="23" s="1"/>
  <c r="C83" i="23"/>
  <c r="B47" i="23"/>
  <c r="D47" i="23" s="1"/>
  <c r="B107" i="23"/>
  <c r="D107" i="23" s="1"/>
  <c r="B39" i="23"/>
  <c r="C49" i="23"/>
  <c r="B58" i="23"/>
  <c r="C33" i="23"/>
  <c r="B89" i="23"/>
  <c r="D89" i="23" s="1"/>
  <c r="C15" i="23"/>
  <c r="C117" i="23"/>
  <c r="C94" i="23"/>
  <c r="B85" i="23"/>
  <c r="C65" i="23"/>
  <c r="C73" i="23"/>
  <c r="C41" i="23"/>
  <c r="B106" i="23"/>
  <c r="B46" i="23"/>
  <c r="B18" i="23"/>
  <c r="C72" i="23"/>
  <c r="C98" i="23"/>
  <c r="B69" i="23"/>
  <c r="C126" i="23"/>
  <c r="B76" i="23"/>
  <c r="B99" i="23"/>
  <c r="C54" i="23"/>
  <c r="B40" i="23"/>
  <c r="D40" i="23" s="1"/>
  <c r="C116" i="23"/>
  <c r="C58" i="23"/>
  <c r="C21" i="23"/>
  <c r="C84" i="23"/>
  <c r="C68" i="23"/>
  <c r="B101" i="23"/>
  <c r="B88" i="23"/>
  <c r="D88" i="23" s="1"/>
  <c r="C22" i="23"/>
  <c r="B66" i="23"/>
  <c r="D66" i="23" s="1"/>
  <c r="C108" i="23"/>
  <c r="C123" i="23"/>
  <c r="B132" i="23"/>
  <c r="B72" i="23"/>
  <c r="B59" i="23"/>
  <c r="C64" i="23"/>
  <c r="B80" i="23"/>
  <c r="D80" i="23" s="1"/>
  <c r="C74" i="23"/>
  <c r="B82" i="23"/>
  <c r="C109" i="23"/>
  <c r="B28" i="23"/>
  <c r="B43" i="23"/>
  <c r="D43" i="23" s="1"/>
  <c r="B51" i="23"/>
  <c r="C110" i="23"/>
  <c r="C119" i="23"/>
  <c r="B91" i="23"/>
  <c r="D91" i="23" s="1"/>
  <c r="B57" i="23"/>
  <c r="C112" i="23"/>
  <c r="C36" i="23"/>
  <c r="B114" i="23"/>
  <c r="C111" i="23"/>
  <c r="C28" i="23"/>
  <c r="B127" i="23"/>
  <c r="B19" i="23"/>
  <c r="D19" i="23" s="1"/>
  <c r="B96" i="23"/>
  <c r="C66" i="23"/>
  <c r="B118" i="23"/>
  <c r="C88" i="23"/>
  <c r="B81" i="23"/>
  <c r="B42" i="23"/>
  <c r="D42" i="23" s="1"/>
  <c r="B30" i="23"/>
  <c r="D30" i="23" s="1"/>
  <c r="B23" i="23"/>
  <c r="D23" i="23" s="1"/>
  <c r="C113" i="23"/>
  <c r="C17" i="23"/>
  <c r="B24" i="23"/>
  <c r="C24" i="23"/>
  <c r="C57" i="23"/>
  <c r="C27" i="23"/>
  <c r="C122" i="23"/>
  <c r="C69" i="23"/>
  <c r="B34" i="23"/>
  <c r="D34" i="23" s="1"/>
  <c r="C95" i="23"/>
  <c r="C114" i="23"/>
  <c r="C91" i="23"/>
  <c r="B113" i="23"/>
  <c r="D113" i="23" s="1"/>
  <c r="C60" i="23"/>
  <c r="C18" i="23"/>
  <c r="C29" i="23"/>
  <c r="C76" i="23"/>
  <c r="C92" i="23"/>
  <c r="C102" i="23"/>
  <c r="B62" i="23"/>
  <c r="C38" i="23"/>
  <c r="C62" i="23"/>
  <c r="B12" i="23"/>
  <c r="D12" i="23" s="1"/>
  <c r="B50" i="23"/>
  <c r="D50" i="23" s="1"/>
  <c r="B79" i="23"/>
  <c r="C103" i="23"/>
  <c r="C51" i="23"/>
  <c r="C48" i="23"/>
  <c r="B86" i="23"/>
  <c r="C12" i="23"/>
  <c r="E12" i="23" s="1"/>
  <c r="C35" i="23"/>
  <c r="B32" i="23"/>
  <c r="D32" i="23" s="1"/>
  <c r="B21" i="23"/>
  <c r="D21" i="23" s="1"/>
  <c r="C132" i="23"/>
  <c r="C34" i="23"/>
  <c r="C80" i="23"/>
  <c r="C90" i="23"/>
  <c r="C23" i="23"/>
  <c r="C127" i="23"/>
  <c r="B75" i="23"/>
  <c r="D75" i="23" s="1"/>
  <c r="C63" i="23"/>
  <c r="C19" i="23"/>
  <c r="C71" i="23"/>
  <c r="C25" i="23"/>
  <c r="B29" i="23"/>
  <c r="C30" i="23"/>
  <c r="B98" i="23"/>
  <c r="D98" i="23" s="1"/>
  <c r="C129" i="23"/>
  <c r="B128" i="23"/>
  <c r="B48" i="23"/>
  <c r="D48" i="23" s="1"/>
  <c r="B36" i="23"/>
  <c r="D36" i="23" s="1"/>
  <c r="C131" i="23"/>
  <c r="C32" i="23"/>
  <c r="B109" i="23"/>
  <c r="D109" i="23" s="1"/>
  <c r="B112" i="23"/>
  <c r="D112" i="23" s="1"/>
  <c r="B61" i="23"/>
  <c r="D61" i="23" s="1"/>
  <c r="C20" i="23"/>
  <c r="B87" i="23"/>
  <c r="C42" i="23"/>
  <c r="B130" i="23"/>
  <c r="D130" i="23" s="1"/>
  <c r="C79" i="23"/>
  <c r="C40" i="23"/>
  <c r="B105" i="23"/>
  <c r="B60" i="23"/>
  <c r="D60" i="23" s="1"/>
  <c r="C107" i="23"/>
  <c r="B31" i="23"/>
  <c r="B92" i="23"/>
  <c r="D92" i="23" s="1"/>
  <c r="B95" i="23"/>
  <c r="D95" i="23" s="1"/>
  <c r="C31" i="23"/>
  <c r="C128" i="23"/>
  <c r="B25" i="23"/>
  <c r="D25" i="23" s="1"/>
  <c r="B22" i="23"/>
  <c r="D22" i="23" s="1"/>
  <c r="C106" i="23"/>
  <c r="C75" i="23"/>
  <c r="C67" i="23"/>
  <c r="B110" i="23"/>
  <c r="C13" i="23"/>
  <c r="C59" i="23"/>
  <c r="B73" i="23"/>
  <c r="D73" i="23" s="1"/>
  <c r="C99" i="23"/>
  <c r="C50" i="23"/>
  <c r="B55" i="23"/>
  <c r="B33" i="23"/>
  <c r="D33" i="23" s="1"/>
  <c r="C118" i="23"/>
  <c r="B123" i="23"/>
  <c r="D123" i="23" s="1"/>
  <c r="B94" i="23"/>
  <c r="B37" i="23"/>
  <c r="D37" i="23" s="1"/>
  <c r="B125" i="23"/>
  <c r="D125" i="23" s="1"/>
  <c r="B65" i="23"/>
  <c r="D65" i="23" s="1"/>
  <c r="B100" i="23"/>
  <c r="C101" i="23"/>
  <c r="C78" i="23"/>
  <c r="B67" i="23"/>
  <c r="D67" i="23" s="1"/>
  <c r="C44" i="23"/>
  <c r="C82" i="23"/>
  <c r="B78" i="23"/>
  <c r="D78" i="23" s="1"/>
  <c r="B102" i="23"/>
  <c r="D102" i="23" s="1"/>
  <c r="B49" i="23"/>
  <c r="D49" i="23" s="1"/>
  <c r="B97" i="23"/>
  <c r="C39" i="23"/>
  <c r="C61" i="23"/>
  <c r="B126" i="23"/>
  <c r="D126" i="23" s="1"/>
  <c r="B15" i="23"/>
  <c r="D15" i="23" s="1"/>
  <c r="B54" i="23"/>
  <c r="D54" i="23" s="1"/>
  <c r="B121" i="23"/>
  <c r="B13" i="23"/>
  <c r="D13" i="23" s="1"/>
  <c r="B27" i="23"/>
  <c r="C55" i="23"/>
  <c r="C96" i="23"/>
  <c r="C45" i="23"/>
  <c r="C121" i="23"/>
  <c r="C120" i="23"/>
  <c r="B70" i="23"/>
  <c r="D70" i="23" s="1"/>
  <c r="C100" i="23"/>
  <c r="B104" i="23"/>
  <c r="C86" i="23"/>
  <c r="C85" i="23"/>
  <c r="B64" i="23"/>
  <c r="D64" i="23" s="1"/>
  <c r="B68" i="23"/>
  <c r="D68" i="23" s="1"/>
  <c r="B17" i="23"/>
  <c r="D17" i="23" s="1"/>
  <c r="C97" i="23"/>
  <c r="B35" i="23"/>
  <c r="C87" i="23"/>
  <c r="C104" i="23"/>
  <c r="B38" i="23"/>
  <c r="D38" i="23" s="1"/>
  <c r="B52" i="23"/>
  <c r="D52" i="23" s="1"/>
  <c r="C77" i="23"/>
  <c r="C46" i="23"/>
  <c r="B116" i="23"/>
  <c r="C81" i="23"/>
  <c r="C124" i="23"/>
  <c r="C70" i="23"/>
  <c r="B93" i="23"/>
  <c r="C53" i="23"/>
  <c r="C93" i="23"/>
  <c r="C105" i="23"/>
  <c r="C125" i="23"/>
  <c r="B120" i="23"/>
  <c r="D85" i="18"/>
  <c r="D67" i="18"/>
  <c r="J75" i="18"/>
  <c r="K75" i="18" s="1"/>
  <c r="J53" i="18"/>
  <c r="K53" i="18" s="1"/>
  <c r="J81" i="18"/>
  <c r="K81" i="18" s="1"/>
  <c r="E56" i="18"/>
  <c r="E27" i="18"/>
  <c r="C27" i="18" s="1"/>
  <c r="C40" i="18"/>
  <c r="E42" i="18"/>
  <c r="E50" i="18" s="1"/>
  <c r="E55" i="18"/>
  <c r="E25" i="18"/>
  <c r="E41" i="18"/>
  <c r="C41" i="18" s="1"/>
  <c r="E28" i="18"/>
  <c r="E63" i="18"/>
  <c r="C63" i="18" s="1"/>
  <c r="E58" i="18"/>
  <c r="C58" i="18" s="1"/>
  <c r="E122" i="18"/>
  <c r="C122" i="18" s="1"/>
  <c r="E26" i="18"/>
  <c r="J58" i="18"/>
  <c r="K58" i="18" s="1"/>
  <c r="E121" i="18"/>
  <c r="C121" i="18" s="1"/>
  <c r="J79" i="18"/>
  <c r="K79" i="18" s="1"/>
  <c r="D48" i="21"/>
  <c r="C32" i="21"/>
  <c r="C48" i="21" s="1"/>
  <c r="J54" i="18"/>
  <c r="K54" i="18" s="1"/>
  <c r="J67" i="18"/>
  <c r="K67" i="18" s="1"/>
  <c r="J59" i="18"/>
  <c r="K59" i="18" s="1"/>
  <c r="J33" i="18"/>
  <c r="K33" i="18" s="1"/>
  <c r="D40" i="21"/>
  <c r="C31" i="21"/>
  <c r="C40" i="21" s="1"/>
  <c r="J45" i="18"/>
  <c r="K45" i="18" s="1"/>
  <c r="J43" i="18"/>
  <c r="K43" i="18" s="1"/>
  <c r="J74" i="18"/>
  <c r="K74" i="18" s="1"/>
  <c r="J65" i="18"/>
  <c r="K65" i="18" s="1"/>
  <c r="J82" i="18"/>
  <c r="K82" i="18" s="1"/>
  <c r="J68" i="18"/>
  <c r="K68" i="18" s="1"/>
  <c r="J84" i="18"/>
  <c r="K84" i="18" s="1"/>
  <c r="J83" i="18"/>
  <c r="K83" i="18" s="1"/>
  <c r="J76" i="18"/>
  <c r="K76" i="18" s="1"/>
  <c r="J38" i="18"/>
  <c r="K38" i="18" s="1"/>
  <c r="J64" i="18"/>
  <c r="K64" i="18" s="1"/>
  <c r="J63" i="18"/>
  <c r="K63" i="18" s="1"/>
  <c r="J60" i="18"/>
  <c r="K60" i="18" s="1"/>
  <c r="J77" i="18"/>
  <c r="K77" i="18" s="1"/>
  <c r="J37" i="18"/>
  <c r="K37" i="18" s="1"/>
  <c r="J73" i="18"/>
  <c r="K73" i="18" s="1"/>
  <c r="J31" i="18"/>
  <c r="K31" i="18" s="1"/>
  <c r="J88" i="18"/>
  <c r="K88" i="18" s="1"/>
  <c r="J35" i="18"/>
  <c r="K35" i="18" s="1"/>
  <c r="J40" i="18"/>
  <c r="K40" i="18" s="1"/>
  <c r="D50" i="18"/>
  <c r="J30" i="18"/>
  <c r="K30" i="18" s="1"/>
  <c r="J55" i="18"/>
  <c r="K55" i="18" s="1"/>
  <c r="J87" i="18"/>
  <c r="K87" i="18" s="1"/>
  <c r="J50" i="18"/>
  <c r="K50" i="18" s="1"/>
  <c r="J39" i="18"/>
  <c r="K39" i="18" s="1"/>
  <c r="J57" i="18"/>
  <c r="K57" i="18" s="1"/>
  <c r="J61" i="18"/>
  <c r="K61" i="18" s="1"/>
  <c r="J34" i="18"/>
  <c r="K34" i="18" s="1"/>
  <c r="J56" i="18"/>
  <c r="K56" i="18" s="1"/>
  <c r="D60" i="18"/>
  <c r="D54" i="18"/>
  <c r="D48" i="18"/>
  <c r="J41" i="18"/>
  <c r="K41" i="18" s="1"/>
  <c r="J49" i="18"/>
  <c r="K49" i="18" s="1"/>
  <c r="J44" i="18"/>
  <c r="K44" i="18" s="1"/>
  <c r="J42" i="18"/>
  <c r="K42" i="18" s="1"/>
  <c r="J86" i="18"/>
  <c r="K86" i="18" s="1"/>
  <c r="J78" i="18"/>
  <c r="K78" i="18" s="1"/>
  <c r="D70" i="18"/>
  <c r="D88" i="18"/>
  <c r="J72" i="18"/>
  <c r="K72" i="18" s="1"/>
  <c r="J70" i="18"/>
  <c r="K70" i="18" s="1"/>
  <c r="J62" i="18"/>
  <c r="K62" i="18" s="1"/>
  <c r="J32" i="18"/>
  <c r="K32" i="18" s="1"/>
  <c r="C45" i="21"/>
  <c r="C25" i="18" l="1"/>
  <c r="D113" i="18"/>
  <c r="D118" i="18" s="1"/>
  <c r="D114" i="18"/>
  <c r="D107" i="18"/>
  <c r="D112" i="18"/>
  <c r="D117" i="18" s="1"/>
  <c r="C42" i="18"/>
  <c r="C50" i="18" s="1"/>
  <c r="D51" i="18"/>
  <c r="E59" i="18"/>
  <c r="D66" i="18"/>
  <c r="D56" i="18"/>
  <c r="D61" i="18" s="1"/>
  <c r="D84" i="18"/>
  <c r="E85" i="18"/>
  <c r="E94" i="18" s="1"/>
  <c r="E67" i="18"/>
  <c r="E76" i="18" s="1"/>
  <c r="C55" i="18"/>
  <c r="D93" i="23"/>
  <c r="D29" i="23"/>
  <c r="D86" i="23"/>
  <c r="D81" i="23"/>
  <c r="D51" i="23"/>
  <c r="D59" i="23"/>
  <c r="D101" i="23"/>
  <c r="D99" i="23"/>
  <c r="D106" i="23"/>
  <c r="D103" i="23"/>
  <c r="D79" i="18"/>
  <c r="D105" i="23"/>
  <c r="D46" i="23"/>
  <c r="E107" i="18"/>
  <c r="E114" i="18"/>
  <c r="E119" i="18" s="1"/>
  <c r="E112" i="18"/>
  <c r="E117" i="18" s="1"/>
  <c r="D76" i="18"/>
  <c r="D110" i="23"/>
  <c r="D62" i="23"/>
  <c r="D114" i="23"/>
  <c r="D72" i="23"/>
  <c r="D76" i="23"/>
  <c r="D41" i="23"/>
  <c r="D74" i="23"/>
  <c r="D20" i="23"/>
  <c r="C48" i="18"/>
  <c r="C51" i="18" s="1"/>
  <c r="C60" i="18"/>
  <c r="E123" i="18"/>
  <c r="C28" i="18"/>
  <c r="C123" i="18" s="1"/>
  <c r="E48" i="18"/>
  <c r="E51" i="18" s="1"/>
  <c r="E54" i="18"/>
  <c r="C54" i="18" s="1"/>
  <c r="E60" i="18"/>
  <c r="F12" i="23"/>
  <c r="E13" i="23"/>
  <c r="D119" i="18"/>
  <c r="D94" i="18"/>
  <c r="D104" i="23"/>
  <c r="D27" i="23"/>
  <c r="D97" i="23"/>
  <c r="D24" i="23"/>
  <c r="D118" i="23"/>
  <c r="D28" i="23"/>
  <c r="D132" i="23"/>
  <c r="D58" i="23"/>
  <c r="D90" i="23"/>
  <c r="D84" i="23"/>
  <c r="D119" i="23"/>
  <c r="D129" i="23"/>
  <c r="D127" i="23"/>
  <c r="D18" i="23"/>
  <c r="C26" i="18"/>
  <c r="E88" i="18"/>
  <c r="E97" i="18" s="1"/>
  <c r="E70" i="18"/>
  <c r="E79" i="18" s="1"/>
  <c r="D120" i="23"/>
  <c r="D35" i="23"/>
  <c r="D100" i="23"/>
  <c r="D55" i="23"/>
  <c r="D31" i="23"/>
  <c r="D87" i="23"/>
  <c r="D69" i="23"/>
  <c r="D71" i="23"/>
  <c r="D124" i="23"/>
  <c r="D117" i="23"/>
  <c r="D77" i="23"/>
  <c r="C38" i="21"/>
  <c r="C41" i="21" s="1"/>
  <c r="C47" i="21"/>
  <c r="E113" i="18"/>
  <c r="E118" i="18" s="1"/>
  <c r="D94" i="23"/>
  <c r="D97" i="18"/>
  <c r="D108" i="18"/>
  <c r="D116" i="23"/>
  <c r="D121" i="23"/>
  <c r="D128" i="23"/>
  <c r="D79" i="23"/>
  <c r="D96" i="23"/>
  <c r="D57" i="23"/>
  <c r="D82" i="23"/>
  <c r="D85" i="23"/>
  <c r="D39" i="23"/>
  <c r="D56" i="23"/>
  <c r="D83" i="23"/>
  <c r="D122" i="23"/>
  <c r="D108" i="23"/>
  <c r="D41" i="21"/>
  <c r="C112" i="18" l="1"/>
  <c r="C117" i="18" s="1"/>
  <c r="C85" i="18"/>
  <c r="C94" i="18" s="1"/>
  <c r="E108" i="18"/>
  <c r="C70" i="18"/>
  <c r="C79" i="18" s="1"/>
  <c r="C107" i="18"/>
  <c r="C108" i="18" s="1"/>
  <c r="C88" i="18"/>
  <c r="C97" i="18" s="1"/>
  <c r="C66" i="18"/>
  <c r="C74" i="18" s="1"/>
  <c r="C84" i="18"/>
  <c r="C92" i="18" s="1"/>
  <c r="C114" i="18"/>
  <c r="C119" i="18" s="1"/>
  <c r="E14" i="23"/>
  <c r="F13" i="23"/>
  <c r="D86" i="18"/>
  <c r="D92" i="18"/>
  <c r="C67" i="18"/>
  <c r="C76" i="18" s="1"/>
  <c r="D59" i="18"/>
  <c r="C59" i="18" s="1"/>
  <c r="C56" i="18"/>
  <c r="C61" i="18" s="1"/>
  <c r="C113" i="18"/>
  <c r="C118" i="18" s="1"/>
  <c r="E66" i="18"/>
  <c r="E61" i="18"/>
  <c r="E84" i="18"/>
  <c r="D68" i="18"/>
  <c r="D74" i="18"/>
  <c r="E86" i="18" l="1"/>
  <c r="E89" i="18" s="1"/>
  <c r="E98" i="18" s="1"/>
  <c r="E95" i="18" s="1"/>
  <c r="E92" i="18"/>
  <c r="D71" i="18"/>
  <c r="F14" i="23"/>
  <c r="E15" i="23"/>
  <c r="E74" i="18"/>
  <c r="E68" i="18"/>
  <c r="E71" i="18" s="1"/>
  <c r="E80" i="18" s="1"/>
  <c r="E77" i="18" s="1"/>
  <c r="D89" i="18"/>
  <c r="C86" i="18"/>
  <c r="C71" i="18" l="1"/>
  <c r="C80" i="18" s="1"/>
  <c r="C77" i="18" s="1"/>
  <c r="D80" i="18"/>
  <c r="D77" i="18" s="1"/>
  <c r="E16" i="23"/>
  <c r="F15" i="23"/>
  <c r="C68" i="18"/>
  <c r="D98" i="18"/>
  <c r="D95" i="18" s="1"/>
  <c r="C89" i="18"/>
  <c r="C98" i="18" s="1"/>
  <c r="C95" i="18" s="1"/>
  <c r="E17" i="23" l="1"/>
  <c r="F16" i="23"/>
  <c r="F17" i="23" l="1"/>
  <c r="E18" i="23"/>
  <c r="E19" i="23" l="1"/>
  <c r="F18" i="23"/>
  <c r="E20" i="23" l="1"/>
  <c r="F19" i="23"/>
  <c r="F20" i="23" l="1"/>
  <c r="E21" i="23"/>
  <c r="F21" i="23" l="1"/>
  <c r="E22" i="23"/>
  <c r="F22" i="23" l="1"/>
  <c r="E23" i="23"/>
  <c r="E24" i="23" l="1"/>
  <c r="F23" i="23"/>
  <c r="F24" i="23" l="1"/>
  <c r="E25" i="23"/>
  <c r="F25" i="23" l="1"/>
  <c r="E26" i="23"/>
  <c r="F26" i="23" l="1"/>
  <c r="E27" i="23"/>
  <c r="E28" i="23" l="1"/>
  <c r="F27" i="23"/>
  <c r="F28" i="23" l="1"/>
  <c r="E29" i="23"/>
  <c r="F29" i="23" l="1"/>
  <c r="E30" i="23"/>
  <c r="E31" i="23" l="1"/>
  <c r="F30" i="23"/>
  <c r="F31" i="23" l="1"/>
  <c r="E32" i="23"/>
  <c r="F32" i="23" l="1"/>
  <c r="E33" i="23"/>
  <c r="F33" i="23" l="1"/>
  <c r="E34" i="23"/>
  <c r="E35" i="23" l="1"/>
  <c r="F34" i="23"/>
  <c r="E36" i="23" l="1"/>
  <c r="F35" i="23"/>
  <c r="F36" i="23" l="1"/>
  <c r="E37" i="23"/>
  <c r="F37" i="23" l="1"/>
  <c r="E38" i="23"/>
  <c r="F38" i="23" l="1"/>
  <c r="E39" i="23"/>
  <c r="F39" i="23" l="1"/>
  <c r="E40" i="23"/>
  <c r="F40" i="23" l="1"/>
  <c r="E41" i="23"/>
  <c r="F41" i="23" l="1"/>
  <c r="E42" i="23"/>
  <c r="F42" i="23" l="1"/>
  <c r="E43" i="23"/>
  <c r="E44" i="23" l="1"/>
  <c r="F43" i="23"/>
  <c r="E45" i="23" l="1"/>
  <c r="F44" i="23"/>
  <c r="F45" i="23" l="1"/>
  <c r="E46" i="23"/>
  <c r="F46" i="23" l="1"/>
  <c r="E47" i="23"/>
  <c r="E48" i="23" l="1"/>
  <c r="F47" i="23"/>
  <c r="E49" i="23" l="1"/>
  <c r="F48" i="23"/>
  <c r="E50" i="23" l="1"/>
  <c r="F49" i="23"/>
  <c r="F50" i="23" l="1"/>
  <c r="E51" i="23"/>
  <c r="E52" i="23" l="1"/>
  <c r="F51" i="23"/>
  <c r="E53" i="23" l="1"/>
  <c r="F52" i="23"/>
  <c r="E54" i="23" l="1"/>
  <c r="F53" i="23"/>
  <c r="E55" i="23" l="1"/>
  <c r="F54" i="23"/>
  <c r="E56" i="23" l="1"/>
  <c r="F55" i="23"/>
  <c r="E57" i="23" l="1"/>
  <c r="F56" i="23"/>
  <c r="E58" i="23" l="1"/>
  <c r="F57" i="23"/>
  <c r="F58" i="23" l="1"/>
  <c r="E59" i="23"/>
  <c r="F59" i="23" l="1"/>
  <c r="E60" i="23"/>
  <c r="E61" i="23" l="1"/>
  <c r="F60" i="23"/>
  <c r="F61" i="23" l="1"/>
  <c r="E62" i="23"/>
  <c r="F62" i="23" l="1"/>
  <c r="E63" i="23"/>
  <c r="E64" i="23" l="1"/>
  <c r="F63" i="23"/>
  <c r="E65" i="23" l="1"/>
  <c r="F64" i="23"/>
  <c r="E66" i="23" l="1"/>
  <c r="F65" i="23"/>
  <c r="F66" i="23" l="1"/>
  <c r="E67" i="23"/>
  <c r="E68" i="23" l="1"/>
  <c r="F67" i="23"/>
  <c r="E69" i="23" l="1"/>
  <c r="F68" i="23"/>
  <c r="F69" i="23" l="1"/>
  <c r="E70" i="23"/>
  <c r="F70" i="23" l="1"/>
  <c r="E71" i="23"/>
  <c r="E72" i="23" l="1"/>
  <c r="F71" i="23"/>
  <c r="E73" i="23" l="1"/>
  <c r="F72" i="23"/>
  <c r="E74" i="23" l="1"/>
  <c r="F73" i="23"/>
  <c r="E75" i="23" l="1"/>
  <c r="F74" i="23"/>
  <c r="E76" i="23" l="1"/>
  <c r="F75" i="23"/>
  <c r="E77" i="23" l="1"/>
  <c r="F76" i="23"/>
  <c r="E78" i="23" l="1"/>
  <c r="F77" i="23"/>
  <c r="F78" i="23" l="1"/>
  <c r="E79" i="23"/>
  <c r="E80" i="23" l="1"/>
  <c r="F79" i="23"/>
  <c r="E81" i="23" l="1"/>
  <c r="F80" i="23"/>
  <c r="E82" i="23" l="1"/>
  <c r="F81" i="23"/>
  <c r="F82" i="23" l="1"/>
  <c r="E83" i="23"/>
  <c r="E84" i="23" l="1"/>
  <c r="F83" i="23"/>
  <c r="E85" i="23" l="1"/>
  <c r="F84" i="23"/>
  <c r="F85" i="23" l="1"/>
  <c r="E86" i="23"/>
  <c r="F86" i="23" l="1"/>
  <c r="E87" i="23"/>
  <c r="F87" i="23" l="1"/>
  <c r="E88" i="23"/>
  <c r="F88" i="23" l="1"/>
  <c r="E89" i="23"/>
  <c r="E90" i="23" l="1"/>
  <c r="F89" i="23"/>
  <c r="F90" i="23" l="1"/>
  <c r="E91" i="23"/>
  <c r="E92" i="23" l="1"/>
  <c r="F91" i="23"/>
  <c r="F92" i="23" l="1"/>
  <c r="E93" i="23"/>
  <c r="E94" i="23" l="1"/>
  <c r="F93" i="23"/>
  <c r="E95" i="23" l="1"/>
  <c r="F94" i="23"/>
  <c r="E96" i="23" l="1"/>
  <c r="F95" i="23"/>
  <c r="F96" i="23" l="1"/>
  <c r="E97" i="23"/>
  <c r="F97" i="23" l="1"/>
  <c r="E98" i="23"/>
  <c r="E99" i="23" l="1"/>
  <c r="F98" i="23"/>
  <c r="E100" i="23" l="1"/>
  <c r="F99" i="23"/>
  <c r="F100" i="23" l="1"/>
  <c r="E101" i="23"/>
  <c r="E102" i="23" l="1"/>
  <c r="F101" i="23"/>
  <c r="F102" i="23" l="1"/>
  <c r="E103" i="23"/>
  <c r="F103" i="23" l="1"/>
  <c r="E104" i="23"/>
  <c r="F104" i="23" l="1"/>
  <c r="E105" i="23"/>
  <c r="F105" i="23" l="1"/>
  <c r="E106" i="23"/>
  <c r="E107" i="23" l="1"/>
  <c r="F106" i="23"/>
  <c r="F107" i="23" l="1"/>
  <c r="E108" i="23"/>
  <c r="F108" i="23" l="1"/>
  <c r="E109" i="23"/>
  <c r="E110" i="23" l="1"/>
  <c r="F109" i="23"/>
  <c r="E111" i="23" l="1"/>
  <c r="F110" i="23"/>
  <c r="F111" i="23" l="1"/>
  <c r="E112" i="23"/>
  <c r="F112" i="23" l="1"/>
  <c r="E113" i="23"/>
  <c r="F113" i="23" l="1"/>
  <c r="E114" i="23"/>
  <c r="E115" i="23" l="1"/>
  <c r="F114" i="23"/>
  <c r="F115" i="23" l="1"/>
  <c r="E116" i="23"/>
  <c r="F116" i="23" l="1"/>
  <c r="E117" i="23"/>
  <c r="F117" i="23" l="1"/>
  <c r="E118" i="23"/>
  <c r="F118" i="23" l="1"/>
  <c r="E119" i="23"/>
  <c r="E120" i="23" l="1"/>
  <c r="F119" i="23"/>
  <c r="F120" i="23" l="1"/>
  <c r="E121" i="23"/>
  <c r="E122" i="23" l="1"/>
  <c r="F121" i="23"/>
  <c r="F122" i="23" l="1"/>
  <c r="E123" i="23"/>
  <c r="F123" i="23" l="1"/>
  <c r="E124" i="23"/>
  <c r="F124" i="23" l="1"/>
  <c r="E125" i="23"/>
  <c r="E126" i="23" l="1"/>
  <c r="F125" i="23"/>
  <c r="F126" i="23" l="1"/>
  <c r="E127" i="23"/>
  <c r="E128" i="23" l="1"/>
  <c r="F127" i="23"/>
  <c r="F128" i="23" l="1"/>
  <c r="E129" i="23"/>
  <c r="E130" i="23" l="1"/>
  <c r="F129" i="23"/>
  <c r="F130" i="23" l="1"/>
  <c r="E131" i="23"/>
  <c r="E132" i="23" l="1"/>
  <c r="F132" i="23" s="1"/>
  <c r="F131"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Haberka, Anna</author>
  </authors>
  <commentList>
    <comment ref="B4" authorId="0" shapeId="0" xr:uid="{00000000-0006-0000-0100-000001000000}">
      <text>
        <r>
          <rPr>
            <b/>
            <sz val="9"/>
            <color indexed="81"/>
            <rFont val="Tahoma"/>
            <family val="2"/>
          </rPr>
          <t>Haberka, Anna:</t>
        </r>
        <r>
          <rPr>
            <sz val="9"/>
            <color indexed="81"/>
            <rFont val="Tahoma"/>
            <family val="2"/>
          </rPr>
          <t xml:space="preserve">
Single Premium Products (Non-Leasing)
</t>
        </r>
      </text>
    </comment>
    <comment ref="B32" authorId="0" shapeId="0" xr:uid="{00000000-0006-0000-0100-000002000000}">
      <text>
        <r>
          <rPr>
            <b/>
            <sz val="9"/>
            <color indexed="81"/>
            <rFont val="Tahoma"/>
            <family val="2"/>
          </rPr>
          <t>Haberka, Anna:</t>
        </r>
        <r>
          <rPr>
            <sz val="9"/>
            <color indexed="81"/>
            <rFont val="Tahoma"/>
            <family val="2"/>
          </rPr>
          <t xml:space="preserve">
Products with a Single Premium paid in advance by the Contractor (Leasing)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Haberka, Anna</author>
  </authors>
  <commentList>
    <comment ref="B4" authorId="0" shapeId="0" xr:uid="{00000000-0006-0000-0200-000001000000}">
      <text>
        <r>
          <rPr>
            <b/>
            <sz val="9"/>
            <color indexed="81"/>
            <rFont val="Tahoma"/>
            <family val="2"/>
          </rPr>
          <t>Haberka, Anna:</t>
        </r>
        <r>
          <rPr>
            <sz val="9"/>
            <color indexed="81"/>
            <rFont val="Tahoma"/>
            <family val="2"/>
          </rPr>
          <t xml:space="preserve">
Single Premium Products (Non-Leasing)
</t>
        </r>
      </text>
    </comment>
    <comment ref="B32" authorId="0" shapeId="0" xr:uid="{00000000-0006-0000-0200-000002000000}">
      <text>
        <r>
          <rPr>
            <b/>
            <sz val="9"/>
            <color indexed="81"/>
            <rFont val="Tahoma"/>
            <family val="2"/>
          </rPr>
          <t>Haberka, Anna:</t>
        </r>
        <r>
          <rPr>
            <sz val="9"/>
            <color indexed="81"/>
            <rFont val="Tahoma"/>
            <family val="2"/>
          </rPr>
          <t xml:space="preserve">
Products with a Single Premium paid in advance by the Contractor (Leasing)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Haberka, Anna</author>
    <author>Haberka, Anna (CNP Santander)</author>
  </authors>
  <commentList>
    <comment ref="U4" authorId="0" shapeId="0" xr:uid="{00000000-0006-0000-0400-000001000000}">
      <text>
        <r>
          <rPr>
            <b/>
            <sz val="9"/>
            <color indexed="81"/>
            <rFont val="Tahoma"/>
            <family val="2"/>
          </rPr>
          <t>Haberka, Anna:</t>
        </r>
        <r>
          <rPr>
            <sz val="9"/>
            <color indexed="81"/>
            <rFont val="Tahoma"/>
            <family val="2"/>
          </rPr>
          <t xml:space="preserve">
</t>
        </r>
        <r>
          <rPr>
            <sz val="12"/>
            <color indexed="81"/>
            <rFont val="Tahoma"/>
            <family val="2"/>
          </rPr>
          <t>Cooling off period also know as Withrawal period
The cooling off period for the old products sold prior 22nd February 2016 was initially 30 days and then for different products at differen times was extended to 60 months. Please refer to the old Product Library for details.</t>
        </r>
      </text>
    </comment>
    <comment ref="BD4" authorId="0" shapeId="0" xr:uid="{00000000-0006-0000-0400-000002000000}">
      <text>
        <r>
          <rPr>
            <b/>
            <sz val="9"/>
            <color indexed="81"/>
            <rFont val="Tahoma"/>
            <family val="2"/>
          </rPr>
          <t>Haberka, Anna:</t>
        </r>
        <r>
          <rPr>
            <sz val="9"/>
            <color indexed="81"/>
            <rFont val="Tahoma"/>
            <family val="2"/>
          </rPr>
          <t xml:space="preserve">
</t>
        </r>
        <r>
          <rPr>
            <sz val="11"/>
            <color indexed="81"/>
            <rFont val="Tahoma"/>
            <family val="2"/>
          </rPr>
          <t>Loading as % of taxable premiums issued during the period</t>
        </r>
      </text>
    </comment>
    <comment ref="BE4" authorId="0" shapeId="0" xr:uid="{00000000-0006-0000-0400-000003000000}">
      <text>
        <r>
          <rPr>
            <b/>
            <sz val="9"/>
            <color indexed="81"/>
            <rFont val="Tahoma"/>
            <family val="2"/>
          </rPr>
          <t>Haberka, Anna:</t>
        </r>
        <r>
          <rPr>
            <sz val="9"/>
            <color indexed="81"/>
            <rFont val="Tahoma"/>
            <family val="2"/>
          </rPr>
          <t xml:space="preserve">
 </t>
        </r>
        <r>
          <rPr>
            <sz val="11"/>
            <color indexed="81"/>
            <rFont val="Tahoma"/>
            <family val="2"/>
          </rPr>
          <t xml:space="preserve"> Loading as % of taxable premiums accrued to the period</t>
        </r>
      </text>
    </comment>
    <comment ref="D7" authorId="0" shapeId="0" xr:uid="{00000000-0006-0000-0400-000004000000}">
      <text>
        <r>
          <rPr>
            <b/>
            <sz val="8"/>
            <color indexed="81"/>
            <rFont val="Tahoma"/>
            <family val="2"/>
          </rPr>
          <t>Haberka, Anna:</t>
        </r>
        <r>
          <rPr>
            <sz val="8"/>
            <color indexed="81"/>
            <rFont val="Tahoma"/>
            <family val="2"/>
          </rPr>
          <t xml:space="preserve">
</t>
        </r>
        <r>
          <rPr>
            <sz val="12"/>
            <color indexed="81"/>
            <rFont val="Tahoma"/>
            <family val="2"/>
          </rPr>
          <t xml:space="preserve">CL4FP: This special code was reserved for a subset of CL45P loans provided not by SCB directly but by Finanzia, a controlled company of SCB, immediately closed after few months from beginning of operations.  (Jan 2012)
In the Premium Letters this tariff was given the code: CL45FP
</t>
        </r>
      </text>
    </comment>
    <comment ref="F7" authorId="1" shapeId="0" xr:uid="{00000000-0006-0000-0400-000005000000}">
      <text>
        <r>
          <rPr>
            <b/>
            <sz val="9"/>
            <color indexed="81"/>
            <rFont val="Tahoma"/>
            <family val="2"/>
          </rPr>
          <t>Haberka, Anna (CNP Santander):</t>
        </r>
        <r>
          <rPr>
            <sz val="9"/>
            <color indexed="81"/>
            <rFont val="Tahoma"/>
            <family val="2"/>
          </rPr>
          <t xml:space="preserve">
</t>
        </r>
        <r>
          <rPr>
            <sz val="12"/>
            <color indexed="81"/>
            <rFont val="Tahoma"/>
            <family val="2"/>
          </rPr>
          <t>In IP we use Product code: CL45P</t>
        </r>
      </text>
    </comment>
    <comment ref="D8" authorId="0" shapeId="0" xr:uid="{00000000-0006-0000-0400-000006000000}">
      <text>
        <r>
          <rPr>
            <b/>
            <sz val="8"/>
            <color indexed="81"/>
            <rFont val="Tahoma"/>
            <family val="2"/>
          </rPr>
          <t>Haberka, Anna:</t>
        </r>
        <r>
          <rPr>
            <sz val="8"/>
            <color indexed="81"/>
            <rFont val="Tahoma"/>
            <family val="2"/>
          </rPr>
          <t xml:space="preserve">
</t>
        </r>
        <r>
          <rPr>
            <sz val="12"/>
            <color indexed="81"/>
            <rFont val="Tahoma"/>
            <family val="2"/>
          </rPr>
          <t xml:space="preserve">CL4FP: This special code was reserved for a subset of CL45P loans provided not by SCB directly but by Finanzia, a controlled company of SCB, immediately closed after few months from beginning of operations.  (Jan 2012)
In the Premium Letters this tariff was given the code: CL45FP
</t>
        </r>
      </text>
    </comment>
    <comment ref="F8" authorId="1" shapeId="0" xr:uid="{00000000-0006-0000-0400-000007000000}">
      <text>
        <r>
          <rPr>
            <b/>
            <sz val="9"/>
            <color indexed="81"/>
            <rFont val="Tahoma"/>
            <family val="2"/>
          </rPr>
          <t>Haberka, Anna (CNP Santander):</t>
        </r>
        <r>
          <rPr>
            <sz val="9"/>
            <color indexed="81"/>
            <rFont val="Tahoma"/>
            <family val="2"/>
          </rPr>
          <t xml:space="preserve">
</t>
        </r>
        <r>
          <rPr>
            <sz val="12"/>
            <color indexed="81"/>
            <rFont val="Tahoma"/>
            <family val="2"/>
          </rPr>
          <t>In IP we use Product code: CL45P</t>
        </r>
      </text>
    </comment>
    <comment ref="D11" authorId="0" shapeId="0" xr:uid="{00000000-0006-0000-0400-000008000000}">
      <text>
        <r>
          <rPr>
            <b/>
            <sz val="8"/>
            <color indexed="81"/>
            <rFont val="Tahoma"/>
            <family val="2"/>
          </rPr>
          <t>Haberka, Anna:</t>
        </r>
        <r>
          <rPr>
            <sz val="8"/>
            <color indexed="81"/>
            <rFont val="Tahoma"/>
            <family val="2"/>
          </rPr>
          <t xml:space="preserve">
</t>
        </r>
        <r>
          <rPr>
            <sz val="12"/>
            <color indexed="81"/>
            <rFont val="Tahoma"/>
            <family val="2"/>
          </rPr>
          <t>Offered from  December 2012.</t>
        </r>
      </text>
    </comment>
    <comment ref="D12" authorId="0" shapeId="0" xr:uid="{00000000-0006-0000-0400-000009000000}">
      <text>
        <r>
          <rPr>
            <b/>
            <sz val="8"/>
            <color indexed="81"/>
            <rFont val="Tahoma"/>
            <family val="2"/>
          </rPr>
          <t>Haberka, Anna:</t>
        </r>
        <r>
          <rPr>
            <sz val="8"/>
            <color indexed="81"/>
            <rFont val="Tahoma"/>
            <family val="2"/>
          </rPr>
          <t xml:space="preserve">
</t>
        </r>
        <r>
          <rPr>
            <sz val="12"/>
            <color indexed="81"/>
            <rFont val="Tahoma"/>
            <family val="2"/>
          </rPr>
          <t>Tariff discontinued from 19/05/2014. Instead tariff CL45A will be offered for all duration from 0 to 48 months rather than for durations 24 - 48 months as previously.</t>
        </r>
      </text>
    </comment>
    <comment ref="D13" authorId="0" shapeId="0" xr:uid="{00000000-0006-0000-0400-00000A000000}">
      <text>
        <r>
          <rPr>
            <b/>
            <sz val="8"/>
            <color indexed="81"/>
            <rFont val="Tahoma"/>
            <family val="2"/>
          </rPr>
          <t>Haberka, Anna:</t>
        </r>
        <r>
          <rPr>
            <sz val="8"/>
            <color indexed="81"/>
            <rFont val="Tahoma"/>
            <family val="2"/>
          </rPr>
          <t xml:space="preserve">
</t>
        </r>
        <r>
          <rPr>
            <sz val="12"/>
            <color indexed="81"/>
            <rFont val="Tahoma"/>
            <family val="2"/>
          </rPr>
          <t>From 19/05/2014 this tariff is offered for all duration from 0 to 48 months rather for durations 25 - 48 months as previously.</t>
        </r>
      </text>
    </comment>
    <comment ref="AQ16" authorId="1" shapeId="0" xr:uid="{00000000-0006-0000-0400-00000B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AU16" authorId="1" shapeId="0" xr:uid="{00000000-0006-0000-0400-00000C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BA16" authorId="1" shapeId="0" xr:uid="{00000000-0006-0000-0400-00000D000000}">
      <text>
        <r>
          <rPr>
            <b/>
            <sz val="9"/>
            <color indexed="81"/>
            <rFont val="Tahoma"/>
            <family val="2"/>
          </rPr>
          <t>Haberka, Anna (CNP Santander):</t>
        </r>
        <r>
          <rPr>
            <sz val="9"/>
            <color indexed="81"/>
            <rFont val="Tahoma"/>
            <family val="2"/>
          </rPr>
          <t xml:space="preserve">
</t>
        </r>
        <r>
          <rPr>
            <sz val="12"/>
            <color indexed="81"/>
            <rFont val="Tahoma"/>
            <family val="2"/>
          </rPr>
          <t>The Re Loading Rate for Auto CPI+ products applies firstly from:  01/04/2015 as those products were launched on 15/05/2015. The Reinsurer's Loadings depend on the QS.</t>
        </r>
      </text>
    </comment>
    <comment ref="AQ17" authorId="1" shapeId="0" xr:uid="{00000000-0006-0000-0400-00000E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AU17" authorId="1" shapeId="0" xr:uid="{00000000-0006-0000-0400-00000F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BA17" authorId="1" shapeId="0" xr:uid="{00000000-0006-0000-0400-000010000000}">
      <text>
        <r>
          <rPr>
            <b/>
            <sz val="9"/>
            <color indexed="81"/>
            <rFont val="Tahoma"/>
            <family val="2"/>
          </rPr>
          <t>Haberka, Anna (CNP Santander):</t>
        </r>
        <r>
          <rPr>
            <sz val="9"/>
            <color indexed="81"/>
            <rFont val="Tahoma"/>
            <family val="2"/>
          </rPr>
          <t xml:space="preserve">
</t>
        </r>
        <r>
          <rPr>
            <sz val="12"/>
            <color indexed="81"/>
            <rFont val="Tahoma"/>
            <family val="2"/>
          </rPr>
          <t>The Re Loading Rate for Auto CPI+ products applies firstly from:  01/04/2015 as those products were launched on 15/05/2015. The Reinsurer's Loadings depend on the QS.</t>
        </r>
      </text>
    </comment>
    <comment ref="AQ18" authorId="1" shapeId="0" xr:uid="{00000000-0006-0000-0400-000011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AU18" authorId="1" shapeId="0" xr:uid="{00000000-0006-0000-0400-00001200000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BA18" authorId="1" shapeId="0" xr:uid="{00000000-0006-0000-0400-000013000000}">
      <text>
        <r>
          <rPr>
            <b/>
            <sz val="9"/>
            <color indexed="81"/>
            <rFont val="Tahoma"/>
            <family val="2"/>
          </rPr>
          <t>Haberka, Anna (CNP Santander):</t>
        </r>
        <r>
          <rPr>
            <sz val="9"/>
            <color indexed="81"/>
            <rFont val="Tahoma"/>
            <family val="2"/>
          </rPr>
          <t xml:space="preserve">
</t>
        </r>
        <r>
          <rPr>
            <sz val="12"/>
            <color indexed="81"/>
            <rFont val="Tahoma"/>
            <family val="2"/>
          </rPr>
          <t>The Re Loading Rate for Auto CPI+ products applies firstly from:  01/04/2015 as those products were launched on 15/05/2015. The Reinsurer's Loadings depend on the QS.</t>
        </r>
      </text>
    </comment>
    <comment ref="E19" authorId="0" shapeId="0" xr:uid="{00000000-0006-0000-0400-000014000000}">
      <text>
        <r>
          <rPr>
            <b/>
            <sz val="8"/>
            <color indexed="81"/>
            <rFont val="Tahoma"/>
            <family val="2"/>
          </rPr>
          <t>Haberka, Anna:</t>
        </r>
        <r>
          <rPr>
            <sz val="8"/>
            <color indexed="81"/>
            <rFont val="Tahoma"/>
            <family val="2"/>
          </rPr>
          <t xml:space="preserve">
</t>
        </r>
        <r>
          <rPr>
            <sz val="12"/>
            <color indexed="81"/>
            <rFont val="Tahoma"/>
            <family val="2"/>
          </rPr>
          <t>Durables</t>
        </r>
      </text>
    </comment>
    <comment ref="E20" authorId="0" shapeId="0" xr:uid="{00000000-0006-0000-0400-000015000000}">
      <text>
        <r>
          <rPr>
            <b/>
            <sz val="8"/>
            <color indexed="81"/>
            <rFont val="Tahoma"/>
            <family val="2"/>
          </rPr>
          <t>Haberka, Anna:</t>
        </r>
        <r>
          <rPr>
            <sz val="8"/>
            <color indexed="81"/>
            <rFont val="Tahoma"/>
            <family val="2"/>
          </rPr>
          <t xml:space="preserve">
</t>
        </r>
        <r>
          <rPr>
            <sz val="12"/>
            <color indexed="81"/>
            <rFont val="Tahoma"/>
            <family val="2"/>
          </rPr>
          <t>Durables</t>
        </r>
      </text>
    </comment>
    <comment ref="E21" authorId="0" shapeId="0" xr:uid="{00000000-0006-0000-0400-000016000000}">
      <text>
        <r>
          <rPr>
            <b/>
            <sz val="8"/>
            <color indexed="81"/>
            <rFont val="Tahoma"/>
            <family val="2"/>
          </rPr>
          <t>Haberka, Anna:</t>
        </r>
        <r>
          <rPr>
            <sz val="8"/>
            <color indexed="81"/>
            <rFont val="Tahoma"/>
            <family val="2"/>
          </rPr>
          <t xml:space="preserve">
</t>
        </r>
        <r>
          <rPr>
            <sz val="12"/>
            <color indexed="81"/>
            <rFont val="Tahoma"/>
            <family val="2"/>
          </rPr>
          <t>Durables</t>
        </r>
      </text>
    </comment>
    <comment ref="X24" authorId="0" shapeId="0" xr:uid="{00000000-0006-0000-0400-000017000000}">
      <text>
        <r>
          <rPr>
            <b/>
            <sz val="8"/>
            <color indexed="81"/>
            <rFont val="Tahoma"/>
            <family val="2"/>
          </rPr>
          <t>Haberka, Anna:</t>
        </r>
        <r>
          <rPr>
            <sz val="8"/>
            <color indexed="81"/>
            <rFont val="Tahoma"/>
            <family val="2"/>
          </rPr>
          <t xml:space="preserve">
</t>
        </r>
        <r>
          <rPr>
            <sz val="11"/>
            <color indexed="81"/>
            <rFont val="Tahoma"/>
            <family val="2"/>
          </rPr>
          <t xml:space="preserve">T&amp;C (and Cardif from which t&amp;c are taken) are not imposing a minimum entry age for CL Senior. So the customer 64Yrs of age willing to take a loan for 120 months will be allowed to take it and be insured under  one of the Senior tariffs.
It is insurable the physical person whose age, at the moment of the adhesion is not over 70 years and, at the expiration of the financing is below 75 years.
This is evident in Art. 2 of terms and conditions, here below shown in Italian
Art. 2. Persone assicurabili e adesione alla copertura assicurativa
È assicurabile la persona fisica, di età, al momento dell’adesione, non superiore ai 70 (settanta) anni e che, alla scadenza del Finanziamento sottoscritto
dall’Aderente e concesso dalla Contraente non abbia ancora compiuto il 75° (settantacinquesimo) anno di età. 
Internally, we always referred to this product as “over 65” but the check of 65 as minimum age at entry is not a parameter 
</t>
        </r>
        <r>
          <rPr>
            <u/>
            <sz val="11"/>
            <color indexed="81"/>
            <rFont val="Tahoma"/>
            <family val="2"/>
          </rPr>
          <t xml:space="preserve">The checks are: </t>
        </r>
        <r>
          <rPr>
            <sz val="11"/>
            <color indexed="81"/>
            <rFont val="Tahoma"/>
            <family val="2"/>
          </rPr>
          <t xml:space="preserve">
Max Age at Inception 70 
Max Age at expiry 75
However, as per e-mail from Marcello Bonelli (Santander Insurance) dated 20/09/2012:
</t>
        </r>
        <r>
          <rPr>
            <b/>
            <u/>
            <sz val="11"/>
            <color indexed="81"/>
            <rFont val="Tahoma"/>
            <family val="2"/>
          </rPr>
          <t>The minimum entry age of 60</t>
        </r>
        <r>
          <rPr>
            <u/>
            <sz val="11"/>
            <color indexed="81"/>
            <rFont val="Tahoma"/>
            <family val="2"/>
          </rPr>
          <t xml:space="preserve"> is a control the bank already started </t>
        </r>
        <r>
          <rPr>
            <sz val="11"/>
            <color indexed="81"/>
            <rFont val="Tahoma"/>
            <family val="2"/>
          </rPr>
          <t xml:space="preserve">at the beginning of the sale of CL senior to avoid losing too much commission. 
This was confirmed today by Mirko Camatel of SCB Insurance dept and guarantees us CL senior not to be distributed to the standard clients.
</t>
        </r>
      </text>
    </comment>
    <comment ref="X25" authorId="0" shapeId="0" xr:uid="{00000000-0006-0000-0400-000018000000}">
      <text>
        <r>
          <rPr>
            <b/>
            <sz val="8"/>
            <color indexed="81"/>
            <rFont val="Tahoma"/>
            <family val="2"/>
          </rPr>
          <t>Haberka, Anna:</t>
        </r>
        <r>
          <rPr>
            <sz val="8"/>
            <color indexed="81"/>
            <rFont val="Tahoma"/>
            <family val="2"/>
          </rPr>
          <t xml:space="preserve">
</t>
        </r>
        <r>
          <rPr>
            <sz val="11"/>
            <color indexed="81"/>
            <rFont val="Tahoma"/>
            <family val="2"/>
          </rPr>
          <t xml:space="preserve">T&amp;C (and Cardif from which t&amp;c are taken) are not imposing a minimum entry age for CL Senior. So the customer 64Yrs of age willing to take a loan for 120 months will be allowed to take it and be insured under  one of the Senior tariffs.
It is insurable the physical person whose age, at the moment of the adhesion is not over 70 years and, at the expiration of the financing is below 75 years.
This is evident in Art. 2 of terms and conditions, here below shown in Italian
Art. 2. Persone assicurabili e adesione alla copertura assicurativa
È assicurabile la persona fisica, di età, al momento dell’adesione, non superiore ai 70 (settanta) anni e che, alla scadenza del Finanziamento sottoscritto
dall’Aderente e concesso dalla Contraente non abbia ancora compiuto il 75° (settantacinquesimo) anno di età. 
Internally, we always referred to this product as “over 65” but the check of 65 as minimum age at entry is not a parameter 
</t>
        </r>
        <r>
          <rPr>
            <u/>
            <sz val="11"/>
            <color indexed="81"/>
            <rFont val="Tahoma"/>
            <family val="2"/>
          </rPr>
          <t xml:space="preserve">The checks are: </t>
        </r>
        <r>
          <rPr>
            <sz val="11"/>
            <color indexed="81"/>
            <rFont val="Tahoma"/>
            <family val="2"/>
          </rPr>
          <t xml:space="preserve">
Max Age at Inception 70 
Max Age at expiry 75
However, as per e-mail from Marcello Bonelli (Santander Insurance) dated 20/09/2012:
</t>
        </r>
        <r>
          <rPr>
            <b/>
            <u/>
            <sz val="11"/>
            <color indexed="81"/>
            <rFont val="Tahoma"/>
            <family val="2"/>
          </rPr>
          <t>The minimum entry age of 60</t>
        </r>
        <r>
          <rPr>
            <u/>
            <sz val="11"/>
            <color indexed="81"/>
            <rFont val="Tahoma"/>
            <family val="2"/>
          </rPr>
          <t xml:space="preserve"> is a control the bank already started </t>
        </r>
        <r>
          <rPr>
            <sz val="11"/>
            <color indexed="81"/>
            <rFont val="Tahoma"/>
            <family val="2"/>
          </rPr>
          <t xml:space="preserve">at the beginning of the sale of CL senior to avoid losing too much commission. 
This was confirmed today by Mirko Camatel of SCB Insurance dept and guarantees us CL senior not to be distributed to the standard clients.
</t>
        </r>
      </text>
    </comment>
    <comment ref="BW26" authorId="0" shapeId="0" xr:uid="{00000000-0006-0000-0400-000019000000}">
      <text>
        <r>
          <rPr>
            <b/>
            <sz val="9"/>
            <color indexed="81"/>
            <rFont val="Tahoma"/>
            <family val="2"/>
          </rPr>
          <t>Haberka, Anna:</t>
        </r>
        <r>
          <rPr>
            <sz val="9"/>
            <color indexed="81"/>
            <rFont val="Tahoma"/>
            <family val="2"/>
          </rPr>
          <t xml:space="preserve">
</t>
        </r>
        <r>
          <rPr>
            <sz val="11"/>
            <color indexed="81"/>
            <rFont val="Tahoma"/>
            <family val="2"/>
          </rPr>
          <t>Loading as % of taxable premiums issued during the period</t>
        </r>
      </text>
    </comment>
    <comment ref="BX26" authorId="0" shapeId="0" xr:uid="{00000000-0006-0000-0400-00001A000000}">
      <text>
        <r>
          <rPr>
            <b/>
            <sz val="9"/>
            <color indexed="81"/>
            <rFont val="Tahoma"/>
            <family val="2"/>
          </rPr>
          <t>Haberka, Anna:</t>
        </r>
        <r>
          <rPr>
            <sz val="9"/>
            <color indexed="81"/>
            <rFont val="Tahoma"/>
            <family val="2"/>
          </rPr>
          <t xml:space="preserve">
 </t>
        </r>
        <r>
          <rPr>
            <sz val="11"/>
            <color indexed="81"/>
            <rFont val="Tahoma"/>
            <family val="2"/>
          </rPr>
          <t xml:space="preserve"> Loading as % of taxable premiums accrued to the period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Haberka, Anna (CNP Santander)</author>
    <author>Haberka, Anna</author>
  </authors>
  <commentList>
    <comment ref="B11" authorId="0" shapeId="0" xr:uid="{00000000-0006-0000-0500-000001000000}">
      <text>
        <r>
          <rPr>
            <b/>
            <sz val="9"/>
            <color indexed="81"/>
            <rFont val="Tahoma"/>
            <family val="2"/>
          </rPr>
          <t>Haberka, Anna (CNP Santander):</t>
        </r>
        <r>
          <rPr>
            <sz val="9"/>
            <color indexed="81"/>
            <rFont val="Tahoma"/>
            <family val="2"/>
          </rPr>
          <t xml:space="preserve">
</t>
        </r>
        <r>
          <rPr>
            <sz val="12"/>
            <color indexed="81"/>
            <rFont val="Tahoma"/>
            <family val="2"/>
          </rPr>
          <t>This date shall remain unchanged even if the customer repaid partially the loan earlier and shortened the duration. This field always shall reflect the original exparation/ end date of the original policy</t>
        </r>
        <r>
          <rPr>
            <sz val="9"/>
            <color indexed="81"/>
            <rFont val="Tahoma"/>
            <family val="2"/>
          </rPr>
          <t>.</t>
        </r>
      </text>
    </comment>
    <comment ref="B12" authorId="0" shapeId="0" xr:uid="{00000000-0006-0000-0500-000002000000}">
      <text>
        <r>
          <rPr>
            <b/>
            <sz val="9"/>
            <color indexed="81"/>
            <rFont val="Tahoma"/>
            <family val="2"/>
          </rPr>
          <t>Haberka, Anna (CNP Santander):</t>
        </r>
        <r>
          <rPr>
            <sz val="9"/>
            <color indexed="81"/>
            <rFont val="Tahoma"/>
            <family val="2"/>
          </rPr>
          <t xml:space="preserve">
In case of:
1) </t>
        </r>
        <r>
          <rPr>
            <b/>
            <sz val="9"/>
            <color indexed="81"/>
            <rFont val="Tahoma"/>
            <family val="2"/>
          </rPr>
          <t>Standdard early Termination</t>
        </r>
        <r>
          <rPr>
            <sz val="9"/>
            <color indexed="81"/>
            <rFont val="Tahoma"/>
            <family val="2"/>
          </rPr>
          <t xml:space="preserve">: use the early Termiantion date
2) </t>
        </r>
        <r>
          <rPr>
            <b/>
            <sz val="9"/>
            <color indexed="81"/>
            <rFont val="Tahoma"/>
            <family val="2"/>
          </rPr>
          <t>Partial Cancelaltion</t>
        </r>
        <r>
          <rPr>
            <sz val="9"/>
            <color indexed="81"/>
            <rFont val="Tahoma"/>
            <family val="2"/>
          </rPr>
          <t xml:space="preserve">: use the Partial Cancellation date (e.g. date of 1st or 2nd or 3rd Partial cancelaltion)
3) </t>
        </r>
        <r>
          <rPr>
            <b/>
            <sz val="9"/>
            <color indexed="81"/>
            <rFont val="Tahoma"/>
            <family val="2"/>
          </rPr>
          <t>Full Early Termination following previous Partial Cancelaltion(s)</t>
        </r>
        <r>
          <rPr>
            <sz val="9"/>
            <color indexed="81"/>
            <rFont val="Tahoma"/>
            <family val="2"/>
          </rPr>
          <t>: use the date of the Full Early Termination after all rpevious Partial Cancellations.</t>
        </r>
      </text>
    </comment>
    <comment ref="B13" authorId="1" shapeId="0" xr:uid="{00000000-0006-0000-0500-00000300000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Prmeium</t>
        </r>
      </text>
    </comment>
    <comment ref="B14" authorId="0" shapeId="0" xr:uid="{00000000-0006-0000-0500-000004000000}">
      <text>
        <r>
          <rPr>
            <b/>
            <sz val="9"/>
            <color indexed="81"/>
            <rFont val="Tahoma"/>
            <family val="2"/>
          </rPr>
          <t>Haberka, Anna (CNP Santander):</t>
        </r>
        <r>
          <rPr>
            <sz val="9"/>
            <color indexed="81"/>
            <rFont val="Tahoma"/>
            <family val="2"/>
          </rPr>
          <t xml:space="preserve">
</t>
        </r>
        <r>
          <rPr>
            <sz val="12"/>
            <color indexed="81"/>
            <rFont val="Tahoma"/>
            <family val="2"/>
          </rPr>
          <t xml:space="preserve">In case of:
1) </t>
        </r>
        <r>
          <rPr>
            <b/>
            <sz val="12"/>
            <color indexed="81"/>
            <rFont val="Tahoma"/>
            <family val="2"/>
          </rPr>
          <t>Standard Early Termination (ET)</t>
        </r>
        <r>
          <rPr>
            <sz val="12"/>
            <color indexed="81"/>
            <rFont val="Tahoma"/>
            <family val="2"/>
          </rPr>
          <t xml:space="preserve">: use the Outstanding Balance at time of the ET;
2) </t>
        </r>
        <r>
          <rPr>
            <b/>
            <sz val="12"/>
            <color indexed="81"/>
            <rFont val="Tahoma"/>
            <family val="2"/>
          </rPr>
          <t>1st Partial Cancellation</t>
        </r>
        <r>
          <rPr>
            <sz val="12"/>
            <color indexed="81"/>
            <rFont val="Tahoma"/>
            <family val="2"/>
          </rPr>
          <t xml:space="preserve">: use the Outstanding Balance right before 1st Partial Cancellation;
3) </t>
        </r>
        <r>
          <rPr>
            <b/>
            <sz val="12"/>
            <color indexed="81"/>
            <rFont val="Tahoma"/>
            <family val="2"/>
          </rPr>
          <t>Consecutive Partial Cancellation</t>
        </r>
        <r>
          <rPr>
            <sz val="12"/>
            <color indexed="81"/>
            <rFont val="Tahoma"/>
            <family val="2"/>
          </rPr>
          <t xml:space="preserve"> (e.g. 2nd, 3rd Partial Cancelaltion): use the Outstanding Balance at time of this particular partial Cancelaltion (e.g. 2nd Partial Cancellation)
4)</t>
        </r>
        <r>
          <rPr>
            <b/>
            <sz val="12"/>
            <color indexed="81"/>
            <rFont val="Tahoma"/>
            <family val="2"/>
          </rPr>
          <t xml:space="preserve"> Full Early Termination following previous Partial Cancelaltion: </t>
        </r>
        <r>
          <rPr>
            <sz val="12"/>
            <color indexed="81"/>
            <rFont val="Tahoma"/>
            <family val="2"/>
          </rPr>
          <t>ALWAYS use the Outstanding Balance at the time of 1st Partial Cancellation (regardless, how many Partial Cancelaltion there were befor the Full ET.  In other words, even if there should be 3 Partial Cancelaltions followed by the Full ET after all those Partial Cancellation use the amount corresponding to the Outstanding Balance at the time (just before) 1st Partial Cancellation.</t>
        </r>
        <r>
          <rPr>
            <b/>
            <sz val="12"/>
            <color indexed="81"/>
            <rFont val="Tahoma"/>
            <family val="2"/>
          </rPr>
          <t xml:space="preserve">
</t>
        </r>
      </text>
    </comment>
    <comment ref="B15" authorId="0" shapeId="0" xr:uid="{00000000-0006-0000-0500-000005000000}">
      <text>
        <r>
          <rPr>
            <b/>
            <sz val="9"/>
            <color indexed="81"/>
            <rFont val="Tahoma"/>
            <family val="2"/>
          </rPr>
          <t>Haberka, Anna (CNP Santander):</t>
        </r>
        <r>
          <rPr>
            <sz val="9"/>
            <color indexed="81"/>
            <rFont val="Tahoma"/>
            <family val="2"/>
          </rPr>
          <t xml:space="preserve">
</t>
        </r>
        <r>
          <rPr>
            <sz val="12"/>
            <color indexed="81"/>
            <rFont val="Tahoma"/>
            <family val="2"/>
          </rPr>
          <t>To be used only in case of the Ful Early Termination following previous Partial Cancelaltion(s). In other cases set to zero.</t>
        </r>
      </text>
    </comment>
    <comment ref="B16" authorId="0" shapeId="0" xr:uid="{00000000-0006-0000-0500-000006000000}">
      <text>
        <r>
          <rPr>
            <b/>
            <sz val="9"/>
            <color indexed="81"/>
            <rFont val="Tahoma"/>
            <family val="2"/>
          </rPr>
          <t>Haberka, Anna (CNP Santander):</t>
        </r>
        <r>
          <rPr>
            <sz val="9"/>
            <color indexed="81"/>
            <rFont val="Tahoma"/>
            <family val="2"/>
          </rPr>
          <t xml:space="preserve">
</t>
        </r>
        <r>
          <rPr>
            <sz val="12"/>
            <color indexed="81"/>
            <rFont val="Tahoma"/>
            <family val="2"/>
          </rPr>
          <t xml:space="preserve">Loan Amount which the end customer repaid quicker at the time of this particular Partial Cancellation only.
E.g. if the customer should repay on a monthly basis €500 but repays €3500 it means that he/she repaid quicker €3000.
</t>
        </r>
      </text>
    </comment>
    <comment ref="B30" authorId="1" shapeId="0" xr:uid="{00000000-0006-0000-0500-000007000000}">
      <text>
        <r>
          <rPr>
            <b/>
            <sz val="8"/>
            <color indexed="81"/>
            <rFont val="Tahoma"/>
            <family val="2"/>
          </rPr>
          <t>Haberka, Anna:</t>
        </r>
        <r>
          <rPr>
            <sz val="8"/>
            <color indexed="81"/>
            <rFont val="Tahoma"/>
            <family val="2"/>
          </rPr>
          <t xml:space="preserve">
Early Termination cost</t>
        </r>
      </text>
    </comment>
    <comment ref="B60" authorId="0" shapeId="0" xr:uid="{00000000-0006-0000-0500-000008000000}">
      <text>
        <r>
          <rPr>
            <b/>
            <sz val="9"/>
            <color indexed="81"/>
            <rFont val="Tahoma"/>
            <family val="2"/>
          </rPr>
          <t>Haberka, Anna (CNP Santander):</t>
        </r>
        <r>
          <rPr>
            <sz val="9"/>
            <color indexed="81"/>
            <rFont val="Tahoma"/>
            <family val="2"/>
          </rPr>
          <t xml:space="preserve">
</t>
        </r>
        <r>
          <rPr>
            <sz val="12"/>
            <color indexed="81"/>
            <rFont val="Tahoma"/>
            <family val="2"/>
          </rPr>
          <t>To be used to calcullate the Early Termination refund after charging the customer with the Early Termination Fees, where the customer never mad any partial cancelaltion on the existing policy.</t>
        </r>
      </text>
    </comment>
    <comment ref="B64" authorId="0" shapeId="0" xr:uid="{00000000-0006-0000-0500-000009000000}">
      <text>
        <r>
          <rPr>
            <b/>
            <sz val="9"/>
            <color indexed="81"/>
            <rFont val="Tahoma"/>
            <family val="2"/>
          </rPr>
          <t>Haberka, Anna (CNP Santander):</t>
        </r>
        <r>
          <rPr>
            <sz val="9"/>
            <color indexed="81"/>
            <rFont val="Tahoma"/>
            <family val="2"/>
          </rPr>
          <t xml:space="preserve">
</t>
        </r>
        <r>
          <rPr>
            <sz val="12"/>
            <color indexed="81"/>
            <rFont val="Tahoma"/>
            <family val="2"/>
          </rPr>
          <t>To be used for 1st, 2nd, 3rd, 4th etc. Partial Cancelaltion</t>
        </r>
      </text>
    </comment>
    <comment ref="B73" authorId="0" shapeId="0" xr:uid="{00000000-0006-0000-0500-00000A000000}">
      <text>
        <r>
          <rPr>
            <b/>
            <sz val="9"/>
            <color indexed="81"/>
            <rFont val="Tahoma"/>
            <family val="2"/>
          </rPr>
          <t>Haberka, Anna (CNP Santander):</t>
        </r>
        <r>
          <rPr>
            <sz val="9"/>
            <color indexed="81"/>
            <rFont val="Tahoma"/>
            <family val="2"/>
          </rPr>
          <t xml:space="preserve">
</t>
        </r>
        <r>
          <rPr>
            <sz val="14"/>
            <color indexed="81"/>
            <rFont val="Tahoma"/>
            <family val="2"/>
          </rPr>
          <t>CNPSI decided to waive the ET charges in case of Partial Cancellations. The ET fees shall only be charged at time of the full Early Termination of the policy.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Haberka, Anna</author>
  </authors>
  <commentList>
    <comment ref="B13" authorId="0" shapeId="0" xr:uid="{00000000-0006-0000-0600-00000100000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Prmeium</t>
        </r>
      </text>
    </comment>
    <comment ref="B20" authorId="0" shapeId="0" xr:uid="{00000000-0006-0000-0600-000002000000}">
      <text>
        <r>
          <rPr>
            <b/>
            <sz val="8"/>
            <color indexed="81"/>
            <rFont val="Tahoma"/>
            <family val="2"/>
          </rPr>
          <t>Haberka, Anna:</t>
        </r>
        <r>
          <rPr>
            <sz val="8"/>
            <color indexed="81"/>
            <rFont val="Tahoma"/>
            <family val="2"/>
          </rPr>
          <t xml:space="preserve">
Early Termination cost</t>
        </r>
      </text>
    </comment>
  </commentList>
</comments>
</file>

<file path=xl/sharedStrings.xml><?xml version="1.0" encoding="utf-8"?>
<sst xmlns="http://schemas.openxmlformats.org/spreadsheetml/2006/main" count="2283" uniqueCount="785">
  <si>
    <t>Costs</t>
  </si>
  <si>
    <t>Life</t>
  </si>
  <si>
    <t>Non-Life</t>
  </si>
  <si>
    <t>Insured amount:</t>
  </si>
  <si>
    <t>Personal Loan informations:</t>
  </si>
  <si>
    <t>Rules for reimbursement</t>
  </si>
  <si>
    <t>Definitions:</t>
  </si>
  <si>
    <t>with:</t>
  </si>
  <si>
    <t>with</t>
  </si>
  <si>
    <t>Subscription date:</t>
  </si>
  <si>
    <t>Senior</t>
  </si>
  <si>
    <t>Leasing</t>
  </si>
  <si>
    <t>where:</t>
  </si>
  <si>
    <r>
      <rPr>
        <b/>
        <sz val="11"/>
        <rFont val="Calibri"/>
        <family val="2"/>
      </rPr>
      <t>Residual duration in months</t>
    </r>
    <r>
      <rPr>
        <sz val="11"/>
        <rFont val="Calibri"/>
        <family val="2"/>
      </rPr>
      <t xml:space="preserve"> = Initial Duration in months - ((Date of the Early Termination - Start date of the cover)/365.25)*12</t>
    </r>
  </si>
  <si>
    <r>
      <rPr>
        <b/>
        <sz val="11"/>
        <rFont val="Calibri"/>
        <family val="2"/>
      </rPr>
      <t xml:space="preserve">Initial Duration in months </t>
    </r>
    <r>
      <rPr>
        <sz val="11"/>
        <rFont val="Calibri"/>
        <family val="2"/>
      </rPr>
      <t>= ((Start Date of the Cover - End date of the cover)/365.25)*12</t>
    </r>
  </si>
  <si>
    <t xml:space="preserve"> </t>
  </si>
  <si>
    <t xml:space="preserve">δ </t>
  </si>
  <si>
    <r>
      <t>ε</t>
    </r>
    <r>
      <rPr>
        <sz val="12"/>
        <color indexed="8"/>
        <rFont val="Arial Narrow"/>
        <family val="2"/>
      </rPr>
      <t xml:space="preserve"> </t>
    </r>
  </si>
  <si>
    <t>ET Refund</t>
  </si>
  <si>
    <t>if t ≤ p</t>
  </si>
  <si>
    <t>if t &gt; p</t>
  </si>
  <si>
    <t>εc</t>
  </si>
  <si>
    <t>Reimbursements following the formula in the Annex to the Distribution Agreement</t>
  </si>
  <si>
    <t>Product Map</t>
  </si>
  <si>
    <t>ITALY</t>
  </si>
  <si>
    <t>currently there is NO Tax on Life covers in Italy</t>
  </si>
  <si>
    <t>Final Premium to the Customer</t>
  </si>
  <si>
    <t>Channel</t>
  </si>
  <si>
    <t>PRODUCT NAME (for TPA: CBP)</t>
  </si>
  <si>
    <t>Employment Status for Policy</t>
  </si>
  <si>
    <t>Life Policy No</t>
  </si>
  <si>
    <t>Non-Life Policy No</t>
  </si>
  <si>
    <t>Total Premium (incl. tax)</t>
  </si>
  <si>
    <t>Life Premium</t>
  </si>
  <si>
    <t>Non-Life Premium (incl. tax)</t>
  </si>
  <si>
    <t>Tax on Life business</t>
  </si>
  <si>
    <t>Tax on Non-Life business</t>
  </si>
  <si>
    <t>Premium Frequency</t>
  </si>
  <si>
    <t>Base Commission (Distribution)</t>
  </si>
  <si>
    <t>Over-Commission (Distribution)</t>
  </si>
  <si>
    <t>Tax on Commission</t>
  </si>
  <si>
    <t>Duration (typical)</t>
  </si>
  <si>
    <t>Max. Duration</t>
  </si>
  <si>
    <t>Cooling Off Period</t>
  </si>
  <si>
    <t>Cooling Off Refund</t>
  </si>
  <si>
    <t>Right to Cancel Policy</t>
  </si>
  <si>
    <t>Min Entry Age</t>
  </si>
  <si>
    <t>Max Entry Age</t>
  </si>
  <si>
    <t>Max Age Expiry</t>
  </si>
  <si>
    <t>Max Loan</t>
  </si>
  <si>
    <t>All covers</t>
  </si>
  <si>
    <t>Total ET cost per LIFE part of policy</t>
  </si>
  <si>
    <t>Total ET cost per Non-LIFE part of policy</t>
  </si>
  <si>
    <t>Total Early Termination Charge per policy</t>
  </si>
  <si>
    <t>LIFE: ET fees (SCB's part)</t>
  </si>
  <si>
    <t>LIFE: ET fees (CNP SI 's part)</t>
  </si>
  <si>
    <t>Non-LIFE: ET fees (SCB's part)</t>
  </si>
  <si>
    <t>Non-LIFE: ET fees (CNP SI 's part)</t>
  </si>
  <si>
    <t>Death</t>
  </si>
  <si>
    <t>PTD</t>
  </si>
  <si>
    <t>Acc Death</t>
  </si>
  <si>
    <t>Life (Net Tax)</t>
  </si>
  <si>
    <t>Life Price (incl. tax)</t>
  </si>
  <si>
    <t>TTD net Tax</t>
  </si>
  <si>
    <t>IU net tax</t>
  </si>
  <si>
    <t>Non-Life (Net Tax)</t>
  </si>
  <si>
    <t>TTD incl. tax</t>
  </si>
  <si>
    <t>IU incl. tax</t>
  </si>
  <si>
    <t>Non-Life incl. tax</t>
  </si>
  <si>
    <t>Total Price (Incl. tax)</t>
  </si>
  <si>
    <t>Personal</t>
  </si>
  <si>
    <t>CL45P1A</t>
  </si>
  <si>
    <t>CL45P1A Personal Loan</t>
  </si>
  <si>
    <t>45P1A</t>
  </si>
  <si>
    <t>CL45P2A</t>
  </si>
  <si>
    <t>PERSONAL LOAN CPI 4.5%</t>
  </si>
  <si>
    <t>45P2A</t>
  </si>
  <si>
    <t>Private Sector Employees</t>
  </si>
  <si>
    <t>0105/28</t>
  </si>
  <si>
    <t>0105/29</t>
  </si>
  <si>
    <t>Single Premium</t>
  </si>
  <si>
    <t>Till 31/12/2012: 4.6%
From 01/01/2013: 0%</t>
  </si>
  <si>
    <t>0-24mths</t>
  </si>
  <si>
    <t>120mths</t>
  </si>
  <si>
    <t>60 days</t>
  </si>
  <si>
    <t>100% Premium net of tax (2.5% on Non-Life premium)</t>
  </si>
  <si>
    <t>On repayment of loan or change in employment status</t>
  </si>
  <si>
    <t>D, PTD, IU</t>
  </si>
  <si>
    <t>CL45P1B</t>
  </si>
  <si>
    <t>CL45P1B Personal Loan</t>
  </si>
  <si>
    <t>45P1B</t>
  </si>
  <si>
    <t>CL45P2B</t>
  </si>
  <si>
    <t>45P2B</t>
  </si>
  <si>
    <t>Public Sector/Self Employed/Non-Workers</t>
  </si>
  <si>
    <t>0106/28</t>
  </si>
  <si>
    <t>0106/29</t>
  </si>
  <si>
    <t>Till 31/12/2012: 4.6% 
From 01/01/2013: 0%</t>
  </si>
  <si>
    <t>On repayment of loan.</t>
  </si>
  <si>
    <t>D, PTD, AD, TD</t>
  </si>
  <si>
    <t>CL60P1A</t>
  </si>
  <si>
    <t>CL60P1A Personal Loan</t>
  </si>
  <si>
    <t>60P1A</t>
  </si>
  <si>
    <t>CL60P2A</t>
  </si>
  <si>
    <t>PERSONAL LOAN CPI 6.0%</t>
  </si>
  <si>
    <t>60P2A</t>
  </si>
  <si>
    <t>25-36mths</t>
  </si>
  <si>
    <t>CL60P1B</t>
  </si>
  <si>
    <t>CL60P1B Personal Loan</t>
  </si>
  <si>
    <t>60P1B</t>
  </si>
  <si>
    <t>CL60P2B</t>
  </si>
  <si>
    <t>60P2B</t>
  </si>
  <si>
    <t>CL80P1A</t>
  </si>
  <si>
    <t>CL80P1A Personal Loan</t>
  </si>
  <si>
    <t>80P1A</t>
  </si>
  <si>
    <t>CL80P2A</t>
  </si>
  <si>
    <t>PERSONAL LOAN CPI 8.0%</t>
  </si>
  <si>
    <t>80P2A</t>
  </si>
  <si>
    <t>37-79mths</t>
  </si>
  <si>
    <t>CL80P1B</t>
  </si>
  <si>
    <t>CL80P1B Personal Loan</t>
  </si>
  <si>
    <t>80P1B</t>
  </si>
  <si>
    <t>CL80P2B</t>
  </si>
  <si>
    <t>80P2B</t>
  </si>
  <si>
    <t>CL10P1A</t>
  </si>
  <si>
    <t>CL10P1A Personal Loan</t>
  </si>
  <si>
    <t>10P1A</t>
  </si>
  <si>
    <t>CL10P2A</t>
  </si>
  <si>
    <t>CPI PERSONAL LOANS 10%</t>
  </si>
  <si>
    <t>10P2A</t>
  </si>
  <si>
    <t>80-120mths</t>
  </si>
  <si>
    <t>CL10P1B</t>
  </si>
  <si>
    <t>CL10P1B Personal Loan</t>
  </si>
  <si>
    <t>10P1B</t>
  </si>
  <si>
    <t>CL10P2B</t>
  </si>
  <si>
    <t>10P2B</t>
  </si>
  <si>
    <t>Auto</t>
  </si>
  <si>
    <t>CL45A1A</t>
  </si>
  <si>
    <t>CL45A1A Auto Loan</t>
  </si>
  <si>
    <t>45A1A</t>
  </si>
  <si>
    <t>CL45A2A</t>
  </si>
  <si>
    <t>AUTO CPI 4.5%</t>
  </si>
  <si>
    <t>45A2A</t>
  </si>
  <si>
    <t>0-47mths</t>
  </si>
  <si>
    <t>CL45A1B</t>
  </si>
  <si>
    <t>CL45A1B Auto Loan</t>
  </si>
  <si>
    <t>45A1B</t>
  </si>
  <si>
    <t>CL45A2B</t>
  </si>
  <si>
    <t>45A2B</t>
  </si>
  <si>
    <t>CL60A1A</t>
  </si>
  <si>
    <t>CL60A1A Auto Loan</t>
  </si>
  <si>
    <t>60A1A</t>
  </si>
  <si>
    <t>CL60A2A</t>
  </si>
  <si>
    <t>AUTO CPI 6.0%</t>
  </si>
  <si>
    <t>60A2A</t>
  </si>
  <si>
    <t>48-72mths</t>
  </si>
  <si>
    <t>CL60A1B</t>
  </si>
  <si>
    <t>CL60A1B Auto Loan</t>
  </si>
  <si>
    <t>60A1B</t>
  </si>
  <si>
    <t>CL60A2B</t>
  </si>
  <si>
    <t>60A2B</t>
  </si>
  <si>
    <t>CL80A1A</t>
  </si>
  <si>
    <t>CL80A1A Auto Loan</t>
  </si>
  <si>
    <t>80A1A</t>
  </si>
  <si>
    <t>CL80A2A</t>
  </si>
  <si>
    <t>AUTO CPI 8.0%</t>
  </si>
  <si>
    <t>80A2A</t>
  </si>
  <si>
    <t>73-120mths</t>
  </si>
  <si>
    <t>CL80A1B</t>
  </si>
  <si>
    <t>CL80A1B Auto Loan</t>
  </si>
  <si>
    <t>80A1B</t>
  </si>
  <si>
    <t>CL80A2B</t>
  </si>
  <si>
    <t>80A2B</t>
  </si>
  <si>
    <t>Finalised (Durables)</t>
  </si>
  <si>
    <t>CL35F1A</t>
  </si>
  <si>
    <t>CL35F1A Durables Loan</t>
  </si>
  <si>
    <t>35F1A</t>
  </si>
  <si>
    <t>CL35F2A</t>
  </si>
  <si>
    <t>FINALISED CPI 3.5%</t>
  </si>
  <si>
    <t>35F2A</t>
  </si>
  <si>
    <t>CL35F1B</t>
  </si>
  <si>
    <t>CL35F1B Durables Loan</t>
  </si>
  <si>
    <t>35F1B</t>
  </si>
  <si>
    <t>CL35F2B</t>
  </si>
  <si>
    <t>35F2B</t>
  </si>
  <si>
    <t>CL45F1A</t>
  </si>
  <si>
    <t>CL45F1A Durables Loan</t>
  </si>
  <si>
    <t>45F1A</t>
  </si>
  <si>
    <t>CL45F2A</t>
  </si>
  <si>
    <t>FINALISED CPI 4.5%</t>
  </si>
  <si>
    <t>45F2A</t>
  </si>
  <si>
    <t>25-60mths</t>
  </si>
  <si>
    <t>CL45F1B</t>
  </si>
  <si>
    <t>CL45F1B Durables Loan</t>
  </si>
  <si>
    <t>45F1B</t>
  </si>
  <si>
    <t>CL45F2B</t>
  </si>
  <si>
    <t>45F2B</t>
  </si>
  <si>
    <t>CL60F1A</t>
  </si>
  <si>
    <t>CL60F1A Durables Loan</t>
  </si>
  <si>
    <t>60F1A</t>
  </si>
  <si>
    <t>CL60F2A</t>
  </si>
  <si>
    <t>FINALISED CPI 6.0%</t>
  </si>
  <si>
    <t>60F2A</t>
  </si>
  <si>
    <t>61-84mths</t>
  </si>
  <si>
    <t>CL60F1B</t>
  </si>
  <si>
    <t>CL60F1B Durables Loan</t>
  </si>
  <si>
    <t>60F1B</t>
  </si>
  <si>
    <t>CL60F2B</t>
  </si>
  <si>
    <t>60F2B</t>
  </si>
  <si>
    <t>LP45C1</t>
  </si>
  <si>
    <t xml:space="preserve">LP45C1  Leasing Protection </t>
  </si>
  <si>
    <t>45C1</t>
  </si>
  <si>
    <t>LP45C2</t>
  </si>
  <si>
    <t>LEASING CPI 4.5%</t>
  </si>
  <si>
    <t>P45C2</t>
  </si>
  <si>
    <t>0107/28</t>
  </si>
  <si>
    <t>0107/29</t>
  </si>
  <si>
    <t>Single Premium for us, however the insured pays the premium to SCB on a monthly basis</t>
  </si>
  <si>
    <t>0-72mths</t>
  </si>
  <si>
    <t>72mths</t>
  </si>
  <si>
    <t>D, PTD, TD</t>
  </si>
  <si>
    <t>LP45F1</t>
  </si>
  <si>
    <t xml:space="preserve">LP45F1  Leasing Protection </t>
  </si>
  <si>
    <t>45F1</t>
  </si>
  <si>
    <t>LP45F2</t>
  </si>
  <si>
    <t>P45F2</t>
  </si>
  <si>
    <t>CLOLA1</t>
  </si>
  <si>
    <t xml:space="preserve">CLOLP1  Personal Loan Senior </t>
  </si>
  <si>
    <t>LOLA1</t>
  </si>
  <si>
    <t>SENIOR AUTO CPI 8.0%</t>
  </si>
  <si>
    <t>LOLA2</t>
  </si>
  <si>
    <t>0108/28</t>
  </si>
  <si>
    <t>0108/29</t>
  </si>
  <si>
    <t>0-120mths</t>
  </si>
  <si>
    <t>D, PTDA</t>
  </si>
  <si>
    <t>CLOLP1</t>
  </si>
  <si>
    <t xml:space="preserve">CLOLA1 Auto Loan Senior </t>
  </si>
  <si>
    <t>LOLP1</t>
  </si>
  <si>
    <t>SENIOR PERSONAL LOAN CPI 8.0%</t>
  </si>
  <si>
    <t>LOLP2</t>
  </si>
  <si>
    <t>Master Policy Code</t>
  </si>
  <si>
    <t>CNPSIL</t>
  </si>
  <si>
    <t>CNP SI (IP) Product Code</t>
  </si>
  <si>
    <t>Total</t>
  </si>
  <si>
    <t>Full Product name</t>
  </si>
  <si>
    <t xml:space="preserve"> Of which: ET fees to be paid to Contractor (SCB)</t>
  </si>
  <si>
    <t>ultimate cost to CNP SI</t>
  </si>
  <si>
    <t>Commissions to be recovered (clawed back) from SCB</t>
  </si>
  <si>
    <t>84mths</t>
  </si>
  <si>
    <t>Calculations following the NEW formula</t>
  </si>
  <si>
    <t>COMM) Commission Portion of the Refund</t>
  </si>
  <si>
    <t>PR) Premium to be reimbursed to Adherent</t>
  </si>
  <si>
    <r>
      <rPr>
        <b/>
        <sz val="11"/>
        <color indexed="8"/>
        <rFont val="Calibri"/>
        <family val="2"/>
      </rPr>
      <t>D)</t>
    </r>
    <r>
      <rPr>
        <sz val="11"/>
        <color indexed="8"/>
        <rFont val="Calibri"/>
        <family val="2"/>
      </rPr>
      <t xml:space="preserve"> Initial duration  of the insurance cover (= Duration of the loan) (in months) </t>
    </r>
  </si>
  <si>
    <r>
      <rPr>
        <b/>
        <sz val="11"/>
        <color indexed="8"/>
        <rFont val="Calibri"/>
        <family val="2"/>
      </rPr>
      <t>t)</t>
    </r>
    <r>
      <rPr>
        <sz val="11"/>
        <color indexed="8"/>
        <rFont val="Calibri"/>
        <family val="2"/>
      </rPr>
      <t xml:space="preserve"> Time passed to the date of reimbursement request (in months)</t>
    </r>
  </si>
  <si>
    <r>
      <rPr>
        <b/>
        <sz val="11"/>
        <color indexed="8"/>
        <rFont val="Calibri"/>
        <family val="2"/>
      </rPr>
      <t>r)</t>
    </r>
    <r>
      <rPr>
        <sz val="11"/>
        <color indexed="8"/>
        <rFont val="Calibri"/>
        <family val="2"/>
      </rPr>
      <t xml:space="preserve"> Residual duration  (D-t) (in months)</t>
    </r>
  </si>
  <si>
    <t>Anticipated ET date:</t>
  </si>
  <si>
    <t>Initial Policy End date:</t>
  </si>
  <si>
    <t>Please fill in the cells in grey</t>
  </si>
  <si>
    <t xml:space="preserve">Taxes (%) </t>
  </si>
  <si>
    <t>Gross Written Premium incl. tax (%)</t>
  </si>
  <si>
    <r>
      <rPr>
        <b/>
        <sz val="12"/>
        <color indexed="8"/>
        <rFont val="Calibri"/>
        <family val="2"/>
      </rPr>
      <t>δ</t>
    </r>
    <r>
      <rPr>
        <b/>
        <sz val="11"/>
        <color indexed="8"/>
        <rFont val="Calibri"/>
        <family val="2"/>
      </rPr>
      <t xml:space="preserve"> = Base commission ( %)</t>
    </r>
  </si>
  <si>
    <r>
      <rPr>
        <b/>
        <sz val="12"/>
        <rFont val="Calibri"/>
        <family val="2"/>
      </rPr>
      <t>ε</t>
    </r>
    <r>
      <rPr>
        <b/>
        <sz val="11"/>
        <rFont val="Calibri"/>
        <family val="2"/>
      </rPr>
      <t xml:space="preserve">  = Total ET costs (€)</t>
    </r>
  </si>
  <si>
    <r>
      <rPr>
        <b/>
        <sz val="12"/>
        <rFont val="Calibri"/>
        <family val="2"/>
      </rPr>
      <t>εc</t>
    </r>
    <r>
      <rPr>
        <b/>
        <sz val="11"/>
        <rFont val="Calibri"/>
        <family val="2"/>
      </rPr>
      <t xml:space="preserve"> = ET incured by Contractor (€)</t>
    </r>
  </si>
  <si>
    <t>Non-Leasing</t>
  </si>
  <si>
    <r>
      <t>Premium to be reimbursed to Contractor</t>
    </r>
    <r>
      <rPr>
        <b/>
        <sz val="10"/>
        <color indexed="8"/>
        <rFont val="Calibri"/>
        <family val="2"/>
      </rPr>
      <t xml:space="preserve"> (SCB)</t>
    </r>
  </si>
  <si>
    <t>PR) Premium to be reimbursed to  Contractor (SCB)</t>
  </si>
  <si>
    <r>
      <rPr>
        <b/>
        <sz val="11"/>
        <color indexed="8"/>
        <rFont val="Calibri"/>
        <family val="2"/>
      </rPr>
      <t>PT)</t>
    </r>
    <r>
      <rPr>
        <sz val="11"/>
        <color indexed="8"/>
        <rFont val="Calibri"/>
        <family val="2"/>
      </rPr>
      <t xml:space="preserve">  Net premium paid by the Adherent (Insured) (excl. tax)</t>
    </r>
  </si>
  <si>
    <r>
      <t>Premium to be reimbursed to Adherent</t>
    </r>
    <r>
      <rPr>
        <b/>
        <sz val="10"/>
        <color indexed="8"/>
        <rFont val="Calibri"/>
        <family val="2"/>
      </rPr>
      <t xml:space="preserve"> (Insured)</t>
    </r>
  </si>
  <si>
    <t>Total ET Fees charged to Adherent (Insured)</t>
  </si>
  <si>
    <t>Ultimate cost to CNP SI</t>
  </si>
  <si>
    <r>
      <t xml:space="preserve">D) </t>
    </r>
    <r>
      <rPr>
        <sz val="11"/>
        <color indexed="8"/>
        <rFont val="Calibri"/>
        <family val="2"/>
      </rPr>
      <t xml:space="preserve">Initial duration  of the insurance cover (= Duration of the loan) (in months) </t>
    </r>
  </si>
  <si>
    <r>
      <t xml:space="preserve">t) </t>
    </r>
    <r>
      <rPr>
        <sz val="11"/>
        <color indexed="8"/>
        <rFont val="Calibri"/>
        <family val="2"/>
      </rPr>
      <t>Time passed to the date of reimbursement request (in months)</t>
    </r>
  </si>
  <si>
    <r>
      <t xml:space="preserve">r) </t>
    </r>
    <r>
      <rPr>
        <sz val="11"/>
        <color indexed="8"/>
        <rFont val="Calibri"/>
        <family val="2"/>
      </rPr>
      <t>Residual duration  (D-t) (in months)</t>
    </r>
  </si>
  <si>
    <r>
      <t xml:space="preserve">δ </t>
    </r>
    <r>
      <rPr>
        <sz val="11"/>
        <color indexed="8"/>
        <rFont val="Calibri"/>
        <family val="2"/>
      </rPr>
      <t>= Base commission (43.0%)</t>
    </r>
  </si>
  <si>
    <r>
      <rPr>
        <b/>
        <sz val="12"/>
        <color indexed="8"/>
        <rFont val="Calibri"/>
        <family val="2"/>
      </rPr>
      <t>ε</t>
    </r>
    <r>
      <rPr>
        <b/>
        <sz val="11"/>
        <color indexed="8"/>
        <rFont val="Calibri"/>
        <family val="2"/>
      </rPr>
      <t xml:space="preserve">  </t>
    </r>
    <r>
      <rPr>
        <sz val="11"/>
        <color indexed="8"/>
        <rFont val="Calibri"/>
        <family val="2"/>
      </rPr>
      <t>= Total ET costs (€) :</t>
    </r>
  </si>
  <si>
    <t>*</t>
  </si>
  <si>
    <r>
      <t xml:space="preserve">€25.0 </t>
    </r>
    <r>
      <rPr>
        <sz val="11"/>
        <color indexed="8"/>
        <rFont val="Calibri"/>
        <family val="2"/>
      </rPr>
      <t>for Personal Loans, Auto,Senior products</t>
    </r>
  </si>
  <si>
    <r>
      <t xml:space="preserve">€17.50 </t>
    </r>
    <r>
      <rPr>
        <sz val="11"/>
        <color indexed="8"/>
        <rFont val="Calibri"/>
        <family val="2"/>
      </rPr>
      <t>for Finalised/ Durables Loans</t>
    </r>
  </si>
  <si>
    <r>
      <t xml:space="preserve">PR) </t>
    </r>
    <r>
      <rPr>
        <sz val="11"/>
        <color indexed="8"/>
        <rFont val="Calibri"/>
        <family val="2"/>
      </rPr>
      <t>Premium to be reimbursed to Adherent</t>
    </r>
  </si>
  <si>
    <r>
      <t xml:space="preserve">COMM) </t>
    </r>
    <r>
      <rPr>
        <sz val="11"/>
        <color indexed="8"/>
        <rFont val="Calibri"/>
        <family val="2"/>
      </rPr>
      <t>Commission Portion of the Refund to be recovered from Contractor (SCB)</t>
    </r>
  </si>
  <si>
    <r>
      <t xml:space="preserve">PT = </t>
    </r>
    <r>
      <rPr>
        <sz val="11"/>
        <color indexed="8"/>
        <rFont val="Calibri"/>
        <family val="2"/>
      </rPr>
      <t>Net tax premium (paid by the Adherent excl. tax)</t>
    </r>
  </si>
  <si>
    <r>
      <rPr>
        <b/>
        <sz val="11"/>
        <color indexed="8"/>
        <rFont val="Calibri"/>
        <family val="2"/>
      </rPr>
      <t>PPR</t>
    </r>
    <r>
      <rPr>
        <sz val="11"/>
        <color indexed="8"/>
        <rFont val="Calibri"/>
        <family val="2"/>
      </rPr>
      <t xml:space="preserve"> </t>
    </r>
    <r>
      <rPr>
        <b/>
        <sz val="11"/>
        <color indexed="8"/>
        <rFont val="Calibri"/>
        <family val="2"/>
      </rPr>
      <t xml:space="preserve">= </t>
    </r>
    <r>
      <rPr>
        <sz val="11"/>
        <color indexed="8"/>
        <rFont val="Calibri"/>
        <family val="2"/>
      </rPr>
      <t>The pure premium refunded to the Adherent</t>
    </r>
  </si>
  <si>
    <t>1) NON-LIFE premium to reimburse to Adherent (Insured)</t>
  </si>
  <si>
    <r>
      <t xml:space="preserve">PR </t>
    </r>
    <r>
      <rPr>
        <sz val="11"/>
        <color indexed="8"/>
        <rFont val="Calibri"/>
        <family val="2"/>
      </rPr>
      <t>= (PT x (1 - δ) + PT x δ) x (D-t)/D – ε = PT x (D-t)/D – ε</t>
    </r>
    <r>
      <rPr>
        <b/>
        <sz val="11"/>
        <color indexed="8"/>
        <rFont val="Calibri"/>
        <family val="2"/>
      </rPr>
      <t xml:space="preserve">
</t>
    </r>
  </si>
  <si>
    <t>2) LIFE premium to reimburse to Adherent (Insured)</t>
  </si>
  <si>
    <r>
      <t>PR =</t>
    </r>
    <r>
      <rPr>
        <sz val="11"/>
        <color indexed="8"/>
        <rFont val="Calibri"/>
        <family val="2"/>
      </rPr>
      <t xml:space="preserve"> PT x δ x (D-t)/D + PPR – ε</t>
    </r>
    <r>
      <rPr>
        <b/>
        <sz val="11"/>
        <color indexed="8"/>
        <rFont val="Calibri"/>
        <family val="2"/>
      </rPr>
      <t xml:space="preserve">
</t>
    </r>
  </si>
  <si>
    <r>
      <t xml:space="preserve">PPR </t>
    </r>
    <r>
      <rPr>
        <sz val="11"/>
        <color indexed="8"/>
        <rFont val="Calibri"/>
        <family val="2"/>
      </rPr>
      <t>= PT x (1 - δ) x ((D – t + 1) x (D – t)) / (D x (D + 1))</t>
    </r>
    <r>
      <rPr>
        <b/>
        <sz val="11"/>
        <color indexed="8"/>
        <rFont val="Calibri"/>
        <family val="2"/>
      </rPr>
      <t xml:space="preserve">
</t>
    </r>
  </si>
  <si>
    <t>3) Commission to recover from SCB</t>
  </si>
  <si>
    <r>
      <t xml:space="preserve">       Comm =</t>
    </r>
    <r>
      <rPr>
        <sz val="11"/>
        <color indexed="8"/>
        <rFont val="Calibri"/>
        <family val="2"/>
      </rPr>
      <t xml:space="preserve"> PT x δ x (D-t)/D  - εc </t>
    </r>
  </si>
  <si>
    <r>
      <rPr>
        <b/>
        <sz val="12"/>
        <color indexed="8"/>
        <rFont val="Calibri"/>
        <family val="2"/>
      </rPr>
      <t>ε</t>
    </r>
    <r>
      <rPr>
        <b/>
        <sz val="11"/>
        <color indexed="8"/>
        <rFont val="Calibri"/>
        <family val="2"/>
      </rPr>
      <t xml:space="preserve">  </t>
    </r>
    <r>
      <rPr>
        <sz val="11"/>
        <color indexed="8"/>
        <rFont val="Calibri"/>
        <family val="2"/>
      </rPr>
      <t>= Total ET costs (</t>
    </r>
    <r>
      <rPr>
        <b/>
        <sz val="11"/>
        <color indexed="8"/>
        <rFont val="Calibri"/>
        <family val="2"/>
      </rPr>
      <t>€20.50</t>
    </r>
    <r>
      <rPr>
        <sz val="11"/>
        <color indexed="8"/>
        <rFont val="Calibri"/>
        <family val="2"/>
      </rPr>
      <t>)</t>
    </r>
  </si>
  <si>
    <r>
      <rPr>
        <b/>
        <sz val="11"/>
        <color indexed="8"/>
        <rFont val="Calibri"/>
        <family val="2"/>
      </rPr>
      <t>PPC</t>
    </r>
    <r>
      <rPr>
        <sz val="11"/>
        <color indexed="8"/>
        <rFont val="Calibri"/>
        <family val="2"/>
      </rPr>
      <t xml:space="preserve"> = The pure premium refunded to the Contractor</t>
    </r>
  </si>
  <si>
    <t>1) NON-LIFE premium to reimburse to Contractor (SCB)</t>
  </si>
  <si>
    <r>
      <t xml:space="preserve">PPC </t>
    </r>
    <r>
      <rPr>
        <sz val="11"/>
        <color indexed="8"/>
        <rFont val="Calibri"/>
        <family val="2"/>
      </rPr>
      <t>= PT x (1 - δ) x (D−t)/D – ε + εc</t>
    </r>
    <r>
      <rPr>
        <b/>
        <sz val="11"/>
        <color indexed="8"/>
        <rFont val="Calibri"/>
        <family val="2"/>
      </rPr>
      <t xml:space="preserve">
</t>
    </r>
  </si>
  <si>
    <t>2) LIFE premium to reimburse to Contractor (SCB)</t>
  </si>
  <si>
    <r>
      <t xml:space="preserve">PPC </t>
    </r>
    <r>
      <rPr>
        <sz val="11"/>
        <color indexed="8"/>
        <rFont val="Calibri"/>
        <family val="2"/>
      </rPr>
      <t>= PT x (1 - δ) x (D−t)/D – ε + εc</t>
    </r>
    <r>
      <rPr>
        <b/>
        <sz val="11"/>
        <color indexed="8"/>
        <rFont val="Calibri"/>
        <family val="2"/>
      </rPr>
      <t xml:space="preserve">
</t>
    </r>
    <r>
      <rPr>
        <sz val="11"/>
        <color indexed="8"/>
        <rFont val="Calibri"/>
        <family val="2"/>
      </rPr>
      <t xml:space="preserve">
</t>
    </r>
  </si>
  <si>
    <r>
      <t xml:space="preserve">       Comm =</t>
    </r>
    <r>
      <rPr>
        <sz val="11"/>
        <color indexed="8"/>
        <rFont val="Calibri"/>
        <family val="2"/>
      </rPr>
      <t xml:space="preserve"> PT x δ x (D-t)/D  - εc </t>
    </r>
  </si>
  <si>
    <t>PPC) Pure Premium refunded to Contractor (SCB)</t>
  </si>
  <si>
    <t>Non-Life refund after ET charges</t>
  </si>
  <si>
    <r>
      <t xml:space="preserve">Non-Life refund </t>
    </r>
    <r>
      <rPr>
        <b/>
        <u/>
        <sz val="11"/>
        <color indexed="8"/>
        <rFont val="Calibri"/>
        <family val="2"/>
      </rPr>
      <t xml:space="preserve">before </t>
    </r>
    <r>
      <rPr>
        <b/>
        <sz val="11"/>
        <color indexed="8"/>
        <rFont val="Calibri"/>
        <family val="2"/>
      </rPr>
      <t>ET charges</t>
    </r>
  </si>
  <si>
    <r>
      <t xml:space="preserve">Life refund </t>
    </r>
    <r>
      <rPr>
        <b/>
        <u/>
        <sz val="11"/>
        <color indexed="8"/>
        <rFont val="Calibri"/>
        <family val="2"/>
      </rPr>
      <t xml:space="preserve">before </t>
    </r>
    <r>
      <rPr>
        <b/>
        <sz val="11"/>
        <color indexed="8"/>
        <rFont val="Calibri"/>
        <family val="2"/>
      </rPr>
      <t>ET charges</t>
    </r>
  </si>
  <si>
    <t>time lapsed</t>
  </si>
  <si>
    <r>
      <t xml:space="preserve">Life refund </t>
    </r>
    <r>
      <rPr>
        <b/>
        <u/>
        <sz val="11"/>
        <color indexed="8"/>
        <rFont val="Calibri"/>
        <family val="2"/>
      </rPr>
      <t>after</t>
    </r>
    <r>
      <rPr>
        <b/>
        <sz val="11"/>
        <color indexed="8"/>
        <rFont val="Calibri"/>
        <family val="2"/>
      </rPr>
      <t xml:space="preserve"> ET charges</t>
    </r>
  </si>
  <si>
    <t>GWP incl. tax</t>
  </si>
  <si>
    <r>
      <t xml:space="preserve">Refund </t>
    </r>
    <r>
      <rPr>
        <b/>
        <u/>
        <sz val="11"/>
        <rFont val="Calibri"/>
        <family val="2"/>
      </rPr>
      <t>before</t>
    </r>
    <r>
      <rPr>
        <b/>
        <sz val="11"/>
        <rFont val="Calibri"/>
        <family val="2"/>
      </rPr>
      <t xml:space="preserve"> the ET charge</t>
    </r>
  </si>
  <si>
    <t>Commission part of the Refund before the ET charge</t>
  </si>
  <si>
    <r>
      <t xml:space="preserve">Refund </t>
    </r>
    <r>
      <rPr>
        <b/>
        <u/>
        <sz val="11"/>
        <rFont val="Calibri"/>
        <family val="2"/>
      </rPr>
      <t>after</t>
    </r>
    <r>
      <rPr>
        <b/>
        <sz val="11"/>
        <rFont val="Calibri"/>
        <family val="2"/>
      </rPr>
      <t xml:space="preserve"> the ET charge (PR: Premium to be reimbursed to  Contractor (SCB))</t>
    </r>
  </si>
  <si>
    <t>Premium part of the Refund before the ET charge</t>
  </si>
  <si>
    <t>CLAGEA2B</t>
  </si>
  <si>
    <t>CLAGEP2B</t>
  </si>
  <si>
    <r>
      <t xml:space="preserve">PERSONAL LOANS </t>
    </r>
    <r>
      <rPr>
        <b/>
        <u/>
        <sz val="11"/>
        <color indexed="8"/>
        <rFont val="Calibri"/>
        <family val="2"/>
      </rPr>
      <t>(MEDIOLANUM)</t>
    </r>
  </si>
  <si>
    <t>n/a</t>
  </si>
  <si>
    <t xml:space="preserve">CL45M2A 
</t>
  </si>
  <si>
    <t>45M2A</t>
  </si>
  <si>
    <t xml:space="preserve">CL45M2B
</t>
  </si>
  <si>
    <t>45M2B</t>
  </si>
  <si>
    <r>
      <t>0113</t>
    </r>
    <r>
      <rPr>
        <sz val="11"/>
        <color indexed="8"/>
        <rFont val="Calibri"/>
        <family val="2"/>
      </rPr>
      <t>/28</t>
    </r>
  </si>
  <si>
    <r>
      <t>0113</t>
    </r>
    <r>
      <rPr>
        <sz val="11"/>
        <color indexed="8"/>
        <rFont val="Calibri"/>
        <family val="2"/>
      </rPr>
      <t>/29</t>
    </r>
  </si>
  <si>
    <r>
      <t>0114</t>
    </r>
    <r>
      <rPr>
        <sz val="11"/>
        <color indexed="8"/>
        <rFont val="Calibri"/>
        <family val="2"/>
      </rPr>
      <t>/28</t>
    </r>
  </si>
  <si>
    <r>
      <t>0114</t>
    </r>
    <r>
      <rPr>
        <sz val="11"/>
        <color indexed="8"/>
        <rFont val="Calibri"/>
        <family val="2"/>
      </rPr>
      <t>/29</t>
    </r>
  </si>
  <si>
    <t xml:space="preserve">
From 01/01/2013: 0%</t>
  </si>
  <si>
    <t>From 01/01/2013: 0%</t>
  </si>
  <si>
    <t>On repayment of loan or change in employment status only</t>
  </si>
  <si>
    <t xml:space="preserve">64   ALB
</t>
  </si>
  <si>
    <t>69 ALB</t>
  </si>
  <si>
    <t>On repayment of loan only.</t>
  </si>
  <si>
    <t>MEDIOLANUM PERSONAL LOAN CPI 4.5% , (Private Sector Employees)</t>
  </si>
  <si>
    <t>CL45M2A3</t>
  </si>
  <si>
    <t>45M3A</t>
  </si>
  <si>
    <t xml:space="preserve"> MEDIOLANUM PERSONAL LOAN CPI 4.5%</t>
  </si>
  <si>
    <t>N/A</t>
  </si>
  <si>
    <t>CL45M2B3</t>
  </si>
  <si>
    <t>45M3B</t>
  </si>
  <si>
    <t>Personal Loans</t>
  </si>
  <si>
    <t>CL45P2A3</t>
  </si>
  <si>
    <t>45P3A</t>
  </si>
  <si>
    <t xml:space="preserve"> PERSONAL LOAN CPI 4.5%</t>
  </si>
  <si>
    <t>CL45P2B3</t>
  </si>
  <si>
    <t>45P3B</t>
  </si>
  <si>
    <t>CL60P2A3</t>
  </si>
  <si>
    <t>60P3A</t>
  </si>
  <si>
    <t xml:space="preserve"> PERSONAL LOAN CPI 6.0%</t>
  </si>
  <si>
    <t>CL60P2B3</t>
  </si>
  <si>
    <t>60P3B</t>
  </si>
  <si>
    <t>CL80P2A3</t>
  </si>
  <si>
    <t>80P3A</t>
  </si>
  <si>
    <t xml:space="preserve"> PERSONAL LOAN CPI 8.0%</t>
  </si>
  <si>
    <t>CL80P2B3</t>
  </si>
  <si>
    <t>80P3B</t>
  </si>
  <si>
    <t>CL10P2A3</t>
  </si>
  <si>
    <t>10P3A</t>
  </si>
  <si>
    <t xml:space="preserve"> CPI PERSONAL LOANS 10%</t>
  </si>
  <si>
    <t>CL10P2B3</t>
  </si>
  <si>
    <t>10P3B</t>
  </si>
  <si>
    <t>Auto Loans</t>
  </si>
  <si>
    <t>CL45A2A3</t>
  </si>
  <si>
    <t>45A3A</t>
  </si>
  <si>
    <t xml:space="preserve"> AUTO CPI 4.5%</t>
  </si>
  <si>
    <t>71 ALB</t>
  </si>
  <si>
    <t>CL45A2B3</t>
  </si>
  <si>
    <t>45A3B</t>
  </si>
  <si>
    <t>CL60A2A3</t>
  </si>
  <si>
    <t>60A3A</t>
  </si>
  <si>
    <t xml:space="preserve"> AUTO CPI 6.0%</t>
  </si>
  <si>
    <t>CL60A2B3</t>
  </si>
  <si>
    <t>60A3B</t>
  </si>
  <si>
    <t>CL80A2A3</t>
  </si>
  <si>
    <t>80A3A</t>
  </si>
  <si>
    <t xml:space="preserve"> AUTO CPI 8.0%</t>
  </si>
  <si>
    <t>CL80A2B3</t>
  </si>
  <si>
    <t>80A3B</t>
  </si>
  <si>
    <t>CL35F2A3</t>
  </si>
  <si>
    <t>35F3A</t>
  </si>
  <si>
    <t xml:space="preserve"> FINALISED CPI 3.5%</t>
  </si>
  <si>
    <t>84mths%</t>
  </si>
  <si>
    <t>CL35F2B3</t>
  </si>
  <si>
    <t>35F3B</t>
  </si>
  <si>
    <t>CL45F2A3</t>
  </si>
  <si>
    <t>45F3A</t>
  </si>
  <si>
    <t xml:space="preserve"> FINALISED CPI 4.5%</t>
  </si>
  <si>
    <t>CL45F2B3</t>
  </si>
  <si>
    <t>45F3B</t>
  </si>
  <si>
    <t>CL60F2A3</t>
  </si>
  <si>
    <t>60F3A</t>
  </si>
  <si>
    <t xml:space="preserve"> FINALISED CPI 6.0%</t>
  </si>
  <si>
    <t>CL60F2B3</t>
  </si>
  <si>
    <t>60F3B</t>
  </si>
  <si>
    <t>LP45C23</t>
  </si>
  <si>
    <t>P45C3</t>
  </si>
  <si>
    <t xml:space="preserve"> LEASING CPI 4.5%</t>
  </si>
  <si>
    <t>LP45F23</t>
  </si>
  <si>
    <t>P45F3</t>
  </si>
  <si>
    <t>CLAGEA2B3</t>
  </si>
  <si>
    <t>LOLA3</t>
  </si>
  <si>
    <t xml:space="preserve"> SENIOR AUTO CPI 8.0%</t>
  </si>
  <si>
    <t>74 ALB</t>
  </si>
  <si>
    <t>CLAGEP2B3</t>
  </si>
  <si>
    <t>LOLP3</t>
  </si>
  <si>
    <t xml:space="preserve"> SENIOR PERSONAL LOAN CPI 8.0%</t>
  </si>
  <si>
    <t>PLAN55</t>
  </si>
  <si>
    <t>IVASS</t>
  </si>
  <si>
    <t xml:space="preserve">0.00%
</t>
  </si>
  <si>
    <r>
      <rPr>
        <b/>
        <sz val="11"/>
        <color indexed="8"/>
        <rFont val="Calibri"/>
        <family val="2"/>
      </rPr>
      <t>ALB</t>
    </r>
    <r>
      <rPr>
        <sz val="11"/>
        <color theme="1"/>
        <rFont val="Calibri"/>
        <family val="2"/>
        <scheme val="minor"/>
      </rPr>
      <t xml:space="preserve"> = Age at Last Birthday</t>
    </r>
  </si>
  <si>
    <t>MEDIOLANUM PERSONAL LOAN CPI 4.5% , (Private Sector Employees) - PLAN 55</t>
  </si>
  <si>
    <t>MEDIOLANUM PERSONAL LOAN CPI 4.5% , (Public Sector/Self Employed/Non-Workers) - PLAN 55</t>
  </si>
  <si>
    <t>PERSONAL LOAN CPI 4.5% , (Private Sector Employees) - PLAN 55</t>
  </si>
  <si>
    <t>PERSONAL LOAN CPI 4.5% , (Public Sector/Self Employed/Non-Workers) - PLAN 55</t>
  </si>
  <si>
    <t>PERSONAL LOAN CPI 6.0% , (Private Sector Employees) - PLAN 55</t>
  </si>
  <si>
    <t>PERSONAL LOAN CPI 6.0% , (Public Sector/Self Employed/Non-Workers) - PLAN 55</t>
  </si>
  <si>
    <t>PERSONAL LOAN CPI 8.0% , (Private Sector Employees) - PLAN 55</t>
  </si>
  <si>
    <t>PERSONAL LOAN CPI 8.0% , (Public Sector/Self Employed/Non-Workers) - PLAN 55</t>
  </si>
  <si>
    <t>CPI PERSONAL LOANS 10% , (Private Sector Employees) - PLAN 55</t>
  </si>
  <si>
    <t>CPI PERSONAL LOANS 10% , (Public Sector/Self Employed/Non-Workers) - PLAN 55</t>
  </si>
  <si>
    <t>AUTO CPI 4.5% , (Private Sector Employees) - PLAN 55</t>
  </si>
  <si>
    <t>AUTO CPI 4.5% , (Public Sector/Self Employed/Non-Workers) - PLAN 55</t>
  </si>
  <si>
    <t>AUTO CPI 6.0% , (Private Sector Employees) - PLAN 55</t>
  </si>
  <si>
    <t>AUTO CPI 6.0% , (Public Sector/Self Employed/Non-Workers) - PLAN 55</t>
  </si>
  <si>
    <t>AUTO CPI 8.0% , (Private Sector Employees) - PLAN 55</t>
  </si>
  <si>
    <t>AUTO CPI 8.0% , (Public Sector/Self Employed/Non-Workers) - PLAN 55</t>
  </si>
  <si>
    <t>FINALISED CPI 3.5% , (Private Sector Employees) - PLAN 55</t>
  </si>
  <si>
    <t>FINALISED CPI 3.5% , (Public Sector/Self Employed/Non-Workers) - PLAN 55</t>
  </si>
  <si>
    <t>FINALISED CPI 4.5% , (Private Sector Employees) - PLAN 55</t>
  </si>
  <si>
    <t>FINALISED CPI 4.5% , (Public Sector/Self Employed/Non-Workers) - PLAN 55</t>
  </si>
  <si>
    <t>FINALISED CPI 6.0% , (Private Sector Employees) - PLAN 55</t>
  </si>
  <si>
    <t>FINALISED CPI 6.0% , (Public Sector/Self Employed/Non-Workers) - PLAN 55</t>
  </si>
  <si>
    <t>LEASING CPI 4.5% - PLAN 55</t>
  </si>
  <si>
    <t>SENIOR AUTO CPI 8.0% - PLAN 55</t>
  </si>
  <si>
    <t>SENIOR PERSONAL LOAN CPI 8.0% - PLAN 55</t>
  </si>
  <si>
    <r>
      <rPr>
        <b/>
        <sz val="11"/>
        <color indexed="8"/>
        <rFont val="Calibri"/>
        <family val="2"/>
      </rPr>
      <t>PT)</t>
    </r>
    <r>
      <rPr>
        <sz val="11"/>
        <color indexed="8"/>
        <rFont val="Calibri"/>
        <family val="2"/>
      </rPr>
      <t xml:space="preserve">  Net premium paid by the Adherent (Insured) (excl. IPT tax)</t>
    </r>
  </si>
  <si>
    <t>Subscription (Inception) date:</t>
  </si>
  <si>
    <t>months</t>
  </si>
  <si>
    <t>interest p. a.</t>
  </si>
  <si>
    <t>Capital</t>
  </si>
  <si>
    <t>interest</t>
  </si>
  <si>
    <t>OB</t>
  </si>
  <si>
    <t>GWP excl. tax of which:</t>
  </si>
  <si>
    <t xml:space="preserve">     Pure Premium</t>
  </si>
  <si>
    <t xml:space="preserve">     Loadings</t>
  </si>
  <si>
    <t xml:space="preserve">     Commission</t>
  </si>
  <si>
    <t xml:space="preserve">     Premium part of the Refund before  ET charge</t>
  </si>
  <si>
    <t>Y</t>
  </si>
  <si>
    <t>PP</t>
  </si>
  <si>
    <t>after ET fees</t>
  </si>
  <si>
    <t>OLD sample used prior implementation of the IVASS Letter published 18/12/2018 for implementation on 18/02/2019:</t>
  </si>
  <si>
    <t>0113/28</t>
  </si>
  <si>
    <t>0113/29</t>
  </si>
  <si>
    <t>0114/28</t>
  </si>
  <si>
    <t>0114/29</t>
  </si>
  <si>
    <t>TPA</t>
  </si>
  <si>
    <t>Product</t>
  </si>
  <si>
    <t>Pre-IVASS</t>
  </si>
  <si>
    <t>CL60P</t>
  </si>
  <si>
    <t>CL80P</t>
  </si>
  <si>
    <t>CL10P</t>
  </si>
  <si>
    <t>CL45P</t>
  </si>
  <si>
    <t>CL4FP</t>
  </si>
  <si>
    <t>CL45FP</t>
  </si>
  <si>
    <t>CPI Personal loans 4.50%</t>
  </si>
  <si>
    <t>CPI Personal loans 6%</t>
  </si>
  <si>
    <t>CPI Personal loans 8%</t>
  </si>
  <si>
    <t>CPI Personal loans 10%</t>
  </si>
  <si>
    <r>
      <t xml:space="preserve">IP Product code </t>
    </r>
    <r>
      <rPr>
        <sz val="11"/>
        <color indexed="60"/>
        <rFont val="Calibri"/>
        <family val="2"/>
      </rPr>
      <t/>
    </r>
  </si>
  <si>
    <r>
      <t>SCB Tariff</t>
    </r>
    <r>
      <rPr>
        <b/>
        <sz val="11"/>
        <color indexed="60"/>
        <rFont val="Calibri"/>
        <family val="2"/>
      </rPr>
      <t xml:space="preserve"> </t>
    </r>
  </si>
  <si>
    <t>Single premium</t>
  </si>
  <si>
    <t>CL35A</t>
  </si>
  <si>
    <t>CL45A</t>
  </si>
  <si>
    <t>CL60A</t>
  </si>
  <si>
    <t>CL80A</t>
  </si>
  <si>
    <t>CPI Car/Moto Loans 3.5%</t>
  </si>
  <si>
    <t>CPI Car/Moto Loans 4.5%</t>
  </si>
  <si>
    <t>CPI Car/Moto Loans 6%</t>
  </si>
  <si>
    <t>CPI Car/Moto Loans 8%</t>
  </si>
  <si>
    <t>CPI Finalized loans 3.5%</t>
  </si>
  <si>
    <t>CPI Finalized loans 4.5%</t>
  </si>
  <si>
    <t>CPI Finalized loans 6%</t>
  </si>
  <si>
    <t>CL35F</t>
  </si>
  <si>
    <t>CL45F</t>
  </si>
  <si>
    <t>CL60F</t>
  </si>
  <si>
    <t>Auto CPI+</t>
  </si>
  <si>
    <t>CL69A</t>
  </si>
  <si>
    <t>CL79A</t>
  </si>
  <si>
    <t>CL89A</t>
  </si>
  <si>
    <t>CPI + Car/Moto Loans 6.9%</t>
  </si>
  <si>
    <t>CPI + Car/Moto Loans 7.9%</t>
  </si>
  <si>
    <t>CPI + Car/Moto Loans 8.9%</t>
  </si>
  <si>
    <t>CPI Leasing 4.5%</t>
  </si>
  <si>
    <t>LP45C</t>
  </si>
  <si>
    <t>LP45F</t>
  </si>
  <si>
    <t>Senior CPI Personal Loans 8%</t>
  </si>
  <si>
    <t>Senior CPI Car/Moto Loans 8%</t>
  </si>
  <si>
    <t>CLOLP</t>
  </si>
  <si>
    <t>CLOLA</t>
  </si>
  <si>
    <t>0103/28</t>
  </si>
  <si>
    <t>0103/29</t>
  </si>
  <si>
    <t>0102/28</t>
  </si>
  <si>
    <t>0102/29</t>
  </si>
  <si>
    <t>0104/28</t>
  </si>
  <si>
    <t>0104/29</t>
  </si>
  <si>
    <t>0101/28</t>
  </si>
  <si>
    <t>0101/29</t>
  </si>
  <si>
    <t>60 (65)</t>
  </si>
  <si>
    <t>&lt;70</t>
  </si>
  <si>
    <t>&lt; 75</t>
  </si>
  <si>
    <t>&lt;65</t>
  </si>
  <si>
    <t xml:space="preserve"> &lt; 72</t>
  </si>
  <si>
    <t xml:space="preserve"> &lt; 70</t>
  </si>
  <si>
    <t>&lt; 72</t>
  </si>
  <si>
    <t>Until 02/06/2014: 30 days
From 03/06/2014: 60 days</t>
  </si>
  <si>
    <t xml:space="preserve">Till 18/05/2014: 0 - 24 mths
From 19/05/2014:  n/a
</t>
  </si>
  <si>
    <t xml:space="preserve">Till 18/05/2014: 25 - 48 mths
From 19/05/2014: 0 - 48 mths
</t>
  </si>
  <si>
    <t xml:space="preserve">From 24/10/2011: 49 - 72 mths
</t>
  </si>
  <si>
    <t xml:space="preserve">From 24/10/2011: 73 - 120 mths
</t>
  </si>
  <si>
    <t xml:space="preserve">From 24/10/2011: 0 - 72 mths
</t>
  </si>
  <si>
    <t xml:space="preserve">From 24/10/2011: 0 - 24 mths
* Personal Loans refinancing is always at 4.5%
</t>
  </si>
  <si>
    <t xml:space="preserve">From 24/10/2011: 25 - 36 mths
* Personal Loans refinancing is always at 4.5%
</t>
  </si>
  <si>
    <t xml:space="preserve">From 24/10/2011: 37 - 79 mths
* Personal Loans refinancing is always at 4.5%
</t>
  </si>
  <si>
    <t xml:space="preserve">From 24/10/2011: 80 - 120 mths
* Personal Loans refinancing is always at 4.5%
</t>
  </si>
  <si>
    <t>From 01/05/2015: 0 - 47 mths</t>
  </si>
  <si>
    <t>From 01/05/2015: 47 -72 mths</t>
  </si>
  <si>
    <t>From 01/05/2015: 73 -120 mths</t>
  </si>
  <si>
    <t>From 27/06/2012: 0 - 120 mths</t>
  </si>
  <si>
    <t>D, PTD, TTD, IU</t>
  </si>
  <si>
    <t>D, PTD, TTD</t>
  </si>
  <si>
    <t>D, PTD, TTD, IU, CI</t>
  </si>
  <si>
    <t>D, APTD</t>
  </si>
  <si>
    <t>MEDIOLANUM PERSONAL LOAN CPI 4.5% , (Public Sector/Self Employed/Non-Workers) - IVASS (CBP)</t>
  </si>
  <si>
    <t>PERSONAL LOAN CPI 4.5% , (Private Sector Employees) - IVASS (CBP)</t>
  </si>
  <si>
    <t>PERSONAL LOAN CPI 4.5% , (Public Sector/Self Employed/Non-Workers) - IVASS (CBP)</t>
  </si>
  <si>
    <t>PERSONAL LOAN CPI 6.0% , (Private Sector Employees) - IVASS (CBP)</t>
  </si>
  <si>
    <t>PERSONAL LOAN CPI 6.0% , (Public Sector/Self Employed/Non-Workers) - IVASS (CBP)</t>
  </si>
  <si>
    <t>PERSONAL LOAN CPI 8.0% , (Private Sector Employees) - IVASS (CBP)</t>
  </si>
  <si>
    <t>PERSONAL LOAN CPI 8.0% , (Public Sector/Self Employed/Non-Workers) - IVASS (CBP)</t>
  </si>
  <si>
    <t>CPI PERSONAL LOANS 10% , (Private Sector Employees) - IVASS (CBP)</t>
  </si>
  <si>
    <t>CPI PERSONAL LOANS 10% , (Public Sector/Self Employed/Non-Workers) - IVASS (CBP)</t>
  </si>
  <si>
    <t>AUTO CPI 4.5% , (Private Sector Employees) - IVASS (CBP)</t>
  </si>
  <si>
    <t>AUTO CPI 4.5% , (Public Sector/Self Employed/Non-Workers) - IVASS (CBP)</t>
  </si>
  <si>
    <t>AUTO CPI 6.0% , (Private Sector Employees) - IVASS (CBP)</t>
  </si>
  <si>
    <t>AUTO CPI 6.0% , (Public Sector/Self Employed/Non-Workers) - IVASS (CBP)</t>
  </si>
  <si>
    <t>AUTO CPI 8.0% , (Private Sector Employees) - IVASS (CBP)</t>
  </si>
  <si>
    <t>AUTO CPI 8.0% , (Public Sector/Self Employed/Non-Workers) - IVASS (CBP)</t>
  </si>
  <si>
    <t>FINALISED CPI 3.5% , (Private Sector Employees) - IVASS (CBP)</t>
  </si>
  <si>
    <t>FINALISED CPI 3.5% , (Public Sector/Self Employed/Non-Workers) - IVASS (CBP)</t>
  </si>
  <si>
    <t>FINALISED CPI 4.5% , (Private Sector Employees) - IVASS (CBP)</t>
  </si>
  <si>
    <t>FINALISED CPI 4.5% , (Public Sector/Self Employed/Non-Workers) - IVASS (CBP)</t>
  </si>
  <si>
    <t>FINALISED CPI 6.0% , (Private Sector Employees) - IVASS (CBP)</t>
  </si>
  <si>
    <t xml:space="preserve"> - IVASS (CBP)FINALISED CPI 6.0% , (Public Sector/Self Employed/Non-Workers) - IVASS (CBP)</t>
  </si>
  <si>
    <t>LEASING CPI 4.5% - IVASS (CBP)</t>
  </si>
  <si>
    <t>SENIOR AUTO CPI 8.0% - IVASS (CBP)</t>
  </si>
  <si>
    <t>SENIOR PERSONAL LOAN CPI 8.0% - IVASS (CBP)</t>
  </si>
  <si>
    <t>CL45P1A Personal Loan , (Private Sector Employees)  - IVASS (Cardif)</t>
  </si>
  <si>
    <t>CL45P1B Personal Loan , (Public Sector/Self Employed/Non-Workers)  - IVASS (Cardif)</t>
  </si>
  <si>
    <t>CL60P1A Personal Loan , (Private Sector Employees)  - IVASS (Cardif)</t>
  </si>
  <si>
    <t>CL60P1B Personal Loan , (Public Sector/Self Employed/Non-Workers)  - IVASS (Cardif)</t>
  </si>
  <si>
    <t>CL80P1A Personal Loan , (Private Sector Employees)  - IVASS (Cardif)</t>
  </si>
  <si>
    <t>CL80P1B Personal Loan , (Public Sector/Self Employed/Non-Workers)  - IVASS (Cardif)</t>
  </si>
  <si>
    <t>CL10P1A Personal Loan , (Private Sector Employees)  - IVASS (Cardif)</t>
  </si>
  <si>
    <t>CL10P1B Personal Loan , (Public Sector/Self Employed/Non-Workers)  - IVASS (Cardif)</t>
  </si>
  <si>
    <t>CL45A1A Auto Loan , (Private Sector Employees)  - IVASS (Cardif)</t>
  </si>
  <si>
    <t>CL45A1B Auto Loan , (Public Sector/Self Employed/Non-Workers)  - IVASS (Cardif)</t>
  </si>
  <si>
    <t>CL60A1A Auto Loan , (Private Sector Employees)  - IVASS (Cardif)</t>
  </si>
  <si>
    <t>CL60A1B Auto Loan , (Public Sector/Self Employed/Non-Workers)  - IVASS (Cardif)</t>
  </si>
  <si>
    <t>CL80A1A Auto Loan , (Private Sector Employees)  - IVASS (Cardif)</t>
  </si>
  <si>
    <t>CL80A1B Auto Loan , (Public Sector/Self Employed/Non-Workers)  - IVASS (Cardif)</t>
  </si>
  <si>
    <t>CL35F1A Durables Loan , (Private Sector Employees)  - IVASS (Cardif)</t>
  </si>
  <si>
    <t>CL35F1B Durables Loan , (Public Sector/Self Employed/Non-Workers)  - IVASS (Cardif)</t>
  </si>
  <si>
    <t>CL45F1A Durables Loan , (Private Sector Employees)  - IVASS (Cardif)</t>
  </si>
  <si>
    <t>CL45F1B Durables Loan , (Public Sector/Self Employed/Non-Workers)  - IVASS (Cardif)</t>
  </si>
  <si>
    <t>CL60F1A Durables Loan , (Private Sector Employees)  - IVASS (Cardif)</t>
  </si>
  <si>
    <t>CL60F1B Durables Loan , (Public Sector/Self Employed/Non-Workers)  - IVASS (Cardif)</t>
  </si>
  <si>
    <t>LP45C1  Leasing Protection  - IVASS (Cardif)</t>
  </si>
  <si>
    <t>LP45F1  Leasing Protection  - IVASS (Cardif)</t>
  </si>
  <si>
    <t>CLOLA1 Auto Loan Senior  - IVASS (Cardif)</t>
  </si>
  <si>
    <t>CLOLP1  Personal Loan Senior  - IVASS (Cardif)</t>
  </si>
  <si>
    <t>CPI Personal loans 4.50% - PRE-IVASS (Cardif)</t>
  </si>
  <si>
    <t>Senior CPI Car/Moto Loans 8% - PRE-IVASS (Cardif)</t>
  </si>
  <si>
    <t>Senior CPI Personal Loans 8% - PRE-IVASS (Cardif)</t>
  </si>
  <si>
    <t>CPI Leasing 4.5% - PRE-IVASS (Cardif)</t>
  </si>
  <si>
    <t>CPI Finalized loans 6% - PRE-IVASS (Cardif)</t>
  </si>
  <si>
    <t>CPI Finalized loans 4.5% - PRE-IVASS (Cardif)</t>
  </si>
  <si>
    <t>CPI Finalized loans 3.5% - PRE-IVASS (Cardif)</t>
  </si>
  <si>
    <t>CPI Personal loans 6% - PRE-IVASS (Cardif)</t>
  </si>
  <si>
    <t>CPI Personal loans 8% - PRE-IVASS (Cardif)</t>
  </si>
  <si>
    <t>CPI Personal loans 10% - PRE-IVASS (Cardif)</t>
  </si>
  <si>
    <t>CPI Car/Moto Loans 3.5% - PRE-IVASS (Cardif)</t>
  </si>
  <si>
    <t>CPI Car/Moto Loans 4.5% - PRE-IVASS (Cardif)</t>
  </si>
  <si>
    <t>CPI Car/Moto Loans 6% - PRE-IVASS (Cardif)</t>
  </si>
  <si>
    <t>CPI Car/Moto Loans 8% - PRE-IVASS (Cardif)</t>
  </si>
  <si>
    <t>CPI + Car/Moto Loans 6.9% - PRE-IVASS (Cardif)</t>
  </si>
  <si>
    <t>CPI + Car/Moto Loans 7.9% - PRE-IVASS (Cardif)</t>
  </si>
  <si>
    <t>CPI + Car/Moto Loans 8.9% - PRE-IVASS (Cardif)</t>
  </si>
  <si>
    <r>
      <t xml:space="preserve">For </t>
    </r>
    <r>
      <rPr>
        <b/>
        <u/>
        <sz val="11"/>
        <rFont val="Calibri"/>
        <family val="2"/>
      </rPr>
      <t xml:space="preserve">Auto CPI+ </t>
    </r>
    <r>
      <rPr>
        <b/>
        <sz val="11"/>
        <rFont val="Calibri"/>
        <family val="2"/>
      </rPr>
      <t xml:space="preserve">products: CI net of tax
for </t>
    </r>
    <r>
      <rPr>
        <b/>
        <u/>
        <sz val="11"/>
        <rFont val="Calibri"/>
        <family val="2"/>
      </rPr>
      <t>all other</t>
    </r>
    <r>
      <rPr>
        <b/>
        <sz val="11"/>
        <rFont val="Calibri"/>
        <family val="2"/>
      </rPr>
      <t xml:space="preserve"> products: APTD net tax </t>
    </r>
  </si>
  <si>
    <t xml:space="preserve">For Auto CPI+ products: CI incl of tax
for all other products: APTD incl. tax </t>
  </si>
  <si>
    <t>check</t>
  </si>
  <si>
    <t>till 31/12/2012</t>
  </si>
  <si>
    <t>From 01/01/2013 till 31/03/2015:</t>
  </si>
  <si>
    <t>From 01/04/2015 till 31/10/2015:</t>
  </si>
  <si>
    <t>From 01/11/2015 till 30/04/2016:</t>
  </si>
  <si>
    <t>Insurer's Loadings</t>
  </si>
  <si>
    <t>From 01/05/2016 till 30/04/2017:</t>
  </si>
  <si>
    <t>Total  Loadings on Early Termination:</t>
  </si>
  <si>
    <t>retention - acq</t>
  </si>
  <si>
    <t>retention - admin</t>
  </si>
  <si>
    <t>QS50%</t>
  </si>
  <si>
    <t>QS 30%</t>
  </si>
  <si>
    <t>QS 25%</t>
  </si>
  <si>
    <t>Insurer's retention - acq</t>
  </si>
  <si>
    <t>Insurer's retention - admin</t>
  </si>
  <si>
    <t>Total; Reinsurer's Loadings</t>
  </si>
  <si>
    <t>Reinsurer's Acquisition cost</t>
  </si>
  <si>
    <t>Reisnurer's admin cost</t>
  </si>
  <si>
    <t>Total Insurer's Loadings</t>
  </si>
  <si>
    <t>Insurer';s Loadings</t>
  </si>
  <si>
    <t>Insurer's Acq retention</t>
  </si>
  <si>
    <t>Insurer's admin retention</t>
  </si>
  <si>
    <t>Reinsurer's acq retention</t>
  </si>
  <si>
    <t>Reinsurer's admin retention</t>
  </si>
  <si>
    <t>Reinsurer's Loadings</t>
  </si>
  <si>
    <t>Total Reinsurer's Loadings on Early Termination:</t>
  </si>
  <si>
    <t>Reinsurer retention - acq</t>
  </si>
  <si>
    <t>Reinsurer retention - admin</t>
  </si>
  <si>
    <t>Total Reisurer's Loadings on Early Termination:</t>
  </si>
  <si>
    <t>Insurer's (CNPSI's) Loadings</t>
  </si>
  <si>
    <t>Reinsurer's (Cardif) Loadings</t>
  </si>
  <si>
    <t>Reinsurer's (Cardif) Loadings till 31/12/2012</t>
  </si>
  <si>
    <t>Re Loadings till 31/12/2012</t>
  </si>
  <si>
    <t>Re Loadings from 1/01/2013</t>
  </si>
  <si>
    <t>e.g. 45C1, 45F1, LP45C, LP45F, P45C2, P45F2, P45C3, P45F3</t>
  </si>
  <si>
    <t>excl tax</t>
  </si>
  <si>
    <t>Reinsurer's (Cardif) Loadings since 01/01/2013</t>
  </si>
  <si>
    <t>OB/Original Loan amount</t>
  </si>
  <si>
    <t>CBP</t>
  </si>
  <si>
    <t>Cardif until 17/02/2020 using Reinsurer's Laodings (previously used incorrectly by Cardif)</t>
  </si>
  <si>
    <t>CBP Until 17/02/2019 using Insurer's Loadings</t>
  </si>
  <si>
    <t>Cardif until 17/02/2019 using Insurer's Loadings (theoretical)</t>
  </si>
  <si>
    <t>CARDIF: Pure Premium using Reinsurer's Loadings</t>
  </si>
  <si>
    <t>CARDIF: Loadings using Reinsurer's Loading rate</t>
  </si>
  <si>
    <t>TPA's:
Cardif till 30/04/April 2017
CBP from 01/05/2017</t>
  </si>
  <si>
    <t>Cardif</t>
  </si>
  <si>
    <t>OLA = Original Loan amount</t>
  </si>
  <si>
    <t>Different Methods</t>
  </si>
  <si>
    <t>CARDIF: Commission</t>
  </si>
  <si>
    <t>Recalculation</t>
  </si>
  <si>
    <t>ESTIMATES:</t>
  </si>
  <si>
    <t>monthly instalment</t>
  </si>
  <si>
    <t>Outstanding Debt provided by SCB as per original Loan amortisation schedule to be used by the TPA!</t>
  </si>
  <si>
    <t>Below calculations for estimation purpose only. NOT to be used by the TPA for actual ET Refund calculations.</t>
  </si>
  <si>
    <t>Personal Loans (4,5%)</t>
  </si>
  <si>
    <t>Section (A) Portfolio Management and Premiums</t>
  </si>
  <si>
    <t>ii) Refunds to the Adherent after early termination of the finance contract and in the case of cancellation</t>
  </si>
  <si>
    <r>
      <t>1)</t>
    </r>
    <r>
      <rPr>
        <b/>
        <sz val="7"/>
        <color indexed="8"/>
        <rFont val="Times New Roman"/>
        <family val="1"/>
      </rPr>
      <t xml:space="preserve">        </t>
    </r>
    <r>
      <rPr>
        <b/>
        <sz val="9"/>
        <color indexed="8"/>
        <rFont val="Arial Narrow"/>
        <family val="2"/>
      </rPr>
      <t>Definitions:</t>
    </r>
  </si>
  <si>
    <r>
      <t>D</t>
    </r>
    <r>
      <rPr>
        <sz val="9"/>
        <color indexed="8"/>
        <rFont val="Arial Narrow"/>
        <family val="2"/>
      </rPr>
      <t xml:space="preserve"> means the initial duration (expressed in months) of the insurance coverage (equal to the duration of the loan for guarantees which forsee a duration equal to that of the loan);</t>
    </r>
  </si>
  <si>
    <r>
      <t xml:space="preserve">D = </t>
    </r>
    <r>
      <rPr>
        <sz val="11"/>
        <color indexed="8"/>
        <rFont val="Calibri"/>
        <family val="2"/>
      </rPr>
      <t>initial</t>
    </r>
    <r>
      <rPr>
        <b/>
        <sz val="11"/>
        <color indexed="8"/>
        <rFont val="Calibri"/>
        <family val="2"/>
      </rPr>
      <t xml:space="preserve"> </t>
    </r>
    <r>
      <rPr>
        <sz val="11"/>
        <color indexed="8"/>
        <rFont val="Calibri"/>
        <family val="2"/>
      </rPr>
      <t>duration (in months) of the insurance cover (= to the duration of the loan)</t>
    </r>
  </si>
  <si>
    <r>
      <t>t</t>
    </r>
    <r>
      <rPr>
        <sz val="9"/>
        <color indexed="8"/>
        <rFont val="Arial Narrow"/>
        <family val="2"/>
      </rPr>
      <t xml:space="preserve"> means time passed at the date of the reimbursement request;</t>
    </r>
  </si>
  <si>
    <r>
      <t xml:space="preserve">t = </t>
    </r>
    <r>
      <rPr>
        <sz val="11"/>
        <color indexed="8"/>
        <rFont val="Calibri"/>
        <family val="2"/>
      </rPr>
      <t xml:space="preserve">time passed (in months) to the date of reimbursement demand </t>
    </r>
  </si>
  <si>
    <r>
      <t>p</t>
    </r>
    <r>
      <rPr>
        <sz val="9"/>
        <color indexed="8"/>
        <rFont val="Arial Narrow"/>
        <family val="2"/>
      </rPr>
      <t xml:space="preserve"> means pre-amortization period;</t>
    </r>
  </si>
  <si>
    <r>
      <t xml:space="preserve">r = </t>
    </r>
    <r>
      <rPr>
        <sz val="11"/>
        <color indexed="8"/>
        <rFont val="Calibri"/>
        <family val="2"/>
      </rPr>
      <t xml:space="preserve">residual duration (in months) </t>
    </r>
  </si>
  <si>
    <r>
      <t>β</t>
    </r>
    <r>
      <rPr>
        <sz val="9"/>
        <color indexed="8"/>
        <rFont val="Arial Narrow"/>
        <family val="2"/>
      </rPr>
      <t xml:space="preserve"> means the rate of loading for operating expenses gross of charges for compensation of the insurer’s expenses;</t>
    </r>
  </si>
  <si>
    <r>
      <t xml:space="preserve">X = </t>
    </r>
    <r>
      <rPr>
        <sz val="11"/>
        <color indexed="8"/>
        <rFont val="Calibri"/>
        <family val="2"/>
      </rPr>
      <t>% loadings (7,70% for Life and Non-Life premium)</t>
    </r>
  </si>
  <si>
    <r>
      <t xml:space="preserve">δ </t>
    </r>
    <r>
      <rPr>
        <sz val="9"/>
        <color indexed="8"/>
        <rFont val="Arial Narrow"/>
        <family val="2"/>
      </rPr>
      <t xml:space="preserve">means rate of loading for commissions; </t>
    </r>
  </si>
  <si>
    <r>
      <t>Y =</t>
    </r>
    <r>
      <rPr>
        <sz val="11"/>
        <color indexed="8"/>
        <rFont val="Calibri"/>
        <family val="2"/>
      </rPr>
      <t xml:space="preserve"> Commissions (50%)</t>
    </r>
  </si>
  <si>
    <r>
      <t>ε</t>
    </r>
    <r>
      <rPr>
        <sz val="9"/>
        <color indexed="8"/>
        <rFont val="Arial Narrow"/>
        <family val="2"/>
      </rPr>
      <t xml:space="preserve"> means termination costs in euro per type of loan. Please note that this information should be entered during the configuration phase for each version of the product as it may vary from product to product and/or from version to version; </t>
    </r>
  </si>
  <si>
    <r>
      <t>Z =</t>
    </r>
    <r>
      <rPr>
        <sz val="11"/>
        <color indexed="8"/>
        <rFont val="Calibri"/>
        <family val="2"/>
      </rPr>
      <t xml:space="preserve"> Extinction costs (17,00 €)</t>
    </r>
  </si>
  <si>
    <r>
      <t>φ</t>
    </r>
    <r>
      <rPr>
        <sz val="9"/>
        <color indexed="8"/>
        <rFont val="Arial Narrow"/>
        <family val="2"/>
      </rPr>
      <t xml:space="preserve"> means issuing costs in euro per type of lending. Please note that this information should be entered during the configuration phase for each version of product as it may vary from product to product and/or from version to version; </t>
    </r>
  </si>
  <si>
    <r>
      <t xml:space="preserve">E = </t>
    </r>
    <r>
      <rPr>
        <sz val="11"/>
        <color indexed="8"/>
        <rFont val="Calibri"/>
        <family val="2"/>
      </rPr>
      <t>Emission costs (8,00 €)</t>
    </r>
  </si>
  <si>
    <r>
      <t xml:space="preserve">PT </t>
    </r>
    <r>
      <rPr>
        <sz val="9"/>
        <color indexed="8"/>
        <rFont val="Arial Narrow"/>
        <family val="2"/>
      </rPr>
      <t>means</t>
    </r>
    <r>
      <rPr>
        <b/>
        <sz val="9"/>
        <color indexed="8"/>
        <rFont val="Arial Narrow"/>
        <family val="2"/>
      </rPr>
      <t xml:space="preserve"> </t>
    </r>
    <r>
      <rPr>
        <sz val="9"/>
        <color indexed="63"/>
        <rFont val="Arial Narrow"/>
        <family val="2"/>
      </rPr>
      <t>the premium paid by the insured, net of taxes and duties;</t>
    </r>
  </si>
  <si>
    <r>
      <t>PR =</t>
    </r>
    <r>
      <rPr>
        <sz val="11"/>
        <color indexed="8"/>
        <rFont val="Calibri"/>
        <family val="2"/>
      </rPr>
      <t xml:space="preserve"> Premium reimbursed to the customer</t>
    </r>
  </si>
  <si>
    <r>
      <t>PP</t>
    </r>
    <r>
      <rPr>
        <sz val="9"/>
        <color indexed="8"/>
        <rFont val="Arial Narrow"/>
        <family val="2"/>
      </rPr>
      <t xml:space="preserve"> means the pure premium determined in accordance with the following formula: PP= PT x (1 – β – δ);</t>
    </r>
  </si>
  <si>
    <r>
      <t>Comm =</t>
    </r>
    <r>
      <rPr>
        <sz val="11"/>
        <color indexed="8"/>
        <rFont val="Calibri"/>
        <family val="2"/>
      </rPr>
      <t xml:space="preserve"> Commissions to recover</t>
    </r>
  </si>
  <si>
    <r>
      <t>LOD</t>
    </r>
    <r>
      <rPr>
        <sz val="9"/>
        <color indexed="8"/>
        <rFont val="Arial Narrow"/>
        <family val="2"/>
      </rPr>
      <t xml:space="preserve"> means the total loadings calculated in accordance with the following formula: LOD = PT x (δ + β);</t>
    </r>
  </si>
  <si>
    <r>
      <t xml:space="preserve">PT = </t>
    </r>
    <r>
      <rPr>
        <sz val="11"/>
        <color indexed="8"/>
        <rFont val="Calibri"/>
        <family val="2"/>
      </rPr>
      <t>Net tax premium</t>
    </r>
  </si>
  <si>
    <r>
      <t>PR</t>
    </r>
    <r>
      <rPr>
        <sz val="9"/>
        <color indexed="8"/>
        <rFont val="Arial Narrow"/>
        <family val="2"/>
      </rPr>
      <t xml:space="preserve"> means premium refunded to the Adherent;</t>
    </r>
  </si>
  <si>
    <r>
      <t xml:space="preserve">LOD </t>
    </r>
    <r>
      <rPr>
        <sz val="11"/>
        <color indexed="8"/>
        <rFont val="Calibri"/>
        <family val="2"/>
      </rPr>
      <t>= Commissions + loadings</t>
    </r>
  </si>
  <si>
    <r>
      <t>PPR</t>
    </r>
    <r>
      <rPr>
        <sz val="9"/>
        <color indexed="8"/>
        <rFont val="Arial Narrow"/>
        <family val="2"/>
      </rPr>
      <t xml:space="preserve"> means the pure premium refunded to the Adherent; and </t>
    </r>
  </si>
  <si>
    <t xml:space="preserve">       LOD = PT * (X + Y)</t>
  </si>
  <si>
    <r>
      <t>PPC</t>
    </r>
    <r>
      <rPr>
        <sz val="9"/>
        <color indexed="8"/>
        <rFont val="Arial Narrow"/>
        <family val="2"/>
      </rPr>
      <t xml:space="preserve"> means the pure premium refunded to the Contractor. </t>
    </r>
  </si>
  <si>
    <r>
      <t>2)</t>
    </r>
    <r>
      <rPr>
        <b/>
        <strike/>
        <sz val="7"/>
        <color indexed="8"/>
        <rFont val="Cambria"/>
        <family val="1"/>
      </rPr>
      <t xml:space="preserve">        </t>
    </r>
    <r>
      <rPr>
        <b/>
        <strike/>
        <sz val="9"/>
        <color indexed="8"/>
        <rFont val="Cambria"/>
        <family val="1"/>
      </rPr>
      <t>Refunds to the Adherent after Early Termination of the Finance Contract and in the case of Cancellation</t>
    </r>
  </si>
  <si>
    <t>1) NON-LIFE premium to reimburse to customer</t>
  </si>
  <si>
    <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t>
  </si>
  <si>
    <r>
      <t xml:space="preserve">       PR =</t>
    </r>
    <r>
      <rPr>
        <sz val="11"/>
        <color indexed="8"/>
        <rFont val="Calibri"/>
        <family val="2"/>
      </rPr>
      <t xml:space="preserve"> (PT * (r / D)) - Z - E</t>
    </r>
  </si>
  <si>
    <t xml:space="preserve">The Contractor acknowledges that the commission portion of the refund is the sole responsibility of the Contractor and that it will reimburse refunded commission to the Insurers through the monthly accounting and payment process agreed between the Parties. </t>
  </si>
  <si>
    <t>2) LIFE premium to reimburse to customer</t>
  </si>
  <si>
    <r>
      <t>3)</t>
    </r>
    <r>
      <rPr>
        <b/>
        <strike/>
        <sz val="7"/>
        <color indexed="8"/>
        <rFont val="Cambria"/>
        <family val="1"/>
      </rPr>
      <t xml:space="preserve">        </t>
    </r>
    <r>
      <rPr>
        <b/>
        <strike/>
        <sz val="9"/>
        <color indexed="8"/>
        <rFont val="Cambria"/>
        <family val="1"/>
      </rPr>
      <t>Refund Calculation</t>
    </r>
  </si>
  <si>
    <r>
      <t xml:space="preserve">       PR =</t>
    </r>
    <r>
      <rPr>
        <sz val="11"/>
        <color indexed="8"/>
        <rFont val="Calibri"/>
        <family val="2"/>
      </rPr>
      <t xml:space="preserve"> PT * (X + Y ) * (r / D)) + PPR - Z - E</t>
    </r>
  </si>
  <si>
    <r>
      <t>A.</t>
    </r>
    <r>
      <rPr>
        <strike/>
        <sz val="7"/>
        <color indexed="8"/>
        <rFont val="Cambria"/>
        <family val="1"/>
      </rPr>
      <t xml:space="preserve">       </t>
    </r>
    <r>
      <rPr>
        <strike/>
        <u/>
        <sz val="9"/>
        <color indexed="8"/>
        <rFont val="Cambria"/>
        <family val="1"/>
      </rPr>
      <t>Single Premium Products:</t>
    </r>
  </si>
  <si>
    <t xml:space="preserve">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t>
  </si>
  <si>
    <r>
      <t xml:space="preserve">       PPR =</t>
    </r>
    <r>
      <rPr>
        <sz val="11"/>
        <color indexed="8"/>
        <rFont val="Calibri"/>
        <family val="2"/>
      </rPr>
      <t xml:space="preserve"> Pure premium to reimburse to customer: PP * (((r + 1) * r) / (D * (D + 1)))</t>
    </r>
  </si>
  <si>
    <t xml:space="preserve">The formulae for calculation of the Life and Non-Life element of the refund shall be carried out by the Parties using the following: </t>
  </si>
  <si>
    <r>
      <t xml:space="preserve">       PP =</t>
    </r>
    <r>
      <rPr>
        <sz val="11"/>
        <color indexed="8"/>
        <rFont val="Calibri"/>
        <family val="2"/>
      </rPr>
      <t xml:space="preserve"> Pure premium: PT * (1 - X - Y)</t>
    </r>
  </si>
  <si>
    <t xml:space="preserve">Life: </t>
  </si>
  <si>
    <t>3) Commission to recover</t>
  </si>
  <si>
    <t>The following formula provides for the reimbursement of the Life element of the premium:</t>
  </si>
  <si>
    <r>
      <t xml:space="preserve">       Comm =</t>
    </r>
    <r>
      <rPr>
        <sz val="11"/>
        <color indexed="8"/>
        <rFont val="Calibri"/>
        <family val="2"/>
      </rPr>
      <t xml:space="preserve"> PT * Y * r / D</t>
    </r>
  </si>
  <si>
    <t xml:space="preserve">PR = PT x (β + δ) x </t>
  </si>
  <si>
    <t>+ PPR – ε – φ</t>
  </si>
  <si>
    <t>PPR = PP x ((D - t + 1) x (D – t)) / (D x (D +1))</t>
  </si>
  <si>
    <t>Non-Life:</t>
  </si>
  <si>
    <t>The following formula provides for the reimbursement of the Non-Life element of the premium:</t>
  </si>
  <si>
    <t xml:space="preserve">PR = 0 </t>
  </si>
  <si>
    <t xml:space="preserve">PR = (PP + PT x (β + δ)) x </t>
  </si>
  <si>
    <t xml:space="preserve"> – ε – φ </t>
  </si>
  <si>
    <t>In Respect of the Commission Portion of the Refund</t>
  </si>
  <si>
    <t xml:space="preserve">In respect of the commission portion of the refund which forms part of the above calculation, the formula to be applied for the Life and Non-Life elements is as follows: </t>
  </si>
  <si>
    <t xml:space="preserve">Commission Portion of the Refund = PT x δ x </t>
  </si>
  <si>
    <t>– ε – φ         (comment: this needs to be amended to reflect that it is the Contractor's part of the ET and emissions cost only)</t>
  </si>
  <si>
    <t xml:space="preserve">The refund to the Adherent shall be made by the Companies net of the issuing and termination costs as defined and furthermore explained to the Adherent in the application form delivered to the Adherent for the insurance which includes the application of those costs. The issuing and termination costs incurred by the Contractor are six (6) euros for the issuing costs and nine (9) euros for the termination costs. </t>
  </si>
  <si>
    <r>
      <t>B.</t>
    </r>
    <r>
      <rPr>
        <strike/>
        <sz val="7"/>
        <color indexed="8"/>
        <rFont val="Cambria"/>
        <family val="1"/>
      </rPr>
      <t xml:space="preserve">       </t>
    </r>
    <r>
      <rPr>
        <strike/>
        <u/>
        <sz val="9"/>
        <color indexed="8"/>
        <rFont val="Cambria"/>
        <family val="1"/>
      </rPr>
      <t>Products with a Single Premium paid in advance by the Contractor:</t>
    </r>
  </si>
  <si>
    <t xml:space="preserve">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t>
  </si>
  <si>
    <t>The insurance cover is automatically cancelled and the following formulae are used by the Contractor and the Companies to determine the Life and Non-Life refund that the Companies may provide to the Contractor:</t>
  </si>
  <si>
    <t xml:space="preserve">PPC = PP x ((D - t + 1) x (D – t)) / (D x (D +1)) + PT x β x  </t>
  </si>
  <si>
    <t xml:space="preserve">PPC = 0 </t>
  </si>
  <si>
    <t xml:space="preserve">PPC = (PP + PT x β ) x </t>
  </si>
  <si>
    <r>
      <t>C.</t>
    </r>
    <r>
      <rPr>
        <strike/>
        <sz val="7"/>
        <color indexed="8"/>
        <rFont val="Cambria"/>
        <family val="1"/>
      </rPr>
      <t xml:space="preserve">       </t>
    </r>
    <r>
      <rPr>
        <strike/>
        <u/>
        <sz val="9"/>
        <color indexed="8"/>
        <rFont val="Cambria"/>
        <family val="1"/>
      </rPr>
      <t>Cooling Off</t>
    </r>
  </si>
  <si>
    <t>Where the Adherent cancels the insurance cover during the permitted cooling off period, the formula for the calculation of the refund to the Adherent used by the Companies shall be as follows:</t>
  </si>
  <si>
    <t>PR = PT</t>
  </si>
  <si>
    <t xml:space="preserve">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t>
  </si>
  <si>
    <r>
      <rPr>
        <b/>
        <sz val="12"/>
        <color indexed="8"/>
        <rFont val="Calibri"/>
        <family val="2"/>
      </rPr>
      <t>ε</t>
    </r>
    <r>
      <rPr>
        <b/>
        <sz val="11"/>
        <color indexed="8"/>
        <rFont val="Calibri"/>
        <family val="2"/>
      </rPr>
      <t xml:space="preserve">  </t>
    </r>
    <r>
      <rPr>
        <sz val="11"/>
        <color indexed="8"/>
        <rFont val="Calibri"/>
        <family val="2"/>
      </rPr>
      <t>= Total ET costs (€) :</t>
    </r>
  </si>
  <si>
    <r>
      <t xml:space="preserve">€25.0 </t>
    </r>
    <r>
      <rPr>
        <sz val="11"/>
        <color indexed="8"/>
        <rFont val="Calibri"/>
        <family val="2"/>
      </rPr>
      <t>for Personal Loans, Auto,Senior products</t>
    </r>
  </si>
  <si>
    <t>DRAFT - NOT VALIDATED YET!</t>
  </si>
  <si>
    <r>
      <t>PR =</t>
    </r>
    <r>
      <rPr>
        <sz val="11"/>
        <color indexed="17"/>
        <rFont val="Calibri"/>
        <family val="2"/>
      </rPr>
      <t xml:space="preserve"> PT x (β + δ)  x (D−t)/D + PPR – ε</t>
    </r>
    <r>
      <rPr>
        <b/>
        <sz val="11"/>
        <color indexed="17"/>
        <rFont val="Calibri"/>
        <family val="2"/>
      </rPr>
      <t xml:space="preserve">
</t>
    </r>
  </si>
  <si>
    <r>
      <t xml:space="preserve">PPR </t>
    </r>
    <r>
      <rPr>
        <sz val="11"/>
        <color indexed="17"/>
        <rFont val="Calibri"/>
        <family val="2"/>
      </rPr>
      <t xml:space="preserve">= PP x (D−t)/D x OB/ OLA
</t>
    </r>
    <r>
      <rPr>
        <b/>
        <sz val="11"/>
        <color indexed="17"/>
        <rFont val="Calibri"/>
        <family val="2"/>
      </rPr>
      <t xml:space="preserve">
</t>
    </r>
  </si>
  <si>
    <r>
      <t xml:space="preserve">3) Commission to recover from SCB  </t>
    </r>
    <r>
      <rPr>
        <b/>
        <sz val="11"/>
        <color indexed="17"/>
        <rFont val="Calibri"/>
        <family val="2"/>
      </rPr>
      <t>- UNCHANGED</t>
    </r>
  </si>
  <si>
    <r>
      <t xml:space="preserve">1) NON-LIFE premium to reimburse to Adherent (Insured)     </t>
    </r>
    <r>
      <rPr>
        <b/>
        <sz val="11"/>
        <color indexed="17"/>
        <rFont val="Calibri"/>
        <family val="2"/>
      </rPr>
      <t xml:space="preserve"> - UNCHANGED</t>
    </r>
  </si>
  <si>
    <r>
      <t xml:space="preserve">2) LIFE premium to reimburse to Adherent (Insured)         </t>
    </r>
    <r>
      <rPr>
        <b/>
        <sz val="11"/>
        <color indexed="17"/>
        <rFont val="Calibri"/>
        <family val="2"/>
      </rPr>
      <t xml:space="preserve"> - CHANGED</t>
    </r>
  </si>
  <si>
    <r>
      <t xml:space="preserve">Leasing </t>
    </r>
    <r>
      <rPr>
        <b/>
        <sz val="14"/>
        <color indexed="17"/>
        <rFont val="Calibri"/>
        <family val="2"/>
      </rPr>
      <t>- unchanged</t>
    </r>
  </si>
  <si>
    <t xml:space="preserve">            Loadings part of the Refund before ET charge</t>
  </si>
  <si>
    <t xml:space="preserve">           Commission part of the Refund before ET charge</t>
  </si>
  <si>
    <t>Cost part of the ET Refund:</t>
  </si>
  <si>
    <r>
      <t xml:space="preserve">Refund </t>
    </r>
    <r>
      <rPr>
        <u/>
        <sz val="11"/>
        <color indexed="55"/>
        <rFont val="Calibri"/>
        <family val="2"/>
      </rPr>
      <t>before</t>
    </r>
    <r>
      <rPr>
        <sz val="11"/>
        <color indexed="55"/>
        <rFont val="Calibri"/>
        <family val="2"/>
      </rPr>
      <t xml:space="preserve"> the ET charge - NEW approach as per IVASS Letter published on 18/12/2018</t>
    </r>
  </si>
  <si>
    <t>X = LOD</t>
  </si>
  <si>
    <r>
      <t>e.g. CL80P,  80P</t>
    </r>
    <r>
      <rPr>
        <b/>
        <sz val="14"/>
        <color indexed="55"/>
        <rFont val="Calibri"/>
        <family val="2"/>
      </rPr>
      <t>1</t>
    </r>
    <r>
      <rPr>
        <sz val="14"/>
        <color indexed="55"/>
        <rFont val="Calibri"/>
        <family val="2"/>
      </rPr>
      <t>A, 80P</t>
    </r>
    <r>
      <rPr>
        <b/>
        <sz val="14"/>
        <color indexed="55"/>
        <rFont val="Calibri"/>
        <family val="2"/>
      </rPr>
      <t>2</t>
    </r>
    <r>
      <rPr>
        <sz val="14"/>
        <color indexed="55"/>
        <rFont val="Calibri"/>
        <family val="2"/>
      </rPr>
      <t>A, 80P</t>
    </r>
    <r>
      <rPr>
        <b/>
        <sz val="14"/>
        <color indexed="55"/>
        <rFont val="Calibri"/>
        <family val="2"/>
      </rPr>
      <t>3</t>
    </r>
    <r>
      <rPr>
        <sz val="14"/>
        <color indexed="55"/>
        <rFont val="Calibri"/>
        <family val="2"/>
      </rPr>
      <t>A, 80P1B, 80P2B, 80P3B, LOLA3 etc.</t>
    </r>
  </si>
  <si>
    <r>
      <t xml:space="preserve">ET Refund </t>
    </r>
    <r>
      <rPr>
        <b/>
        <u/>
        <sz val="11"/>
        <rFont val="Calibri"/>
        <family val="2"/>
      </rPr>
      <t>after</t>
    </r>
    <r>
      <rPr>
        <b/>
        <sz val="11"/>
        <rFont val="Calibri"/>
        <family val="2"/>
      </rPr>
      <t xml:space="preserve"> the ET charge</t>
    </r>
  </si>
  <si>
    <t>Early Loan Repayment amount (use for Partial ET only)</t>
  </si>
  <si>
    <r>
      <t xml:space="preserve">1st Partial cancellation Refund </t>
    </r>
    <r>
      <rPr>
        <b/>
        <u/>
        <sz val="11"/>
        <color indexed="8"/>
        <rFont val="Calibri"/>
        <family val="2"/>
      </rPr>
      <t>before</t>
    </r>
    <r>
      <rPr>
        <b/>
        <sz val="11"/>
        <color indexed="8"/>
        <rFont val="Calibri"/>
        <family val="2"/>
      </rPr>
      <t xml:space="preserve"> the ET charge</t>
    </r>
  </si>
  <si>
    <r>
      <rPr>
        <sz val="11"/>
        <rFont val="Calibri"/>
        <family val="2"/>
      </rPr>
      <t xml:space="preserve">        </t>
    </r>
    <r>
      <rPr>
        <u/>
        <sz val="11"/>
        <rFont val="Calibri"/>
        <family val="2"/>
      </rPr>
      <t>of which:</t>
    </r>
  </si>
  <si>
    <r>
      <rPr>
        <sz val="11"/>
        <rFont val="Calibri"/>
        <family val="2"/>
      </rPr>
      <t xml:space="preserve">         </t>
    </r>
    <r>
      <rPr>
        <u/>
        <sz val="11"/>
        <rFont val="Calibri"/>
        <family val="2"/>
      </rPr>
      <t>of which:</t>
    </r>
  </si>
  <si>
    <t xml:space="preserve">     Premium part of the Partial ET Refund before  ET charge</t>
  </si>
  <si>
    <t xml:space="preserve">            Loadings part of the Partial ET Refund before ET charge</t>
  </si>
  <si>
    <t xml:space="preserve">           Commission part of the Partial ET Refund before ET charge</t>
  </si>
  <si>
    <t xml:space="preserve">     Cost (Commission &amp; Loadings) part of the Partial ET Refund before ET charge</t>
  </si>
  <si>
    <t xml:space="preserve">     Cost (Commission &amp; Loadings) part of the Refund before ET charge</t>
  </si>
  <si>
    <r>
      <t xml:space="preserve">ET Refund </t>
    </r>
    <r>
      <rPr>
        <b/>
        <u/>
        <sz val="11"/>
        <color indexed="23"/>
        <rFont val="Calibri"/>
        <family val="2"/>
      </rPr>
      <t>before</t>
    </r>
    <r>
      <rPr>
        <u/>
        <sz val="11"/>
        <color indexed="23"/>
        <rFont val="Calibri"/>
        <family val="2"/>
      </rPr>
      <t xml:space="preserve"> the ET charge - OLD approches till 17/02/2019:</t>
    </r>
  </si>
  <si>
    <r>
      <t xml:space="preserve">ET Refund </t>
    </r>
    <r>
      <rPr>
        <b/>
        <u/>
        <sz val="11"/>
        <color indexed="23"/>
        <rFont val="Calibri"/>
        <family val="2"/>
      </rPr>
      <t xml:space="preserve">after </t>
    </r>
    <r>
      <rPr>
        <u/>
        <sz val="11"/>
        <color indexed="23"/>
        <rFont val="Calibri"/>
        <family val="2"/>
      </rPr>
      <t>the ET charge - OLD approches till 17/02/2019:</t>
    </r>
  </si>
  <si>
    <r>
      <t>(Early Loan Repayment amount/ Outstanding Insured Capital just before Partial Cancellation) </t>
    </r>
    <r>
      <rPr>
        <b/>
        <sz val="11"/>
        <rFont val="Calibri"/>
        <family val="2"/>
      </rPr>
      <t>ratio</t>
    </r>
  </si>
  <si>
    <r>
      <t xml:space="preserve">1st Partial ET refund </t>
    </r>
    <r>
      <rPr>
        <b/>
        <u/>
        <sz val="11"/>
        <rFont val="Calibri"/>
        <family val="2"/>
      </rPr>
      <t xml:space="preserve">after </t>
    </r>
    <r>
      <rPr>
        <b/>
        <sz val="11"/>
        <rFont val="Calibri"/>
        <family val="2"/>
      </rPr>
      <t xml:space="preserve">ET charge = 1st Partial cancelaltion </t>
    </r>
    <r>
      <rPr>
        <b/>
        <u/>
        <sz val="11"/>
        <rFont val="Calibri"/>
        <family val="2"/>
      </rPr>
      <t>before</t>
    </r>
    <r>
      <rPr>
        <b/>
        <sz val="11"/>
        <rFont val="Calibri"/>
        <family val="2"/>
      </rPr>
      <t xml:space="preserve"> ET charge</t>
    </r>
  </si>
  <si>
    <r>
      <t xml:space="preserve">Anticipated ET or </t>
    </r>
    <r>
      <rPr>
        <b/>
        <sz val="11"/>
        <color indexed="62"/>
        <rFont val="Calibri"/>
        <family val="2"/>
      </rPr>
      <t>Partial Cancellation date:</t>
    </r>
  </si>
  <si>
    <t>1st and any consecutive PARTIAL Cancellation:</t>
  </si>
  <si>
    <t>Full ET following previous PARTIAL Cancellation (s):</t>
  </si>
  <si>
    <r>
      <t xml:space="preserve">FULL ET Refund following previous Partial Cancellation(s) </t>
    </r>
    <r>
      <rPr>
        <b/>
        <u/>
        <sz val="11"/>
        <rFont val="Calibri"/>
        <family val="2"/>
      </rPr>
      <t xml:space="preserve">after </t>
    </r>
    <r>
      <rPr>
        <b/>
        <sz val="11"/>
        <rFont val="Calibri"/>
        <family val="2"/>
      </rPr>
      <t>ET charge</t>
    </r>
  </si>
  <si>
    <r>
      <t xml:space="preserve">ET Refund after Partial Cancelaltion(s) </t>
    </r>
    <r>
      <rPr>
        <b/>
        <u/>
        <sz val="11"/>
        <color indexed="8"/>
        <rFont val="Calibri"/>
        <family val="2"/>
      </rPr>
      <t>before</t>
    </r>
    <r>
      <rPr>
        <b/>
        <sz val="11"/>
        <color indexed="8"/>
        <rFont val="Calibri"/>
        <family val="2"/>
      </rPr>
      <t xml:space="preserve"> the ET charge</t>
    </r>
  </si>
  <si>
    <r>
      <rPr>
        <b/>
        <sz val="11"/>
        <rFont val="Calibri"/>
        <family val="2"/>
      </rPr>
      <t>ET charge</t>
    </r>
    <r>
      <rPr>
        <sz val="11"/>
        <rFont val="Calibri"/>
        <family val="2"/>
      </rPr>
      <t xml:space="preserve"> on Full Early Termination</t>
    </r>
  </si>
  <si>
    <t>Sum of all Early Loan Repayments ever paid by the customer on this policy</t>
  </si>
  <si>
    <t>Outstanding Balance right after Partial Cancellation  (use for Partial ET only)</t>
  </si>
  <si>
    <t>Financed amount (requested loan + CPI Premium):</t>
  </si>
  <si>
    <t>loan amount incl CPI premium</t>
  </si>
  <si>
    <r>
      <t xml:space="preserve">Outstanding Balance at the time of ET (or </t>
    </r>
    <r>
      <rPr>
        <b/>
        <sz val="11"/>
        <color indexed="62"/>
        <rFont val="Calibri"/>
        <family val="2"/>
      </rPr>
      <t>just before Partial ET</t>
    </r>
    <r>
      <rPr>
        <b/>
        <sz val="11"/>
        <rFont val="Calibri"/>
        <family val="2"/>
      </rPr>
      <t>)</t>
    </r>
  </si>
  <si>
    <r>
      <t xml:space="preserve">Outstanding Balance at the time of </t>
    </r>
    <r>
      <rPr>
        <b/>
        <u/>
        <sz val="11"/>
        <color indexed="62"/>
        <rFont val="Calibri"/>
        <family val="2"/>
      </rPr>
      <t>Full ET following Partial Cancellation</t>
    </r>
  </si>
  <si>
    <t xml:space="preserve">  </t>
  </si>
  <si>
    <t>1 - [Sum of all Early Loan Repayments/ (Outstanding Insured Capital just before Full ET+ Sum of all Early Loan Repayments)]</t>
  </si>
  <si>
    <r>
      <t xml:space="preserve">Premium part of the 1st Partial Refund </t>
    </r>
    <r>
      <rPr>
        <u/>
        <sz val="11"/>
        <color indexed="23"/>
        <rFont val="Calibri"/>
        <family val="2"/>
      </rPr>
      <t>after</t>
    </r>
    <r>
      <rPr>
        <sz val="11"/>
        <color indexed="23"/>
        <rFont val="Calibri"/>
        <family val="2"/>
      </rPr>
      <t xml:space="preserve"> the ET charge</t>
    </r>
  </si>
  <si>
    <t>COST part of the ET Refund:</t>
  </si>
  <si>
    <t>of which:</t>
  </si>
  <si>
    <r>
      <t xml:space="preserve">the same as </t>
    </r>
    <r>
      <rPr>
        <u/>
        <sz val="11"/>
        <color indexed="23"/>
        <rFont val="Calibri"/>
        <family val="2"/>
      </rPr>
      <t>before</t>
    </r>
    <r>
      <rPr>
        <sz val="11"/>
        <color indexed="23"/>
        <rFont val="Calibri"/>
        <family val="2"/>
      </rPr>
      <t xml:space="preserve"> ET fees as there is NO ET fees relating to Loadings</t>
    </r>
  </si>
  <si>
    <r>
      <t xml:space="preserve">the same as </t>
    </r>
    <r>
      <rPr>
        <u/>
        <sz val="11"/>
        <color indexed="23"/>
        <rFont val="Calibri"/>
        <family val="2"/>
      </rPr>
      <t>before</t>
    </r>
    <r>
      <rPr>
        <sz val="11"/>
        <color indexed="23"/>
        <rFont val="Calibri"/>
        <family val="2"/>
      </rPr>
      <t xml:space="preserve"> ET fees as there is NO ET relating to Loadings</t>
    </r>
  </si>
  <si>
    <r>
      <t xml:space="preserve">the same as </t>
    </r>
    <r>
      <rPr>
        <u/>
        <sz val="11"/>
        <color indexed="23"/>
        <rFont val="Calibri"/>
        <family val="2"/>
      </rPr>
      <t>before</t>
    </r>
    <r>
      <rPr>
        <sz val="11"/>
        <color indexed="23"/>
        <rFont val="Calibri"/>
        <family val="2"/>
      </rPr>
      <t xml:space="preserve"> ET fees as there is NO ET fees for Partial Cancelaltions</t>
    </r>
  </si>
  <si>
    <r>
      <rPr>
        <sz val="11"/>
        <color indexed="23"/>
        <rFont val="Calibri"/>
        <family val="2"/>
      </rPr>
      <t xml:space="preserve">             </t>
    </r>
    <r>
      <rPr>
        <u/>
        <sz val="11"/>
        <color indexed="23"/>
        <rFont val="Calibri"/>
        <family val="2"/>
      </rPr>
      <t>of which:</t>
    </r>
  </si>
  <si>
    <t xml:space="preserve">              Loadings part of the Partial ET Refund after ET charge</t>
  </si>
  <si>
    <r>
      <t xml:space="preserve">             Commission part of the 1st Partial Refund </t>
    </r>
    <r>
      <rPr>
        <u/>
        <sz val="11"/>
        <color indexed="23"/>
        <rFont val="Calibri"/>
        <family val="2"/>
      </rPr>
      <t>after</t>
    </r>
    <r>
      <rPr>
        <sz val="11"/>
        <color indexed="23"/>
        <rFont val="Calibri"/>
        <family val="2"/>
      </rPr>
      <t xml:space="preserve"> the ET charge</t>
    </r>
  </si>
  <si>
    <r>
      <t xml:space="preserve"> Cost (Commission &amp; Loadings) part of the Partial ET Refund </t>
    </r>
    <r>
      <rPr>
        <u/>
        <sz val="11"/>
        <color indexed="23"/>
        <rFont val="Calibri"/>
        <family val="2"/>
      </rPr>
      <t xml:space="preserve">after </t>
    </r>
    <r>
      <rPr>
        <sz val="11"/>
        <color indexed="23"/>
        <rFont val="Calibri"/>
        <family val="2"/>
      </rPr>
      <t>ET charge</t>
    </r>
  </si>
  <si>
    <r>
      <t xml:space="preserve">              Loadings part of the Partial ET Refund</t>
    </r>
    <r>
      <rPr>
        <u/>
        <sz val="11"/>
        <color indexed="23"/>
        <rFont val="Calibri"/>
        <family val="2"/>
      </rPr>
      <t xml:space="preserve"> after </t>
    </r>
    <r>
      <rPr>
        <sz val="11"/>
        <color indexed="23"/>
        <rFont val="Calibri"/>
        <family val="2"/>
      </rPr>
      <t>ET charge</t>
    </r>
  </si>
  <si>
    <r>
      <rPr>
        <b/>
        <sz val="11"/>
        <color indexed="60"/>
        <rFont val="Calibri"/>
        <family val="2"/>
      </rPr>
      <t>No ET charges</t>
    </r>
    <r>
      <rPr>
        <sz val="11"/>
        <color indexed="60"/>
        <rFont val="Calibri"/>
        <family val="2"/>
      </rPr>
      <t xml:space="preserve"> for Partial Cancellations</t>
    </r>
  </si>
  <si>
    <t>®</t>
  </si>
  <si>
    <r>
      <rPr>
        <b/>
        <sz val="14"/>
        <color indexed="56"/>
        <rFont val="Calibri"/>
        <family val="2"/>
      </rPr>
      <t>zero</t>
    </r>
    <r>
      <rPr>
        <sz val="14"/>
        <color indexed="8"/>
        <rFont val="Calibri"/>
        <family val="2"/>
      </rPr>
      <t xml:space="preserve"> in caso di estinzione anticipata parziale oppure </t>
    </r>
    <r>
      <rPr>
        <b/>
        <sz val="14"/>
        <color indexed="8"/>
        <rFont val="Calibri"/>
        <family val="2"/>
      </rPr>
      <t>"</t>
    </r>
    <r>
      <rPr>
        <b/>
        <sz val="14"/>
        <color indexed="56"/>
        <rFont val="Calibri"/>
        <family val="2"/>
      </rPr>
      <t>debito residuo</t>
    </r>
    <r>
      <rPr>
        <b/>
        <sz val="14"/>
        <color indexed="8"/>
        <rFont val="Calibri"/>
        <family val="2"/>
      </rPr>
      <t>"(AB tactical file CL)</t>
    </r>
    <r>
      <rPr>
        <sz val="14"/>
        <color indexed="8"/>
        <rFont val="Calibri"/>
        <family val="2"/>
      </rPr>
      <t xml:space="preserve"> in caso di estinzione anticipata totale</t>
    </r>
  </si>
  <si>
    <r>
      <rPr>
        <b/>
        <sz val="14"/>
        <color indexed="56"/>
        <rFont val="Calibri"/>
        <family val="2"/>
      </rPr>
      <t>importo estinzione</t>
    </r>
    <r>
      <rPr>
        <b/>
        <sz val="14"/>
        <color indexed="8"/>
        <rFont val="Calibri"/>
        <family val="2"/>
      </rPr>
      <t xml:space="preserve"> </t>
    </r>
    <r>
      <rPr>
        <sz val="14"/>
        <color indexed="8"/>
        <rFont val="Calibri"/>
        <family val="2"/>
      </rPr>
      <t>(file EAP) senza meno</t>
    </r>
  </si>
  <si>
    <r>
      <rPr>
        <b/>
        <sz val="14"/>
        <color indexed="56"/>
        <rFont val="Calibri"/>
        <family val="2"/>
      </rPr>
      <t>capitale residuo</t>
    </r>
    <r>
      <rPr>
        <sz val="14"/>
        <color indexed="8"/>
        <rFont val="Calibri"/>
        <family val="2"/>
      </rPr>
      <t xml:space="preserve"> (file EAP)</t>
    </r>
  </si>
  <si>
    <r>
      <rPr>
        <sz val="14"/>
        <color indexed="56"/>
        <rFont val="Calibri"/>
        <family val="2"/>
      </rPr>
      <t xml:space="preserve">somma di tutti gli importi estinzione </t>
    </r>
    <r>
      <rPr>
        <sz val="14"/>
        <color indexed="8"/>
        <rFont val="Calibri"/>
        <family val="2"/>
      </rPr>
      <t>(file EAP) senza meno delle estinzioni anticipate parziali precedenti (compresa la PET corrente se parziale)</t>
    </r>
  </si>
  <si>
    <r>
      <t>somma assicurata = financed amount (</t>
    </r>
    <r>
      <rPr>
        <b/>
        <sz val="14"/>
        <color indexed="56"/>
        <rFont val="Calibri"/>
        <family val="2"/>
      </rPr>
      <t>finanziato</t>
    </r>
    <r>
      <rPr>
        <b/>
        <sz val="14"/>
        <rFont val="Calibri"/>
        <family val="2"/>
      </rPr>
      <t xml:space="preserve"> </t>
    </r>
    <r>
      <rPr>
        <sz val="14"/>
        <rFont val="Calibri"/>
        <family val="2"/>
      </rPr>
      <t>_ colonna O in SCB CL) - total premium incl tax (</t>
    </r>
    <r>
      <rPr>
        <b/>
        <sz val="14"/>
        <color indexed="56"/>
        <rFont val="Calibri"/>
        <family val="2"/>
      </rPr>
      <t xml:space="preserve">assic_attiva </t>
    </r>
    <r>
      <rPr>
        <sz val="14"/>
        <rFont val="Calibri"/>
        <family val="2"/>
      </rPr>
      <t>_ colonna W in SCB CL)</t>
    </r>
  </si>
  <si>
    <r>
      <t xml:space="preserve">data di </t>
    </r>
    <r>
      <rPr>
        <b/>
        <sz val="14"/>
        <color indexed="8"/>
        <rFont val="Calibri"/>
        <family val="2"/>
      </rPr>
      <t>estinzione anticipata anticipata parziale</t>
    </r>
    <r>
      <rPr>
        <sz val="14"/>
        <color indexed="8"/>
        <rFont val="Calibri"/>
        <family val="2"/>
      </rPr>
      <t xml:space="preserve"> oppure </t>
    </r>
    <r>
      <rPr>
        <b/>
        <sz val="14"/>
        <color indexed="8"/>
        <rFont val="Calibri"/>
        <family val="2"/>
      </rPr>
      <t>data di estinzione anticipata totale</t>
    </r>
    <r>
      <rPr>
        <sz val="14"/>
        <color indexed="8"/>
        <rFont val="Calibri"/>
        <family val="2"/>
      </rPr>
      <t xml:space="preserve"> (tactical file CL _ </t>
    </r>
    <r>
      <rPr>
        <b/>
        <sz val="14"/>
        <color indexed="56"/>
        <rFont val="Calibri"/>
        <family val="2"/>
      </rPr>
      <t>date of cancellation</t>
    </r>
    <r>
      <rPr>
        <sz val="14"/>
        <color indexed="8"/>
        <rFont val="Calibri"/>
        <family val="2"/>
      </rPr>
      <t>/data_esti)</t>
    </r>
  </si>
  <si>
    <r>
      <t>data di scadenza iniziale (original</t>
    </r>
    <r>
      <rPr>
        <b/>
        <sz val="14"/>
        <color indexed="10"/>
        <rFont val="Calibri"/>
        <family val="2"/>
      </rPr>
      <t xml:space="preserve"> </t>
    </r>
    <r>
      <rPr>
        <b/>
        <sz val="14"/>
        <color indexed="56"/>
        <rFont val="Calibri"/>
        <family val="2"/>
      </rPr>
      <t>expiration date</t>
    </r>
    <r>
      <rPr>
        <sz val="14"/>
        <color indexed="10"/>
        <rFont val="Calibri"/>
        <family val="2"/>
      </rPr>
      <t>_ tactical file CL/ ultima_scadenza) sempre uguale anche in caso di modifica durata</t>
    </r>
  </si>
  <si>
    <r>
      <t>data decorrenza (</t>
    </r>
    <r>
      <rPr>
        <b/>
        <sz val="14"/>
        <color indexed="56"/>
        <rFont val="Calibri"/>
        <family val="2"/>
      </rPr>
      <t>date of signature</t>
    </r>
    <r>
      <rPr>
        <sz val="14"/>
        <color indexed="8"/>
        <rFont val="Calibri"/>
        <family val="2"/>
      </rPr>
      <t xml:space="preserve"> _tactical file CL)</t>
    </r>
  </si>
  <si>
    <t xml:space="preserve">® </t>
  </si>
  <si>
    <r>
      <rPr>
        <b/>
        <sz val="14"/>
        <color indexed="56"/>
        <rFont val="Calibri"/>
        <family val="2"/>
      </rPr>
      <t>capitale residuo - importo estinzione</t>
    </r>
    <r>
      <rPr>
        <sz val="14"/>
        <color indexed="56"/>
        <rFont val="Calibri"/>
        <family val="2"/>
      </rPr>
      <t xml:space="preserve"> </t>
    </r>
    <r>
      <rPr>
        <sz val="14"/>
        <rFont val="Calibri"/>
        <family val="2"/>
      </rPr>
      <t xml:space="preserve">(file EAP) --&gt; </t>
    </r>
    <r>
      <rPr>
        <i/>
        <sz val="14"/>
        <rFont val="Calibri"/>
        <family val="2"/>
      </rPr>
      <t>controllare se presenze con debito residuo in colonna Z</t>
    </r>
    <r>
      <rPr>
        <sz val="14"/>
        <rFont val="Calibri"/>
        <family val="2"/>
      </rPr>
      <t xml:space="preserve"> (produrre un allert se non coincidono)</t>
    </r>
  </si>
  <si>
    <t>CL60W3B</t>
  </si>
  <si>
    <t>60W3B</t>
  </si>
  <si>
    <t>CL45W3B</t>
  </si>
  <si>
    <t>45W3B</t>
  </si>
  <si>
    <t>CL80W3B</t>
  </si>
  <si>
    <t>80W3B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</si>
</sst>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quot;€&quot;\ #,##0.00;\-&quot;€&quot;\ #,##0.00"/>
    <numFmt numFmtId="165" formatCode="0.0000%"/>
    <numFmt numFmtId="166" formatCode="0.000%"/>
    <numFmt numFmtId="167" formatCode="0.000000%"/>
    <numFmt numFmtId="168" formatCode="#,##0.00_ ;\-#,##0.00\ "/>
    <numFmt numFmtId="169" formatCode="0.0%"/>
    <numFmt numFmtId="170" formatCode="0.0000"/>
    <numFmt numFmtId="171" formatCode="#,##0.0000000000000_ ;\-#,##0.0000000000000\ "/>
    <numFmt numFmtId="172" formatCode="[$€-1809]#,##0.00"/>
    <numFmt numFmtId="173" formatCode="_-* #,##0_-;\-* #,##0_-;_-* &quot;-&quot;??_-;_-@_-"/>
    <numFmt numFmtId="174" formatCode="#,##0_ ;\-#,##0\ "/>
    <numFmt numFmtId="175" formatCode="_-[$€-2]\ * #,##0.00_-;\-[$€-2]\ * #,##0.00_-;_-[$€-2]\ * &quot;-&quot;??_-;_-@_-"/>
    <numFmt numFmtId="176" formatCode="_-[$€-2]\ * #,##0_-;\-[$€-2]\ * #,##0_-;_-[$€-2]\ * &quot;-&quot;??_-;_-@_-"/>
    <numFmt numFmtId="177" formatCode="0.000"/>
    <numFmt numFmtId="178" formatCode="0.00000%"/>
    <numFmt numFmtId="179" formatCode="_-* #,##0.000_-;\-* #,##0.000_-;_-* &quot;-&quot;??_-;_-@_-"/>
  </numFmts>
  <fonts count="131" x14ac:knownFonts="1">
    <font>
      <sz val="11"/>
      <color theme="1"/>
      <name val="Calibri"/>
      <family val="2"/>
      <scheme val="minor"/>
    </font>
    <font>
      <sz val="11"/>
      <color indexed="8"/>
      <name val="Calibri"/>
      <family val="2"/>
    </font>
    <font>
      <b/>
      <sz val="11"/>
      <color indexed="8"/>
      <name val="Calibri"/>
      <family val="2"/>
    </font>
    <font>
      <b/>
      <sz val="11"/>
      <name val="Calibri"/>
      <family val="2"/>
    </font>
    <font>
      <b/>
      <sz val="11"/>
      <color indexed="9"/>
      <name val="Calibri"/>
      <family val="2"/>
    </font>
    <font>
      <b/>
      <sz val="14"/>
      <color indexed="9"/>
      <name val="Calibri"/>
      <family val="2"/>
    </font>
    <font>
      <b/>
      <u/>
      <sz val="14"/>
      <color indexed="9"/>
      <name val="Calibri"/>
      <family val="2"/>
    </font>
    <font>
      <sz val="11"/>
      <name val="Calibri"/>
      <family val="2"/>
    </font>
    <font>
      <b/>
      <sz val="12"/>
      <name val="Calibri"/>
      <family val="2"/>
    </font>
    <font>
      <b/>
      <sz val="10"/>
      <name val="Calibri"/>
      <family val="2"/>
    </font>
    <font>
      <sz val="11"/>
      <color indexed="8"/>
      <name val="Calibri"/>
      <family val="2"/>
    </font>
    <font>
      <sz val="10"/>
      <color indexed="18"/>
      <name val="Arial"/>
      <family val="2"/>
    </font>
    <font>
      <b/>
      <sz val="8"/>
      <color indexed="81"/>
      <name val="Tahoma"/>
      <family val="2"/>
    </font>
    <font>
      <sz val="8"/>
      <color indexed="81"/>
      <name val="Tahoma"/>
      <family val="2"/>
    </font>
    <font>
      <u/>
      <sz val="11"/>
      <name val="Calibri"/>
      <family val="2"/>
    </font>
    <font>
      <sz val="11"/>
      <color indexed="8"/>
      <name val="Calibri"/>
      <family val="2"/>
    </font>
    <font>
      <sz val="11"/>
      <color indexed="81"/>
      <name val="Tahoma"/>
      <family val="2"/>
    </font>
    <font>
      <sz val="12"/>
      <color indexed="8"/>
      <name val="Arial Narrow"/>
      <family val="2"/>
    </font>
    <font>
      <sz val="11"/>
      <color indexed="60"/>
      <name val="Calibri"/>
      <family val="2"/>
    </font>
    <font>
      <b/>
      <sz val="11"/>
      <color indexed="60"/>
      <name val="Calibri"/>
      <family val="2"/>
    </font>
    <font>
      <b/>
      <u/>
      <sz val="11"/>
      <color indexed="8"/>
      <name val="Calibri"/>
      <family val="2"/>
    </font>
    <font>
      <b/>
      <sz val="9"/>
      <color indexed="81"/>
      <name val="Tahoma"/>
      <family val="2"/>
    </font>
    <font>
      <sz val="9"/>
      <color indexed="81"/>
      <name val="Tahoma"/>
      <family val="2"/>
    </font>
    <font>
      <sz val="12"/>
      <color indexed="81"/>
      <name val="Tahoma"/>
      <family val="2"/>
    </font>
    <font>
      <b/>
      <sz val="10"/>
      <color indexed="8"/>
      <name val="Calibri"/>
      <family val="2"/>
    </font>
    <font>
      <sz val="12"/>
      <color indexed="9"/>
      <name val="Calibri"/>
      <family val="2"/>
    </font>
    <font>
      <b/>
      <sz val="12"/>
      <color indexed="8"/>
      <name val="Calibri"/>
      <family val="2"/>
    </font>
    <font>
      <b/>
      <u/>
      <sz val="11"/>
      <name val="Calibri"/>
      <family val="2"/>
    </font>
    <font>
      <u/>
      <sz val="12"/>
      <color indexed="81"/>
      <name val="Tahoma"/>
      <family val="2"/>
    </font>
    <font>
      <sz val="9"/>
      <name val="Calibri"/>
      <family val="2"/>
    </font>
    <font>
      <sz val="9"/>
      <color indexed="8"/>
      <name val="Arial Narrow"/>
      <family val="2"/>
    </font>
    <font>
      <b/>
      <sz val="9"/>
      <color indexed="8"/>
      <name val="Arial Narrow"/>
      <family val="2"/>
    </font>
    <font>
      <b/>
      <strike/>
      <sz val="9"/>
      <color indexed="8"/>
      <name val="Cambria"/>
      <family val="1"/>
    </font>
    <font>
      <strike/>
      <u/>
      <sz val="9"/>
      <color indexed="8"/>
      <name val="Cambria"/>
      <family val="1"/>
    </font>
    <font>
      <b/>
      <sz val="14"/>
      <color indexed="55"/>
      <name val="Calibri"/>
      <family val="2"/>
    </font>
    <font>
      <sz val="14"/>
      <color indexed="55"/>
      <name val="Calibri"/>
      <family val="2"/>
    </font>
    <font>
      <sz val="10"/>
      <name val="Arial"/>
      <family val="2"/>
    </font>
    <font>
      <sz val="11"/>
      <name val="Arial Narrow"/>
      <family val="2"/>
    </font>
    <font>
      <u/>
      <sz val="11"/>
      <color indexed="81"/>
      <name val="Tahoma"/>
      <family val="2"/>
    </font>
    <font>
      <b/>
      <u/>
      <sz val="11"/>
      <color indexed="81"/>
      <name val="Tahoma"/>
      <family val="2"/>
    </font>
    <font>
      <b/>
      <sz val="11"/>
      <color indexed="81"/>
      <name val="Tahoma"/>
      <family val="2"/>
    </font>
    <font>
      <b/>
      <u/>
      <sz val="11"/>
      <color indexed="23"/>
      <name val="Calibri"/>
      <family val="2"/>
    </font>
    <font>
      <u/>
      <sz val="11"/>
      <color indexed="23"/>
      <name val="Calibri"/>
      <family val="2"/>
    </font>
    <font>
      <sz val="11"/>
      <color indexed="55"/>
      <name val="Calibri"/>
      <family val="2"/>
    </font>
    <font>
      <b/>
      <sz val="7"/>
      <color indexed="8"/>
      <name val="Times New Roman"/>
      <family val="1"/>
    </font>
    <font>
      <sz val="9"/>
      <color indexed="63"/>
      <name val="Arial Narrow"/>
      <family val="2"/>
    </font>
    <font>
      <b/>
      <strike/>
      <sz val="7"/>
      <color indexed="8"/>
      <name val="Cambria"/>
      <family val="1"/>
    </font>
    <font>
      <strike/>
      <sz val="7"/>
      <color indexed="8"/>
      <name val="Cambria"/>
      <family val="1"/>
    </font>
    <font>
      <b/>
      <sz val="11"/>
      <color indexed="17"/>
      <name val="Calibri"/>
      <family val="2"/>
    </font>
    <font>
      <sz val="11"/>
      <color indexed="17"/>
      <name val="Calibri"/>
      <family val="2"/>
    </font>
    <font>
      <b/>
      <sz val="14"/>
      <color indexed="17"/>
      <name val="Calibri"/>
      <family val="2"/>
    </font>
    <font>
      <u/>
      <sz val="11"/>
      <color indexed="55"/>
      <name val="Calibri"/>
      <family val="2"/>
    </font>
    <font>
      <b/>
      <sz val="11"/>
      <color indexed="62"/>
      <name val="Calibri"/>
      <family val="2"/>
    </font>
    <font>
      <sz val="14"/>
      <color indexed="81"/>
      <name val="Tahoma"/>
      <family val="2"/>
    </font>
    <font>
      <b/>
      <u/>
      <sz val="11"/>
      <color indexed="62"/>
      <name val="Calibri"/>
      <family val="2"/>
    </font>
    <font>
      <b/>
      <sz val="12"/>
      <color indexed="81"/>
      <name val="Tahoma"/>
      <family val="2"/>
    </font>
    <font>
      <sz val="11"/>
      <color indexed="23"/>
      <name val="Calibri"/>
      <family val="2"/>
    </font>
    <font>
      <sz val="14"/>
      <color indexed="8"/>
      <name val="Calibri"/>
      <family val="2"/>
    </font>
    <font>
      <b/>
      <sz val="14"/>
      <color indexed="8"/>
      <name val="Calibri"/>
      <family val="2"/>
    </font>
    <font>
      <sz val="14"/>
      <color indexed="10"/>
      <name val="Calibri"/>
      <family val="2"/>
    </font>
    <font>
      <sz val="14"/>
      <name val="Calibri"/>
      <family val="2"/>
    </font>
    <font>
      <b/>
      <sz val="14"/>
      <name val="Calibri"/>
      <family val="2"/>
    </font>
    <font>
      <sz val="14"/>
      <color indexed="56"/>
      <name val="Calibri"/>
      <family val="2"/>
    </font>
    <font>
      <b/>
      <sz val="14"/>
      <color indexed="56"/>
      <name val="Calibri"/>
      <family val="2"/>
    </font>
    <font>
      <b/>
      <sz val="14"/>
      <color indexed="10"/>
      <name val="Calibri"/>
      <family val="2"/>
    </font>
    <font>
      <i/>
      <sz val="14"/>
      <name val="Calibri"/>
      <family val="2"/>
    </font>
    <font>
      <sz val="11"/>
      <color theme="1"/>
      <name val="Calibri"/>
      <family val="2"/>
      <scheme val="minor"/>
    </font>
    <font>
      <sz val="11"/>
      <color theme="0"/>
      <name val="Calibri"/>
      <family val="2"/>
      <scheme val="minor"/>
    </font>
    <font>
      <b/>
      <sz val="11"/>
      <color theme="1"/>
      <name val="Calibri"/>
      <family val="2"/>
      <scheme val="minor"/>
    </font>
    <font>
      <b/>
      <sz val="12"/>
      <color theme="1"/>
      <name val="Arial Narrow"/>
      <family val="2"/>
    </font>
    <font>
      <sz val="11"/>
      <color theme="4" tint="0.39997558519241921"/>
      <name val="Calibri"/>
      <family val="2"/>
    </font>
    <font>
      <sz val="11"/>
      <color rgb="FFC00000"/>
      <name val="Calibri"/>
      <family val="2"/>
    </font>
    <font>
      <b/>
      <sz val="11"/>
      <color theme="1"/>
      <name val="Calibri"/>
      <family val="2"/>
    </font>
    <font>
      <sz val="11"/>
      <color theme="0" tint="-0.499984740745262"/>
      <name val="Calibri"/>
      <family val="2"/>
    </font>
    <font>
      <sz val="9"/>
      <color theme="1"/>
      <name val="Arial Narrow"/>
      <family val="2"/>
    </font>
    <font>
      <sz val="11"/>
      <color theme="1"/>
      <name val="Calibri"/>
      <family val="2"/>
    </font>
    <font>
      <b/>
      <sz val="11"/>
      <color rgb="FF0070C0"/>
      <name val="Calibri"/>
      <family val="2"/>
    </font>
    <font>
      <b/>
      <sz val="24"/>
      <color theme="1"/>
      <name val="Calibri"/>
      <family val="2"/>
      <scheme val="minor"/>
    </font>
    <font>
      <sz val="11"/>
      <color rgb="FF0070C0"/>
      <name val="Calibri"/>
      <family val="2"/>
      <scheme val="minor"/>
    </font>
    <font>
      <sz val="10"/>
      <color theme="1"/>
      <name val="Calibri"/>
      <family val="2"/>
      <scheme val="minor"/>
    </font>
    <font>
      <b/>
      <sz val="10"/>
      <color theme="1"/>
      <name val="Calibri"/>
      <family val="2"/>
      <scheme val="minor"/>
    </font>
    <font>
      <b/>
      <sz val="10"/>
      <color theme="1"/>
      <name val="Calibri"/>
      <family val="2"/>
    </font>
    <font>
      <sz val="11"/>
      <color theme="0"/>
      <name val="Calibri"/>
      <family val="2"/>
    </font>
    <font>
      <b/>
      <sz val="11"/>
      <color theme="0"/>
      <name val="Calibri"/>
      <family val="2"/>
    </font>
    <font>
      <sz val="11"/>
      <color rgb="FF0070C0"/>
      <name val="Calibri"/>
      <family val="2"/>
    </font>
    <font>
      <b/>
      <sz val="9"/>
      <color theme="1"/>
      <name val="Arial Narrow"/>
      <family val="2"/>
    </font>
    <font>
      <b/>
      <strike/>
      <sz val="9"/>
      <color theme="1"/>
      <name val="Cambria"/>
      <family val="1"/>
    </font>
    <font>
      <strike/>
      <sz val="9"/>
      <color theme="1"/>
      <name val="Cambria"/>
      <family val="1"/>
    </font>
    <font>
      <strike/>
      <u/>
      <sz val="9"/>
      <color theme="1"/>
      <name val="Cambria"/>
      <family val="1"/>
    </font>
    <font>
      <strike/>
      <sz val="9"/>
      <color rgb="FFFF0000"/>
      <name val="Cambria"/>
      <family val="1"/>
    </font>
    <font>
      <b/>
      <sz val="14"/>
      <color theme="0" tint="-0.34998626667073579"/>
      <name val="Calibri"/>
      <family val="2"/>
    </font>
    <font>
      <b/>
      <sz val="10"/>
      <color rgb="FFC00000"/>
      <name val="Calibri"/>
      <family val="2"/>
      <scheme val="minor"/>
    </font>
    <font>
      <sz val="11"/>
      <color theme="0" tint="-0.14999847407452621"/>
      <name val="Calibri"/>
      <family val="2"/>
    </font>
    <font>
      <sz val="14"/>
      <color theme="0" tint="-4.9989318521683403E-2"/>
      <name val="Calibri"/>
      <family val="2"/>
    </font>
    <font>
      <sz val="9"/>
      <color theme="0" tint="-0.14999847407452621"/>
      <name val="Calibri"/>
      <family val="2"/>
    </font>
    <font>
      <sz val="9"/>
      <color theme="1"/>
      <name val="Calibri"/>
      <family val="2"/>
    </font>
    <font>
      <sz val="14"/>
      <color theme="0" tint="-0.34998626667073579"/>
      <name val="Calibri"/>
      <family val="2"/>
    </font>
    <font>
      <b/>
      <sz val="11"/>
      <color rgb="FFC00000"/>
      <name val="Calibri"/>
      <family val="2"/>
      <scheme val="minor"/>
    </font>
    <font>
      <b/>
      <sz val="11"/>
      <name val="Calibri"/>
      <family val="2"/>
      <scheme val="minor"/>
    </font>
    <font>
      <sz val="11"/>
      <color theme="1"/>
      <name val="Arial Narrow"/>
      <family val="2"/>
    </font>
    <font>
      <sz val="11"/>
      <color theme="0" tint="-0.249977111117893"/>
      <name val="Calibri"/>
      <family val="2"/>
    </font>
    <font>
      <b/>
      <u/>
      <sz val="11"/>
      <color theme="0" tint="-0.499984740745262"/>
      <name val="Calibri"/>
      <family val="2"/>
    </font>
    <font>
      <b/>
      <sz val="11"/>
      <color theme="0" tint="-0.499984740745262"/>
      <name val="Calibri"/>
      <family val="2"/>
      <scheme val="minor"/>
    </font>
    <font>
      <b/>
      <sz val="11"/>
      <color theme="0" tint="-0.34998626667073579"/>
      <name val="Calibri"/>
      <family val="2"/>
      <scheme val="minor"/>
    </font>
    <font>
      <sz val="11"/>
      <color theme="0" tint="-0.34998626667073579"/>
      <name val="Calibri"/>
      <family val="2"/>
      <scheme val="minor"/>
    </font>
    <font>
      <sz val="11"/>
      <color theme="0" tint="-0.499984740745262"/>
      <name val="Calibri"/>
      <family val="2"/>
      <scheme val="minor"/>
    </font>
    <font>
      <sz val="11"/>
      <name val="Calibri"/>
      <family val="2"/>
      <scheme val="minor"/>
    </font>
    <font>
      <b/>
      <sz val="22"/>
      <color theme="1"/>
      <name val="Calibri"/>
      <family val="2"/>
      <scheme val="minor"/>
    </font>
    <font>
      <sz val="8"/>
      <color theme="0" tint="-0.34998626667073579"/>
      <name val="Calibri"/>
      <family val="2"/>
    </font>
    <font>
      <sz val="11"/>
      <color theme="0" tint="-0.34998626667073579"/>
      <name val="Calibri"/>
      <family val="2"/>
    </font>
    <font>
      <sz val="11"/>
      <color theme="0" tint="-0.14999847407452621"/>
      <name val="Calibri"/>
      <family val="2"/>
      <scheme val="minor"/>
    </font>
    <font>
      <b/>
      <sz val="11"/>
      <color theme="0" tint="-0.14999847407452621"/>
      <name val="Calibri"/>
      <family val="2"/>
      <scheme val="minor"/>
    </font>
    <font>
      <sz val="14"/>
      <color theme="0" tint="-0.14999847407452621"/>
      <name val="Calibri"/>
      <family val="2"/>
    </font>
    <font>
      <b/>
      <sz val="11"/>
      <color theme="0" tint="-0.249977111117893"/>
      <name val="Calibri"/>
      <family val="2"/>
    </font>
    <font>
      <sz val="11"/>
      <color rgb="FF00B050"/>
      <name val="Calibri"/>
      <family val="2"/>
    </font>
    <font>
      <b/>
      <sz val="11"/>
      <color rgb="FF333399"/>
      <name val="Calibri"/>
      <family val="2"/>
    </font>
    <font>
      <b/>
      <sz val="14"/>
      <color theme="1"/>
      <name val="Calibri"/>
      <family val="2"/>
    </font>
    <font>
      <u/>
      <sz val="11"/>
      <color theme="0" tint="-0.499984740745262"/>
      <name val="Calibri"/>
      <family val="2"/>
    </font>
    <font>
      <sz val="11"/>
      <color rgb="FFFF0000"/>
      <name val="Calibri"/>
      <family val="2"/>
    </font>
    <font>
      <sz val="14"/>
      <color rgb="FFFF0000"/>
      <name val="Calibri"/>
      <family val="2"/>
    </font>
    <font>
      <sz val="14"/>
      <color theme="1"/>
      <name val="Calibri"/>
      <family val="2"/>
    </font>
    <font>
      <b/>
      <sz val="28"/>
      <color rgb="FFFF0000"/>
      <name val="Symbol"/>
      <family val="1"/>
      <charset val="2"/>
    </font>
    <font>
      <b/>
      <sz val="11"/>
      <color rgb="FFFF0000"/>
      <name val="Calibri"/>
      <family val="2"/>
    </font>
    <font>
      <b/>
      <sz val="22"/>
      <color rgb="FF00B050"/>
      <name val="Calibri"/>
      <family val="2"/>
    </font>
    <font>
      <b/>
      <sz val="11"/>
      <color rgb="FF00B050"/>
      <name val="Calibri"/>
      <family val="2"/>
    </font>
    <font>
      <b/>
      <sz val="12"/>
      <color rgb="FFC00000"/>
      <name val="Calibri"/>
      <family val="2"/>
      <scheme val="minor"/>
    </font>
    <font>
      <b/>
      <sz val="20"/>
      <color theme="0"/>
      <name val="Calibri"/>
      <family val="2"/>
      <scheme val="minor"/>
    </font>
    <font>
      <sz val="20"/>
      <color theme="0"/>
      <name val="Calibri"/>
      <family val="2"/>
      <scheme val="minor"/>
    </font>
    <font>
      <b/>
      <sz val="11"/>
      <color rgb="FFC00000"/>
      <name val="Calibri"/>
      <family val="2"/>
    </font>
    <font>
      <b/>
      <sz val="14"/>
      <color rgb="FFC00000"/>
      <name val="Calibri"/>
      <family val="2"/>
      <scheme val="minor"/>
    </font>
    <font>
      <sz val="14"/>
      <color rgb="FFC00000"/>
      <name val="Calibri"/>
      <family val="2"/>
      <scheme val="minor"/>
    </font>
  </fonts>
  <fills count="6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gray0625"/>
    </fill>
    <fill>
      <patternFill patternType="solid">
        <fgColor theme="0" tint="-0.149998474074526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CCCCFF"/>
        <bgColor indexed="64"/>
      </patternFill>
    </fill>
    <fill>
      <patternFill patternType="gray0625">
        <bgColor theme="7" tint="0.59999389629810485"/>
      </patternFill>
    </fill>
    <fill>
      <patternFill patternType="gray0625">
        <bgColor rgb="FFCCCCFF"/>
      </patternFill>
    </fill>
    <fill>
      <patternFill patternType="solid">
        <fgColor rgb="FFFF0000"/>
        <bgColor indexed="64"/>
      </patternFill>
    </fill>
    <fill>
      <patternFill patternType="solid">
        <fgColor rgb="FFCCFFFF"/>
        <bgColor indexed="64"/>
      </patternFill>
    </fill>
    <fill>
      <patternFill patternType="solid">
        <fgColor rgb="FFFFFF99"/>
        <bgColor indexed="64"/>
      </patternFill>
    </fill>
    <fill>
      <patternFill patternType="gray0625">
        <bgColor theme="4" tint="0.59999389629810485"/>
      </patternFill>
    </fill>
    <fill>
      <patternFill patternType="solid">
        <fgColor theme="3" tint="0.59999389629810485"/>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2" tint="-9.9948118533890809E-2"/>
        <bgColor indexed="64"/>
      </patternFill>
    </fill>
    <fill>
      <gradientFill degree="90">
        <stop position="0">
          <color theme="4" tint="0.80001220740379042"/>
        </stop>
        <stop position="1">
          <color theme="4"/>
        </stop>
      </gradientFill>
    </fill>
    <fill>
      <gradientFill degree="90">
        <stop position="0">
          <color theme="9" tint="0.80001220740379042"/>
        </stop>
        <stop position="1">
          <color theme="9" tint="0.40000610370189521"/>
        </stop>
      </gradientFill>
    </fill>
    <fill>
      <gradientFill degree="90">
        <stop position="0">
          <color theme="5" tint="0.80001220740379042"/>
        </stop>
        <stop position="1">
          <color theme="5" tint="0.40000610370189521"/>
        </stop>
      </gradientFill>
    </fill>
    <fill>
      <patternFill patternType="solid">
        <fgColor theme="1"/>
        <bgColor indexed="64"/>
      </patternFill>
    </fill>
    <fill>
      <patternFill patternType="solid">
        <fgColor rgb="FFFFFF00"/>
        <bgColor indexed="64"/>
      </patternFill>
    </fill>
    <fill>
      <patternFill patternType="gray0625">
        <bgColor rgb="FFCCFFFF"/>
      </patternFill>
    </fill>
    <fill>
      <patternFill patternType="gray0625">
        <bgColor theme="9" tint="0.39997558519241921"/>
      </patternFill>
    </fill>
    <fill>
      <patternFill patternType="solid">
        <fgColor rgb="FFFFCC99"/>
        <bgColor indexed="64"/>
      </patternFill>
    </fill>
    <fill>
      <patternFill patternType="gray0625">
        <bgColor rgb="FFFFCC99"/>
      </patternFill>
    </fill>
    <fill>
      <patternFill patternType="gray0625">
        <bgColor rgb="FFFF7C80"/>
      </patternFill>
    </fill>
    <fill>
      <patternFill patternType="solid">
        <fgColor rgb="FFFF7C80"/>
        <bgColor indexed="64"/>
      </patternFill>
    </fill>
    <fill>
      <patternFill patternType="solid">
        <fgColor theme="7" tint="0.79998168889431442"/>
        <bgColor indexed="64"/>
      </patternFill>
    </fill>
    <fill>
      <patternFill patternType="gray0625">
        <bgColor theme="7" tint="0.79998168889431442"/>
      </patternFill>
    </fill>
    <fill>
      <patternFill patternType="solid">
        <fgColor theme="2" tint="-0.249977111117893"/>
        <bgColor indexed="64"/>
      </patternFill>
    </fill>
    <fill>
      <patternFill patternType="solid">
        <fgColor theme="2" tint="-0.499984740745262"/>
        <bgColor indexed="64"/>
      </patternFill>
    </fill>
    <fill>
      <patternFill patternType="solid">
        <fgColor theme="2"/>
        <bgColor indexed="64"/>
      </patternFill>
    </fill>
    <fill>
      <patternFill patternType="solid">
        <fgColor theme="9" tint="-0.249977111117893"/>
        <bgColor indexed="64"/>
      </patternFill>
    </fill>
    <fill>
      <patternFill patternType="gray0625">
        <bgColor theme="9" tint="0.39994506668294322"/>
      </patternFill>
    </fill>
    <fill>
      <patternFill patternType="solid">
        <fgColor theme="9" tint="0.39991454817346722"/>
        <bgColor indexed="64"/>
      </patternFill>
    </fill>
    <fill>
      <patternFill patternType="gray0625">
        <bgColor theme="4" tint="0.39997558519241921"/>
      </patternFill>
    </fill>
    <fill>
      <patternFill patternType="gray0625">
        <bgColor theme="4" tint="0.79998168889431442"/>
      </patternFill>
    </fill>
    <fill>
      <patternFill patternType="gray0625">
        <bgColor theme="9" tint="0.79998168889431442"/>
      </patternFill>
    </fill>
    <fill>
      <patternFill patternType="gray0625">
        <bgColor theme="5" tint="0.39997558519241921"/>
      </patternFill>
    </fill>
    <fill>
      <patternFill patternType="gray0625">
        <bgColor theme="5" tint="0.79998168889431442"/>
      </patternFill>
    </fill>
    <fill>
      <patternFill patternType="solid">
        <fgColor rgb="FF66FFFF"/>
        <bgColor indexed="64"/>
      </patternFill>
    </fill>
    <fill>
      <patternFill patternType="gray0625">
        <bgColor theme="3" tint="0.59999389629810485"/>
      </patternFill>
    </fill>
    <fill>
      <patternFill patternType="solid">
        <fgColor theme="2" tint="-9.9978637043366805E-2"/>
        <bgColor indexed="64"/>
      </patternFill>
    </fill>
    <fill>
      <gradientFill degree="90">
        <stop position="0">
          <color theme="0"/>
        </stop>
        <stop position="1">
          <color theme="9" tint="0.40000610370189521"/>
        </stop>
      </gradientFill>
    </fill>
    <fill>
      <patternFill patternType="solid">
        <fgColor rgb="FF92D05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CCFF"/>
        <bgColor indexed="64"/>
      </patternFill>
    </fill>
    <fill>
      <patternFill patternType="solid">
        <fgColor rgb="FF0070C0"/>
        <bgColor indexed="64"/>
      </patternFill>
    </fill>
    <fill>
      <patternFill patternType="solid">
        <fgColor rgb="FFCCFFCC"/>
        <bgColor indexed="64"/>
      </patternFill>
    </fill>
    <fill>
      <patternFill patternType="solid">
        <fgColor rgb="FFFFFFCC"/>
        <bgColor indexed="64"/>
      </patternFill>
    </fill>
  </fills>
  <borders count="18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style="medium">
        <color indexed="64"/>
      </bottom>
      <diagonal/>
    </border>
    <border>
      <left/>
      <right/>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slantDashDot">
        <color indexed="64"/>
      </left>
      <right style="thin">
        <color indexed="64"/>
      </right>
      <top style="thin">
        <color indexed="64"/>
      </top>
      <bottom style="medium">
        <color indexed="64"/>
      </bottom>
      <diagonal/>
    </border>
    <border>
      <left style="thin">
        <color indexed="64"/>
      </left>
      <right style="slantDashDot">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slantDashDot">
        <color indexed="64"/>
      </left>
      <right style="thin">
        <color indexed="64"/>
      </right>
      <top/>
      <bottom style="thin">
        <color indexed="64"/>
      </bottom>
      <diagonal/>
    </border>
    <border>
      <left style="thin">
        <color indexed="64"/>
      </left>
      <right style="slantDashDot">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DashDot">
        <color indexed="64"/>
      </left>
      <right style="thin">
        <color indexed="64"/>
      </right>
      <top/>
      <bottom style="thin">
        <color indexed="64"/>
      </bottom>
      <diagonal/>
    </border>
    <border>
      <left style="thin">
        <color indexed="64"/>
      </left>
      <right style="mediumDashDot">
        <color indexed="64"/>
      </right>
      <top/>
      <bottom style="thin">
        <color indexed="64"/>
      </bottom>
      <diagonal/>
    </border>
    <border>
      <left style="thin">
        <color indexed="64"/>
      </left>
      <right style="mediumDashDot">
        <color indexed="64"/>
      </right>
      <top style="thin">
        <color indexed="64"/>
      </top>
      <bottom style="thin">
        <color indexed="64"/>
      </bottom>
      <diagonal/>
    </border>
    <border>
      <left style="thin">
        <color indexed="64"/>
      </left>
      <right style="mediumDashDot">
        <color indexed="64"/>
      </right>
      <top style="thin">
        <color indexed="64"/>
      </top>
      <bottom style="medium">
        <color indexed="64"/>
      </bottom>
      <diagonal/>
    </border>
    <border>
      <left style="thin">
        <color indexed="64"/>
      </left>
      <right/>
      <top/>
      <bottom/>
      <diagonal/>
    </border>
    <border>
      <left style="medium">
        <color indexed="64"/>
      </left>
      <right style="mediumDashDot">
        <color indexed="64"/>
      </right>
      <top style="thin">
        <color indexed="64"/>
      </top>
      <bottom style="medium">
        <color indexed="64"/>
      </bottom>
      <diagonal/>
    </border>
    <border>
      <left style="mediumDashDot">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mediumDashDot">
        <color indexed="64"/>
      </right>
      <top/>
      <bottom style="medium">
        <color indexed="64"/>
      </bottom>
      <diagonal/>
    </border>
    <border>
      <left style="dashDot">
        <color indexed="64"/>
      </left>
      <right/>
      <top style="thin">
        <color indexed="64"/>
      </top>
      <bottom style="medium">
        <color indexed="64"/>
      </bottom>
      <diagonal/>
    </border>
    <border>
      <left style="thin">
        <color indexed="64"/>
      </left>
      <right style="mediumDashDot">
        <color indexed="64"/>
      </right>
      <top style="medium">
        <color indexed="64"/>
      </top>
      <bottom style="thin">
        <color indexed="64"/>
      </bottom>
      <diagonal/>
    </border>
    <border>
      <left style="mediumDashDot">
        <color indexed="64"/>
      </left>
      <right style="thin">
        <color indexed="64"/>
      </right>
      <top style="thin">
        <color indexed="64"/>
      </top>
      <bottom style="thin">
        <color indexed="64"/>
      </bottom>
      <diagonal/>
    </border>
    <border>
      <left style="mediumDashDot">
        <color indexed="64"/>
      </left>
      <right style="thin">
        <color indexed="64"/>
      </right>
      <top style="medium">
        <color indexed="64"/>
      </top>
      <bottom style="thin">
        <color indexed="64"/>
      </bottom>
      <diagonal/>
    </border>
    <border>
      <left style="mediumDashDot">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DashDot">
        <color indexed="64"/>
      </left>
      <right style="mediumDashDot">
        <color indexed="64"/>
      </right>
      <top style="mediumDashDot">
        <color indexed="64"/>
      </top>
      <bottom style="mediumDashDot">
        <color indexed="64"/>
      </bottom>
      <diagonal/>
    </border>
    <border>
      <left style="mediumDashDot">
        <color indexed="64"/>
      </left>
      <right style="mediumDashDot">
        <color indexed="64"/>
      </right>
      <top/>
      <bottom style="thin">
        <color indexed="64"/>
      </bottom>
      <diagonal/>
    </border>
    <border>
      <left/>
      <right/>
      <top/>
      <bottom style="medium">
        <color theme="1"/>
      </bottom>
      <diagonal/>
    </border>
    <border>
      <left/>
      <right/>
      <top style="medium">
        <color theme="1"/>
      </top>
      <bottom style="thin">
        <color theme="1"/>
      </bottom>
      <diagonal/>
    </border>
    <border>
      <left style="thin">
        <color theme="1"/>
      </left>
      <right style="thin">
        <color theme="1"/>
      </right>
      <top/>
      <bottom style="thin">
        <color theme="1"/>
      </bottom>
      <diagonal/>
    </border>
    <border>
      <left style="thin">
        <color theme="1"/>
      </left>
      <right style="thin">
        <color theme="1"/>
      </right>
      <top style="medium">
        <color theme="1"/>
      </top>
      <bottom style="thin">
        <color theme="1"/>
      </bottom>
      <diagonal/>
    </border>
    <border>
      <left/>
      <right style="thin">
        <color theme="1"/>
      </right>
      <top/>
      <bottom style="thin">
        <color theme="1"/>
      </bottom>
      <diagonal/>
    </border>
    <border>
      <left style="thin">
        <color theme="1"/>
      </left>
      <right style="slantDashDot">
        <color indexed="64"/>
      </right>
      <top/>
      <bottom style="thin">
        <color theme="1"/>
      </bottom>
      <diagonal/>
    </border>
    <border>
      <left style="thin">
        <color theme="1"/>
      </left>
      <right style="slantDashDot">
        <color indexed="64"/>
      </right>
      <top style="medium">
        <color theme="1"/>
      </top>
      <bottom style="thin">
        <color theme="1"/>
      </bottom>
      <diagonal/>
    </border>
    <border>
      <left style="medium">
        <color indexed="64"/>
      </left>
      <right style="thin">
        <color indexed="64"/>
      </right>
      <top/>
      <bottom style="thin">
        <color theme="1"/>
      </bottom>
      <diagonal/>
    </border>
    <border>
      <left style="medium">
        <color indexed="64"/>
      </left>
      <right/>
      <top/>
      <bottom style="thin">
        <color theme="1"/>
      </bottom>
      <diagonal/>
    </border>
    <border>
      <left style="medium">
        <color indexed="64"/>
      </left>
      <right style="thin">
        <color indexed="64"/>
      </right>
      <top style="thin">
        <color theme="1"/>
      </top>
      <bottom style="thin">
        <color theme="1"/>
      </bottom>
      <diagonal/>
    </border>
    <border>
      <left/>
      <right style="thin">
        <color indexed="64"/>
      </right>
      <top/>
      <bottom style="thin">
        <color theme="1"/>
      </bottom>
      <diagonal/>
    </border>
    <border>
      <left style="thin">
        <color indexed="64"/>
      </left>
      <right style="thin">
        <color indexed="64"/>
      </right>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style="slantDashDot">
        <color indexed="64"/>
      </right>
      <top style="thin">
        <color theme="1"/>
      </top>
      <bottom style="thin">
        <color theme="1"/>
      </bottom>
      <diagonal/>
    </border>
    <border>
      <left style="medium">
        <color indexed="64"/>
      </left>
      <right style="thin">
        <color theme="1"/>
      </right>
      <top style="thin">
        <color theme="1"/>
      </top>
      <bottom style="medium">
        <color theme="1"/>
      </bottom>
      <diagonal/>
    </border>
    <border>
      <left style="medium">
        <color indexed="64"/>
      </left>
      <right style="thin">
        <color indexed="64"/>
      </right>
      <top style="thin">
        <color theme="1"/>
      </top>
      <bottom style="medium">
        <color theme="1"/>
      </bottom>
      <diagonal/>
    </border>
    <border>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medium">
        <color indexed="64"/>
      </left>
      <right style="thin">
        <color theme="1"/>
      </right>
      <top/>
      <bottom style="thin">
        <color theme="1"/>
      </bottom>
      <diagonal/>
    </border>
    <border>
      <left style="medium">
        <color indexed="64"/>
      </left>
      <right style="thin">
        <color theme="1"/>
      </right>
      <top style="thin">
        <color theme="1"/>
      </top>
      <bottom style="medium">
        <color indexed="64"/>
      </bottom>
      <diagonal/>
    </border>
    <border>
      <left style="medium">
        <color indexed="64"/>
      </left>
      <right style="medium">
        <color indexed="64"/>
      </right>
      <top/>
      <bottom style="thin">
        <color theme="1"/>
      </bottom>
      <diagonal/>
    </border>
    <border>
      <left/>
      <right/>
      <top style="thin">
        <color theme="1"/>
      </top>
      <bottom style="medium">
        <color theme="1"/>
      </bottom>
      <diagonal/>
    </border>
    <border>
      <left style="thin">
        <color theme="1"/>
      </left>
      <right/>
      <top/>
      <bottom style="thin">
        <color theme="1"/>
      </bottom>
      <diagonal/>
    </border>
    <border>
      <left style="thin">
        <color indexed="64"/>
      </left>
      <right/>
      <top/>
      <bottom style="thin">
        <color theme="1"/>
      </bottom>
      <diagonal/>
    </border>
    <border>
      <left style="medium">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medium">
        <color indexed="64"/>
      </right>
      <top style="thin">
        <color indexed="64"/>
      </top>
      <bottom style="thin">
        <color theme="1"/>
      </bottom>
      <diagonal/>
    </border>
    <border>
      <left style="medium">
        <color indexed="64"/>
      </left>
      <right/>
      <top style="thin">
        <color theme="1"/>
      </top>
      <bottom style="medium">
        <color indexed="64"/>
      </bottom>
      <diagonal/>
    </border>
    <border>
      <left style="medium">
        <color indexed="64"/>
      </left>
      <right style="thin">
        <color indexed="64"/>
      </right>
      <top style="thin">
        <color theme="1"/>
      </top>
      <bottom style="medium">
        <color indexed="64"/>
      </bottom>
      <diagonal/>
    </border>
    <border>
      <left style="medium">
        <color indexed="64"/>
      </left>
      <right style="thin">
        <color indexed="64"/>
      </right>
      <top style="medium">
        <color theme="1"/>
      </top>
      <bottom style="thin">
        <color theme="1"/>
      </bottom>
      <diagonal/>
    </border>
    <border>
      <left/>
      <right style="thin">
        <color indexed="64"/>
      </right>
      <top style="thin">
        <color theme="1"/>
      </top>
      <bottom style="medium">
        <color indexed="64"/>
      </bottom>
      <diagonal/>
    </border>
    <border>
      <left style="thin">
        <color indexed="64"/>
      </left>
      <right style="thin">
        <color indexed="64"/>
      </right>
      <top style="thin">
        <color theme="1"/>
      </top>
      <bottom style="medium">
        <color indexed="64"/>
      </bottom>
      <diagonal/>
    </border>
    <border>
      <left style="thin">
        <color theme="1"/>
      </left>
      <right/>
      <top style="medium">
        <color theme="1"/>
      </top>
      <bottom style="thin">
        <color theme="1"/>
      </bottom>
      <diagonal/>
    </border>
    <border>
      <left style="thin">
        <color theme="1"/>
      </left>
      <right/>
      <top style="thin">
        <color theme="1"/>
      </top>
      <bottom style="medium">
        <color indexed="64"/>
      </bottom>
      <diagonal/>
    </border>
    <border>
      <left style="thin">
        <color indexed="64"/>
      </left>
      <right style="medium">
        <color indexed="64"/>
      </right>
      <top style="thin">
        <color theme="1"/>
      </top>
      <bottom style="thin">
        <color theme="1"/>
      </bottom>
      <diagonal/>
    </border>
    <border>
      <left style="thin">
        <color indexed="64"/>
      </left>
      <right style="medium">
        <color indexed="64"/>
      </right>
      <top/>
      <bottom style="thin">
        <color theme="1"/>
      </bottom>
      <diagonal/>
    </border>
    <border>
      <left/>
      <right/>
      <top/>
      <bottom style="thin">
        <color theme="1"/>
      </bottom>
      <diagonal/>
    </border>
    <border>
      <left style="medium">
        <color indexed="64"/>
      </left>
      <right style="thin">
        <color theme="1"/>
      </right>
      <top style="medium">
        <color indexed="64"/>
      </top>
      <bottom style="thin">
        <color theme="1"/>
      </bottom>
      <diagonal/>
    </border>
    <border>
      <left/>
      <right/>
      <top style="thin">
        <color theme="1"/>
      </top>
      <bottom style="medium">
        <color indexed="64"/>
      </bottom>
      <diagonal/>
    </border>
    <border>
      <left style="slantDashDot">
        <color indexed="64"/>
      </left>
      <right style="thin">
        <color indexed="64"/>
      </right>
      <top style="medium">
        <color theme="1"/>
      </top>
      <bottom style="thin">
        <color indexed="64"/>
      </bottom>
      <diagonal/>
    </border>
    <border>
      <left style="thin">
        <color indexed="64"/>
      </left>
      <right style="slantDashDot">
        <color indexed="64"/>
      </right>
      <top style="medium">
        <color theme="1"/>
      </top>
      <bottom style="thin">
        <color indexed="64"/>
      </bottom>
      <diagonal/>
    </border>
    <border>
      <left style="thin">
        <color theme="1"/>
      </left>
      <right style="slantDashDot">
        <color indexed="64"/>
      </right>
      <top style="thin">
        <color theme="1"/>
      </top>
      <bottom style="medium">
        <color theme="1"/>
      </bottom>
      <diagonal/>
    </border>
    <border>
      <left style="medium">
        <color indexed="64"/>
      </left>
      <right style="medium">
        <color indexed="64"/>
      </right>
      <top style="thin">
        <color theme="1"/>
      </top>
      <bottom style="medium">
        <color theme="1"/>
      </bottom>
      <diagonal/>
    </border>
    <border>
      <left style="medium">
        <color indexed="64"/>
      </left>
      <right style="medium">
        <color indexed="64"/>
      </right>
      <top style="thin">
        <color theme="1"/>
      </top>
      <bottom style="medium">
        <color indexed="64"/>
      </bottom>
      <diagonal/>
    </border>
    <border>
      <left/>
      <right style="thin">
        <color theme="1"/>
      </right>
      <top style="medium">
        <color theme="1"/>
      </top>
      <bottom style="thin">
        <color indexed="64"/>
      </bottom>
      <diagonal/>
    </border>
    <border>
      <left/>
      <right style="thin">
        <color theme="1"/>
      </right>
      <top style="thin">
        <color indexed="64"/>
      </top>
      <bottom style="thin">
        <color indexed="64"/>
      </bottom>
      <diagonal/>
    </border>
    <border>
      <left/>
      <right style="thin">
        <color theme="1"/>
      </right>
      <top/>
      <bottom style="medium">
        <color theme="1"/>
      </bottom>
      <diagonal/>
    </border>
    <border>
      <left/>
      <right style="thin">
        <color theme="1"/>
      </right>
      <top style="thin">
        <color indexed="64"/>
      </top>
      <bottom style="medium">
        <color theme="1"/>
      </bottom>
      <diagonal/>
    </border>
    <border>
      <left/>
      <right style="thin">
        <color theme="1"/>
      </right>
      <top/>
      <bottom style="thin">
        <color indexed="64"/>
      </bottom>
      <diagonal/>
    </border>
    <border>
      <left/>
      <right style="slantDashDot">
        <color indexed="64"/>
      </right>
      <top style="medium">
        <color theme="1"/>
      </top>
      <bottom style="medium">
        <color indexed="64"/>
      </bottom>
      <diagonal/>
    </border>
    <border>
      <left style="thin">
        <color indexed="64"/>
      </left>
      <right style="medium">
        <color indexed="64"/>
      </right>
      <top style="medium">
        <color theme="1"/>
      </top>
      <bottom style="medium">
        <color indexed="64"/>
      </bottom>
      <diagonal/>
    </border>
    <border>
      <left style="medium">
        <color indexed="64"/>
      </left>
      <right style="slantDashDot">
        <color indexed="64"/>
      </right>
      <top style="medium">
        <color theme="1"/>
      </top>
      <bottom style="medium">
        <color indexed="64"/>
      </bottom>
      <diagonal/>
    </border>
    <border>
      <left style="medium">
        <color indexed="64"/>
      </left>
      <right/>
      <top style="medium">
        <color theme="1"/>
      </top>
      <bottom style="medium">
        <color indexed="64"/>
      </bottom>
      <diagonal/>
    </border>
    <border>
      <left/>
      <right style="thin">
        <color theme="1"/>
      </right>
      <top style="thin">
        <color theme="1"/>
      </top>
      <bottom style="medium">
        <color indexed="64"/>
      </bottom>
      <diagonal/>
    </border>
    <border>
      <left/>
      <right style="thin">
        <color indexed="64"/>
      </right>
      <top style="thin">
        <color theme="1"/>
      </top>
      <bottom style="medium">
        <color theme="1"/>
      </bottom>
      <diagonal/>
    </border>
    <border>
      <left style="thin">
        <color indexed="64"/>
      </left>
      <right style="thin">
        <color indexed="64"/>
      </right>
      <top style="thin">
        <color theme="1"/>
      </top>
      <bottom style="medium">
        <color theme="1"/>
      </bottom>
      <diagonal/>
    </border>
    <border>
      <left/>
      <right style="medium">
        <color indexed="64"/>
      </right>
      <top style="medium">
        <color indexed="64"/>
      </top>
      <bottom style="thin">
        <color theme="1"/>
      </bottom>
      <diagonal/>
    </border>
    <border>
      <left/>
      <right style="medium">
        <color indexed="64"/>
      </right>
      <top style="thin">
        <color theme="1"/>
      </top>
      <bottom style="medium">
        <color indexed="64"/>
      </bottom>
      <diagonal/>
    </border>
    <border>
      <left style="thin">
        <color indexed="64"/>
      </left>
      <right style="medium">
        <color indexed="64"/>
      </right>
      <top style="thin">
        <color theme="1"/>
      </top>
      <bottom style="medium">
        <color theme="1"/>
      </bottom>
      <diagonal/>
    </border>
    <border>
      <left style="medium">
        <color indexed="64"/>
      </left>
      <right style="medium">
        <color indexed="64"/>
      </right>
      <top style="medium">
        <color theme="1"/>
      </top>
      <bottom/>
      <diagonal/>
    </border>
    <border>
      <left style="medium">
        <color indexed="64"/>
      </left>
      <right style="medium">
        <color indexed="64"/>
      </right>
      <top style="medium">
        <color indexed="64"/>
      </top>
      <bottom style="thin">
        <color theme="1"/>
      </bottom>
      <diagonal/>
    </border>
    <border>
      <left/>
      <right style="medium">
        <color indexed="64"/>
      </right>
      <top/>
      <bottom style="thin">
        <color theme="1"/>
      </bottom>
      <diagonal/>
    </border>
    <border>
      <left/>
      <right style="medium">
        <color indexed="64"/>
      </right>
      <top style="thin">
        <color theme="1"/>
      </top>
      <bottom/>
      <diagonal/>
    </border>
    <border>
      <left style="medium">
        <color indexed="64"/>
      </left>
      <right/>
      <top style="thin">
        <color theme="1"/>
      </top>
      <bottom/>
      <diagonal/>
    </border>
    <border>
      <left style="thin">
        <color indexed="64"/>
      </left>
      <right style="medium">
        <color indexed="64"/>
      </right>
      <top style="thin">
        <color theme="1"/>
      </top>
      <bottom/>
      <diagonal/>
    </border>
    <border>
      <left style="medium">
        <color indexed="64"/>
      </left>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right style="medium">
        <color indexed="64"/>
      </right>
      <top style="thin">
        <color theme="1"/>
      </top>
      <bottom style="medium">
        <color theme="1"/>
      </bottom>
      <diagonal/>
    </border>
    <border>
      <left style="thin">
        <color indexed="64"/>
      </left>
      <right style="medium">
        <color indexed="64"/>
      </right>
      <top style="thin">
        <color theme="1"/>
      </top>
      <bottom style="medium">
        <color indexed="64"/>
      </bottom>
      <diagonal/>
    </border>
    <border>
      <left/>
      <right style="medium">
        <color indexed="64"/>
      </right>
      <top style="medium">
        <color theme="1"/>
      </top>
      <bottom style="thin">
        <color theme="1"/>
      </bottom>
      <diagonal/>
    </border>
    <border>
      <left style="thin">
        <color theme="1"/>
      </left>
      <right style="medium">
        <color indexed="64"/>
      </right>
      <top style="medium">
        <color indexed="64"/>
      </top>
      <bottom style="thin">
        <color theme="1"/>
      </bottom>
      <diagonal/>
    </border>
    <border>
      <left style="thin">
        <color theme="1"/>
      </left>
      <right style="medium">
        <color indexed="64"/>
      </right>
      <top style="thin">
        <color theme="1"/>
      </top>
      <bottom style="medium">
        <color indexed="64"/>
      </bottom>
      <diagonal/>
    </border>
    <border>
      <left style="thin">
        <color theme="1"/>
      </left>
      <right style="medium">
        <color indexed="64"/>
      </right>
      <top style="thin">
        <color theme="1"/>
      </top>
      <bottom style="medium">
        <color theme="1"/>
      </bottom>
      <diagonal/>
    </border>
    <border>
      <left style="thin">
        <color theme="1"/>
      </left>
      <right style="medium">
        <color indexed="64"/>
      </right>
      <top/>
      <bottom style="thin">
        <color theme="1"/>
      </bottom>
      <diagonal/>
    </border>
    <border>
      <left style="thin">
        <color theme="1"/>
      </left>
      <right style="thin">
        <color theme="1"/>
      </right>
      <top style="thin">
        <color indexed="64"/>
      </top>
      <bottom style="medium">
        <color indexed="64"/>
      </bottom>
      <diagonal/>
    </border>
    <border>
      <left style="thin">
        <color theme="1"/>
      </left>
      <right/>
      <top style="thin">
        <color theme="1"/>
      </top>
      <bottom style="thin">
        <color theme="1"/>
      </bottom>
      <diagonal/>
    </border>
    <border>
      <left style="thin">
        <color theme="1"/>
      </left>
      <right/>
      <top style="thin">
        <color theme="1"/>
      </top>
      <bottom style="medium">
        <color theme="1"/>
      </bottom>
      <diagonal/>
    </border>
    <border>
      <left style="thin">
        <color theme="1"/>
      </left>
      <right style="thin">
        <color theme="1"/>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thin">
        <color theme="1"/>
      </left>
      <right style="thin">
        <color theme="1"/>
      </right>
      <top style="thin">
        <color theme="1"/>
      </top>
      <bottom style="medium">
        <color indexed="64"/>
      </bottom>
      <diagonal/>
    </border>
    <border>
      <left style="thin">
        <color theme="1"/>
      </left>
      <right style="thin">
        <color theme="1"/>
      </right>
      <top style="thin">
        <color theme="1"/>
      </top>
      <bottom style="thin">
        <color indexed="64"/>
      </bottom>
      <diagonal/>
    </border>
    <border>
      <left style="medium">
        <color indexed="64"/>
      </left>
      <right style="thin">
        <color theme="1"/>
      </right>
      <top style="thin">
        <color theme="1"/>
      </top>
      <bottom style="thin">
        <color indexed="64"/>
      </bottom>
      <diagonal/>
    </border>
    <border>
      <left style="thin">
        <color theme="1"/>
      </left>
      <right style="medium">
        <color indexed="64"/>
      </right>
      <top style="thin">
        <color theme="1"/>
      </top>
      <bottom style="thin">
        <color indexed="64"/>
      </bottom>
      <diagonal/>
    </border>
    <border>
      <left style="mediumDashDot">
        <color indexed="64"/>
      </left>
      <right style="thin">
        <color theme="1"/>
      </right>
      <top style="medium">
        <color indexed="64"/>
      </top>
      <bottom style="thin">
        <color theme="1"/>
      </bottom>
      <diagonal/>
    </border>
    <border>
      <left/>
      <right/>
      <top style="thin">
        <color theme="1"/>
      </top>
      <bottom style="thin">
        <color theme="1"/>
      </bottom>
      <diagonal/>
    </border>
    <border>
      <left style="mediumDashDot">
        <color indexed="64"/>
      </left>
      <right style="thin">
        <color theme="1"/>
      </right>
      <top style="thin">
        <color theme="1"/>
      </top>
      <bottom style="thin">
        <color theme="1"/>
      </bottom>
      <diagonal/>
    </border>
    <border>
      <left style="thin">
        <color theme="1"/>
      </left>
      <right style="mediumDashDot">
        <color indexed="64"/>
      </right>
      <top style="thin">
        <color theme="1"/>
      </top>
      <bottom style="thin">
        <color theme="1"/>
      </bottom>
      <diagonal/>
    </border>
    <border>
      <left style="thin">
        <color theme="1"/>
      </left>
      <right style="mediumDashDot">
        <color indexed="64"/>
      </right>
      <top style="thin">
        <color theme="1"/>
      </top>
      <bottom style="medium">
        <color theme="1"/>
      </bottom>
      <diagonal/>
    </border>
    <border>
      <left style="thin">
        <color theme="1"/>
      </left>
      <right style="mediumDashDot">
        <color indexed="64"/>
      </right>
      <top style="medium">
        <color indexed="64"/>
      </top>
      <bottom style="thin">
        <color theme="1"/>
      </bottom>
      <diagonal/>
    </border>
    <border>
      <left style="thin">
        <color theme="1"/>
      </left>
      <right style="mediumDashDot">
        <color indexed="64"/>
      </right>
      <top/>
      <bottom style="thin">
        <color theme="1"/>
      </bottom>
      <diagonal/>
    </border>
    <border>
      <left style="thin">
        <color theme="1"/>
      </left>
      <right style="mediumDashDot">
        <color indexed="64"/>
      </right>
      <top style="medium">
        <color theme="1"/>
      </top>
      <bottom style="thin">
        <color theme="1"/>
      </bottom>
      <diagonal/>
    </border>
    <border>
      <left/>
      <right style="thin">
        <color theme="1"/>
      </right>
      <top/>
      <bottom/>
      <diagonal/>
    </border>
    <border>
      <left style="medium">
        <color indexed="64"/>
      </left>
      <right style="medium">
        <color indexed="64"/>
      </right>
      <top/>
      <bottom style="medium">
        <color theme="1"/>
      </bottom>
      <diagonal/>
    </border>
    <border>
      <left/>
      <right/>
      <top style="medium">
        <color theme="1"/>
      </top>
      <bottom/>
      <diagonal/>
    </border>
  </borders>
  <cellStyleXfs count="6">
    <xf numFmtId="0" fontId="0" fillId="0" borderId="0"/>
    <xf numFmtId="43" fontId="66" fillId="0" borderId="0" applyFont="0" applyFill="0" applyBorder="0" applyAlignment="0" applyProtection="0"/>
    <xf numFmtId="43" fontId="10" fillId="0" borderId="0" applyFont="0" applyFill="0" applyBorder="0" applyAlignment="0" applyProtection="0"/>
    <xf numFmtId="0" fontId="36" fillId="0" borderId="0"/>
    <xf numFmtId="9" fontId="66" fillId="0" borderId="0" applyFont="0" applyFill="0" applyBorder="0" applyAlignment="0" applyProtection="0"/>
    <xf numFmtId="9" fontId="15" fillId="0" borderId="0" applyFont="0" applyFill="0" applyBorder="0" applyAlignment="0" applyProtection="0"/>
  </cellStyleXfs>
  <cellXfs count="1969">
    <xf numFmtId="0" fontId="0" fillId="0" borderId="0" xfId="0"/>
    <xf numFmtId="0" fontId="2" fillId="0" borderId="0" xfId="0" applyFont="1" applyAlignment="1">
      <alignment horizontal="left"/>
    </xf>
    <xf numFmtId="0" fontId="6" fillId="0"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7" fillId="0" borderId="0" xfId="0" applyFont="1" applyBorder="1"/>
    <xf numFmtId="10" fontId="7" fillId="0" borderId="0" xfId="0" applyNumberFormat="1" applyFont="1" applyBorder="1"/>
    <xf numFmtId="10" fontId="7" fillId="0" borderId="0" xfId="0" applyNumberFormat="1" applyFont="1" applyFill="1" applyBorder="1"/>
    <xf numFmtId="0" fontId="7" fillId="0" borderId="0" xfId="0" applyFont="1" applyFill="1" applyBorder="1"/>
    <xf numFmtId="10" fontId="7" fillId="0" borderId="1" xfId="0" applyNumberFormat="1" applyFont="1" applyFill="1" applyBorder="1"/>
    <xf numFmtId="0" fontId="5" fillId="0" borderId="0" xfId="0" applyFont="1" applyFill="1" applyBorder="1" applyAlignment="1">
      <alignment horizontal="center"/>
    </xf>
    <xf numFmtId="0" fontId="4" fillId="0" borderId="0" xfId="0" applyFont="1" applyFill="1" applyBorder="1" applyAlignment="1">
      <alignment horizontal="center"/>
    </xf>
    <xf numFmtId="0" fontId="3" fillId="0" borderId="2" xfId="0" applyFont="1" applyBorder="1"/>
    <xf numFmtId="0" fontId="3" fillId="0" borderId="3" xfId="0" applyFont="1" applyBorder="1"/>
    <xf numFmtId="0" fontId="3" fillId="0" borderId="3" xfId="0" applyFont="1" applyFill="1" applyBorder="1"/>
    <xf numFmtId="0" fontId="3" fillId="0" borderId="4" xfId="0" applyFont="1" applyFill="1" applyBorder="1"/>
    <xf numFmtId="164" fontId="3" fillId="2" borderId="1" xfId="0" applyNumberFormat="1" applyFont="1" applyFill="1" applyBorder="1"/>
    <xf numFmtId="2" fontId="7" fillId="0" borderId="0" xfId="0" applyNumberFormat="1" applyFont="1" applyBorder="1"/>
    <xf numFmtId="0" fontId="14" fillId="0" borderId="0" xfId="0" applyFont="1" applyBorder="1"/>
    <xf numFmtId="166" fontId="11" fillId="0" borderId="0" xfId="0" applyNumberFormat="1" applyFont="1" applyFill="1" applyBorder="1" applyAlignment="1">
      <alignment horizontal="center" vertical="center"/>
    </xf>
    <xf numFmtId="165" fontId="4" fillId="0" borderId="0" xfId="0" applyNumberFormat="1" applyFont="1" applyFill="1" applyBorder="1" applyAlignment="1">
      <alignment horizontal="center" vertical="top" wrapText="1"/>
    </xf>
    <xf numFmtId="167" fontId="7" fillId="0" borderId="0" xfId="0" applyNumberFormat="1" applyFont="1" applyFill="1" applyBorder="1"/>
    <xf numFmtId="10" fontId="7" fillId="0" borderId="0" xfId="0" applyNumberFormat="1" applyFont="1" applyFill="1" applyBorder="1" applyAlignment="1">
      <alignment horizontal="center"/>
    </xf>
    <xf numFmtId="0" fontId="7" fillId="0" borderId="0" xfId="0" applyFont="1" applyFill="1" applyBorder="1" applyAlignment="1">
      <alignment horizontal="center"/>
    </xf>
    <xf numFmtId="164" fontId="7" fillId="0" borderId="5" xfId="0" applyNumberFormat="1" applyFont="1" applyFill="1" applyBorder="1"/>
    <xf numFmtId="164" fontId="7" fillId="0" borderId="6" xfId="0" applyNumberFormat="1" applyFont="1" applyFill="1" applyBorder="1"/>
    <xf numFmtId="0" fontId="0" fillId="0" borderId="0" xfId="0" applyAlignment="1">
      <alignment vertical="center" wrapText="1"/>
    </xf>
    <xf numFmtId="10" fontId="7" fillId="0" borderId="5" xfId="0" applyNumberFormat="1" applyFont="1" applyFill="1" applyBorder="1"/>
    <xf numFmtId="0" fontId="69" fillId="0" borderId="0" xfId="0" applyFont="1" applyAlignment="1">
      <alignment horizontal="center"/>
    </xf>
    <xf numFmtId="171" fontId="7" fillId="0" borderId="0" xfId="0" applyNumberFormat="1" applyFont="1" applyBorder="1"/>
    <xf numFmtId="4" fontId="70" fillId="0" borderId="0" xfId="0" applyNumberFormat="1" applyFont="1" applyBorder="1"/>
    <xf numFmtId="168" fontId="70" fillId="0" borderId="0" xfId="0" applyNumberFormat="1" applyFont="1" applyBorder="1"/>
    <xf numFmtId="0" fontId="70" fillId="0" borderId="0" xfId="0" applyFont="1" applyBorder="1"/>
    <xf numFmtId="0" fontId="70" fillId="0" borderId="0" xfId="0" applyFont="1" applyFill="1" applyBorder="1"/>
    <xf numFmtId="0" fontId="71" fillId="0" borderId="0" xfId="0" applyFont="1" applyFill="1" applyBorder="1"/>
    <xf numFmtId="0" fontId="7" fillId="0" borderId="0" xfId="0" applyFont="1" applyFill="1" applyBorder="1" applyAlignment="1">
      <alignment horizontal="left"/>
    </xf>
    <xf numFmtId="164" fontId="72" fillId="3" borderId="7" xfId="0" applyNumberFormat="1" applyFont="1" applyFill="1" applyBorder="1"/>
    <xf numFmtId="168" fontId="73" fillId="0" borderId="0" xfId="0" applyNumberFormat="1" applyFont="1" applyBorder="1"/>
    <xf numFmtId="0" fontId="74" fillId="0" borderId="0" xfId="0" applyFont="1" applyAlignment="1">
      <alignment horizontal="justify" vertical="center"/>
    </xf>
    <xf numFmtId="0" fontId="75" fillId="0" borderId="2" xfId="0" applyFont="1" applyFill="1" applyBorder="1" applyAlignment="1">
      <alignment horizontal="left" wrapText="1" indent="1"/>
    </xf>
    <xf numFmtId="0" fontId="75" fillId="0" borderId="3" xfId="0" applyFont="1" applyFill="1" applyBorder="1" applyAlignment="1">
      <alignment horizontal="left" indent="1"/>
    </xf>
    <xf numFmtId="0" fontId="72" fillId="0" borderId="0" xfId="0" applyFont="1" applyBorder="1" applyAlignment="1">
      <alignment horizontal="left"/>
    </xf>
    <xf numFmtId="0" fontId="73" fillId="0" borderId="0" xfId="0" applyFont="1" applyBorder="1"/>
    <xf numFmtId="164" fontId="76" fillId="0" borderId="0" xfId="0" applyNumberFormat="1" applyFont="1" applyFill="1" applyBorder="1"/>
    <xf numFmtId="0" fontId="77" fillId="0" borderId="0" xfId="0" applyFont="1"/>
    <xf numFmtId="0" fontId="68" fillId="0" borderId="0" xfId="0" applyFont="1" applyBorder="1"/>
    <xf numFmtId="0" fontId="78" fillId="0" borderId="0" xfId="0" applyFont="1"/>
    <xf numFmtId="0" fontId="0" fillId="0" borderId="90" xfId="0" applyBorder="1"/>
    <xf numFmtId="0" fontId="0" fillId="0" borderId="8" xfId="0" applyBorder="1"/>
    <xf numFmtId="0" fontId="68" fillId="5" borderId="9" xfId="0" applyFont="1" applyFill="1" applyBorder="1" applyAlignment="1">
      <alignment vertical="center" wrapText="1"/>
    </xf>
    <xf numFmtId="0" fontId="0" fillId="0" borderId="0" xfId="0" applyAlignment="1">
      <alignment vertical="center"/>
    </xf>
    <xf numFmtId="0" fontId="0" fillId="6" borderId="91" xfId="0" applyFill="1" applyBorder="1" applyAlignment="1">
      <alignment vertical="center" wrapText="1"/>
    </xf>
    <xf numFmtId="0" fontId="0" fillId="6" borderId="92" xfId="0" applyFill="1" applyBorder="1" applyAlignment="1">
      <alignment horizontal="right" vertical="center" wrapText="1"/>
    </xf>
    <xf numFmtId="10" fontId="0" fillId="6" borderId="93" xfId="0" applyNumberFormat="1" applyFill="1" applyBorder="1" applyAlignment="1">
      <alignment vertical="center"/>
    </xf>
    <xf numFmtId="165" fontId="66" fillId="6" borderId="93" xfId="4" applyNumberFormat="1" applyFont="1" applyFill="1" applyBorder="1" applyAlignment="1">
      <alignment vertical="center"/>
    </xf>
    <xf numFmtId="169" fontId="66" fillId="6" borderId="93" xfId="4" applyNumberFormat="1" applyFont="1" applyFill="1" applyBorder="1" applyAlignment="1">
      <alignment vertical="center"/>
    </xf>
    <xf numFmtId="169" fontId="0" fillId="6" borderId="93" xfId="0" applyNumberFormat="1" applyFill="1" applyBorder="1" applyAlignment="1">
      <alignment vertical="center" wrapText="1"/>
    </xf>
    <xf numFmtId="0" fontId="0" fillId="6" borderId="93" xfId="0" applyFill="1" applyBorder="1" applyAlignment="1">
      <alignment vertical="center"/>
    </xf>
    <xf numFmtId="0" fontId="0" fillId="6" borderId="92" xfId="0" applyFill="1" applyBorder="1" applyAlignment="1">
      <alignment vertical="center"/>
    </xf>
    <xf numFmtId="0" fontId="0" fillId="6" borderId="92" xfId="0" applyFill="1" applyBorder="1" applyAlignment="1">
      <alignment vertical="center" wrapText="1"/>
    </xf>
    <xf numFmtId="172" fontId="79" fillId="6" borderId="94" xfId="0" applyNumberFormat="1" applyFont="1" applyFill="1" applyBorder="1" applyAlignment="1">
      <alignment vertical="center" wrapText="1"/>
    </xf>
    <xf numFmtId="172" fontId="79" fillId="6" borderId="92" xfId="0" applyNumberFormat="1" applyFont="1" applyFill="1" applyBorder="1" applyAlignment="1">
      <alignment vertical="center" wrapText="1"/>
    </xf>
    <xf numFmtId="172" fontId="68" fillId="6" borderId="95" xfId="0" applyNumberFormat="1" applyFont="1" applyFill="1" applyBorder="1" applyAlignment="1">
      <alignment vertical="center" wrapText="1"/>
    </xf>
    <xf numFmtId="172" fontId="0" fillId="6" borderId="94" xfId="0" applyNumberFormat="1" applyFill="1" applyBorder="1" applyAlignment="1">
      <alignment vertical="center" wrapText="1"/>
    </xf>
    <xf numFmtId="172" fontId="0" fillId="6" borderId="96" xfId="0" applyNumberFormat="1" applyFill="1" applyBorder="1" applyAlignment="1">
      <alignment vertical="center" wrapText="1"/>
    </xf>
    <xf numFmtId="172" fontId="0" fillId="6" borderId="95" xfId="0" applyNumberFormat="1" applyFill="1" applyBorder="1" applyAlignment="1">
      <alignment vertical="center" wrapText="1"/>
    </xf>
    <xf numFmtId="10" fontId="0" fillId="6" borderId="94" xfId="0" applyNumberFormat="1" applyFill="1" applyBorder="1" applyAlignment="1">
      <alignment vertical="center" wrapText="1"/>
    </xf>
    <xf numFmtId="0" fontId="68" fillId="7" borderId="97" xfId="0" applyFont="1" applyFill="1" applyBorder="1" applyAlignment="1">
      <alignment vertical="center"/>
    </xf>
    <xf numFmtId="0" fontId="80" fillId="7" borderId="98" xfId="0" applyFont="1" applyFill="1" applyBorder="1" applyAlignment="1">
      <alignment vertical="center"/>
    </xf>
    <xf numFmtId="0" fontId="0" fillId="7" borderId="99" xfId="0" applyFill="1" applyBorder="1" applyAlignment="1">
      <alignment vertical="center" wrapText="1"/>
    </xf>
    <xf numFmtId="0" fontId="0" fillId="7" borderId="100" xfId="0" applyFill="1" applyBorder="1" applyAlignment="1">
      <alignment horizontal="right" vertical="center" wrapText="1"/>
    </xf>
    <xf numFmtId="10" fontId="0" fillId="7" borderId="101" xfId="0" applyNumberFormat="1" applyFill="1" applyBorder="1" applyAlignment="1">
      <alignment vertical="center"/>
    </xf>
    <xf numFmtId="165" fontId="66" fillId="7" borderId="101" xfId="4" applyNumberFormat="1" applyFont="1" applyFill="1" applyBorder="1" applyAlignment="1">
      <alignment vertical="center"/>
    </xf>
    <xf numFmtId="169" fontId="66" fillId="7" borderId="101" xfId="4" applyNumberFormat="1" applyFont="1" applyFill="1" applyBorder="1" applyAlignment="1">
      <alignment vertical="center"/>
    </xf>
    <xf numFmtId="10" fontId="66" fillId="7" borderId="101" xfId="4" applyNumberFormat="1" applyFont="1" applyFill="1" applyBorder="1" applyAlignment="1">
      <alignment vertical="center"/>
    </xf>
    <xf numFmtId="169" fontId="0" fillId="7" borderId="101" xfId="0" applyNumberFormat="1" applyFill="1" applyBorder="1" applyAlignment="1">
      <alignment vertical="center" wrapText="1"/>
    </xf>
    <xf numFmtId="0" fontId="0" fillId="7" borderId="101" xfId="0" applyFill="1" applyBorder="1" applyAlignment="1">
      <alignment vertical="center"/>
    </xf>
    <xf numFmtId="0" fontId="0" fillId="7" borderId="102" xfId="0" applyFill="1" applyBorder="1" applyAlignment="1">
      <alignment vertical="center"/>
    </xf>
    <xf numFmtId="0" fontId="0" fillId="7" borderId="102" xfId="0" applyFill="1" applyBorder="1" applyAlignment="1">
      <alignment vertical="center" wrapText="1"/>
    </xf>
    <xf numFmtId="172" fontId="79" fillId="7" borderId="103" xfId="0" applyNumberFormat="1" applyFont="1" applyFill="1" applyBorder="1" applyAlignment="1">
      <alignment vertical="center" wrapText="1"/>
    </xf>
    <xf numFmtId="172" fontId="79" fillId="7" borderId="102" xfId="0" applyNumberFormat="1" applyFont="1" applyFill="1" applyBorder="1" applyAlignment="1">
      <alignment vertical="center" wrapText="1"/>
    </xf>
    <xf numFmtId="172" fontId="68" fillId="7" borderId="104" xfId="0" applyNumberFormat="1" applyFont="1" applyFill="1" applyBorder="1" applyAlignment="1">
      <alignment vertical="center" wrapText="1"/>
    </xf>
    <xf numFmtId="172" fontId="0" fillId="7" borderId="103" xfId="0" applyNumberFormat="1" applyFill="1" applyBorder="1" applyAlignment="1">
      <alignment vertical="center" wrapText="1"/>
    </xf>
    <xf numFmtId="172" fontId="0" fillId="7" borderId="104" xfId="0" applyNumberFormat="1" applyFill="1" applyBorder="1" applyAlignment="1">
      <alignment vertical="center" wrapText="1"/>
    </xf>
    <xf numFmtId="10" fontId="0" fillId="7" borderId="103" xfId="0" applyNumberFormat="1" applyFill="1" applyBorder="1" applyAlignment="1">
      <alignment vertical="center" wrapText="1"/>
    </xf>
    <xf numFmtId="0" fontId="68" fillId="6" borderId="97" xfId="0" applyFont="1" applyFill="1" applyBorder="1" applyAlignment="1">
      <alignment vertical="center"/>
    </xf>
    <xf numFmtId="0" fontId="80" fillId="6" borderId="98" xfId="0" applyFont="1" applyFill="1" applyBorder="1"/>
    <xf numFmtId="0" fontId="0" fillId="6" borderId="97" xfId="0" applyFill="1" applyBorder="1" applyAlignment="1">
      <alignment vertical="center" wrapText="1"/>
    </xf>
    <xf numFmtId="0" fontId="0" fillId="6" borderId="100" xfId="0" applyFill="1" applyBorder="1" applyAlignment="1">
      <alignment horizontal="right" vertical="center" wrapText="1"/>
    </xf>
    <xf numFmtId="10" fontId="0" fillId="6" borderId="101" xfId="0" applyNumberFormat="1" applyFill="1" applyBorder="1"/>
    <xf numFmtId="165" fontId="66" fillId="6" borderId="101" xfId="4" applyNumberFormat="1" applyFont="1" applyFill="1" applyBorder="1"/>
    <xf numFmtId="169" fontId="66" fillId="6" borderId="101" xfId="4" applyNumberFormat="1" applyFont="1" applyFill="1" applyBorder="1"/>
    <xf numFmtId="10" fontId="66" fillId="6" borderId="101" xfId="4" applyNumberFormat="1" applyFont="1" applyFill="1" applyBorder="1"/>
    <xf numFmtId="169" fontId="0" fillId="6" borderId="101" xfId="0" applyNumberFormat="1" applyFill="1" applyBorder="1" applyAlignment="1">
      <alignment wrapText="1"/>
    </xf>
    <xf numFmtId="0" fontId="0" fillId="6" borderId="101" xfId="0" applyFill="1" applyBorder="1"/>
    <xf numFmtId="0" fontId="0" fillId="6" borderId="102" xfId="0" applyFill="1" applyBorder="1" applyAlignment="1">
      <alignment vertical="center"/>
    </xf>
    <xf numFmtId="0" fontId="0" fillId="6" borderId="102" xfId="0" applyFill="1" applyBorder="1" applyAlignment="1">
      <alignment vertical="center" wrapText="1"/>
    </xf>
    <xf numFmtId="0" fontId="80" fillId="7" borderId="98" xfId="0" applyFont="1" applyFill="1" applyBorder="1"/>
    <xf numFmtId="0" fontId="0" fillId="7" borderId="97" xfId="0" applyFill="1" applyBorder="1" applyAlignment="1">
      <alignment vertical="center" wrapText="1"/>
    </xf>
    <xf numFmtId="10" fontId="0" fillId="7" borderId="101" xfId="0" applyNumberFormat="1" applyFill="1" applyBorder="1"/>
    <xf numFmtId="165" fontId="66" fillId="7" borderId="101" xfId="4" applyNumberFormat="1" applyFont="1" applyFill="1" applyBorder="1"/>
    <xf numFmtId="169" fontId="66" fillId="7" borderId="101" xfId="4" applyNumberFormat="1" applyFont="1" applyFill="1" applyBorder="1"/>
    <xf numFmtId="10" fontId="66" fillId="7" borderId="101" xfId="4" applyNumberFormat="1" applyFont="1" applyFill="1" applyBorder="1"/>
    <xf numFmtId="169" fontId="0" fillId="7" borderId="101" xfId="0" applyNumberFormat="1" applyFill="1" applyBorder="1" applyAlignment="1">
      <alignment wrapText="1"/>
    </xf>
    <xf numFmtId="0" fontId="0" fillId="7" borderId="101" xfId="0" applyFill="1" applyBorder="1"/>
    <xf numFmtId="0" fontId="68" fillId="7" borderId="105" xfId="0" applyFont="1" applyFill="1" applyBorder="1" applyAlignment="1">
      <alignment vertical="center"/>
    </xf>
    <xf numFmtId="0" fontId="0" fillId="7" borderId="106" xfId="0" applyFill="1" applyBorder="1" applyAlignment="1">
      <alignment vertical="center" wrapText="1"/>
    </xf>
    <xf numFmtId="0" fontId="0" fillId="7" borderId="107" xfId="0" applyFill="1" applyBorder="1" applyAlignment="1">
      <alignment horizontal="right" vertical="center" wrapText="1"/>
    </xf>
    <xf numFmtId="0" fontId="0" fillId="7" borderId="108" xfId="0" applyFill="1" applyBorder="1" applyAlignment="1">
      <alignment horizontal="right" vertical="center" wrapText="1"/>
    </xf>
    <xf numFmtId="10" fontId="0" fillId="7" borderId="108" xfId="0" applyNumberFormat="1" applyFill="1" applyBorder="1"/>
    <xf numFmtId="165" fontId="66" fillId="7" borderId="108" xfId="4" applyNumberFormat="1" applyFont="1" applyFill="1" applyBorder="1"/>
    <xf numFmtId="169" fontId="66" fillId="7" borderId="108" xfId="4" applyNumberFormat="1" applyFont="1" applyFill="1" applyBorder="1"/>
    <xf numFmtId="10" fontId="66" fillId="7" borderId="108" xfId="4" applyNumberFormat="1" applyFont="1" applyFill="1" applyBorder="1"/>
    <xf numFmtId="169" fontId="0" fillId="7" borderId="108" xfId="0" applyNumberFormat="1" applyFill="1" applyBorder="1" applyAlignment="1">
      <alignment wrapText="1"/>
    </xf>
    <xf numFmtId="0" fontId="0" fillId="7" borderId="108" xfId="0" applyFill="1" applyBorder="1"/>
    <xf numFmtId="0" fontId="0" fillId="7" borderId="108" xfId="0" applyFill="1" applyBorder="1" applyAlignment="1">
      <alignment vertical="center"/>
    </xf>
    <xf numFmtId="0" fontId="0" fillId="7" borderId="108" xfId="0" applyFill="1" applyBorder="1" applyAlignment="1">
      <alignment vertical="center" wrapText="1"/>
    </xf>
    <xf numFmtId="0" fontId="68" fillId="8" borderId="109" xfId="0" applyFont="1" applyFill="1" applyBorder="1" applyAlignment="1">
      <alignment vertical="center"/>
    </xf>
    <xf numFmtId="0" fontId="0" fillId="8" borderId="97" xfId="0" applyFill="1" applyBorder="1" applyAlignment="1">
      <alignment vertical="center" wrapText="1"/>
    </xf>
    <xf numFmtId="0" fontId="0" fillId="8" borderId="94" xfId="0" applyFill="1" applyBorder="1" applyAlignment="1">
      <alignment horizontal="right" vertical="center" wrapText="1"/>
    </xf>
    <xf numFmtId="0" fontId="0" fillId="8" borderId="92" xfId="0" applyFill="1" applyBorder="1" applyAlignment="1">
      <alignment horizontal="right" vertical="center" wrapText="1"/>
    </xf>
    <xf numFmtId="10" fontId="0" fillId="8" borderId="92" xfId="0" applyNumberFormat="1" applyFill="1" applyBorder="1"/>
    <xf numFmtId="165" fontId="66" fillId="8" borderId="92" xfId="4" applyNumberFormat="1" applyFont="1" applyFill="1" applyBorder="1"/>
    <xf numFmtId="169" fontId="66" fillId="8" borderId="92" xfId="4" applyNumberFormat="1" applyFont="1" applyFill="1" applyBorder="1"/>
    <xf numFmtId="10" fontId="66" fillId="8" borderId="92" xfId="4" applyNumberFormat="1" applyFont="1" applyFill="1" applyBorder="1"/>
    <xf numFmtId="169" fontId="0" fillId="8" borderId="92" xfId="0" applyNumberFormat="1" applyFill="1" applyBorder="1" applyAlignment="1">
      <alignment wrapText="1"/>
    </xf>
    <xf numFmtId="0" fontId="0" fillId="8" borderId="92" xfId="0" applyFill="1" applyBorder="1"/>
    <xf numFmtId="0" fontId="0" fillId="8" borderId="92" xfId="0" applyFill="1" applyBorder="1" applyAlignment="1">
      <alignment vertical="center"/>
    </xf>
    <xf numFmtId="0" fontId="0" fillId="8" borderId="92" xfId="0" applyFill="1" applyBorder="1" applyAlignment="1">
      <alignment vertical="center" wrapText="1"/>
    </xf>
    <xf numFmtId="0" fontId="68" fillId="9" borderId="97" xfId="0" applyFont="1" applyFill="1" applyBorder="1" applyAlignment="1">
      <alignment vertical="center"/>
    </xf>
    <xf numFmtId="0" fontId="80" fillId="9" borderId="98" xfId="0" applyFont="1" applyFill="1" applyBorder="1"/>
    <xf numFmtId="0" fontId="0" fillId="9" borderId="97" xfId="0" applyFill="1" applyBorder="1" applyAlignment="1">
      <alignment vertical="center" wrapText="1"/>
    </xf>
    <xf numFmtId="0" fontId="0" fillId="9" borderId="100" xfId="0" applyFill="1" applyBorder="1" applyAlignment="1">
      <alignment horizontal="right" vertical="center" wrapText="1"/>
    </xf>
    <xf numFmtId="10" fontId="0" fillId="9" borderId="101" xfId="0" applyNumberFormat="1" applyFill="1" applyBorder="1"/>
    <xf numFmtId="165" fontId="66" fillId="9" borderId="101" xfId="4" applyNumberFormat="1" applyFont="1" applyFill="1" applyBorder="1"/>
    <xf numFmtId="169" fontId="66" fillId="9" borderId="101" xfId="4" applyNumberFormat="1" applyFont="1" applyFill="1" applyBorder="1"/>
    <xf numFmtId="10" fontId="66" fillId="9" borderId="101" xfId="4" applyNumberFormat="1" applyFont="1" applyFill="1" applyBorder="1"/>
    <xf numFmtId="169" fontId="0" fillId="9" borderId="101" xfId="0" applyNumberFormat="1" applyFill="1" applyBorder="1" applyAlignment="1">
      <alignment wrapText="1"/>
    </xf>
    <xf numFmtId="0" fontId="0" fillId="9" borderId="102" xfId="0" applyFill="1" applyBorder="1" applyAlignment="1">
      <alignment vertical="center"/>
    </xf>
    <xf numFmtId="0" fontId="0" fillId="9" borderId="102" xfId="0" applyFill="1" applyBorder="1" applyAlignment="1">
      <alignment vertical="center" wrapText="1"/>
    </xf>
    <xf numFmtId="0" fontId="68" fillId="8" borderId="97" xfId="0" applyFont="1" applyFill="1" applyBorder="1" applyAlignment="1">
      <alignment vertical="center"/>
    </xf>
    <xf numFmtId="0" fontId="80" fillId="8" borderId="98" xfId="0" applyFont="1" applyFill="1" applyBorder="1"/>
    <xf numFmtId="0" fontId="0" fillId="8" borderId="100" xfId="0" applyFill="1" applyBorder="1" applyAlignment="1">
      <alignment horizontal="right" vertical="center" wrapText="1"/>
    </xf>
    <xf numFmtId="10" fontId="0" fillId="8" borderId="101" xfId="0" applyNumberFormat="1" applyFill="1" applyBorder="1"/>
    <xf numFmtId="165" fontId="66" fillId="8" borderId="101" xfId="4" applyNumberFormat="1" applyFont="1" applyFill="1" applyBorder="1"/>
    <xf numFmtId="169" fontId="66" fillId="8" borderId="101" xfId="4" applyNumberFormat="1" applyFont="1" applyFill="1" applyBorder="1"/>
    <xf numFmtId="10" fontId="66" fillId="8" borderId="101" xfId="4" applyNumberFormat="1" applyFont="1" applyFill="1" applyBorder="1"/>
    <xf numFmtId="169" fontId="0" fillId="8" borderId="101" xfId="0" applyNumberFormat="1" applyFill="1" applyBorder="1" applyAlignment="1">
      <alignment wrapText="1"/>
    </xf>
    <xf numFmtId="0" fontId="0" fillId="8" borderId="101" xfId="0" applyFill="1" applyBorder="1"/>
    <xf numFmtId="0" fontId="0" fillId="8" borderId="102" xfId="0" applyFill="1" applyBorder="1" applyAlignment="1">
      <alignment vertical="center"/>
    </xf>
    <xf numFmtId="0" fontId="0" fillId="8" borderId="102" xfId="0" applyFill="1" applyBorder="1" applyAlignment="1">
      <alignment vertical="center" wrapText="1"/>
    </xf>
    <xf numFmtId="0" fontId="68" fillId="9" borderId="105" xfId="0" applyFont="1" applyFill="1" applyBorder="1" applyAlignment="1">
      <alignment vertical="center"/>
    </xf>
    <xf numFmtId="0" fontId="0" fillId="9" borderId="106" xfId="0" applyFill="1" applyBorder="1" applyAlignment="1">
      <alignment vertical="center" wrapText="1"/>
    </xf>
    <xf numFmtId="0" fontId="0" fillId="9" borderId="107" xfId="0" applyFill="1" applyBorder="1" applyAlignment="1">
      <alignment horizontal="right" vertical="center" wrapText="1"/>
    </xf>
    <xf numFmtId="0" fontId="0" fillId="9" borderId="108" xfId="0" applyFill="1" applyBorder="1" applyAlignment="1">
      <alignment horizontal="right" vertical="center" wrapText="1"/>
    </xf>
    <xf numFmtId="10" fontId="0" fillId="9" borderId="108" xfId="0" applyNumberFormat="1" applyFill="1" applyBorder="1"/>
    <xf numFmtId="165" fontId="66" fillId="9" borderId="108" xfId="4" applyNumberFormat="1" applyFont="1" applyFill="1" applyBorder="1"/>
    <xf numFmtId="169" fontId="66" fillId="9" borderId="108" xfId="4" applyNumberFormat="1" applyFont="1" applyFill="1" applyBorder="1"/>
    <xf numFmtId="10" fontId="66" fillId="9" borderId="108" xfId="4" applyNumberFormat="1" applyFont="1" applyFill="1" applyBorder="1"/>
    <xf numFmtId="169" fontId="0" fillId="9" borderId="108" xfId="0" applyNumberFormat="1" applyFill="1" applyBorder="1" applyAlignment="1">
      <alignment wrapText="1"/>
    </xf>
    <xf numFmtId="0" fontId="0" fillId="9" borderId="108" xfId="0" applyFill="1" applyBorder="1"/>
    <xf numFmtId="0" fontId="0" fillId="9" borderId="108" xfId="0" applyFill="1" applyBorder="1" applyAlignment="1">
      <alignment vertical="center"/>
    </xf>
    <xf numFmtId="0" fontId="0" fillId="9" borderId="108" xfId="0" applyFill="1" applyBorder="1" applyAlignment="1">
      <alignment vertical="center" wrapText="1"/>
    </xf>
    <xf numFmtId="0" fontId="68" fillId="10" borderId="109" xfId="0" applyFont="1" applyFill="1" applyBorder="1" applyAlignment="1">
      <alignment vertical="center"/>
    </xf>
    <xf numFmtId="0" fontId="0" fillId="10" borderId="97" xfId="0" applyFill="1" applyBorder="1" applyAlignment="1">
      <alignment vertical="center" wrapText="1"/>
    </xf>
    <xf numFmtId="0" fontId="0" fillId="10" borderId="94" xfId="0" applyFill="1" applyBorder="1" applyAlignment="1">
      <alignment horizontal="right" vertical="center" wrapText="1"/>
    </xf>
    <xf numFmtId="0" fontId="0" fillId="10" borderId="92" xfId="0" applyFill="1" applyBorder="1" applyAlignment="1">
      <alignment horizontal="right" vertical="center" wrapText="1"/>
    </xf>
    <xf numFmtId="10" fontId="0" fillId="10" borderId="92" xfId="0" applyNumberFormat="1" applyFill="1" applyBorder="1"/>
    <xf numFmtId="0" fontId="0" fillId="10" borderId="92" xfId="0" applyFill="1" applyBorder="1"/>
    <xf numFmtId="169" fontId="66" fillId="10" borderId="92" xfId="4" applyNumberFormat="1" applyFont="1" applyFill="1" applyBorder="1"/>
    <xf numFmtId="169" fontId="0" fillId="10" borderId="92" xfId="0" applyNumberFormat="1" applyFill="1" applyBorder="1" applyAlignment="1">
      <alignment wrapText="1"/>
    </xf>
    <xf numFmtId="10" fontId="0" fillId="10" borderId="92" xfId="0" applyNumberFormat="1" applyFill="1" applyBorder="1" applyAlignment="1">
      <alignment vertical="center"/>
    </xf>
    <xf numFmtId="10" fontId="0" fillId="10" borderId="92" xfId="0" applyNumberFormat="1" applyFill="1" applyBorder="1" applyAlignment="1">
      <alignment vertical="center" wrapText="1"/>
    </xf>
    <xf numFmtId="0" fontId="0" fillId="10" borderId="92" xfId="0" applyFill="1" applyBorder="1" applyAlignment="1">
      <alignment vertical="center"/>
    </xf>
    <xf numFmtId="0" fontId="68" fillId="11" borderId="97" xfId="0" applyFont="1" applyFill="1" applyBorder="1" applyAlignment="1">
      <alignment vertical="center"/>
    </xf>
    <xf numFmtId="0" fontId="80" fillId="11" borderId="98" xfId="0" applyFont="1" applyFill="1" applyBorder="1"/>
    <xf numFmtId="0" fontId="0" fillId="11" borderId="97" xfId="0" applyFill="1" applyBorder="1" applyAlignment="1">
      <alignment vertical="center" wrapText="1"/>
    </xf>
    <xf numFmtId="0" fontId="0" fillId="11" borderId="100" xfId="0" applyFill="1" applyBorder="1" applyAlignment="1">
      <alignment horizontal="right" vertical="center" wrapText="1"/>
    </xf>
    <xf numFmtId="10" fontId="66" fillId="11" borderId="101" xfId="4" applyNumberFormat="1" applyFont="1" applyFill="1" applyBorder="1"/>
    <xf numFmtId="0" fontId="0" fillId="11" borderId="101" xfId="0" applyFill="1" applyBorder="1"/>
    <xf numFmtId="169" fontId="66" fillId="11" borderId="101" xfId="4" applyNumberFormat="1" applyFont="1" applyFill="1" applyBorder="1"/>
    <xf numFmtId="10" fontId="0" fillId="11" borderId="101" xfId="0" applyNumberFormat="1" applyFill="1" applyBorder="1"/>
    <xf numFmtId="169" fontId="0" fillId="11" borderId="101" xfId="0" applyNumberFormat="1" applyFill="1" applyBorder="1" applyAlignment="1">
      <alignment wrapText="1"/>
    </xf>
    <xf numFmtId="10" fontId="0" fillId="11" borderId="102" xfId="0" applyNumberFormat="1" applyFill="1" applyBorder="1" applyAlignment="1">
      <alignment vertical="center"/>
    </xf>
    <xf numFmtId="10" fontId="0" fillId="11" borderId="102" xfId="0" applyNumberFormat="1" applyFill="1" applyBorder="1" applyAlignment="1">
      <alignment vertical="center" wrapText="1"/>
    </xf>
    <xf numFmtId="0" fontId="0" fillId="11" borderId="102" xfId="0" applyFill="1" applyBorder="1" applyAlignment="1">
      <alignment vertical="center"/>
    </xf>
    <xf numFmtId="0" fontId="68" fillId="10" borderId="97" xfId="0" applyFont="1" applyFill="1" applyBorder="1" applyAlignment="1">
      <alignment vertical="center"/>
    </xf>
    <xf numFmtId="0" fontId="80" fillId="10" borderId="98" xfId="0" applyFont="1" applyFill="1" applyBorder="1"/>
    <xf numFmtId="0" fontId="0" fillId="10" borderId="100" xfId="0" applyFill="1" applyBorder="1" applyAlignment="1">
      <alignment horizontal="right" vertical="center" wrapText="1"/>
    </xf>
    <xf numFmtId="10" fontId="0" fillId="10" borderId="101" xfId="0" applyNumberFormat="1" applyFill="1" applyBorder="1"/>
    <xf numFmtId="0" fontId="0" fillId="10" borderId="101" xfId="0" applyFill="1" applyBorder="1"/>
    <xf numFmtId="169" fontId="66" fillId="10" borderId="101" xfId="4" applyNumberFormat="1" applyFont="1" applyFill="1" applyBorder="1"/>
    <xf numFmtId="169" fontId="0" fillId="10" borderId="101" xfId="0" applyNumberFormat="1" applyFill="1" applyBorder="1" applyAlignment="1">
      <alignment wrapText="1"/>
    </xf>
    <xf numFmtId="10" fontId="0" fillId="10" borderId="102" xfId="0" applyNumberFormat="1" applyFill="1" applyBorder="1" applyAlignment="1">
      <alignment vertical="center"/>
    </xf>
    <xf numFmtId="10" fontId="0" fillId="10" borderId="102" xfId="0" applyNumberFormat="1" applyFill="1" applyBorder="1" applyAlignment="1">
      <alignment vertical="center" wrapText="1"/>
    </xf>
    <xf numFmtId="0" fontId="0" fillId="10" borderId="102" xfId="0" applyFill="1" applyBorder="1" applyAlignment="1">
      <alignment vertical="center"/>
    </xf>
    <xf numFmtId="0" fontId="0" fillId="11" borderId="106" xfId="0" applyFill="1" applyBorder="1" applyAlignment="1">
      <alignment vertical="center" wrapText="1"/>
    </xf>
    <xf numFmtId="0" fontId="0" fillId="11" borderId="107" xfId="0" applyFill="1" applyBorder="1" applyAlignment="1">
      <alignment horizontal="right" vertical="center" wrapText="1"/>
    </xf>
    <xf numFmtId="0" fontId="0" fillId="11" borderId="108" xfId="0" applyFill="1" applyBorder="1" applyAlignment="1">
      <alignment horizontal="right" vertical="center" wrapText="1"/>
    </xf>
    <xf numFmtId="10" fontId="66" fillId="11" borderId="108" xfId="4" applyNumberFormat="1" applyFont="1" applyFill="1" applyBorder="1"/>
    <xf numFmtId="0" fontId="0" fillId="11" borderId="108" xfId="0" applyFill="1" applyBorder="1"/>
    <xf numFmtId="169" fontId="66" fillId="11" borderId="108" xfId="4" applyNumberFormat="1" applyFont="1" applyFill="1" applyBorder="1"/>
    <xf numFmtId="10" fontId="0" fillId="11" borderId="108" xfId="0" applyNumberFormat="1" applyFill="1" applyBorder="1"/>
    <xf numFmtId="169" fontId="0" fillId="11" borderId="108" xfId="0" applyNumberFormat="1" applyFill="1" applyBorder="1" applyAlignment="1">
      <alignment wrapText="1"/>
    </xf>
    <xf numFmtId="10" fontId="0" fillId="11" borderId="108" xfId="0" applyNumberFormat="1" applyFill="1" applyBorder="1" applyAlignment="1">
      <alignment vertical="center"/>
    </xf>
    <xf numFmtId="10" fontId="0" fillId="11" borderId="108" xfId="0" applyNumberFormat="1" applyFill="1" applyBorder="1" applyAlignment="1">
      <alignment vertical="center" wrapText="1"/>
    </xf>
    <xf numFmtId="0" fontId="0" fillId="11" borderId="108" xfId="0" applyFill="1" applyBorder="1" applyAlignment="1">
      <alignment vertical="center"/>
    </xf>
    <xf numFmtId="0" fontId="0" fillId="12" borderId="94" xfId="0" applyFill="1" applyBorder="1" applyAlignment="1">
      <alignment horizontal="right" vertical="center" wrapText="1"/>
    </xf>
    <xf numFmtId="0" fontId="0" fillId="12" borderId="92" xfId="0" applyFill="1" applyBorder="1" applyAlignment="1">
      <alignment horizontal="right" vertical="center" wrapText="1"/>
    </xf>
    <xf numFmtId="10" fontId="0" fillId="12" borderId="92" xfId="0" applyNumberFormat="1" applyFill="1" applyBorder="1"/>
    <xf numFmtId="165" fontId="66" fillId="12" borderId="92" xfId="4" applyNumberFormat="1" applyFont="1" applyFill="1" applyBorder="1"/>
    <xf numFmtId="169" fontId="66" fillId="12" borderId="92" xfId="4" applyNumberFormat="1" applyFont="1" applyFill="1" applyBorder="1"/>
    <xf numFmtId="10" fontId="66" fillId="12" borderId="92" xfId="4" applyNumberFormat="1" applyFont="1" applyFill="1" applyBorder="1"/>
    <xf numFmtId="165" fontId="66" fillId="12" borderId="92" xfId="4" applyNumberFormat="1" applyFont="1" applyFill="1" applyBorder="1" applyAlignment="1">
      <alignment wrapText="1"/>
    </xf>
    <xf numFmtId="169" fontId="0" fillId="12" borderId="92" xfId="0" applyNumberFormat="1" applyFill="1" applyBorder="1" applyAlignment="1">
      <alignment wrapText="1"/>
    </xf>
    <xf numFmtId="0" fontId="0" fillId="12" borderId="92" xfId="0" applyFill="1" applyBorder="1"/>
    <xf numFmtId="0" fontId="0" fillId="12" borderId="92" xfId="0" applyFill="1" applyBorder="1" applyAlignment="1">
      <alignment vertical="center"/>
    </xf>
    <xf numFmtId="0" fontId="0" fillId="12" borderId="92" xfId="0" applyFill="1" applyBorder="1" applyAlignment="1">
      <alignment vertical="center" wrapText="1"/>
    </xf>
    <xf numFmtId="0" fontId="0" fillId="12" borderId="107" xfId="0" applyFill="1" applyBorder="1" applyAlignment="1">
      <alignment horizontal="right" vertical="center" wrapText="1"/>
    </xf>
    <xf numFmtId="0" fontId="0" fillId="12" borderId="108" xfId="0" applyFill="1" applyBorder="1" applyAlignment="1">
      <alignment horizontal="right" vertical="center" wrapText="1"/>
    </xf>
    <xf numFmtId="10" fontId="0" fillId="12" borderId="108" xfId="0" applyNumberFormat="1" applyFill="1" applyBorder="1"/>
    <xf numFmtId="165" fontId="66" fillId="12" borderId="108" xfId="4" applyNumberFormat="1" applyFont="1" applyFill="1" applyBorder="1"/>
    <xf numFmtId="169" fontId="66" fillId="12" borderId="108" xfId="4" applyNumberFormat="1" applyFont="1" applyFill="1" applyBorder="1"/>
    <xf numFmtId="10" fontId="66" fillId="12" borderId="108" xfId="4" applyNumberFormat="1" applyFont="1" applyFill="1" applyBorder="1"/>
    <xf numFmtId="165" fontId="66" fillId="12" borderId="108" xfId="4" applyNumberFormat="1" applyFont="1" applyFill="1" applyBorder="1" applyAlignment="1">
      <alignment wrapText="1"/>
    </xf>
    <xf numFmtId="169" fontId="0" fillId="12" borderId="108" xfId="0" applyNumberFormat="1" applyFill="1" applyBorder="1" applyAlignment="1">
      <alignment wrapText="1"/>
    </xf>
    <xf numFmtId="0" fontId="0" fillId="12" borderId="108" xfId="0" applyFill="1" applyBorder="1"/>
    <xf numFmtId="0" fontId="0" fillId="12" borderId="108" xfId="0" applyFill="1" applyBorder="1" applyAlignment="1">
      <alignment vertical="center"/>
    </xf>
    <xf numFmtId="0" fontId="0" fillId="12" borderId="108" xfId="0" applyFill="1" applyBorder="1" applyAlignment="1">
      <alignment vertical="center" wrapText="1"/>
    </xf>
    <xf numFmtId="0" fontId="0" fillId="13" borderId="94" xfId="0" applyFill="1" applyBorder="1" applyAlignment="1">
      <alignment horizontal="right" vertical="center" wrapText="1"/>
    </xf>
    <xf numFmtId="0" fontId="0" fillId="13" borderId="92" xfId="0" applyFill="1" applyBorder="1" applyAlignment="1">
      <alignment horizontal="right" vertical="center" wrapText="1"/>
    </xf>
    <xf numFmtId="10" fontId="0" fillId="13" borderId="92" xfId="0" applyNumberFormat="1" applyFill="1" applyBorder="1"/>
    <xf numFmtId="165" fontId="66" fillId="13" borderId="92" xfId="4" applyNumberFormat="1" applyFont="1" applyFill="1" applyBorder="1"/>
    <xf numFmtId="169" fontId="66" fillId="13" borderId="92" xfId="4" applyNumberFormat="1" applyFont="1" applyFill="1" applyBorder="1"/>
    <xf numFmtId="10" fontId="66" fillId="13" borderId="92" xfId="4" applyNumberFormat="1" applyFont="1" applyFill="1" applyBorder="1"/>
    <xf numFmtId="169" fontId="0" fillId="13" borderId="92" xfId="0" applyNumberFormat="1" applyFill="1" applyBorder="1" applyAlignment="1">
      <alignment wrapText="1"/>
    </xf>
    <xf numFmtId="0" fontId="0" fillId="13" borderId="92" xfId="0" applyFill="1" applyBorder="1"/>
    <xf numFmtId="0" fontId="0" fillId="13" borderId="92" xfId="0" applyFill="1" applyBorder="1" applyAlignment="1">
      <alignment vertical="center"/>
    </xf>
    <xf numFmtId="0" fontId="0" fillId="13" borderId="92" xfId="0" applyFill="1" applyBorder="1" applyAlignment="1">
      <alignment vertical="center" wrapText="1"/>
    </xf>
    <xf numFmtId="0" fontId="68" fillId="13" borderId="110" xfId="0" applyFont="1" applyFill="1" applyBorder="1" applyAlignment="1">
      <alignment vertical="center"/>
    </xf>
    <xf numFmtId="0" fontId="0" fillId="13" borderId="108" xfId="0" applyFill="1" applyBorder="1" applyAlignment="1">
      <alignment horizontal="right" vertical="center" wrapText="1"/>
    </xf>
    <xf numFmtId="10" fontId="0" fillId="13" borderId="108" xfId="0" applyNumberFormat="1" applyFill="1" applyBorder="1"/>
    <xf numFmtId="165" fontId="66" fillId="13" borderId="108" xfId="4" applyNumberFormat="1" applyFont="1" applyFill="1" applyBorder="1"/>
    <xf numFmtId="169" fontId="66" fillId="13" borderId="108" xfId="4" applyNumberFormat="1" applyFont="1" applyFill="1" applyBorder="1"/>
    <xf numFmtId="10" fontId="66" fillId="13" borderId="108" xfId="4" applyNumberFormat="1" applyFont="1" applyFill="1" applyBorder="1"/>
    <xf numFmtId="169" fontId="0" fillId="13" borderId="108" xfId="0" applyNumberFormat="1" applyFill="1" applyBorder="1" applyAlignment="1">
      <alignment wrapText="1"/>
    </xf>
    <xf numFmtId="0" fontId="0" fillId="13" borderId="108" xfId="0" applyFill="1" applyBorder="1"/>
    <xf numFmtId="0" fontId="0" fillId="13" borderId="108" xfId="0" applyFill="1" applyBorder="1" applyAlignment="1">
      <alignment vertical="center"/>
    </xf>
    <xf numFmtId="0" fontId="0" fillId="13" borderId="108" xfId="0" applyFill="1" applyBorder="1" applyAlignment="1">
      <alignment vertical="center" wrapText="1"/>
    </xf>
    <xf numFmtId="0" fontId="72" fillId="0" borderId="0" xfId="0" applyFont="1" applyBorder="1" applyAlignment="1">
      <alignment horizontal="center" vertical="center" wrapText="1"/>
    </xf>
    <xf numFmtId="0" fontId="72" fillId="0" borderId="5" xfId="0" applyFont="1" applyBorder="1" applyAlignment="1">
      <alignment vertical="center" wrapText="1"/>
    </xf>
    <xf numFmtId="0" fontId="75" fillId="0" borderId="5" xfId="0" applyFont="1" applyBorder="1" applyAlignment="1">
      <alignment vertical="center" wrapText="1"/>
    </xf>
    <xf numFmtId="0" fontId="0" fillId="0" borderId="0" xfId="0" applyBorder="1"/>
    <xf numFmtId="164" fontId="7" fillId="0" borderId="1" xfId="0" applyNumberFormat="1" applyFont="1" applyFill="1" applyBorder="1"/>
    <xf numFmtId="164" fontId="7" fillId="0" borderId="7" xfId="0" applyNumberFormat="1" applyFont="1" applyFill="1" applyBorder="1"/>
    <xf numFmtId="0" fontId="7" fillId="5" borderId="5" xfId="0" applyFont="1" applyFill="1" applyBorder="1"/>
    <xf numFmtId="168" fontId="7" fillId="0" borderId="0" xfId="0" applyNumberFormat="1" applyFont="1" applyFill="1" applyBorder="1"/>
    <xf numFmtId="0" fontId="3" fillId="0" borderId="0" xfId="0" applyFont="1" applyFill="1" applyBorder="1"/>
    <xf numFmtId="0" fontId="3" fillId="0" borderId="2" xfId="0" applyFont="1" applyFill="1" applyBorder="1" applyAlignment="1">
      <alignment vertical="center"/>
    </xf>
    <xf numFmtId="0" fontId="3" fillId="0" borderId="10" xfId="0" applyFont="1" applyFill="1" applyBorder="1" applyAlignment="1">
      <alignment vertical="center"/>
    </xf>
    <xf numFmtId="14" fontId="7" fillId="5" borderId="11" xfId="0" applyNumberFormat="1" applyFont="1" applyFill="1" applyBorder="1" applyAlignment="1">
      <alignment vertical="center"/>
    </xf>
    <xf numFmtId="0" fontId="3" fillId="0" borderId="3" xfId="0" applyFont="1" applyFill="1" applyBorder="1" applyAlignment="1">
      <alignment vertical="center"/>
    </xf>
    <xf numFmtId="14" fontId="7" fillId="5" borderId="1" xfId="0" applyNumberFormat="1" applyFont="1" applyFill="1" applyBorder="1" applyAlignment="1">
      <alignment vertical="center"/>
    </xf>
    <xf numFmtId="0" fontId="3" fillId="0" borderId="4" xfId="0" applyFont="1" applyFill="1" applyBorder="1" applyAlignment="1">
      <alignment vertical="center"/>
    </xf>
    <xf numFmtId="4" fontId="7" fillId="5" borderId="7" xfId="0" applyNumberFormat="1" applyFont="1" applyFill="1" applyBorder="1" applyAlignment="1">
      <alignment vertical="center"/>
    </xf>
    <xf numFmtId="0" fontId="7" fillId="5" borderId="12" xfId="0" applyFont="1" applyFill="1" applyBorder="1" applyAlignment="1">
      <alignment horizontal="right" vertical="center"/>
    </xf>
    <xf numFmtId="0" fontId="79" fillId="7" borderId="111" xfId="0" applyFont="1" applyFill="1" applyBorder="1" applyAlignment="1">
      <alignment vertical="center"/>
    </xf>
    <xf numFmtId="43" fontId="7" fillId="0" borderId="0" xfId="2" applyFont="1" applyBorder="1"/>
    <xf numFmtId="0" fontId="72" fillId="0" borderId="3" xfId="0" applyFont="1" applyBorder="1"/>
    <xf numFmtId="10" fontId="75" fillId="0" borderId="5" xfId="0" applyNumberFormat="1" applyFont="1" applyFill="1" applyBorder="1"/>
    <xf numFmtId="0" fontId="0" fillId="14" borderId="97" xfId="0" applyFill="1" applyBorder="1" applyAlignment="1">
      <alignment vertical="center" wrapText="1"/>
    </xf>
    <xf numFmtId="0" fontId="0" fillId="14" borderId="106" xfId="0" applyFill="1" applyBorder="1" applyAlignment="1">
      <alignment vertical="center" wrapText="1"/>
    </xf>
    <xf numFmtId="0" fontId="0" fillId="15" borderId="97" xfId="0" applyFill="1" applyBorder="1" applyAlignment="1">
      <alignment vertical="center" wrapText="1"/>
    </xf>
    <xf numFmtId="0" fontId="0" fillId="15" borderId="112" xfId="0" applyFill="1" applyBorder="1" applyAlignment="1">
      <alignment vertical="center" wrapText="1"/>
    </xf>
    <xf numFmtId="0" fontId="72" fillId="0" borderId="0" xfId="0" applyFont="1" applyBorder="1" applyAlignment="1">
      <alignment vertical="center"/>
    </xf>
    <xf numFmtId="168" fontId="3" fillId="0" borderId="13" xfId="0" applyNumberFormat="1" applyFont="1" applyBorder="1" applyAlignment="1">
      <alignment vertical="center"/>
    </xf>
    <xf numFmtId="0" fontId="0" fillId="9" borderId="103" xfId="0" applyFill="1" applyBorder="1" applyAlignment="1">
      <alignment vertical="center"/>
    </xf>
    <xf numFmtId="0" fontId="0" fillId="8" borderId="103" xfId="0" applyFill="1" applyBorder="1" applyAlignment="1">
      <alignment vertical="center"/>
    </xf>
    <xf numFmtId="0" fontId="0" fillId="8" borderId="113" xfId="0" applyFill="1" applyBorder="1"/>
    <xf numFmtId="0" fontId="0" fillId="9" borderId="114" xfId="0" applyFill="1" applyBorder="1"/>
    <xf numFmtId="0" fontId="0" fillId="8" borderId="114" xfId="0" applyFill="1" applyBorder="1"/>
    <xf numFmtId="0" fontId="0" fillId="8" borderId="94" xfId="0" applyFill="1" applyBorder="1" applyAlignment="1">
      <alignment vertical="center"/>
    </xf>
    <xf numFmtId="0" fontId="4" fillId="0" borderId="0" xfId="0" applyFont="1" applyFill="1" applyBorder="1" applyAlignment="1"/>
    <xf numFmtId="0" fontId="7" fillId="0" borderId="0" xfId="0" applyFont="1" applyFill="1" applyBorder="1" applyAlignment="1"/>
    <xf numFmtId="2" fontId="75" fillId="0" borderId="5" xfId="0" applyNumberFormat="1" applyFont="1" applyFill="1" applyBorder="1"/>
    <xf numFmtId="164" fontId="3" fillId="2" borderId="5" xfId="0" applyNumberFormat="1" applyFont="1" applyFill="1" applyBorder="1"/>
    <xf numFmtId="0" fontId="9" fillId="0" borderId="14" xfId="0" applyFont="1" applyFill="1" applyBorder="1"/>
    <xf numFmtId="0" fontId="81" fillId="0" borderId="15" xfId="0" applyFont="1" applyBorder="1" applyAlignment="1">
      <alignment horizontal="right"/>
    </xf>
    <xf numFmtId="0" fontId="9" fillId="0" borderId="15" xfId="0" applyFont="1" applyFill="1" applyBorder="1" applyAlignment="1"/>
    <xf numFmtId="164" fontId="7" fillId="0" borderId="16" xfId="0" applyNumberFormat="1" applyFont="1" applyBorder="1"/>
    <xf numFmtId="164" fontId="75" fillId="0" borderId="17" xfId="0" applyNumberFormat="1" applyFont="1" applyBorder="1"/>
    <xf numFmtId="164" fontId="8" fillId="2" borderId="17" xfId="0" applyNumberFormat="1" applyFont="1" applyFill="1" applyBorder="1"/>
    <xf numFmtId="164" fontId="9" fillId="3" borderId="9" xfId="0" applyNumberFormat="1" applyFont="1" applyFill="1" applyBorder="1"/>
    <xf numFmtId="0" fontId="75" fillId="0" borderId="10" xfId="0" applyFont="1" applyFill="1" applyBorder="1" applyAlignment="1">
      <alignment horizontal="left" indent="1"/>
    </xf>
    <xf numFmtId="4" fontId="75" fillId="0" borderId="18" xfId="0" applyNumberFormat="1" applyFont="1" applyBorder="1"/>
    <xf numFmtId="0" fontId="75" fillId="0" borderId="4" xfId="0" applyFont="1" applyFill="1" applyBorder="1" applyAlignment="1">
      <alignment horizontal="left" indent="1"/>
    </xf>
    <xf numFmtId="2" fontId="75" fillId="0" borderId="6" xfId="0" applyNumberFormat="1" applyFont="1" applyFill="1" applyBorder="1"/>
    <xf numFmtId="0" fontId="71" fillId="0" borderId="0" xfId="0" applyFont="1" applyFill="1" applyBorder="1" applyAlignment="1">
      <alignment horizontal="right"/>
    </xf>
    <xf numFmtId="4" fontId="7" fillId="0" borderId="19" xfId="0" applyNumberFormat="1" applyFont="1" applyBorder="1"/>
    <xf numFmtId="164" fontId="3" fillId="2" borderId="20" xfId="0" applyNumberFormat="1" applyFont="1" applyFill="1" applyBorder="1"/>
    <xf numFmtId="0" fontId="9" fillId="0" borderId="0" xfId="0" applyFont="1" applyFill="1" applyBorder="1"/>
    <xf numFmtId="164" fontId="8" fillId="0" borderId="0" xfId="0" applyNumberFormat="1" applyFont="1" applyFill="1" applyBorder="1"/>
    <xf numFmtId="164" fontId="9" fillId="0" borderId="0" xfId="0" applyNumberFormat="1" applyFont="1" applyFill="1" applyBorder="1"/>
    <xf numFmtId="2" fontId="75" fillId="4" borderId="0" xfId="0" applyNumberFormat="1" applyFont="1" applyFill="1" applyBorder="1"/>
    <xf numFmtId="2" fontId="75" fillId="4" borderId="21" xfId="0" applyNumberFormat="1" applyFont="1" applyFill="1" applyBorder="1"/>
    <xf numFmtId="0" fontId="76" fillId="0" borderId="0" xfId="0" applyFont="1" applyFill="1" applyBorder="1" applyAlignment="1"/>
    <xf numFmtId="2" fontId="75" fillId="4" borderId="22" xfId="0" applyNumberFormat="1" applyFont="1" applyFill="1" applyBorder="1"/>
    <xf numFmtId="2" fontId="75" fillId="4" borderId="23" xfId="0" applyNumberFormat="1" applyFont="1" applyFill="1" applyBorder="1"/>
    <xf numFmtId="4" fontId="75" fillId="0" borderId="11" xfId="0" applyNumberFormat="1" applyFont="1" applyFill="1" applyBorder="1"/>
    <xf numFmtId="164" fontId="72" fillId="3" borderId="24" xfId="0" applyNumberFormat="1" applyFont="1" applyFill="1" applyBorder="1"/>
    <xf numFmtId="164" fontId="72" fillId="3" borderId="6" xfId="0" applyNumberFormat="1" applyFont="1" applyFill="1" applyBorder="1"/>
    <xf numFmtId="164" fontId="7" fillId="0" borderId="25" xfId="0" applyNumberFormat="1" applyFont="1" applyBorder="1"/>
    <xf numFmtId="164" fontId="75" fillId="0" borderId="26" xfId="0" applyNumberFormat="1" applyFont="1" applyBorder="1"/>
    <xf numFmtId="164" fontId="8" fillId="2" borderId="26" xfId="0" applyNumberFormat="1" applyFont="1" applyFill="1" applyBorder="1"/>
    <xf numFmtId="164" fontId="9" fillId="3" borderId="27" xfId="0" applyNumberFormat="1" applyFont="1" applyFill="1" applyBorder="1"/>
    <xf numFmtId="0" fontId="82" fillId="0" borderId="0" xfId="0" applyFont="1" applyFill="1" applyBorder="1"/>
    <xf numFmtId="165" fontId="4" fillId="16" borderId="28" xfId="0" applyNumberFormat="1" applyFont="1" applyFill="1" applyBorder="1" applyAlignment="1">
      <alignment horizontal="center" vertical="top" wrapText="1"/>
    </xf>
    <xf numFmtId="165" fontId="4" fillId="16" borderId="29" xfId="0" applyNumberFormat="1" applyFont="1" applyFill="1" applyBorder="1" applyAlignment="1">
      <alignment horizontal="center" vertical="top" wrapText="1"/>
    </xf>
    <xf numFmtId="166" fontId="7" fillId="0" borderId="30" xfId="0" applyNumberFormat="1" applyFont="1" applyFill="1" applyBorder="1"/>
    <xf numFmtId="166" fontId="7" fillId="0" borderId="12" xfId="0" applyNumberFormat="1" applyFont="1" applyFill="1" applyBorder="1"/>
    <xf numFmtId="10" fontId="75" fillId="0" borderId="1" xfId="0" applyNumberFormat="1" applyFont="1" applyFill="1" applyBorder="1"/>
    <xf numFmtId="1" fontId="75" fillId="0" borderId="30" xfId="0" applyNumberFormat="1" applyFont="1" applyBorder="1"/>
    <xf numFmtId="1" fontId="75" fillId="4" borderId="31" xfId="0" applyNumberFormat="1" applyFont="1" applyFill="1" applyBorder="1"/>
    <xf numFmtId="1" fontId="75" fillId="4" borderId="32" xfId="0" applyNumberFormat="1" applyFont="1" applyFill="1" applyBorder="1"/>
    <xf numFmtId="0" fontId="25" fillId="0" borderId="0" xfId="0" applyFont="1" applyFill="1" applyBorder="1" applyAlignment="1"/>
    <xf numFmtId="0" fontId="5" fillId="0" borderId="0" xfId="0" applyFont="1" applyFill="1" applyBorder="1" applyAlignment="1"/>
    <xf numFmtId="0" fontId="3" fillId="17" borderId="4" xfId="0" applyFont="1" applyFill="1" applyBorder="1" applyAlignment="1">
      <alignment horizontal="left" indent="1"/>
    </xf>
    <xf numFmtId="0" fontId="9" fillId="17" borderId="33" xfId="0" applyFont="1" applyFill="1" applyBorder="1"/>
    <xf numFmtId="0" fontId="3" fillId="18" borderId="3" xfId="0" applyFont="1" applyFill="1" applyBorder="1" applyAlignment="1">
      <alignment horizontal="left" indent="1"/>
    </xf>
    <xf numFmtId="0" fontId="9" fillId="18" borderId="15" xfId="0" applyFont="1" applyFill="1" applyBorder="1"/>
    <xf numFmtId="0" fontId="83" fillId="16" borderId="34" xfId="0" applyFont="1" applyFill="1" applyBorder="1" applyAlignment="1">
      <alignment horizontal="center"/>
    </xf>
    <xf numFmtId="0" fontId="4" fillId="16" borderId="34" xfId="0" applyFont="1" applyFill="1" applyBorder="1" applyAlignment="1">
      <alignment horizontal="center"/>
    </xf>
    <xf numFmtId="0" fontId="84" fillId="0" borderId="0" xfId="0" applyFont="1" applyFill="1" applyBorder="1" applyAlignment="1">
      <alignment horizontal="center" vertical="center"/>
    </xf>
    <xf numFmtId="0" fontId="1" fillId="0" borderId="0" xfId="0" applyFont="1"/>
    <xf numFmtId="0" fontId="1" fillId="0" borderId="0" xfId="0" applyFont="1" applyFill="1" applyAlignment="1">
      <alignment wrapText="1"/>
    </xf>
    <xf numFmtId="0" fontId="85" fillId="0" borderId="0" xfId="0" applyFont="1" applyFill="1" applyAlignment="1">
      <alignment horizontal="justify" vertical="center" wrapText="1"/>
    </xf>
    <xf numFmtId="0" fontId="1" fillId="0" borderId="0" xfId="0" applyFont="1" applyFill="1" applyBorder="1"/>
    <xf numFmtId="0" fontId="85" fillId="0" borderId="0" xfId="0" applyFont="1" applyFill="1" applyBorder="1" applyAlignment="1">
      <alignment horizontal="justify" vertical="center" wrapText="1"/>
    </xf>
    <xf numFmtId="0" fontId="0" fillId="0" borderId="0" xfId="0" applyFill="1" applyBorder="1"/>
    <xf numFmtId="0" fontId="1" fillId="0" borderId="0" xfId="0" applyFont="1" applyFill="1"/>
    <xf numFmtId="0" fontId="72" fillId="0" borderId="35" xfId="0" applyFont="1" applyBorder="1" applyAlignment="1">
      <alignment horizontal="right"/>
    </xf>
    <xf numFmtId="0" fontId="72" fillId="0" borderId="22" xfId="0" applyFont="1" applyBorder="1" applyAlignment="1">
      <alignment horizontal="left"/>
    </xf>
    <xf numFmtId="0" fontId="2" fillId="0" borderId="35" xfId="0" applyFont="1" applyBorder="1" applyAlignment="1">
      <alignment horizontal="right"/>
    </xf>
    <xf numFmtId="0" fontId="2" fillId="0" borderId="0" xfId="0" applyFont="1" applyBorder="1" applyAlignment="1"/>
    <xf numFmtId="0" fontId="2" fillId="0" borderId="22" xfId="0" applyFont="1" applyBorder="1" applyAlignment="1"/>
    <xf numFmtId="0" fontId="85" fillId="0" borderId="0" xfId="0" applyFont="1" applyFill="1" applyAlignment="1">
      <alignment horizontal="left" vertical="center" wrapText="1"/>
    </xf>
    <xf numFmtId="0" fontId="1" fillId="0" borderId="0" xfId="0" applyFont="1" applyAlignment="1">
      <alignment horizontal="left"/>
    </xf>
    <xf numFmtId="0" fontId="86" fillId="0" borderId="0" xfId="0" applyFont="1" applyFill="1" applyAlignment="1">
      <alignment horizontal="justify" vertical="center" wrapText="1"/>
    </xf>
    <xf numFmtId="0" fontId="87" fillId="0" borderId="0" xfId="0" applyFont="1" applyFill="1" applyAlignment="1">
      <alignment horizontal="justify" vertical="center" wrapText="1"/>
    </xf>
    <xf numFmtId="0" fontId="88" fillId="0" borderId="0" xfId="0" applyFont="1" applyFill="1" applyAlignment="1">
      <alignment horizontal="justify" vertical="center" wrapText="1"/>
    </xf>
    <xf numFmtId="0" fontId="89" fillId="0" borderId="0" xfId="0" applyFont="1" applyFill="1" applyAlignment="1">
      <alignment horizontal="justify" vertical="center" wrapText="1"/>
    </xf>
    <xf numFmtId="0" fontId="1" fillId="0" borderId="0" xfId="0" applyFont="1" applyAlignment="1">
      <alignment wrapText="1"/>
    </xf>
    <xf numFmtId="0" fontId="3" fillId="0" borderId="33" xfId="0" applyFont="1" applyFill="1" applyBorder="1" applyAlignment="1">
      <alignment horizontal="left" indent="1"/>
    </xf>
    <xf numFmtId="164" fontId="3" fillId="0" borderId="21" xfId="0" applyNumberFormat="1" applyFont="1" applyFill="1" applyBorder="1"/>
    <xf numFmtId="164" fontId="3" fillId="0" borderId="9" xfId="0" applyNumberFormat="1" applyFont="1" applyFill="1" applyBorder="1"/>
    <xf numFmtId="164" fontId="3" fillId="0" borderId="36" xfId="0" applyNumberFormat="1" applyFont="1" applyFill="1" applyBorder="1"/>
    <xf numFmtId="0" fontId="3" fillId="17" borderId="115" xfId="0" applyFont="1" applyFill="1" applyBorder="1" applyAlignment="1">
      <alignment horizontal="left" indent="1"/>
    </xf>
    <xf numFmtId="164" fontId="72" fillId="3" borderId="116" xfId="0" applyNumberFormat="1" applyFont="1" applyFill="1" applyBorder="1"/>
    <xf numFmtId="164" fontId="72" fillId="3" borderId="117" xfId="0" applyNumberFormat="1" applyFont="1" applyFill="1" applyBorder="1"/>
    <xf numFmtId="164" fontId="72" fillId="3" borderId="118" xfId="0" applyNumberFormat="1" applyFont="1" applyFill="1" applyBorder="1"/>
    <xf numFmtId="0" fontId="9" fillId="0" borderId="0" xfId="0" applyFont="1" applyFill="1" applyBorder="1" applyAlignment="1">
      <alignment horizontal="left"/>
    </xf>
    <xf numFmtId="14" fontId="90" fillId="0" borderId="0" xfId="0" applyNumberFormat="1" applyFont="1" applyFill="1" applyBorder="1" applyAlignment="1">
      <alignment horizontal="center"/>
    </xf>
    <xf numFmtId="174" fontId="75" fillId="0" borderId="0" xfId="0" applyNumberFormat="1" applyFont="1" applyFill="1" applyBorder="1"/>
    <xf numFmtId="174" fontId="7" fillId="0" borderId="0" xfId="0" applyNumberFormat="1" applyFont="1" applyFill="1" applyBorder="1"/>
    <xf numFmtId="2" fontId="7" fillId="0" borderId="0" xfId="0" applyNumberFormat="1" applyFont="1" applyFill="1" applyBorder="1"/>
    <xf numFmtId="43" fontId="7" fillId="0" borderId="0" xfId="0" applyNumberFormat="1" applyFont="1" applyBorder="1"/>
    <xf numFmtId="2" fontId="72" fillId="0" borderId="0" xfId="0" applyNumberFormat="1" applyFont="1" applyFill="1" applyBorder="1" applyAlignment="1">
      <alignment horizontal="center"/>
    </xf>
    <xf numFmtId="2" fontId="7" fillId="0" borderId="0" xfId="2" applyNumberFormat="1" applyFont="1" applyBorder="1" applyAlignment="1">
      <alignment horizontal="right"/>
    </xf>
    <xf numFmtId="173" fontId="72" fillId="0" borderId="0" xfId="2" applyNumberFormat="1" applyFont="1" applyFill="1" applyBorder="1" applyAlignment="1">
      <alignment horizontal="center"/>
    </xf>
    <xf numFmtId="0" fontId="7" fillId="0" borderId="0" xfId="0" applyFont="1" applyBorder="1" applyAlignment="1">
      <alignment horizontal="center"/>
    </xf>
    <xf numFmtId="0" fontId="3" fillId="0" borderId="0" xfId="0" applyFont="1" applyBorder="1"/>
    <xf numFmtId="164" fontId="3" fillId="0" borderId="0" xfId="0" applyNumberFormat="1" applyFont="1" applyBorder="1"/>
    <xf numFmtId="43" fontId="3" fillId="0" borderId="0" xfId="0" applyNumberFormat="1" applyFont="1" applyBorder="1"/>
    <xf numFmtId="43" fontId="3" fillId="0" borderId="0" xfId="2" applyFont="1" applyBorder="1"/>
    <xf numFmtId="0" fontId="3" fillId="0" borderId="37" xfId="0" applyFont="1" applyBorder="1"/>
    <xf numFmtId="43" fontId="3" fillId="0" borderId="37" xfId="2" applyFont="1" applyBorder="1"/>
    <xf numFmtId="168" fontId="3" fillId="0" borderId="0" xfId="0" applyNumberFormat="1" applyFont="1" applyBorder="1" applyAlignment="1">
      <alignment vertical="center"/>
    </xf>
    <xf numFmtId="168" fontId="3" fillId="0" borderId="38" xfId="0" applyNumberFormat="1" applyFont="1" applyBorder="1" applyAlignment="1">
      <alignment vertical="center"/>
    </xf>
    <xf numFmtId="0" fontId="3" fillId="0" borderId="38" xfId="0" applyFont="1" applyFill="1" applyBorder="1" applyAlignment="1">
      <alignment horizontal="left" indent="1"/>
    </xf>
    <xf numFmtId="164" fontId="9" fillId="0" borderId="0" xfId="0" applyNumberFormat="1" applyFont="1" applyFill="1" applyBorder="1" applyAlignment="1">
      <alignment horizontal="right"/>
    </xf>
    <xf numFmtId="0" fontId="80" fillId="13" borderId="119" xfId="0" applyFont="1" applyFill="1" applyBorder="1"/>
    <xf numFmtId="0" fontId="68" fillId="19" borderId="120" xfId="0" applyFont="1" applyFill="1" applyBorder="1" applyAlignment="1">
      <alignment horizontal="center" vertical="center" wrapText="1"/>
    </xf>
    <xf numFmtId="0" fontId="0" fillId="20" borderId="121" xfId="0" applyFill="1" applyBorder="1" applyAlignment="1">
      <alignment vertical="center" wrapText="1"/>
    </xf>
    <xf numFmtId="0" fontId="0" fillId="21" borderId="120" xfId="0" applyFill="1" applyBorder="1" applyAlignment="1">
      <alignment vertical="center" wrapText="1"/>
    </xf>
    <xf numFmtId="0" fontId="0" fillId="20" borderId="92" xfId="0" applyFont="1" applyFill="1" applyBorder="1" applyAlignment="1">
      <alignment horizontal="right" vertical="center" wrapText="1"/>
    </xf>
    <xf numFmtId="10" fontId="0" fillId="20" borderId="93" xfId="0" applyNumberFormat="1" applyFill="1" applyBorder="1" applyAlignment="1">
      <alignment vertical="center"/>
    </xf>
    <xf numFmtId="165" fontId="66" fillId="20" borderId="93" xfId="4" applyNumberFormat="1" applyFont="1" applyFill="1" applyBorder="1" applyAlignment="1">
      <alignment vertical="center"/>
    </xf>
    <xf numFmtId="169" fontId="66" fillId="20" borderId="93" xfId="4" applyNumberFormat="1" applyFont="1" applyFill="1" applyBorder="1" applyAlignment="1">
      <alignment vertical="center"/>
    </xf>
    <xf numFmtId="0" fontId="0" fillId="21" borderId="122" xfId="0" applyFont="1" applyFill="1" applyBorder="1" applyAlignment="1">
      <alignment horizontal="right" vertical="center" wrapText="1"/>
    </xf>
    <xf numFmtId="10" fontId="0" fillId="21" borderId="123" xfId="0" applyNumberFormat="1" applyFill="1" applyBorder="1" applyAlignment="1">
      <alignment vertical="center"/>
    </xf>
    <xf numFmtId="165" fontId="66" fillId="21" borderId="123" xfId="4" applyNumberFormat="1" applyFont="1" applyFill="1" applyBorder="1" applyAlignment="1">
      <alignment vertical="center"/>
    </xf>
    <xf numFmtId="169" fontId="66" fillId="21" borderId="123" xfId="4" applyNumberFormat="1" applyFont="1" applyFill="1" applyBorder="1" applyAlignment="1">
      <alignment vertical="center"/>
    </xf>
    <xf numFmtId="10" fontId="66" fillId="21" borderId="123" xfId="4" applyNumberFormat="1" applyFont="1" applyFill="1" applyBorder="1" applyAlignment="1">
      <alignment vertical="center"/>
    </xf>
    <xf numFmtId="169" fontId="0" fillId="20" borderId="93" xfId="0" applyNumberFormat="1" applyFill="1" applyBorder="1" applyAlignment="1">
      <alignment vertical="center" wrapText="1"/>
    </xf>
    <xf numFmtId="0" fontId="0" fillId="20" borderId="93" xfId="0" applyFill="1" applyBorder="1" applyAlignment="1">
      <alignment vertical="center"/>
    </xf>
    <xf numFmtId="0" fontId="0" fillId="20" borderId="124" xfId="0" applyFill="1" applyBorder="1" applyAlignment="1">
      <alignment vertical="center"/>
    </xf>
    <xf numFmtId="169" fontId="0" fillId="21" borderId="123" xfId="0" applyNumberFormat="1" applyFill="1" applyBorder="1" applyAlignment="1">
      <alignment vertical="center" wrapText="1"/>
    </xf>
    <xf numFmtId="0" fontId="0" fillId="21" borderId="123" xfId="0" applyFill="1" applyBorder="1" applyAlignment="1">
      <alignment vertical="center"/>
    </xf>
    <xf numFmtId="0" fontId="0" fillId="21" borderId="125" xfId="0" applyFill="1" applyBorder="1" applyAlignment="1">
      <alignment vertical="center"/>
    </xf>
    <xf numFmtId="0" fontId="0" fillId="20" borderId="5" xfId="0" applyFont="1" applyFill="1" applyBorder="1" applyAlignment="1">
      <alignment vertical="center" wrapText="1"/>
    </xf>
    <xf numFmtId="0" fontId="0" fillId="20" borderId="5" xfId="0" applyFont="1" applyFill="1" applyBorder="1" applyAlignment="1">
      <alignment horizontal="center" vertical="center" wrapText="1"/>
    </xf>
    <xf numFmtId="0" fontId="0" fillId="21" borderId="6" xfId="0" applyFont="1" applyFill="1" applyBorder="1" applyAlignment="1">
      <alignment vertical="center" wrapText="1"/>
    </xf>
    <xf numFmtId="0" fontId="0" fillId="21" borderId="6" xfId="0" applyFont="1" applyFill="1" applyBorder="1" applyAlignment="1">
      <alignment horizontal="center" vertical="center" wrapText="1"/>
    </xf>
    <xf numFmtId="0" fontId="79" fillId="6" borderId="111" xfId="0" applyFont="1" applyFill="1" applyBorder="1" applyAlignment="1">
      <alignment vertical="center"/>
    </xf>
    <xf numFmtId="0" fontId="0" fillId="20" borderId="39" xfId="0" applyFont="1" applyFill="1" applyBorder="1" applyAlignment="1">
      <alignment horizontal="left" vertical="center" wrapText="1"/>
    </xf>
    <xf numFmtId="0" fontId="0" fillId="21" borderId="40" xfId="0" applyFont="1" applyFill="1" applyBorder="1" applyAlignment="1">
      <alignment horizontal="left" vertical="center" wrapText="1"/>
    </xf>
    <xf numFmtId="10" fontId="66" fillId="20" borderId="41" xfId="5" applyNumberFormat="1" applyFont="1" applyFill="1" applyBorder="1" applyAlignment="1">
      <alignment horizontal="right" vertical="center" wrapText="1"/>
    </xf>
    <xf numFmtId="10" fontId="66" fillId="21" borderId="42" xfId="5" applyNumberFormat="1" applyFont="1" applyFill="1" applyBorder="1" applyAlignment="1">
      <alignment horizontal="right" vertical="center" wrapText="1"/>
    </xf>
    <xf numFmtId="10" fontId="75" fillId="20" borderId="93" xfId="0" applyNumberFormat="1" applyFont="1" applyFill="1" applyBorder="1" applyAlignment="1">
      <alignment vertical="center" wrapText="1"/>
    </xf>
    <xf numFmtId="10" fontId="0" fillId="21" borderId="123" xfId="0" applyNumberFormat="1" applyFont="1" applyFill="1" applyBorder="1" applyAlignment="1">
      <alignment vertical="center" wrapText="1"/>
    </xf>
    <xf numFmtId="0" fontId="4" fillId="16" borderId="34" xfId="0" applyFont="1" applyFill="1" applyBorder="1" applyAlignment="1">
      <alignment horizontal="left"/>
    </xf>
    <xf numFmtId="0" fontId="0" fillId="0" borderId="0" xfId="0" applyFill="1" applyAlignment="1">
      <alignment vertical="center" wrapText="1"/>
    </xf>
    <xf numFmtId="10" fontId="0" fillId="6" borderId="92" xfId="0" applyNumberFormat="1" applyFill="1" applyBorder="1" applyAlignment="1">
      <alignment vertical="center"/>
    </xf>
    <xf numFmtId="165" fontId="66" fillId="6" borderId="92" xfId="4" applyNumberFormat="1" applyFont="1" applyFill="1" applyBorder="1" applyAlignment="1">
      <alignment vertical="center"/>
    </xf>
    <xf numFmtId="169" fontId="66" fillId="6" borderId="92" xfId="4" applyNumberFormat="1" applyFont="1" applyFill="1" applyBorder="1" applyAlignment="1">
      <alignment vertical="center"/>
    </xf>
    <xf numFmtId="169" fontId="0" fillId="6" borderId="92" xfId="0" applyNumberFormat="1" applyFill="1" applyBorder="1" applyAlignment="1">
      <alignment vertical="center" wrapText="1"/>
    </xf>
    <xf numFmtId="0" fontId="0" fillId="6" borderId="92" xfId="0" applyFill="1" applyBorder="1" applyAlignment="1">
      <alignment horizontal="center" vertical="center"/>
    </xf>
    <xf numFmtId="0" fontId="0" fillId="7" borderId="102" xfId="0" applyFill="1" applyBorder="1" applyAlignment="1">
      <alignment horizontal="center" vertical="center"/>
    </xf>
    <xf numFmtId="0" fontId="79" fillId="6" borderId="126" xfId="0" applyFont="1" applyFill="1" applyBorder="1" applyAlignment="1">
      <alignment horizontal="center" vertical="center"/>
    </xf>
    <xf numFmtId="0" fontId="79" fillId="7" borderId="127" xfId="0" applyFont="1" applyFill="1" applyBorder="1" applyAlignment="1">
      <alignment horizontal="center" vertical="center"/>
    </xf>
    <xf numFmtId="0" fontId="79" fillId="6" borderId="127" xfId="0" applyFont="1" applyFill="1" applyBorder="1" applyAlignment="1">
      <alignment horizontal="center" vertical="center"/>
    </xf>
    <xf numFmtId="0" fontId="91" fillId="9" borderId="127" xfId="0" applyFont="1" applyFill="1" applyBorder="1" applyAlignment="1">
      <alignment horizontal="center" vertical="center"/>
    </xf>
    <xf numFmtId="0" fontId="79" fillId="9" borderId="127" xfId="0" applyFont="1" applyFill="1" applyBorder="1" applyAlignment="1">
      <alignment horizontal="center" vertical="center"/>
    </xf>
    <xf numFmtId="0" fontId="0" fillId="9" borderId="101" xfId="0" applyFill="1" applyBorder="1"/>
    <xf numFmtId="0" fontId="91" fillId="8" borderId="127" xfId="0" applyFont="1" applyFill="1" applyBorder="1" applyAlignment="1">
      <alignment horizontal="center" vertical="center"/>
    </xf>
    <xf numFmtId="0" fontId="79" fillId="8" borderId="127" xfId="0" applyFont="1" applyFill="1" applyBorder="1" applyAlignment="1">
      <alignment horizontal="center" vertical="center"/>
    </xf>
    <xf numFmtId="0" fontId="79" fillId="8" borderId="126" xfId="0" applyFont="1" applyFill="1" applyBorder="1" applyAlignment="1">
      <alignment horizontal="center" vertical="center"/>
    </xf>
    <xf numFmtId="0" fontId="79" fillId="10" borderId="127" xfId="0" applyFont="1" applyFill="1" applyBorder="1" applyAlignment="1">
      <alignment horizontal="center" vertical="center"/>
    </xf>
    <xf numFmtId="0" fontId="79" fillId="11" borderId="126" xfId="0" applyFont="1" applyFill="1" applyBorder="1" applyAlignment="1">
      <alignment horizontal="center" vertical="center"/>
    </xf>
    <xf numFmtId="0" fontId="79" fillId="11" borderId="127" xfId="0" applyFont="1" applyFill="1" applyBorder="1" applyAlignment="1">
      <alignment horizontal="center" vertical="center"/>
    </xf>
    <xf numFmtId="0" fontId="0" fillId="11" borderId="99" xfId="0" applyFill="1" applyBorder="1" applyAlignment="1">
      <alignment vertical="center" wrapText="1"/>
    </xf>
    <xf numFmtId="0" fontId="79" fillId="12" borderId="128" xfId="0" applyFont="1" applyFill="1" applyBorder="1" applyAlignment="1">
      <alignment horizontal="center" vertical="center"/>
    </xf>
    <xf numFmtId="0" fontId="0" fillId="12" borderId="97" xfId="0" applyFill="1" applyBorder="1" applyAlignment="1">
      <alignment vertical="center" wrapText="1"/>
    </xf>
    <xf numFmtId="0" fontId="79" fillId="12" borderId="112" xfId="0" applyFont="1" applyFill="1" applyBorder="1" applyAlignment="1">
      <alignment horizontal="center" vertical="center"/>
    </xf>
    <xf numFmtId="0" fontId="0" fillId="12" borderId="106" xfId="0" applyFill="1" applyBorder="1" applyAlignment="1">
      <alignment vertical="center" wrapText="1"/>
    </xf>
    <xf numFmtId="0" fontId="79" fillId="13" borderId="128" xfId="0" applyFont="1" applyFill="1" applyBorder="1" applyAlignment="1">
      <alignment horizontal="center" vertical="center"/>
    </xf>
    <xf numFmtId="0" fontId="0" fillId="13" borderId="97" xfId="0" applyFill="1" applyBorder="1" applyAlignment="1">
      <alignment vertical="center" wrapText="1"/>
    </xf>
    <xf numFmtId="0" fontId="0" fillId="13" borderId="106" xfId="0" applyFill="1" applyBorder="1" applyAlignment="1">
      <alignment vertical="center" wrapText="1"/>
    </xf>
    <xf numFmtId="0" fontId="80" fillId="20" borderId="129" xfId="0" applyFont="1" applyFill="1" applyBorder="1" applyAlignment="1">
      <alignment horizontal="left" vertical="center"/>
    </xf>
    <xf numFmtId="0" fontId="80" fillId="21" borderId="110" xfId="0" applyFont="1" applyFill="1" applyBorder="1" applyAlignment="1">
      <alignment horizontal="left" vertical="center"/>
    </xf>
    <xf numFmtId="0" fontId="80" fillId="6" borderId="129" xfId="0" applyFont="1" applyFill="1" applyBorder="1" applyAlignment="1">
      <alignment horizontal="left" vertical="center"/>
    </xf>
    <xf numFmtId="0" fontId="80" fillId="12" borderId="109" xfId="0" applyFont="1" applyFill="1" applyBorder="1" applyAlignment="1">
      <alignment horizontal="left" vertical="center"/>
    </xf>
    <xf numFmtId="0" fontId="80" fillId="12" borderId="105" xfId="0" applyFont="1" applyFill="1" applyBorder="1" applyAlignment="1">
      <alignment horizontal="left" vertical="center"/>
    </xf>
    <xf numFmtId="0" fontId="80" fillId="13" borderId="109" xfId="0" applyFont="1" applyFill="1" applyBorder="1" applyAlignment="1">
      <alignment horizontal="left" vertical="center"/>
    </xf>
    <xf numFmtId="0" fontId="80" fillId="13" borderId="110" xfId="0" applyFont="1" applyFill="1" applyBorder="1" applyAlignment="1">
      <alignment horizontal="left" vertical="center"/>
    </xf>
    <xf numFmtId="0" fontId="79" fillId="13" borderId="130" xfId="0" applyFont="1" applyFill="1" applyBorder="1" applyAlignment="1">
      <alignment horizontal="left" vertical="center" wrapText="1"/>
    </xf>
    <xf numFmtId="175" fontId="0" fillId="20" borderId="5" xfId="0" applyNumberFormat="1" applyFont="1" applyFill="1" applyBorder="1" applyAlignment="1">
      <alignment horizontal="center" vertical="center" wrapText="1"/>
    </xf>
    <xf numFmtId="175" fontId="0" fillId="20" borderId="131" xfId="0" applyNumberFormat="1" applyFont="1" applyFill="1" applyBorder="1" applyAlignment="1">
      <alignment horizontal="center" vertical="center" wrapText="1"/>
    </xf>
    <xf numFmtId="175" fontId="0" fillId="20" borderId="132" xfId="0" applyNumberFormat="1" applyFont="1" applyFill="1" applyBorder="1" applyAlignment="1">
      <alignment horizontal="center" vertical="center" wrapText="1"/>
    </xf>
    <xf numFmtId="175" fontId="0" fillId="20" borderId="43" xfId="0" applyNumberFormat="1" applyFont="1" applyFill="1" applyBorder="1" applyAlignment="1">
      <alignment horizontal="center" vertical="center" wrapText="1"/>
    </xf>
    <xf numFmtId="175" fontId="0" fillId="21" borderId="6" xfId="0" applyNumberFormat="1" applyFont="1" applyFill="1" applyBorder="1" applyAlignment="1">
      <alignment horizontal="center" vertical="center" wrapText="1"/>
    </xf>
    <xf numFmtId="175" fontId="0" fillId="21" borderId="42" xfId="0" applyNumberFormat="1" applyFont="1" applyFill="1" applyBorder="1" applyAlignment="1">
      <alignment horizontal="center" vertical="center" wrapText="1"/>
    </xf>
    <xf numFmtId="175" fontId="0" fillId="21" borderId="24" xfId="0" applyNumberFormat="1" applyFont="1" applyFill="1" applyBorder="1" applyAlignment="1">
      <alignment horizontal="center" vertical="center" wrapText="1"/>
    </xf>
    <xf numFmtId="175" fontId="0" fillId="21" borderId="44" xfId="0" applyNumberFormat="1" applyFont="1" applyFill="1" applyBorder="1" applyAlignment="1">
      <alignment horizontal="center" vertical="center" wrapText="1"/>
    </xf>
    <xf numFmtId="175" fontId="68" fillId="20" borderId="20" xfId="0" applyNumberFormat="1" applyFont="1" applyFill="1" applyBorder="1" applyAlignment="1">
      <alignment horizontal="center" vertical="center" wrapText="1"/>
    </xf>
    <xf numFmtId="175" fontId="68" fillId="21" borderId="45" xfId="0" applyNumberFormat="1" applyFont="1" applyFill="1" applyBorder="1" applyAlignment="1">
      <alignment horizontal="center" vertical="center" wrapText="1"/>
    </xf>
    <xf numFmtId="0" fontId="79" fillId="6" borderId="111" xfId="0" applyFont="1" applyFill="1" applyBorder="1" applyAlignment="1">
      <alignment vertical="center" wrapText="1"/>
    </xf>
    <xf numFmtId="0" fontId="79" fillId="7" borderId="111" xfId="0" applyFont="1" applyFill="1" applyBorder="1" applyAlignment="1">
      <alignment vertical="center" wrapText="1"/>
    </xf>
    <xf numFmtId="165" fontId="66" fillId="0" borderId="46" xfId="4" applyNumberFormat="1" applyFont="1" applyFill="1" applyBorder="1" applyAlignment="1">
      <alignment vertical="center"/>
    </xf>
    <xf numFmtId="165" fontId="66" fillId="0" borderId="47" xfId="4" applyNumberFormat="1" applyFont="1" applyFill="1" applyBorder="1" applyAlignment="1">
      <alignment vertical="center"/>
    </xf>
    <xf numFmtId="165" fontId="66" fillId="0" borderId="48" xfId="4" applyNumberFormat="1" applyFont="1" applyFill="1" applyBorder="1" applyAlignment="1">
      <alignment vertical="center"/>
    </xf>
    <xf numFmtId="165" fontId="66" fillId="5" borderId="12" xfId="4" applyNumberFormat="1" applyFont="1" applyFill="1" applyBorder="1" applyAlignment="1">
      <alignment vertical="center"/>
    </xf>
    <xf numFmtId="165" fontId="66" fillId="22" borderId="39" xfId="4" applyNumberFormat="1" applyFont="1" applyFill="1" applyBorder="1" applyAlignment="1">
      <alignment vertical="center"/>
    </xf>
    <xf numFmtId="165" fontId="66" fillId="0" borderId="46" xfId="4" applyNumberFormat="1" applyFont="1" applyBorder="1" applyAlignment="1">
      <alignment vertical="center"/>
    </xf>
    <xf numFmtId="165" fontId="66" fillId="0" borderId="47" xfId="4" applyNumberFormat="1" applyFont="1" applyBorder="1" applyAlignment="1">
      <alignment vertical="center"/>
    </xf>
    <xf numFmtId="165" fontId="66" fillId="0" borderId="48" xfId="4" applyNumberFormat="1" applyFont="1" applyBorder="1" applyAlignment="1">
      <alignment vertical="center"/>
    </xf>
    <xf numFmtId="165" fontId="0" fillId="0" borderId="37" xfId="0" applyNumberFormat="1" applyFont="1" applyBorder="1" applyAlignment="1">
      <alignment vertical="center"/>
    </xf>
    <xf numFmtId="165" fontId="0" fillId="23" borderId="49" xfId="0" applyNumberFormat="1" applyFont="1" applyFill="1" applyBorder="1" applyAlignment="1">
      <alignment vertical="center"/>
    </xf>
    <xf numFmtId="165" fontId="66" fillId="22" borderId="49" xfId="4" applyNumberFormat="1" applyFont="1" applyFill="1" applyBorder="1" applyAlignment="1">
      <alignment vertical="center"/>
    </xf>
    <xf numFmtId="165" fontId="66" fillId="0" borderId="50" xfId="4" applyNumberFormat="1" applyFont="1" applyFill="1" applyBorder="1" applyAlignment="1">
      <alignment vertical="center"/>
    </xf>
    <xf numFmtId="165" fontId="66" fillId="0" borderId="37" xfId="4" applyNumberFormat="1" applyFont="1" applyFill="1" applyBorder="1" applyAlignment="1">
      <alignment vertical="center"/>
    </xf>
    <xf numFmtId="165" fontId="66" fillId="0" borderId="41" xfId="4" applyNumberFormat="1" applyFont="1" applyFill="1" applyBorder="1" applyAlignment="1">
      <alignment vertical="center"/>
    </xf>
    <xf numFmtId="165" fontId="66" fillId="5" borderId="11" xfId="4" applyNumberFormat="1" applyFont="1" applyFill="1" applyBorder="1" applyAlignment="1">
      <alignment vertical="center"/>
    </xf>
    <xf numFmtId="165" fontId="66" fillId="0" borderId="50" xfId="4" applyNumberFormat="1" applyFont="1" applyBorder="1" applyAlignment="1">
      <alignment vertical="center"/>
    </xf>
    <xf numFmtId="165" fontId="66" fillId="0" borderId="37" xfId="4" applyNumberFormat="1" applyFont="1" applyBorder="1" applyAlignment="1">
      <alignment vertical="center"/>
    </xf>
    <xf numFmtId="165" fontId="66" fillId="0" borderId="41" xfId="4" applyNumberFormat="1" applyFont="1" applyBorder="1" applyAlignment="1">
      <alignment vertical="center"/>
    </xf>
    <xf numFmtId="165" fontId="0" fillId="0" borderId="51" xfId="0" applyNumberFormat="1" applyFont="1" applyBorder="1" applyAlignment="1">
      <alignment vertical="center"/>
    </xf>
    <xf numFmtId="165" fontId="0" fillId="0" borderId="52" xfId="0" applyNumberFormat="1" applyFont="1" applyBorder="1" applyAlignment="1">
      <alignment vertical="center"/>
    </xf>
    <xf numFmtId="165" fontId="0" fillId="23" borderId="40" xfId="0" applyNumberFormat="1" applyFont="1" applyFill="1" applyBorder="1" applyAlignment="1">
      <alignment vertical="center"/>
    </xf>
    <xf numFmtId="165" fontId="66" fillId="22" borderId="40" xfId="4" applyNumberFormat="1" applyFont="1" applyFill="1" applyBorder="1" applyAlignment="1">
      <alignment vertical="center"/>
    </xf>
    <xf numFmtId="172" fontId="79" fillId="6" borderId="103" xfId="0" applyNumberFormat="1" applyFont="1" applyFill="1" applyBorder="1" applyAlignment="1">
      <alignment vertical="center" wrapText="1"/>
    </xf>
    <xf numFmtId="172" fontId="79" fillId="6" borderId="102" xfId="0" applyNumberFormat="1" applyFont="1" applyFill="1" applyBorder="1" applyAlignment="1">
      <alignment vertical="center" wrapText="1"/>
    </xf>
    <xf numFmtId="172" fontId="68" fillId="6" borderId="104" xfId="0" applyNumberFormat="1" applyFont="1" applyFill="1" applyBorder="1" applyAlignment="1">
      <alignment vertical="center" wrapText="1"/>
    </xf>
    <xf numFmtId="172" fontId="0" fillId="6" borderId="103" xfId="0" applyNumberFormat="1" applyFill="1" applyBorder="1" applyAlignment="1">
      <alignment vertical="center" wrapText="1"/>
    </xf>
    <xf numFmtId="172" fontId="0" fillId="6" borderId="104" xfId="0" applyNumberFormat="1" applyFill="1" applyBorder="1" applyAlignment="1">
      <alignment vertical="center" wrapText="1"/>
    </xf>
    <xf numFmtId="10" fontId="0" fillId="6" borderId="103" xfId="0" applyNumberFormat="1" applyFill="1" applyBorder="1" applyAlignment="1">
      <alignment vertical="center" wrapText="1"/>
    </xf>
    <xf numFmtId="172" fontId="79" fillId="7" borderId="107" xfId="0" applyNumberFormat="1" applyFont="1" applyFill="1" applyBorder="1" applyAlignment="1">
      <alignment vertical="center" wrapText="1"/>
    </xf>
    <xf numFmtId="172" fontId="79" fillId="7" borderId="108" xfId="0" applyNumberFormat="1" applyFont="1" applyFill="1" applyBorder="1" applyAlignment="1">
      <alignment vertical="center" wrapText="1"/>
    </xf>
    <xf numFmtId="172" fontId="68" fillId="7" borderId="133" xfId="0" applyNumberFormat="1" applyFont="1" applyFill="1" applyBorder="1" applyAlignment="1">
      <alignment vertical="center" wrapText="1"/>
    </xf>
    <xf numFmtId="172" fontId="0" fillId="7" borderId="107" xfId="0" applyNumberFormat="1" applyFill="1" applyBorder="1" applyAlignment="1">
      <alignment vertical="center" wrapText="1"/>
    </xf>
    <xf numFmtId="172" fontId="0" fillId="7" borderId="133" xfId="0" applyNumberFormat="1" applyFill="1" applyBorder="1" applyAlignment="1">
      <alignment vertical="center" wrapText="1"/>
    </xf>
    <xf numFmtId="165" fontId="66" fillId="0" borderId="53" xfId="4" applyNumberFormat="1" applyFont="1" applyBorder="1" applyAlignment="1">
      <alignment vertical="center"/>
    </xf>
    <xf numFmtId="165" fontId="66" fillId="0" borderId="8" xfId="4" applyNumberFormat="1" applyFont="1" applyBorder="1" applyAlignment="1">
      <alignment vertical="center"/>
    </xf>
    <xf numFmtId="165" fontId="66" fillId="0" borderId="27" xfId="4" applyNumberFormat="1" applyFont="1" applyBorder="1" applyAlignment="1">
      <alignment vertical="center"/>
    </xf>
    <xf numFmtId="165" fontId="66" fillId="5" borderId="36" xfId="4" applyNumberFormat="1" applyFont="1" applyFill="1" applyBorder="1" applyAlignment="1">
      <alignment vertical="center"/>
    </xf>
    <xf numFmtId="165" fontId="66" fillId="22" borderId="54" xfId="4" applyNumberFormat="1" applyFont="1" applyFill="1" applyBorder="1" applyAlignment="1">
      <alignment vertical="center"/>
    </xf>
    <xf numFmtId="165" fontId="0" fillId="0" borderId="8" xfId="0" applyNumberFormat="1" applyFont="1" applyBorder="1" applyAlignment="1">
      <alignment vertical="center"/>
    </xf>
    <xf numFmtId="165" fontId="0" fillId="23" borderId="54" xfId="0" applyNumberFormat="1" applyFont="1" applyFill="1" applyBorder="1" applyAlignment="1">
      <alignment vertical="center"/>
    </xf>
    <xf numFmtId="0" fontId="79" fillId="7" borderId="134" xfId="0" applyFont="1" applyFill="1" applyBorder="1" applyAlignment="1">
      <alignment vertical="center"/>
    </xf>
    <xf numFmtId="10" fontId="0" fillId="7" borderId="107" xfId="0" applyNumberFormat="1" applyFill="1" applyBorder="1" applyAlignment="1">
      <alignment vertical="center" wrapText="1"/>
    </xf>
    <xf numFmtId="172" fontId="79" fillId="8" borderId="94" xfId="0" applyNumberFormat="1" applyFont="1" applyFill="1" applyBorder="1" applyAlignment="1">
      <alignment vertical="center" wrapText="1"/>
    </xf>
    <xf numFmtId="172" fontId="79" fillId="8" borderId="92" xfId="0" applyNumberFormat="1" applyFont="1" applyFill="1" applyBorder="1" applyAlignment="1">
      <alignment vertical="center" wrapText="1"/>
    </xf>
    <xf numFmtId="172" fontId="68" fillId="8" borderId="95" xfId="0" applyNumberFormat="1" applyFont="1" applyFill="1" applyBorder="1" applyAlignment="1">
      <alignment vertical="center" wrapText="1"/>
    </xf>
    <xf numFmtId="172" fontId="0" fillId="8" borderId="94" xfId="0" applyNumberFormat="1" applyFill="1" applyBorder="1" applyAlignment="1">
      <alignment vertical="center" wrapText="1"/>
    </xf>
    <xf numFmtId="172" fontId="0" fillId="8" borderId="95" xfId="0" applyNumberFormat="1" applyFill="1" applyBorder="1" applyAlignment="1">
      <alignment vertical="center" wrapText="1"/>
    </xf>
    <xf numFmtId="172" fontId="0" fillId="8" borderId="96" xfId="0" applyNumberFormat="1" applyFill="1" applyBorder="1" applyAlignment="1">
      <alignment vertical="center" wrapText="1"/>
    </xf>
    <xf numFmtId="0" fontId="79" fillId="8" borderId="111" xfId="0" applyFont="1" applyFill="1" applyBorder="1" applyAlignment="1">
      <alignment vertical="center"/>
    </xf>
    <xf numFmtId="10" fontId="0" fillId="8" borderId="94" xfId="0" applyNumberFormat="1" applyFill="1" applyBorder="1" applyAlignment="1">
      <alignment vertical="center" wrapText="1"/>
    </xf>
    <xf numFmtId="172" fontId="79" fillId="9" borderId="103" xfId="0" applyNumberFormat="1" applyFont="1" applyFill="1" applyBorder="1" applyAlignment="1">
      <alignment vertical="center" wrapText="1"/>
    </xf>
    <xf numFmtId="172" fontId="79" fillId="9" borderId="102" xfId="0" applyNumberFormat="1" applyFont="1" applyFill="1" applyBorder="1" applyAlignment="1">
      <alignment vertical="center" wrapText="1"/>
    </xf>
    <xf numFmtId="172" fontId="68" fillId="9" borderId="104" xfId="0" applyNumberFormat="1" applyFont="1" applyFill="1" applyBorder="1" applyAlignment="1">
      <alignment vertical="center" wrapText="1"/>
    </xf>
    <xf numFmtId="172" fontId="0" fillId="9" borderId="103" xfId="0" applyNumberFormat="1" applyFill="1" applyBorder="1" applyAlignment="1">
      <alignment vertical="center" wrapText="1"/>
    </xf>
    <xf numFmtId="172" fontId="0" fillId="9" borderId="104" xfId="0" applyNumberFormat="1" applyFill="1" applyBorder="1" applyAlignment="1">
      <alignment vertical="center" wrapText="1"/>
    </xf>
    <xf numFmtId="0" fontId="79" fillId="9" borderId="111" xfId="0" applyFont="1" applyFill="1" applyBorder="1" applyAlignment="1">
      <alignment vertical="center"/>
    </xf>
    <xf numFmtId="10" fontId="0" fillId="9" borderId="103" xfId="0" applyNumberFormat="1" applyFill="1" applyBorder="1" applyAlignment="1">
      <alignment vertical="center" wrapText="1"/>
    </xf>
    <xf numFmtId="172" fontId="79" fillId="8" borderId="103" xfId="0" applyNumberFormat="1" applyFont="1" applyFill="1" applyBorder="1" applyAlignment="1">
      <alignment vertical="center" wrapText="1"/>
    </xf>
    <xf numFmtId="172" fontId="79" fillId="8" borderId="102" xfId="0" applyNumberFormat="1" applyFont="1" applyFill="1" applyBorder="1" applyAlignment="1">
      <alignment vertical="center" wrapText="1"/>
    </xf>
    <xf numFmtId="172" fontId="68" fillId="8" borderId="104" xfId="0" applyNumberFormat="1" applyFont="1" applyFill="1" applyBorder="1" applyAlignment="1">
      <alignment vertical="center" wrapText="1"/>
    </xf>
    <xf numFmtId="172" fontId="0" fillId="8" borderId="103" xfId="0" applyNumberFormat="1" applyFill="1" applyBorder="1" applyAlignment="1">
      <alignment vertical="center" wrapText="1"/>
    </xf>
    <xf numFmtId="172" fontId="0" fillId="8" borderId="104" xfId="0" applyNumberFormat="1" applyFill="1" applyBorder="1" applyAlignment="1">
      <alignment vertical="center" wrapText="1"/>
    </xf>
    <xf numFmtId="10" fontId="0" fillId="8" borderId="103" xfId="0" applyNumberFormat="1" applyFill="1" applyBorder="1" applyAlignment="1">
      <alignment vertical="center" wrapText="1"/>
    </xf>
    <xf numFmtId="172" fontId="79" fillId="9" borderId="107" xfId="0" applyNumberFormat="1" applyFont="1" applyFill="1" applyBorder="1" applyAlignment="1">
      <alignment vertical="center" wrapText="1"/>
    </xf>
    <xf numFmtId="172" fontId="79" fillId="9" borderId="108" xfId="0" applyNumberFormat="1" applyFont="1" applyFill="1" applyBorder="1" applyAlignment="1">
      <alignment vertical="center" wrapText="1"/>
    </xf>
    <xf numFmtId="172" fontId="68" fillId="9" borderId="133" xfId="0" applyNumberFormat="1" applyFont="1" applyFill="1" applyBorder="1" applyAlignment="1">
      <alignment vertical="center" wrapText="1"/>
    </xf>
    <xf numFmtId="172" fontId="0" fillId="9" borderId="107" xfId="0" applyNumberFormat="1" applyFill="1" applyBorder="1" applyAlignment="1">
      <alignment vertical="center" wrapText="1"/>
    </xf>
    <xf numFmtId="172" fontId="0" fillId="9" borderId="133" xfId="0" applyNumberFormat="1" applyFill="1" applyBorder="1" applyAlignment="1">
      <alignment vertical="center" wrapText="1"/>
    </xf>
    <xf numFmtId="0" fontId="79" fillId="9" borderId="134" xfId="0" applyFont="1" applyFill="1" applyBorder="1" applyAlignment="1">
      <alignment vertical="center"/>
    </xf>
    <xf numFmtId="10" fontId="0" fillId="9" borderId="107" xfId="0" applyNumberFormat="1" applyFill="1" applyBorder="1" applyAlignment="1">
      <alignment vertical="center" wrapText="1"/>
    </xf>
    <xf numFmtId="172" fontId="79" fillId="10" borderId="94" xfId="0" applyNumberFormat="1" applyFont="1" applyFill="1" applyBorder="1" applyAlignment="1">
      <alignment vertical="center" wrapText="1"/>
    </xf>
    <xf numFmtId="172" fontId="79" fillId="10" borderId="92" xfId="0" applyNumberFormat="1" applyFont="1" applyFill="1" applyBorder="1" applyAlignment="1">
      <alignment vertical="center" wrapText="1"/>
    </xf>
    <xf numFmtId="172" fontId="68" fillId="10" borderId="95" xfId="0" applyNumberFormat="1" applyFont="1" applyFill="1" applyBorder="1" applyAlignment="1">
      <alignment vertical="center" wrapText="1"/>
    </xf>
    <xf numFmtId="172" fontId="0" fillId="10" borderId="94" xfId="0" applyNumberFormat="1" applyFill="1" applyBorder="1" applyAlignment="1">
      <alignment vertical="center" wrapText="1"/>
    </xf>
    <xf numFmtId="172" fontId="0" fillId="10" borderId="95" xfId="0" applyNumberFormat="1" applyFill="1" applyBorder="1" applyAlignment="1">
      <alignment vertical="center" wrapText="1"/>
    </xf>
    <xf numFmtId="0" fontId="79" fillId="10" borderId="111" xfId="0" applyFont="1" applyFill="1" applyBorder="1" applyAlignment="1">
      <alignment vertical="center"/>
    </xf>
    <xf numFmtId="10" fontId="0" fillId="10" borderId="94" xfId="0" applyNumberFormat="1" applyFill="1" applyBorder="1" applyAlignment="1">
      <alignment vertical="center" wrapText="1"/>
    </xf>
    <xf numFmtId="172" fontId="79" fillId="11" borderId="103" xfId="0" applyNumberFormat="1" applyFont="1" applyFill="1" applyBorder="1" applyAlignment="1">
      <alignment vertical="center" wrapText="1"/>
    </xf>
    <xf numFmtId="172" fontId="79" fillId="11" borderId="102" xfId="0" applyNumberFormat="1" applyFont="1" applyFill="1" applyBorder="1" applyAlignment="1">
      <alignment vertical="center" wrapText="1"/>
    </xf>
    <xf numFmtId="172" fontId="68" fillId="11" borderId="104" xfId="0" applyNumberFormat="1" applyFont="1" applyFill="1" applyBorder="1" applyAlignment="1">
      <alignment vertical="center" wrapText="1"/>
    </xf>
    <xf numFmtId="172" fontId="0" fillId="11" borderId="103" xfId="0" applyNumberFormat="1" applyFill="1" applyBorder="1" applyAlignment="1">
      <alignment vertical="center" wrapText="1"/>
    </xf>
    <xf numFmtId="172" fontId="0" fillId="11" borderId="104" xfId="0" applyNumberFormat="1" applyFill="1" applyBorder="1" applyAlignment="1">
      <alignment vertical="center" wrapText="1"/>
    </xf>
    <xf numFmtId="0" fontId="79" fillId="11" borderId="111" xfId="0" applyFont="1" applyFill="1" applyBorder="1" applyAlignment="1">
      <alignment vertical="center"/>
    </xf>
    <xf numFmtId="10" fontId="0" fillId="11" borderId="103" xfId="0" applyNumberFormat="1" applyFill="1" applyBorder="1" applyAlignment="1">
      <alignment vertical="center" wrapText="1"/>
    </xf>
    <xf numFmtId="172" fontId="79" fillId="10" borderId="103" xfId="0" applyNumberFormat="1" applyFont="1" applyFill="1" applyBorder="1" applyAlignment="1">
      <alignment vertical="center" wrapText="1"/>
    </xf>
    <xf numFmtId="172" fontId="79" fillId="10" borderId="102" xfId="0" applyNumberFormat="1" applyFont="1" applyFill="1" applyBorder="1" applyAlignment="1">
      <alignment vertical="center" wrapText="1"/>
    </xf>
    <xf numFmtId="172" fontId="68" fillId="10" borderId="104" xfId="0" applyNumberFormat="1" applyFont="1" applyFill="1" applyBorder="1" applyAlignment="1">
      <alignment vertical="center" wrapText="1"/>
    </xf>
    <xf numFmtId="172" fontId="0" fillId="10" borderId="103" xfId="0" applyNumberFormat="1" applyFill="1" applyBorder="1" applyAlignment="1">
      <alignment vertical="center" wrapText="1"/>
    </xf>
    <xf numFmtId="172" fontId="0" fillId="10" borderId="104" xfId="0" applyNumberFormat="1" applyFill="1" applyBorder="1" applyAlignment="1">
      <alignment vertical="center" wrapText="1"/>
    </xf>
    <xf numFmtId="10" fontId="0" fillId="10" borderId="103" xfId="0" applyNumberFormat="1" applyFill="1" applyBorder="1" applyAlignment="1">
      <alignment vertical="center" wrapText="1"/>
    </xf>
    <xf numFmtId="172" fontId="79" fillId="11" borderId="107" xfId="0" applyNumberFormat="1" applyFont="1" applyFill="1" applyBorder="1" applyAlignment="1">
      <alignment vertical="center" wrapText="1"/>
    </xf>
    <xf numFmtId="172" fontId="79" fillId="11" borderId="108" xfId="0" applyNumberFormat="1" applyFont="1" applyFill="1" applyBorder="1" applyAlignment="1">
      <alignment vertical="center" wrapText="1"/>
    </xf>
    <xf numFmtId="172" fontId="68" fillId="11" borderId="133" xfId="0" applyNumberFormat="1" applyFont="1" applyFill="1" applyBorder="1" applyAlignment="1">
      <alignment vertical="center" wrapText="1"/>
    </xf>
    <xf numFmtId="172" fontId="0" fillId="11" borderId="107" xfId="0" applyNumberFormat="1" applyFill="1" applyBorder="1" applyAlignment="1">
      <alignment vertical="center" wrapText="1"/>
    </xf>
    <xf numFmtId="172" fontId="0" fillId="11" borderId="133" xfId="0" applyNumberFormat="1" applyFill="1" applyBorder="1" applyAlignment="1">
      <alignment vertical="center" wrapText="1"/>
    </xf>
    <xf numFmtId="0" fontId="79" fillId="11" borderId="134" xfId="0" applyFont="1" applyFill="1" applyBorder="1" applyAlignment="1">
      <alignment vertical="center"/>
    </xf>
    <xf numFmtId="10" fontId="0" fillId="11" borderId="107" xfId="0" applyNumberFormat="1" applyFill="1" applyBorder="1" applyAlignment="1">
      <alignment vertical="center" wrapText="1"/>
    </xf>
    <xf numFmtId="172" fontId="79" fillId="12" borderId="94" xfId="0" applyNumberFormat="1" applyFont="1" applyFill="1" applyBorder="1" applyAlignment="1">
      <alignment vertical="center" wrapText="1"/>
    </xf>
    <xf numFmtId="172" fontId="79" fillId="12" borderId="92" xfId="0" applyNumberFormat="1" applyFont="1" applyFill="1" applyBorder="1" applyAlignment="1">
      <alignment vertical="center" wrapText="1"/>
    </xf>
    <xf numFmtId="172" fontId="68" fillId="12" borderId="95" xfId="0" applyNumberFormat="1" applyFont="1" applyFill="1" applyBorder="1" applyAlignment="1">
      <alignment vertical="center" wrapText="1"/>
    </xf>
    <xf numFmtId="172" fontId="0" fillId="12" borderId="94" xfId="0" applyNumberFormat="1" applyFill="1" applyBorder="1" applyAlignment="1">
      <alignment vertical="center" wrapText="1"/>
    </xf>
    <xf numFmtId="172" fontId="0" fillId="12" borderId="95" xfId="0" applyNumberFormat="1" applyFill="1" applyBorder="1" applyAlignment="1">
      <alignment vertical="center" wrapText="1"/>
    </xf>
    <xf numFmtId="0" fontId="79" fillId="12" borderId="111" xfId="0" applyFont="1" applyFill="1" applyBorder="1" applyAlignment="1">
      <alignment vertical="center"/>
    </xf>
    <xf numFmtId="10" fontId="0" fillId="12" borderId="94" xfId="0" applyNumberFormat="1" applyFill="1" applyBorder="1" applyAlignment="1">
      <alignment vertical="center" wrapText="1"/>
    </xf>
    <xf numFmtId="172" fontId="79" fillId="12" borderId="107" xfId="0" applyNumberFormat="1" applyFont="1" applyFill="1" applyBorder="1" applyAlignment="1">
      <alignment vertical="center" wrapText="1"/>
    </xf>
    <xf numFmtId="172" fontId="79" fillId="12" borderId="108" xfId="0" applyNumberFormat="1" applyFont="1" applyFill="1" applyBorder="1" applyAlignment="1">
      <alignment vertical="center" wrapText="1"/>
    </xf>
    <xf numFmtId="172" fontId="68" fillId="12" borderId="133" xfId="0" applyNumberFormat="1" applyFont="1" applyFill="1" applyBorder="1" applyAlignment="1">
      <alignment vertical="center" wrapText="1"/>
    </xf>
    <xf numFmtId="172" fontId="0" fillId="12" borderId="107" xfId="0" applyNumberFormat="1" applyFill="1" applyBorder="1" applyAlignment="1">
      <alignment vertical="center" wrapText="1"/>
    </xf>
    <xf numFmtId="172" fontId="0" fillId="12" borderId="133" xfId="0" applyNumberFormat="1" applyFill="1" applyBorder="1" applyAlignment="1">
      <alignment vertical="center" wrapText="1"/>
    </xf>
    <xf numFmtId="0" fontId="79" fillId="12" borderId="134" xfId="0" applyFont="1" applyFill="1" applyBorder="1" applyAlignment="1">
      <alignment vertical="center"/>
    </xf>
    <xf numFmtId="10" fontId="0" fillId="12" borderId="107" xfId="0" applyNumberFormat="1" applyFill="1" applyBorder="1" applyAlignment="1">
      <alignment vertical="center" wrapText="1"/>
    </xf>
    <xf numFmtId="172" fontId="79" fillId="13" borderId="94" xfId="0" applyNumberFormat="1" applyFont="1" applyFill="1" applyBorder="1" applyAlignment="1">
      <alignment vertical="center" wrapText="1"/>
    </xf>
    <xf numFmtId="172" fontId="79" fillId="13" borderId="92" xfId="0" applyNumberFormat="1" applyFont="1" applyFill="1" applyBorder="1" applyAlignment="1">
      <alignment vertical="center" wrapText="1"/>
    </xf>
    <xf numFmtId="172" fontId="68" fillId="13" borderId="95" xfId="0" applyNumberFormat="1" applyFont="1" applyFill="1" applyBorder="1" applyAlignment="1">
      <alignment vertical="center" wrapText="1"/>
    </xf>
    <xf numFmtId="172" fontId="0" fillId="13" borderId="94" xfId="0" applyNumberFormat="1" applyFill="1" applyBorder="1" applyAlignment="1">
      <alignment vertical="center" wrapText="1"/>
    </xf>
    <xf numFmtId="172" fontId="0" fillId="13" borderId="95" xfId="0" applyNumberFormat="1" applyFill="1" applyBorder="1" applyAlignment="1">
      <alignment vertical="center" wrapText="1"/>
    </xf>
    <xf numFmtId="165" fontId="0" fillId="0" borderId="47" xfId="0" applyNumberFormat="1" applyFont="1" applyBorder="1" applyAlignment="1">
      <alignment vertical="center"/>
    </xf>
    <xf numFmtId="165" fontId="0" fillId="23" borderId="39" xfId="0" applyNumberFormat="1" applyFont="1" applyFill="1" applyBorder="1" applyAlignment="1">
      <alignment vertical="center"/>
    </xf>
    <xf numFmtId="0" fontId="79" fillId="13" borderId="111" xfId="0" applyFont="1" applyFill="1" applyBorder="1" applyAlignment="1">
      <alignment vertical="center"/>
    </xf>
    <xf numFmtId="10" fontId="0" fillId="13" borderId="94" xfId="0" applyNumberFormat="1" applyFill="1" applyBorder="1" applyAlignment="1">
      <alignment vertical="center" wrapText="1"/>
    </xf>
    <xf numFmtId="172" fontId="79" fillId="13" borderId="107" xfId="0" applyNumberFormat="1" applyFont="1" applyFill="1" applyBorder="1" applyAlignment="1">
      <alignment vertical="center" wrapText="1"/>
    </xf>
    <xf numFmtId="172" fontId="79" fillId="13" borderId="108" xfId="0" applyNumberFormat="1" applyFont="1" applyFill="1" applyBorder="1" applyAlignment="1">
      <alignment vertical="center" wrapText="1"/>
    </xf>
    <xf numFmtId="172" fontId="68" fillId="13" borderId="133" xfId="0" applyNumberFormat="1" applyFont="1" applyFill="1" applyBorder="1" applyAlignment="1">
      <alignment vertical="center" wrapText="1"/>
    </xf>
    <xf numFmtId="172" fontId="0" fillId="13" borderId="107" xfId="0" applyNumberFormat="1" applyFill="1" applyBorder="1" applyAlignment="1">
      <alignment vertical="center" wrapText="1"/>
    </xf>
    <xf numFmtId="172" fontId="0" fillId="13" borderId="133" xfId="0" applyNumberFormat="1" applyFill="1" applyBorder="1" applyAlignment="1">
      <alignment vertical="center" wrapText="1"/>
    </xf>
    <xf numFmtId="0" fontId="79" fillId="13" borderId="135" xfId="0" applyFont="1" applyFill="1" applyBorder="1" applyAlignment="1">
      <alignment vertical="center"/>
    </xf>
    <xf numFmtId="10" fontId="0" fillId="13" borderId="107" xfId="0" applyNumberFormat="1" applyFill="1" applyBorder="1" applyAlignment="1">
      <alignment vertical="center" wrapText="1"/>
    </xf>
    <xf numFmtId="0" fontId="79" fillId="7" borderId="134" xfId="0" applyFont="1" applyFill="1" applyBorder="1" applyAlignment="1">
      <alignment vertical="center" wrapText="1"/>
    </xf>
    <xf numFmtId="0" fontId="79" fillId="8" borderId="111" xfId="0" applyFont="1" applyFill="1" applyBorder="1" applyAlignment="1">
      <alignment vertical="center" wrapText="1"/>
    </xf>
    <xf numFmtId="0" fontId="79" fillId="9" borderId="111" xfId="0" applyFont="1" applyFill="1" applyBorder="1" applyAlignment="1">
      <alignment vertical="center" wrapText="1"/>
    </xf>
    <xf numFmtId="0" fontId="79" fillId="9" borderId="134" xfId="0" applyFont="1" applyFill="1" applyBorder="1" applyAlignment="1">
      <alignment vertical="center" wrapText="1"/>
    </xf>
    <xf numFmtId="0" fontId="79" fillId="10" borderId="111" xfId="0" applyFont="1" applyFill="1" applyBorder="1" applyAlignment="1">
      <alignment vertical="center" wrapText="1"/>
    </xf>
    <xf numFmtId="0" fontId="79" fillId="11" borderId="111" xfId="0" applyFont="1" applyFill="1" applyBorder="1" applyAlignment="1">
      <alignment vertical="center" wrapText="1"/>
    </xf>
    <xf numFmtId="0" fontId="79" fillId="11" borderId="134" xfId="0" applyFont="1" applyFill="1" applyBorder="1" applyAlignment="1">
      <alignment vertical="center" wrapText="1"/>
    </xf>
    <xf numFmtId="0" fontId="79" fillId="12" borderId="111" xfId="0" applyFont="1" applyFill="1" applyBorder="1" applyAlignment="1">
      <alignment vertical="center" wrapText="1"/>
    </xf>
    <xf numFmtId="0" fontId="79" fillId="12" borderId="134" xfId="0" applyFont="1" applyFill="1" applyBorder="1" applyAlignment="1">
      <alignment vertical="center" wrapText="1"/>
    </xf>
    <xf numFmtId="0" fontId="79" fillId="13" borderId="111" xfId="0" applyFont="1" applyFill="1" applyBorder="1" applyAlignment="1">
      <alignment vertical="center" wrapText="1"/>
    </xf>
    <xf numFmtId="0" fontId="79" fillId="13" borderId="135" xfId="0" applyFont="1" applyFill="1" applyBorder="1" applyAlignment="1">
      <alignment vertical="center" wrapText="1"/>
    </xf>
    <xf numFmtId="10" fontId="75" fillId="20" borderId="93" xfId="0" applyNumberFormat="1" applyFont="1" applyFill="1" applyBorder="1" applyAlignment="1">
      <alignment horizontal="right" vertical="center" wrapText="1"/>
    </xf>
    <xf numFmtId="10" fontId="0" fillId="21" borderId="123" xfId="0" applyNumberFormat="1" applyFont="1" applyFill="1" applyBorder="1" applyAlignment="1">
      <alignment horizontal="right" vertical="center" wrapText="1"/>
    </xf>
    <xf numFmtId="10" fontId="0" fillId="6" borderId="93" xfId="0" applyNumberFormat="1" applyFill="1" applyBorder="1" applyAlignment="1">
      <alignment horizontal="right" vertical="center"/>
    </xf>
    <xf numFmtId="10" fontId="0" fillId="7" borderId="101" xfId="0" applyNumberFormat="1" applyFill="1" applyBorder="1" applyAlignment="1">
      <alignment horizontal="right" vertical="center"/>
    </xf>
    <xf numFmtId="10" fontId="0" fillId="6" borderId="101" xfId="0" applyNumberFormat="1" applyFill="1" applyBorder="1" applyAlignment="1">
      <alignment horizontal="right"/>
    </xf>
    <xf numFmtId="10" fontId="0" fillId="7" borderId="101" xfId="0" applyNumberFormat="1" applyFill="1" applyBorder="1" applyAlignment="1">
      <alignment horizontal="right"/>
    </xf>
    <xf numFmtId="10" fontId="0" fillId="7" borderId="108" xfId="0" applyNumberFormat="1" applyFill="1" applyBorder="1" applyAlignment="1">
      <alignment horizontal="right"/>
    </xf>
    <xf numFmtId="10" fontId="0" fillId="8" borderId="92" xfId="0" applyNumberFormat="1" applyFill="1" applyBorder="1" applyAlignment="1">
      <alignment horizontal="right"/>
    </xf>
    <xf numFmtId="10" fontId="0" fillId="9" borderId="101" xfId="0" applyNumberFormat="1" applyFill="1" applyBorder="1" applyAlignment="1">
      <alignment horizontal="right"/>
    </xf>
    <xf numFmtId="10" fontId="0" fillId="8" borderId="101" xfId="0" applyNumberFormat="1" applyFill="1" applyBorder="1" applyAlignment="1">
      <alignment horizontal="right"/>
    </xf>
    <xf numFmtId="10" fontId="0" fillId="9" borderId="108" xfId="0" applyNumberFormat="1" applyFill="1" applyBorder="1" applyAlignment="1">
      <alignment horizontal="right"/>
    </xf>
    <xf numFmtId="10" fontId="0" fillId="10" borderId="92" xfId="0" applyNumberFormat="1" applyFill="1" applyBorder="1" applyAlignment="1">
      <alignment horizontal="right"/>
    </xf>
    <xf numFmtId="10" fontId="0" fillId="11" borderId="101" xfId="0" applyNumberFormat="1" applyFill="1" applyBorder="1" applyAlignment="1">
      <alignment horizontal="right"/>
    </xf>
    <xf numFmtId="10" fontId="0" fillId="10" borderId="101" xfId="0" applyNumberFormat="1" applyFill="1" applyBorder="1" applyAlignment="1">
      <alignment horizontal="right"/>
    </xf>
    <xf numFmtId="10" fontId="0" fillId="11" borderId="108" xfId="0" applyNumberFormat="1" applyFill="1" applyBorder="1" applyAlignment="1">
      <alignment horizontal="right"/>
    </xf>
    <xf numFmtId="10" fontId="0" fillId="12" borderId="92" xfId="0" applyNumberFormat="1" applyFill="1" applyBorder="1" applyAlignment="1">
      <alignment horizontal="right"/>
    </xf>
    <xf numFmtId="10" fontId="0" fillId="12" borderId="108" xfId="0" applyNumberFormat="1" applyFill="1" applyBorder="1" applyAlignment="1">
      <alignment horizontal="right"/>
    </xf>
    <xf numFmtId="10" fontId="0" fillId="13" borderId="92" xfId="0" applyNumberFormat="1" applyFill="1" applyBorder="1" applyAlignment="1">
      <alignment horizontal="right"/>
    </xf>
    <xf numFmtId="10" fontId="0" fillId="13" borderId="108" xfId="0" applyNumberFormat="1" applyFill="1" applyBorder="1" applyAlignment="1">
      <alignment horizontal="right"/>
    </xf>
    <xf numFmtId="0" fontId="72" fillId="0" borderId="5" xfId="0" applyFont="1" applyBorder="1" applyAlignment="1">
      <alignment horizontal="center" vertical="center" wrapText="1"/>
    </xf>
    <xf numFmtId="0" fontId="0" fillId="24" borderId="136" xfId="0" applyFill="1" applyBorder="1" applyAlignment="1">
      <alignment horizontal="center" vertical="center"/>
    </xf>
    <xf numFmtId="0" fontId="0" fillId="24" borderId="137" xfId="0" applyFill="1" applyBorder="1" applyAlignment="1">
      <alignment horizontal="center" vertical="center"/>
    </xf>
    <xf numFmtId="0" fontId="0" fillId="25" borderId="138" xfId="0" applyFill="1" applyBorder="1" applyAlignment="1">
      <alignment horizontal="center" vertical="center"/>
    </xf>
    <xf numFmtId="0" fontId="0" fillId="12" borderId="137" xfId="0" applyFill="1" applyBorder="1" applyAlignment="1">
      <alignment horizontal="center" vertical="center"/>
    </xf>
    <xf numFmtId="0" fontId="0" fillId="12" borderId="139" xfId="0" applyFill="1" applyBorder="1" applyAlignment="1">
      <alignment horizontal="center" vertical="center"/>
    </xf>
    <xf numFmtId="0" fontId="0" fillId="13" borderId="140" xfId="0" applyFill="1" applyBorder="1" applyAlignment="1">
      <alignment horizontal="center" vertical="center"/>
    </xf>
    <xf numFmtId="0" fontId="0" fillId="13" borderId="139" xfId="0" applyFill="1" applyBorder="1" applyAlignment="1">
      <alignment horizontal="center" vertical="center"/>
    </xf>
    <xf numFmtId="10" fontId="0" fillId="26" borderId="140" xfId="0" applyNumberFormat="1" applyFill="1" applyBorder="1" applyAlignment="1">
      <alignment horizontal="center" vertical="center"/>
    </xf>
    <xf numFmtId="10" fontId="0" fillId="26" borderId="137" xfId="0" applyNumberFormat="1" applyFill="1" applyBorder="1" applyAlignment="1">
      <alignment horizontal="center" vertical="center"/>
    </xf>
    <xf numFmtId="10" fontId="0" fillId="26" borderId="139" xfId="0" applyNumberFormat="1" applyFill="1" applyBorder="1" applyAlignment="1">
      <alignment horizontal="center" vertical="center"/>
    </xf>
    <xf numFmtId="0" fontId="1" fillId="0" borderId="10" xfId="0" applyFont="1" applyFill="1" applyBorder="1" applyAlignment="1">
      <alignment horizontal="left" indent="1"/>
    </xf>
    <xf numFmtId="4" fontId="3" fillId="0" borderId="0" xfId="0" applyNumberFormat="1" applyFont="1" applyBorder="1"/>
    <xf numFmtId="0" fontId="92" fillId="0" borderId="0" xfId="0" applyFont="1" applyBorder="1"/>
    <xf numFmtId="0" fontId="74" fillId="0" borderId="0" xfId="0" applyFont="1" applyAlignment="1">
      <alignment horizontal="left" vertical="center"/>
    </xf>
    <xf numFmtId="0" fontId="74" fillId="0" borderId="0" xfId="0" applyFont="1" applyAlignment="1">
      <alignment horizontal="right" vertical="center"/>
    </xf>
    <xf numFmtId="0" fontId="0" fillId="0" borderId="0" xfId="0" applyFont="1"/>
    <xf numFmtId="0" fontId="75" fillId="0" borderId="0" xfId="0" applyFont="1"/>
    <xf numFmtId="0" fontId="0" fillId="0" borderId="90" xfId="0" applyFill="1" applyBorder="1"/>
    <xf numFmtId="4" fontId="7" fillId="5" borderId="1" xfId="0" applyNumberFormat="1" applyFont="1" applyFill="1" applyBorder="1" applyAlignment="1">
      <alignment vertical="center"/>
    </xf>
    <xf numFmtId="0" fontId="68" fillId="0" borderId="5" xfId="0" applyFont="1" applyBorder="1" applyAlignment="1">
      <alignment horizontal="center"/>
    </xf>
    <xf numFmtId="173" fontId="66" fillId="5" borderId="5" xfId="1" applyNumberFormat="1" applyFont="1" applyFill="1" applyBorder="1"/>
    <xf numFmtId="10" fontId="0" fillId="5" borderId="5" xfId="0" applyNumberFormat="1" applyFill="1" applyBorder="1"/>
    <xf numFmtId="175" fontId="0" fillId="0" borderId="0" xfId="0" applyNumberFormat="1"/>
    <xf numFmtId="173" fontId="68" fillId="0" borderId="0" xfId="1" applyNumberFormat="1" applyFont="1" applyAlignment="1">
      <alignment horizontal="center"/>
    </xf>
    <xf numFmtId="0" fontId="68" fillId="0" borderId="0" xfId="0" applyFont="1" applyAlignment="1">
      <alignment horizontal="center"/>
    </xf>
    <xf numFmtId="10" fontId="0" fillId="0" borderId="0" xfId="0" applyNumberFormat="1"/>
    <xf numFmtId="176" fontId="0" fillId="0" borderId="0" xfId="0" applyNumberFormat="1"/>
    <xf numFmtId="43" fontId="0" fillId="0" borderId="0" xfId="0" applyNumberFormat="1"/>
    <xf numFmtId="173" fontId="0" fillId="0" borderId="0" xfId="0" applyNumberFormat="1"/>
    <xf numFmtId="43" fontId="66" fillId="9" borderId="55" xfId="1" applyNumberFormat="1" applyFont="1" applyFill="1" applyBorder="1"/>
    <xf numFmtId="43" fontId="93" fillId="0" borderId="0" xfId="2" applyFont="1" applyFill="1" applyBorder="1" applyAlignment="1">
      <alignment horizontal="center"/>
    </xf>
    <xf numFmtId="0" fontId="3" fillId="0" borderId="0" xfId="0" applyFont="1" applyFill="1" applyBorder="1" applyAlignment="1">
      <alignment vertical="center"/>
    </xf>
    <xf numFmtId="4" fontId="7" fillId="0" borderId="0" xfId="0" applyNumberFormat="1" applyFont="1" applyFill="1" applyBorder="1" applyAlignment="1">
      <alignment vertical="center"/>
    </xf>
    <xf numFmtId="10" fontId="7" fillId="0" borderId="0" xfId="5" applyNumberFormat="1" applyFont="1" applyFill="1" applyBorder="1"/>
    <xf numFmtId="10" fontId="92" fillId="0" borderId="5" xfId="0" applyNumberFormat="1" applyFont="1" applyFill="1" applyBorder="1"/>
    <xf numFmtId="4" fontId="3" fillId="0" borderId="19" xfId="0" applyNumberFormat="1" applyFont="1" applyBorder="1"/>
    <xf numFmtId="4" fontId="72" fillId="0" borderId="18" xfId="0" applyNumberFormat="1" applyFont="1" applyBorder="1"/>
    <xf numFmtId="4" fontId="72" fillId="0" borderId="11" xfId="0" applyNumberFormat="1" applyFont="1" applyFill="1" applyBorder="1"/>
    <xf numFmtId="4" fontId="7" fillId="0" borderId="24" xfId="0" applyNumberFormat="1" applyFont="1" applyBorder="1"/>
    <xf numFmtId="4" fontId="75" fillId="0" borderId="6" xfId="0" applyNumberFormat="1" applyFont="1" applyBorder="1"/>
    <xf numFmtId="4" fontId="75" fillId="0" borderId="7" xfId="0" applyNumberFormat="1" applyFont="1" applyFill="1" applyBorder="1"/>
    <xf numFmtId="0" fontId="3" fillId="0" borderId="3" xfId="0" applyFont="1" applyBorder="1" applyAlignment="1">
      <alignment horizontal="left"/>
    </xf>
    <xf numFmtId="0" fontId="3" fillId="0" borderId="4" xfId="0" applyFont="1" applyBorder="1" applyAlignment="1">
      <alignment horizontal="left"/>
    </xf>
    <xf numFmtId="164" fontId="92" fillId="0" borderId="0" xfId="0" applyNumberFormat="1" applyFont="1" applyBorder="1"/>
    <xf numFmtId="0" fontId="94" fillId="0" borderId="0" xfId="0" applyFont="1" applyBorder="1" applyAlignment="1">
      <alignment horizontal="center"/>
    </xf>
    <xf numFmtId="43" fontId="92" fillId="0" borderId="0" xfId="2" applyFont="1" applyBorder="1"/>
    <xf numFmtId="174" fontId="29" fillId="0" borderId="0" xfId="0" applyNumberFormat="1" applyFont="1" applyFill="1" applyBorder="1"/>
    <xf numFmtId="43" fontId="29" fillId="0" borderId="0" xfId="2" applyFont="1" applyBorder="1"/>
    <xf numFmtId="43" fontId="29" fillId="0" borderId="0" xfId="0" applyNumberFormat="1" applyFont="1" applyBorder="1"/>
    <xf numFmtId="2" fontId="29" fillId="0" borderId="0" xfId="0" applyNumberFormat="1" applyFont="1" applyFill="1" applyBorder="1"/>
    <xf numFmtId="2" fontId="29" fillId="0" borderId="0" xfId="2" applyNumberFormat="1" applyFont="1" applyBorder="1" applyAlignment="1">
      <alignment horizontal="right"/>
    </xf>
    <xf numFmtId="174" fontId="95" fillId="0" borderId="0" xfId="0" applyNumberFormat="1" applyFont="1" applyFill="1" applyBorder="1"/>
    <xf numFmtId="0" fontId="29" fillId="0" borderId="0" xfId="0" applyFont="1" applyFill="1" applyBorder="1"/>
    <xf numFmtId="0" fontId="96" fillId="0" borderId="0" xfId="0" applyFont="1" applyFill="1" applyBorder="1" applyAlignment="1">
      <alignment horizontal="left"/>
    </xf>
    <xf numFmtId="2" fontId="75" fillId="0" borderId="30" xfId="0" applyNumberFormat="1" applyFont="1" applyBorder="1"/>
    <xf numFmtId="0" fontId="72" fillId="0" borderId="0" xfId="0" applyFont="1" applyBorder="1" applyAlignment="1">
      <alignment horizontal="left"/>
    </xf>
    <xf numFmtId="0" fontId="72" fillId="0" borderId="22" xfId="0" applyFont="1" applyBorder="1" applyAlignment="1">
      <alignment horizontal="left"/>
    </xf>
    <xf numFmtId="0" fontId="0" fillId="27" borderId="0" xfId="0" applyFill="1"/>
    <xf numFmtId="0" fontId="0" fillId="6" borderId="92" xfId="0" applyFont="1" applyFill="1" applyBorder="1" applyAlignment="1">
      <alignment horizontal="right" vertical="center" wrapText="1"/>
    </xf>
    <xf numFmtId="0" fontId="0" fillId="7" borderId="100" xfId="0" applyFont="1" applyFill="1" applyBorder="1" applyAlignment="1">
      <alignment horizontal="right" vertical="center" wrapText="1"/>
    </xf>
    <xf numFmtId="0" fontId="0" fillId="6" borderId="100" xfId="0" applyFont="1" applyFill="1" applyBorder="1" applyAlignment="1">
      <alignment horizontal="right" vertical="center" wrapText="1"/>
    </xf>
    <xf numFmtId="0" fontId="0" fillId="7" borderId="108" xfId="0" applyFont="1" applyFill="1" applyBorder="1" applyAlignment="1">
      <alignment horizontal="right" vertical="center" wrapText="1"/>
    </xf>
    <xf numFmtId="0" fontId="0" fillId="8" borderId="92" xfId="0" applyFont="1" applyFill="1" applyBorder="1" applyAlignment="1">
      <alignment horizontal="right" vertical="center" wrapText="1"/>
    </xf>
    <xf numFmtId="0" fontId="0" fillId="9" borderId="100" xfId="0" applyFont="1" applyFill="1" applyBorder="1" applyAlignment="1">
      <alignment horizontal="right" vertical="center" wrapText="1"/>
    </xf>
    <xf numFmtId="0" fontId="0" fillId="8" borderId="100" xfId="0" applyFont="1" applyFill="1" applyBorder="1" applyAlignment="1">
      <alignment horizontal="right" vertical="center" wrapText="1"/>
    </xf>
    <xf numFmtId="0" fontId="0" fillId="9" borderId="108" xfId="0" applyFont="1" applyFill="1" applyBorder="1" applyAlignment="1">
      <alignment horizontal="right" vertical="center" wrapText="1"/>
    </xf>
    <xf numFmtId="0" fontId="0" fillId="10" borderId="92" xfId="0" applyFont="1" applyFill="1" applyBorder="1" applyAlignment="1">
      <alignment horizontal="right" vertical="center" wrapText="1"/>
    </xf>
    <xf numFmtId="0" fontId="0" fillId="11" borderId="100" xfId="0" applyFont="1" applyFill="1" applyBorder="1" applyAlignment="1">
      <alignment horizontal="right" vertical="center" wrapText="1"/>
    </xf>
    <xf numFmtId="0" fontId="0" fillId="10" borderId="100" xfId="0" applyFont="1" applyFill="1" applyBorder="1" applyAlignment="1">
      <alignment horizontal="right" vertical="center" wrapText="1"/>
    </xf>
    <xf numFmtId="0" fontId="0" fillId="11" borderId="108" xfId="0" applyFont="1" applyFill="1" applyBorder="1" applyAlignment="1">
      <alignment horizontal="right" vertical="center" wrapText="1"/>
    </xf>
    <xf numFmtId="0" fontId="0" fillId="12" borderId="92" xfId="0" applyFont="1" applyFill="1" applyBorder="1" applyAlignment="1">
      <alignment horizontal="right" vertical="center" wrapText="1"/>
    </xf>
    <xf numFmtId="0" fontId="0" fillId="12" borderId="108" xfId="0" applyFont="1" applyFill="1" applyBorder="1" applyAlignment="1">
      <alignment horizontal="right" vertical="center" wrapText="1"/>
    </xf>
    <xf numFmtId="0" fontId="0" fillId="13" borderId="92" xfId="0" applyFont="1" applyFill="1" applyBorder="1" applyAlignment="1">
      <alignment horizontal="right" vertical="center" wrapText="1"/>
    </xf>
    <xf numFmtId="0" fontId="0" fillId="13" borderId="108" xfId="0" applyFont="1" applyFill="1" applyBorder="1" applyAlignment="1">
      <alignment horizontal="right" vertical="center" wrapText="1"/>
    </xf>
    <xf numFmtId="0" fontId="0" fillId="28" borderId="0" xfId="0" applyFill="1" applyAlignment="1">
      <alignment vertical="center" wrapText="1"/>
    </xf>
    <xf numFmtId="0" fontId="68" fillId="28" borderId="0" xfId="0" applyFont="1" applyFill="1" applyBorder="1" applyAlignment="1">
      <alignment vertical="center" wrapText="1"/>
    </xf>
    <xf numFmtId="0" fontId="97" fillId="28" borderId="0" xfId="0" applyFont="1" applyFill="1" applyBorder="1" applyAlignment="1">
      <alignment vertical="center" wrapText="1"/>
    </xf>
    <xf numFmtId="0" fontId="0" fillId="0" borderId="0" xfId="0" applyAlignment="1">
      <alignment horizontal="center" vertical="center"/>
    </xf>
    <xf numFmtId="0" fontId="0" fillId="0" borderId="0" xfId="0" applyAlignment="1">
      <alignment horizontal="center"/>
    </xf>
    <xf numFmtId="0" fontId="0" fillId="0" borderId="0" xfId="0" applyFill="1"/>
    <xf numFmtId="0" fontId="68" fillId="28" borderId="8" xfId="0" applyFont="1" applyFill="1" applyBorder="1" applyAlignment="1">
      <alignment vertical="center" wrapText="1"/>
    </xf>
    <xf numFmtId="0" fontId="0" fillId="20" borderId="113" xfId="0" applyFill="1" applyBorder="1" applyAlignment="1">
      <alignment vertical="center"/>
    </xf>
    <xf numFmtId="0" fontId="0" fillId="20" borderId="18" xfId="0" applyFont="1" applyFill="1" applyBorder="1" applyAlignment="1">
      <alignment vertical="center" wrapText="1"/>
    </xf>
    <xf numFmtId="175" fontId="0" fillId="20" borderId="18" xfId="0" applyNumberFormat="1" applyFont="1" applyFill="1" applyBorder="1" applyAlignment="1">
      <alignment horizontal="center" vertical="center" wrapText="1"/>
    </xf>
    <xf numFmtId="175" fontId="68" fillId="20" borderId="19" xfId="0" applyNumberFormat="1" applyFont="1" applyFill="1" applyBorder="1" applyAlignment="1">
      <alignment horizontal="center" vertical="center" wrapText="1"/>
    </xf>
    <xf numFmtId="175" fontId="0" fillId="20" borderId="56" xfId="0" applyNumberFormat="1" applyFont="1" applyFill="1" applyBorder="1" applyAlignment="1">
      <alignment horizontal="center" vertical="center" wrapText="1"/>
    </xf>
    <xf numFmtId="175" fontId="0" fillId="20" borderId="57" xfId="0" applyNumberFormat="1" applyFont="1" applyFill="1" applyBorder="1" applyAlignment="1">
      <alignment horizontal="center" vertical="center" wrapText="1"/>
    </xf>
    <xf numFmtId="175" fontId="0" fillId="20" borderId="41" xfId="0" applyNumberFormat="1" applyFont="1" applyFill="1" applyBorder="1" applyAlignment="1">
      <alignment horizontal="center" vertical="center" wrapText="1"/>
    </xf>
    <xf numFmtId="0" fontId="0" fillId="20" borderId="49" xfId="0" applyFont="1" applyFill="1" applyBorder="1" applyAlignment="1">
      <alignment horizontal="left" vertical="center" wrapText="1"/>
    </xf>
    <xf numFmtId="0" fontId="68" fillId="28" borderId="21" xfId="0" applyFont="1" applyFill="1" applyBorder="1" applyAlignment="1">
      <alignment horizontal="right" vertical="center" wrapText="1"/>
    </xf>
    <xf numFmtId="0" fontId="68" fillId="28" borderId="8" xfId="0" applyFont="1" applyFill="1" applyBorder="1" applyAlignment="1">
      <alignment horizontal="right" vertical="center" wrapText="1"/>
    </xf>
    <xf numFmtId="0" fontId="68" fillId="28" borderId="141" xfId="0" applyFont="1" applyFill="1" applyBorder="1" applyAlignment="1">
      <alignment vertical="center" wrapText="1"/>
    </xf>
    <xf numFmtId="165" fontId="98" fillId="28" borderId="58" xfId="4" applyNumberFormat="1" applyFont="1" applyFill="1" applyBorder="1" applyAlignment="1">
      <alignment vertical="center" wrapText="1"/>
    </xf>
    <xf numFmtId="165" fontId="98" fillId="28" borderId="59" xfId="4" applyNumberFormat="1" applyFont="1" applyFill="1" applyBorder="1" applyAlignment="1">
      <alignment vertical="center" wrapText="1"/>
    </xf>
    <xf numFmtId="165" fontId="98" fillId="28" borderId="60" xfId="4" applyNumberFormat="1" applyFont="1" applyFill="1" applyBorder="1" applyAlignment="1">
      <alignment vertical="center" wrapText="1"/>
    </xf>
    <xf numFmtId="165" fontId="98" fillId="28" borderId="29" xfId="4" applyNumberFormat="1" applyFont="1" applyFill="1" applyBorder="1" applyAlignment="1">
      <alignment vertical="center" wrapText="1"/>
    </xf>
    <xf numFmtId="165" fontId="98" fillId="28" borderId="55" xfId="4" applyNumberFormat="1" applyFont="1" applyFill="1" applyBorder="1" applyAlignment="1">
      <alignment vertical="center" wrapText="1"/>
    </xf>
    <xf numFmtId="165" fontId="98" fillId="28" borderId="8" xfId="4" applyNumberFormat="1" applyFont="1" applyFill="1" applyBorder="1" applyAlignment="1">
      <alignment vertical="center" wrapText="1"/>
    </xf>
    <xf numFmtId="165" fontId="98" fillId="28" borderId="54" xfId="4" applyNumberFormat="1" applyFont="1" applyFill="1" applyBorder="1" applyAlignment="1">
      <alignment vertical="center" wrapText="1"/>
    </xf>
    <xf numFmtId="10" fontId="68" fillId="28" borderId="8" xfId="4" applyNumberFormat="1" applyFont="1" applyFill="1"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8" xfId="0" applyBorder="1" applyAlignment="1">
      <alignment horizontal="center" vertical="center" wrapText="1"/>
    </xf>
    <xf numFmtId="0" fontId="68" fillId="5" borderId="9" xfId="0" applyFont="1" applyFill="1" applyBorder="1" applyAlignment="1">
      <alignment horizontal="center" vertical="center" wrapText="1"/>
    </xf>
    <xf numFmtId="0" fontId="0" fillId="0" borderId="8" xfId="0" applyBorder="1" applyAlignment="1">
      <alignment horizontal="center"/>
    </xf>
    <xf numFmtId="0" fontId="68" fillId="5" borderId="8" xfId="0" applyFont="1" applyFill="1" applyBorder="1" applyAlignment="1">
      <alignment vertical="center" wrapText="1"/>
    </xf>
    <xf numFmtId="0" fontId="0" fillId="6" borderId="128" xfId="0" applyFill="1" applyBorder="1" applyAlignment="1">
      <alignment vertical="center" wrapText="1"/>
    </xf>
    <xf numFmtId="10" fontId="0" fillId="6" borderId="92" xfId="0" applyNumberFormat="1" applyFill="1" applyBorder="1" applyAlignment="1">
      <alignment horizontal="right" vertical="center"/>
    </xf>
    <xf numFmtId="0" fontId="68" fillId="5" borderId="53" xfId="0" applyFont="1" applyFill="1" applyBorder="1" applyAlignment="1">
      <alignment vertical="center" wrapText="1"/>
    </xf>
    <xf numFmtId="0" fontId="0" fillId="14" borderId="42" xfId="0" applyFont="1" applyFill="1" applyBorder="1" applyAlignment="1">
      <alignment horizontal="center" vertical="center" wrapText="1"/>
    </xf>
    <xf numFmtId="0" fontId="0" fillId="12" borderId="6" xfId="0" applyFont="1" applyFill="1" applyBorder="1" applyAlignment="1">
      <alignment horizontal="right" vertical="center" wrapText="1"/>
    </xf>
    <xf numFmtId="10" fontId="0" fillId="12" borderId="6" xfId="0" applyNumberFormat="1" applyFont="1" applyFill="1" applyBorder="1" applyAlignment="1">
      <alignment vertical="center" wrapText="1"/>
    </xf>
    <xf numFmtId="0" fontId="0" fillId="29" borderId="43" xfId="0" applyFont="1" applyFill="1" applyBorder="1" applyAlignment="1">
      <alignment horizontal="center" vertical="center" wrapText="1"/>
    </xf>
    <xf numFmtId="0" fontId="0" fillId="17" borderId="5" xfId="0" applyFont="1" applyFill="1" applyBorder="1" applyAlignment="1">
      <alignment horizontal="right" vertical="center" wrapText="1"/>
    </xf>
    <xf numFmtId="0" fontId="37" fillId="17" borderId="18" xfId="3" applyFont="1" applyFill="1" applyBorder="1" applyAlignment="1">
      <alignment vertical="center"/>
    </xf>
    <xf numFmtId="10" fontId="0" fillId="17" borderId="5" xfId="0" applyNumberFormat="1" applyFont="1" applyFill="1" applyBorder="1" applyAlignment="1">
      <alignment vertical="center" wrapText="1"/>
    </xf>
    <xf numFmtId="0" fontId="37" fillId="17" borderId="61" xfId="3" applyFont="1" applyFill="1" applyBorder="1" applyAlignment="1">
      <alignment vertical="center"/>
    </xf>
    <xf numFmtId="0" fontId="37" fillId="17" borderId="20" xfId="3" applyFont="1" applyFill="1" applyBorder="1" applyAlignment="1">
      <alignment vertical="center"/>
    </xf>
    <xf numFmtId="0" fontId="37" fillId="17" borderId="62" xfId="3" applyFont="1" applyFill="1" applyBorder="1" applyAlignment="1">
      <alignment horizontal="center" vertical="center"/>
    </xf>
    <xf numFmtId="0" fontId="37" fillId="17" borderId="5" xfId="3" applyFont="1" applyFill="1" applyBorder="1" applyAlignment="1">
      <alignment vertical="center"/>
    </xf>
    <xf numFmtId="0" fontId="37" fillId="17" borderId="3" xfId="3" applyFont="1" applyFill="1" applyBorder="1" applyAlignment="1">
      <alignment horizontal="center" vertical="center"/>
    </xf>
    <xf numFmtId="0" fontId="37" fillId="17" borderId="19" xfId="3" applyFont="1" applyFill="1" applyBorder="1" applyAlignment="1">
      <alignment vertical="center"/>
    </xf>
    <xf numFmtId="0" fontId="37" fillId="17" borderId="33" xfId="3" applyFont="1" applyFill="1" applyBorder="1" applyAlignment="1">
      <alignment horizontal="center" vertical="center"/>
    </xf>
    <xf numFmtId="0" fontId="0" fillId="29" borderId="42" xfId="0" applyFont="1" applyFill="1" applyBorder="1" applyAlignment="1">
      <alignment horizontal="center" vertical="center" wrapText="1"/>
    </xf>
    <xf numFmtId="0" fontId="0" fillId="17" borderId="6" xfId="0" applyFont="1" applyFill="1" applyBorder="1" applyAlignment="1">
      <alignment horizontal="right" vertical="center" wrapText="1"/>
    </xf>
    <xf numFmtId="0" fontId="37" fillId="17" borderId="24" xfId="3" applyFont="1" applyFill="1" applyBorder="1" applyAlignment="1">
      <alignment vertical="center"/>
    </xf>
    <xf numFmtId="10" fontId="0" fillId="17" borderId="6" xfId="0" applyNumberFormat="1" applyFont="1" applyFill="1" applyBorder="1" applyAlignment="1">
      <alignment vertical="center" wrapText="1"/>
    </xf>
    <xf numFmtId="0" fontId="37" fillId="8" borderId="3" xfId="3" applyFont="1" applyFill="1" applyBorder="1" applyAlignment="1">
      <alignment horizontal="center" vertical="center"/>
    </xf>
    <xf numFmtId="0" fontId="0" fillId="30" borderId="41" xfId="0" applyFont="1" applyFill="1" applyBorder="1" applyAlignment="1">
      <alignment horizontal="center" vertical="center" wrapText="1"/>
    </xf>
    <xf numFmtId="0" fontId="0" fillId="8" borderId="18" xfId="0" applyFont="1" applyFill="1" applyBorder="1" applyAlignment="1">
      <alignment horizontal="right" vertical="center" wrapText="1"/>
    </xf>
    <xf numFmtId="10" fontId="0" fillId="8" borderId="18" xfId="0" applyNumberFormat="1" applyFont="1" applyFill="1" applyBorder="1" applyAlignment="1">
      <alignment vertical="center" wrapText="1"/>
    </xf>
    <xf numFmtId="0" fontId="0" fillId="30" borderId="43" xfId="0" applyFont="1" applyFill="1" applyBorder="1" applyAlignment="1">
      <alignment horizontal="center" vertical="center" wrapText="1"/>
    </xf>
    <xf numFmtId="0" fontId="0" fillId="8" borderId="5" xfId="0" applyFont="1" applyFill="1" applyBorder="1" applyAlignment="1">
      <alignment horizontal="right" vertical="center" wrapText="1"/>
    </xf>
    <xf numFmtId="0" fontId="37" fillId="8" borderId="5" xfId="3" applyFont="1" applyFill="1" applyBorder="1" applyAlignment="1">
      <alignment vertical="center"/>
    </xf>
    <xf numFmtId="10" fontId="0" fillId="8" borderId="5" xfId="0" applyNumberFormat="1" applyFont="1" applyFill="1" applyBorder="1" applyAlignment="1">
      <alignment vertical="center" wrapText="1"/>
    </xf>
    <xf numFmtId="0" fontId="37" fillId="8" borderId="18" xfId="3" applyFont="1" applyFill="1" applyBorder="1" applyAlignment="1">
      <alignment vertical="center"/>
    </xf>
    <xf numFmtId="0" fontId="0" fillId="30" borderId="42" xfId="0" applyFont="1" applyFill="1" applyBorder="1" applyAlignment="1">
      <alignment horizontal="center" vertical="center" wrapText="1"/>
    </xf>
    <xf numFmtId="0" fontId="0" fillId="8" borderId="6" xfId="0" applyFont="1" applyFill="1" applyBorder="1" applyAlignment="1">
      <alignment horizontal="right" vertical="center" wrapText="1"/>
    </xf>
    <xf numFmtId="0" fontId="37" fillId="8" borderId="6" xfId="3" applyFont="1" applyFill="1" applyBorder="1" applyAlignment="1">
      <alignment vertical="center"/>
    </xf>
    <xf numFmtId="10" fontId="0" fillId="8" borderId="6" xfId="0" applyNumberFormat="1" applyFont="1" applyFill="1" applyBorder="1" applyAlignment="1">
      <alignment vertical="center" wrapText="1"/>
    </xf>
    <xf numFmtId="0" fontId="37" fillId="31" borderId="3" xfId="3" applyFont="1" applyFill="1" applyBorder="1" applyAlignment="1">
      <alignment horizontal="center" vertical="center"/>
    </xf>
    <xf numFmtId="0" fontId="0" fillId="32" borderId="41" xfId="0" applyFont="1" applyFill="1" applyBorder="1" applyAlignment="1">
      <alignment horizontal="center" vertical="center" wrapText="1"/>
    </xf>
    <xf numFmtId="0" fontId="0" fillId="31" borderId="18" xfId="0" applyFont="1" applyFill="1" applyBorder="1" applyAlignment="1">
      <alignment horizontal="right" vertical="center" wrapText="1"/>
    </xf>
    <xf numFmtId="0" fontId="37" fillId="31" borderId="19" xfId="3" applyFont="1" applyFill="1" applyBorder="1" applyAlignment="1">
      <alignment vertical="center"/>
    </xf>
    <xf numFmtId="10" fontId="0" fillId="31" borderId="18" xfId="0" applyNumberFormat="1" applyFont="1" applyFill="1" applyBorder="1" applyAlignment="1">
      <alignment vertical="center" wrapText="1"/>
    </xf>
    <xf numFmtId="0" fontId="0" fillId="32" borderId="43" xfId="0" applyFont="1" applyFill="1" applyBorder="1" applyAlignment="1">
      <alignment horizontal="center" vertical="center" wrapText="1"/>
    </xf>
    <xf numFmtId="0" fontId="0" fillId="31" borderId="5" xfId="0" applyFont="1" applyFill="1" applyBorder="1" applyAlignment="1">
      <alignment horizontal="right" vertical="center" wrapText="1"/>
    </xf>
    <xf numFmtId="0" fontId="37" fillId="31" borderId="5" xfId="3" applyFont="1" applyFill="1" applyBorder="1" applyAlignment="1">
      <alignment vertical="center"/>
    </xf>
    <xf numFmtId="10" fontId="0" fillId="31" borderId="5" xfId="0" applyNumberFormat="1" applyFont="1" applyFill="1" applyBorder="1" applyAlignment="1">
      <alignment vertical="center" wrapText="1"/>
    </xf>
    <xf numFmtId="0" fontId="37" fillId="31" borderId="18" xfId="3" applyFont="1" applyFill="1" applyBorder="1" applyAlignment="1">
      <alignment vertical="center"/>
    </xf>
    <xf numFmtId="0" fontId="37" fillId="31" borderId="4" xfId="3" applyFont="1" applyFill="1" applyBorder="1" applyAlignment="1">
      <alignment horizontal="center" vertical="center"/>
    </xf>
    <xf numFmtId="0" fontId="0" fillId="32" borderId="42" xfId="0" applyFont="1" applyFill="1" applyBorder="1" applyAlignment="1">
      <alignment horizontal="center" vertical="center" wrapText="1"/>
    </xf>
    <xf numFmtId="0" fontId="0" fillId="31" borderId="6" xfId="0" applyFont="1" applyFill="1" applyBorder="1" applyAlignment="1">
      <alignment horizontal="right" vertical="center" wrapText="1"/>
    </xf>
    <xf numFmtId="0" fontId="37" fillId="31" borderId="6" xfId="3" applyFont="1" applyFill="1" applyBorder="1" applyAlignment="1">
      <alignment vertical="center"/>
    </xf>
    <xf numFmtId="10" fontId="0" fillId="31" borderId="6" xfId="0" applyNumberFormat="1" applyFont="1" applyFill="1" applyBorder="1" applyAlignment="1">
      <alignment vertical="center" wrapText="1"/>
    </xf>
    <xf numFmtId="0" fontId="37" fillId="8" borderId="33" xfId="3" applyFont="1" applyFill="1" applyBorder="1" applyAlignment="1">
      <alignment horizontal="center" vertical="center"/>
    </xf>
    <xf numFmtId="0" fontId="0" fillId="33" borderId="41" xfId="0" applyFont="1" applyFill="1" applyBorder="1" applyAlignment="1">
      <alignment horizontal="center" vertical="center" wrapText="1"/>
    </xf>
    <xf numFmtId="0" fontId="0" fillId="34" borderId="5" xfId="0" applyFont="1" applyFill="1" applyBorder="1" applyAlignment="1">
      <alignment horizontal="right" vertical="center" wrapText="1"/>
    </xf>
    <xf numFmtId="0" fontId="37" fillId="34" borderId="18" xfId="3" applyFont="1" applyFill="1" applyBorder="1" applyAlignment="1">
      <alignment vertical="center"/>
    </xf>
    <xf numFmtId="10" fontId="0" fillId="34" borderId="18" xfId="0" applyNumberFormat="1" applyFont="1" applyFill="1" applyBorder="1" applyAlignment="1">
      <alignment vertical="center" wrapText="1"/>
    </xf>
    <xf numFmtId="0" fontId="37" fillId="34" borderId="3" xfId="3" applyFont="1" applyFill="1" applyBorder="1" applyAlignment="1">
      <alignment horizontal="center" vertical="center"/>
    </xf>
    <xf numFmtId="0" fontId="0" fillId="33" borderId="43" xfId="0" applyFont="1" applyFill="1" applyBorder="1" applyAlignment="1">
      <alignment horizontal="center" vertical="center" wrapText="1"/>
    </xf>
    <xf numFmtId="0" fontId="37" fillId="34" borderId="5" xfId="3" applyFont="1" applyFill="1" applyBorder="1" applyAlignment="1">
      <alignment vertical="center"/>
    </xf>
    <xf numFmtId="10" fontId="0" fillId="34" borderId="5" xfId="0" applyNumberFormat="1" applyFont="1" applyFill="1" applyBorder="1" applyAlignment="1">
      <alignment vertical="center" wrapText="1"/>
    </xf>
    <xf numFmtId="0" fontId="37" fillId="34" borderId="4" xfId="3" applyFont="1" applyFill="1" applyBorder="1" applyAlignment="1">
      <alignment horizontal="center" vertical="center"/>
    </xf>
    <xf numFmtId="0" fontId="0" fillId="33" borderId="42" xfId="0" applyFont="1" applyFill="1" applyBorder="1" applyAlignment="1">
      <alignment horizontal="center" vertical="center" wrapText="1"/>
    </xf>
    <xf numFmtId="0" fontId="0" fillId="34" borderId="6" xfId="0" applyFont="1" applyFill="1" applyBorder="1" applyAlignment="1">
      <alignment horizontal="right" vertical="center" wrapText="1"/>
    </xf>
    <xf numFmtId="0" fontId="37" fillId="34" borderId="9" xfId="3" applyFont="1" applyFill="1" applyBorder="1" applyAlignment="1">
      <alignment vertical="center"/>
    </xf>
    <xf numFmtId="10" fontId="0" fillId="34" borderId="6" xfId="0" applyNumberFormat="1" applyFont="1" applyFill="1" applyBorder="1" applyAlignment="1">
      <alignment vertical="center" wrapText="1"/>
    </xf>
    <xf numFmtId="0" fontId="0" fillId="31" borderId="18" xfId="0" applyFont="1" applyFill="1" applyBorder="1" applyAlignment="1">
      <alignment vertical="center" wrapText="1"/>
    </xf>
    <xf numFmtId="0" fontId="0" fillId="31" borderId="6" xfId="0" applyFont="1" applyFill="1" applyBorder="1" applyAlignment="1">
      <alignment vertical="center" wrapText="1"/>
    </xf>
    <xf numFmtId="0" fontId="0" fillId="12" borderId="18" xfId="0" applyFont="1" applyFill="1" applyBorder="1" applyAlignment="1">
      <alignment vertical="center" wrapText="1"/>
    </xf>
    <xf numFmtId="0" fontId="0" fillId="12" borderId="18" xfId="0" applyFont="1" applyFill="1" applyBorder="1" applyAlignment="1">
      <alignment horizontal="right" vertical="center" wrapText="1"/>
    </xf>
    <xf numFmtId="10" fontId="0" fillId="12" borderId="18" xfId="0" applyNumberFormat="1" applyFont="1" applyFill="1" applyBorder="1" applyAlignment="1">
      <alignment vertical="center" wrapText="1"/>
    </xf>
    <xf numFmtId="0" fontId="0" fillId="12" borderId="4" xfId="0" applyFont="1" applyFill="1" applyBorder="1" applyAlignment="1">
      <alignment horizontal="center" vertical="center" wrapText="1"/>
    </xf>
    <xf numFmtId="0" fontId="0" fillId="12" borderId="6" xfId="0" applyFont="1" applyFill="1" applyBorder="1" applyAlignment="1">
      <alignment vertical="center" wrapText="1"/>
    </xf>
    <xf numFmtId="0" fontId="0" fillId="14" borderId="41" xfId="0" applyFont="1" applyFill="1" applyBorder="1" applyAlignment="1">
      <alignment horizontal="center" vertical="center" wrapText="1"/>
    </xf>
    <xf numFmtId="0" fontId="0" fillId="35" borderId="18" xfId="0" applyFont="1" applyFill="1" applyBorder="1" applyAlignment="1">
      <alignment horizontal="center" vertical="center" wrapText="1"/>
    </xf>
    <xf numFmtId="0" fontId="0" fillId="36" borderId="41" xfId="0" applyFont="1" applyFill="1" applyBorder="1" applyAlignment="1">
      <alignment horizontal="center" vertical="center" wrapText="1"/>
    </xf>
    <xf numFmtId="0" fontId="0" fillId="35" borderId="18" xfId="0" applyFont="1" applyFill="1" applyBorder="1" applyAlignment="1">
      <alignment horizontal="right" vertical="center" wrapText="1"/>
    </xf>
    <xf numFmtId="0" fontId="37" fillId="35" borderId="18" xfId="3" applyFont="1" applyFill="1" applyBorder="1" applyAlignment="1">
      <alignment vertical="center"/>
    </xf>
    <xf numFmtId="10" fontId="0" fillId="35" borderId="18" xfId="0" applyNumberFormat="1" applyFont="1" applyFill="1" applyBorder="1" applyAlignment="1">
      <alignment vertical="center" wrapText="1"/>
    </xf>
    <xf numFmtId="0" fontId="0" fillId="35" borderId="4" xfId="0" applyFont="1" applyFill="1" applyBorder="1" applyAlignment="1">
      <alignment horizontal="center" vertical="center" wrapText="1"/>
    </xf>
    <xf numFmtId="0" fontId="0" fillId="35" borderId="6" xfId="0" applyFont="1" applyFill="1" applyBorder="1" applyAlignment="1">
      <alignment horizontal="center" vertical="center" wrapText="1"/>
    </xf>
    <xf numFmtId="0" fontId="0" fillId="36" borderId="42" xfId="0" applyFont="1" applyFill="1" applyBorder="1" applyAlignment="1">
      <alignment horizontal="center" vertical="center" wrapText="1"/>
    </xf>
    <xf numFmtId="0" fontId="0" fillId="35" borderId="6" xfId="0" applyFont="1" applyFill="1" applyBorder="1" applyAlignment="1">
      <alignment horizontal="right" vertical="center" wrapText="1"/>
    </xf>
    <xf numFmtId="0" fontId="37" fillId="35" borderId="6" xfId="3" applyFont="1" applyFill="1" applyBorder="1" applyAlignment="1">
      <alignment vertical="center"/>
    </xf>
    <xf numFmtId="10" fontId="0" fillId="35" borderId="6" xfId="0" applyNumberFormat="1" applyFont="1" applyFill="1" applyBorder="1" applyAlignment="1">
      <alignment vertical="center" wrapText="1"/>
    </xf>
    <xf numFmtId="0" fontId="0" fillId="29" borderId="41" xfId="0" applyFont="1" applyFill="1" applyBorder="1" applyAlignment="1">
      <alignment horizontal="center" vertical="center" wrapText="1"/>
    </xf>
    <xf numFmtId="0" fontId="0" fillId="17" borderId="18" xfId="0" applyFont="1" applyFill="1" applyBorder="1" applyAlignment="1">
      <alignment horizontal="right" vertical="center" wrapText="1"/>
    </xf>
    <xf numFmtId="169" fontId="0" fillId="17" borderId="18" xfId="0" applyNumberFormat="1" applyFont="1" applyFill="1" applyBorder="1" applyAlignment="1">
      <alignment vertical="center" wrapText="1"/>
    </xf>
    <xf numFmtId="10" fontId="0" fillId="17" borderId="18" xfId="0" applyNumberFormat="1" applyFont="1" applyFill="1" applyBorder="1" applyAlignment="1">
      <alignment vertical="center" wrapText="1"/>
    </xf>
    <xf numFmtId="0" fontId="68" fillId="37" borderId="55" xfId="0" applyFont="1" applyFill="1" applyBorder="1" applyAlignment="1">
      <alignment vertical="center" wrapText="1"/>
    </xf>
    <xf numFmtId="0" fontId="97" fillId="37" borderId="55" xfId="0" applyFont="1" applyFill="1" applyBorder="1" applyAlignment="1">
      <alignment vertical="center" wrapText="1"/>
    </xf>
    <xf numFmtId="0" fontId="68" fillId="5" borderId="142" xfId="0" applyFont="1" applyFill="1" applyBorder="1" applyAlignment="1">
      <alignment horizontal="right" vertical="center" wrapText="1"/>
    </xf>
    <xf numFmtId="0" fontId="68" fillId="5" borderId="54" xfId="0" applyFont="1" applyFill="1" applyBorder="1" applyAlignment="1">
      <alignment horizontal="right" vertical="center" wrapText="1"/>
    </xf>
    <xf numFmtId="0" fontId="68" fillId="5" borderId="143" xfId="0" applyFont="1" applyFill="1" applyBorder="1" applyAlignment="1">
      <alignment vertical="center" wrapText="1"/>
    </xf>
    <xf numFmtId="0" fontId="68" fillId="5" borderId="23" xfId="0" applyFont="1" applyFill="1" applyBorder="1" applyAlignment="1">
      <alignment vertical="center" wrapText="1"/>
    </xf>
    <xf numFmtId="0" fontId="99" fillId="12" borderId="18" xfId="3" applyFont="1" applyFill="1" applyBorder="1" applyAlignment="1">
      <alignment horizontal="center" vertical="center"/>
    </xf>
    <xf numFmtId="0" fontId="99" fillId="12" borderId="6" xfId="3" applyFont="1" applyFill="1" applyBorder="1" applyAlignment="1">
      <alignment horizontal="center" vertical="center"/>
    </xf>
    <xf numFmtId="0" fontId="0" fillId="17" borderId="18" xfId="0" applyFont="1" applyFill="1" applyBorder="1" applyAlignment="1">
      <alignment vertical="center" wrapText="1"/>
    </xf>
    <xf numFmtId="0" fontId="0" fillId="17" borderId="5" xfId="0" applyFont="1" applyFill="1" applyBorder="1" applyAlignment="1">
      <alignment vertical="center" wrapText="1"/>
    </xf>
    <xf numFmtId="0" fontId="0" fillId="17" borderId="6" xfId="0" applyFont="1" applyFill="1" applyBorder="1" applyAlignment="1">
      <alignment vertical="center" wrapText="1"/>
    </xf>
    <xf numFmtId="0" fontId="0" fillId="31" borderId="5" xfId="0" applyFont="1" applyFill="1" applyBorder="1" applyAlignment="1">
      <alignment vertical="center" wrapText="1"/>
    </xf>
    <xf numFmtId="0" fontId="0" fillId="8" borderId="18" xfId="0" applyFont="1" applyFill="1" applyBorder="1" applyAlignment="1">
      <alignment vertical="center" wrapText="1"/>
    </xf>
    <xf numFmtId="0" fontId="0" fillId="8" borderId="5" xfId="0" applyFont="1" applyFill="1" applyBorder="1" applyAlignment="1">
      <alignment vertical="center" wrapText="1"/>
    </xf>
    <xf numFmtId="0" fontId="0" fillId="8" borderId="6" xfId="0" applyFont="1" applyFill="1" applyBorder="1" applyAlignment="1">
      <alignment vertical="center" wrapText="1"/>
    </xf>
    <xf numFmtId="0" fontId="0" fillId="34" borderId="18" xfId="0" applyFont="1" applyFill="1" applyBorder="1" applyAlignment="1">
      <alignment vertical="center" wrapText="1"/>
    </xf>
    <xf numFmtId="0" fontId="0" fillId="34" borderId="5" xfId="0" applyFont="1" applyFill="1" applyBorder="1" applyAlignment="1">
      <alignment vertical="center" wrapText="1"/>
    </xf>
    <xf numFmtId="0" fontId="0" fillId="34" borderId="6" xfId="0" applyFont="1" applyFill="1" applyBorder="1" applyAlignment="1">
      <alignment vertical="center" wrapText="1"/>
    </xf>
    <xf numFmtId="0" fontId="0" fillId="35" borderId="18" xfId="0" applyFont="1" applyFill="1" applyBorder="1" applyAlignment="1">
      <alignment vertical="center" wrapText="1"/>
    </xf>
    <xf numFmtId="0" fontId="0" fillId="35" borderId="6" xfId="0" applyFont="1" applyFill="1" applyBorder="1" applyAlignment="1">
      <alignment vertical="center" wrapText="1"/>
    </xf>
    <xf numFmtId="10" fontId="0" fillId="10" borderId="92" xfId="0" applyNumberFormat="1" applyFill="1" applyBorder="1" applyAlignment="1">
      <alignment horizontal="center" vertical="center"/>
    </xf>
    <xf numFmtId="10" fontId="0" fillId="11" borderId="101" xfId="0" applyNumberFormat="1" applyFill="1" applyBorder="1" applyAlignment="1">
      <alignment horizontal="center" vertical="center"/>
    </xf>
    <xf numFmtId="10" fontId="0" fillId="10" borderId="101" xfId="0" applyNumberFormat="1" applyFill="1" applyBorder="1" applyAlignment="1">
      <alignment horizontal="center" vertical="center"/>
    </xf>
    <xf numFmtId="10" fontId="0" fillId="11" borderId="108" xfId="0" applyNumberFormat="1" applyFill="1" applyBorder="1" applyAlignment="1">
      <alignment horizontal="center" vertical="center"/>
    </xf>
    <xf numFmtId="169" fontId="0" fillId="17" borderId="101" xfId="0" applyNumberFormat="1" applyFont="1" applyFill="1" applyBorder="1" applyAlignment="1">
      <alignment vertical="center" wrapText="1"/>
    </xf>
    <xf numFmtId="169" fontId="0" fillId="17" borderId="9" xfId="0" applyNumberFormat="1" applyFont="1" applyFill="1" applyBorder="1" applyAlignment="1">
      <alignment vertical="center" wrapText="1"/>
    </xf>
    <xf numFmtId="169" fontId="0" fillId="31" borderId="101" xfId="0" applyNumberFormat="1" applyFont="1" applyFill="1" applyBorder="1" applyAlignment="1">
      <alignment vertical="center" wrapText="1"/>
    </xf>
    <xf numFmtId="169" fontId="0" fillId="31" borderId="9" xfId="0" applyNumberFormat="1" applyFont="1" applyFill="1" applyBorder="1" applyAlignment="1">
      <alignment vertical="center" wrapText="1"/>
    </xf>
    <xf numFmtId="169" fontId="0" fillId="8" borderId="101" xfId="0" applyNumberFormat="1" applyFont="1" applyFill="1" applyBorder="1" applyAlignment="1">
      <alignment vertical="center" wrapText="1"/>
    </xf>
    <xf numFmtId="169" fontId="0" fillId="8" borderId="9" xfId="0" applyNumberFormat="1" applyFont="1" applyFill="1" applyBorder="1" applyAlignment="1">
      <alignment vertical="center" wrapText="1"/>
    </xf>
    <xf numFmtId="169" fontId="0" fillId="34" borderId="101" xfId="0" applyNumberFormat="1" applyFont="1" applyFill="1" applyBorder="1" applyAlignment="1">
      <alignment vertical="center" wrapText="1"/>
    </xf>
    <xf numFmtId="169" fontId="0" fillId="34" borderId="9" xfId="0" applyNumberFormat="1" applyFont="1" applyFill="1" applyBorder="1" applyAlignment="1">
      <alignment vertical="center" wrapText="1"/>
    </xf>
    <xf numFmtId="169" fontId="0" fillId="35" borderId="101" xfId="0" applyNumberFormat="1" applyFont="1" applyFill="1" applyBorder="1" applyAlignment="1">
      <alignment vertical="center" wrapText="1"/>
    </xf>
    <xf numFmtId="169" fontId="0" fillId="35" borderId="9" xfId="0" applyNumberFormat="1" applyFont="1" applyFill="1" applyBorder="1" applyAlignment="1">
      <alignment vertical="center" wrapText="1"/>
    </xf>
    <xf numFmtId="169" fontId="0" fillId="12" borderId="101" xfId="0" applyNumberFormat="1" applyFont="1" applyFill="1" applyBorder="1" applyAlignment="1">
      <alignment vertical="center" wrapText="1"/>
    </xf>
    <xf numFmtId="169" fontId="0" fillId="12" borderId="9" xfId="0" applyNumberFormat="1" applyFont="1" applyFill="1" applyBorder="1" applyAlignment="1">
      <alignment vertical="center" wrapText="1"/>
    </xf>
    <xf numFmtId="10" fontId="66" fillId="17" borderId="18" xfId="5" applyNumberFormat="1" applyFont="1" applyFill="1" applyBorder="1" applyAlignment="1">
      <alignment vertical="center" wrapText="1"/>
    </xf>
    <xf numFmtId="10" fontId="66" fillId="17" borderId="5" xfId="5" applyNumberFormat="1" applyFont="1" applyFill="1" applyBorder="1" applyAlignment="1">
      <alignment vertical="center" wrapText="1"/>
    </xf>
    <xf numFmtId="10" fontId="66" fillId="17" borderId="5" xfId="5" applyNumberFormat="1" applyFont="1" applyFill="1" applyBorder="1" applyAlignment="1">
      <alignment vertical="center" wrapText="1"/>
    </xf>
    <xf numFmtId="10" fontId="66" fillId="17" borderId="6" xfId="5" applyNumberFormat="1" applyFont="1" applyFill="1" applyBorder="1" applyAlignment="1">
      <alignment vertical="center" wrapText="1"/>
    </xf>
    <xf numFmtId="10" fontId="66" fillId="31" borderId="18" xfId="5" applyNumberFormat="1" applyFont="1" applyFill="1" applyBorder="1" applyAlignment="1">
      <alignment vertical="center" wrapText="1"/>
    </xf>
    <xf numFmtId="10" fontId="66" fillId="31" borderId="5" xfId="5" applyNumberFormat="1" applyFont="1" applyFill="1" applyBorder="1" applyAlignment="1">
      <alignment vertical="center" wrapText="1"/>
    </xf>
    <xf numFmtId="10" fontId="66" fillId="31" borderId="6" xfId="5" applyNumberFormat="1" applyFont="1" applyFill="1" applyBorder="1" applyAlignment="1">
      <alignment vertical="center" wrapText="1"/>
    </xf>
    <xf numFmtId="10" fontId="66" fillId="8" borderId="18" xfId="5" applyNumberFormat="1" applyFont="1" applyFill="1" applyBorder="1" applyAlignment="1">
      <alignment vertical="center" wrapText="1"/>
    </xf>
    <xf numFmtId="10" fontId="66" fillId="8" borderId="5" xfId="5" applyNumberFormat="1" applyFont="1" applyFill="1" applyBorder="1" applyAlignment="1">
      <alignment vertical="center" wrapText="1"/>
    </xf>
    <xf numFmtId="10" fontId="66" fillId="8" borderId="6" xfId="5" applyNumberFormat="1" applyFont="1" applyFill="1" applyBorder="1" applyAlignment="1">
      <alignment vertical="center" wrapText="1"/>
    </xf>
    <xf numFmtId="10" fontId="66" fillId="34" borderId="18" xfId="5" applyNumberFormat="1" applyFont="1" applyFill="1" applyBorder="1" applyAlignment="1">
      <alignment vertical="center" wrapText="1"/>
    </xf>
    <xf numFmtId="10" fontId="66" fillId="34" borderId="5" xfId="5" applyNumberFormat="1" applyFont="1" applyFill="1" applyBorder="1" applyAlignment="1">
      <alignment vertical="center" wrapText="1"/>
    </xf>
    <xf numFmtId="10" fontId="66" fillId="34" borderId="6" xfId="5" applyNumberFormat="1" applyFont="1" applyFill="1" applyBorder="1" applyAlignment="1">
      <alignment vertical="center" wrapText="1"/>
    </xf>
    <xf numFmtId="10" fontId="66" fillId="35" borderId="18" xfId="5" applyNumberFormat="1" applyFont="1" applyFill="1" applyBorder="1" applyAlignment="1">
      <alignment vertical="center" wrapText="1"/>
    </xf>
    <xf numFmtId="10" fontId="66" fillId="35" borderId="6" xfId="5" applyNumberFormat="1" applyFont="1" applyFill="1" applyBorder="1" applyAlignment="1">
      <alignment vertical="center" wrapText="1"/>
    </xf>
    <xf numFmtId="10" fontId="66" fillId="12" borderId="18" xfId="5" applyNumberFormat="1" applyFont="1" applyFill="1" applyBorder="1" applyAlignment="1">
      <alignment vertical="center" wrapText="1"/>
    </xf>
    <xf numFmtId="10" fontId="66" fillId="12" borderId="6" xfId="5" applyNumberFormat="1" applyFont="1" applyFill="1" applyBorder="1" applyAlignment="1">
      <alignment vertical="center" wrapText="1"/>
    </xf>
    <xf numFmtId="0" fontId="68" fillId="5" borderId="144" xfId="0" applyFont="1" applyFill="1" applyBorder="1" applyAlignment="1">
      <alignment vertical="center" wrapText="1"/>
    </xf>
    <xf numFmtId="165" fontId="98" fillId="22" borderId="63" xfId="4" applyNumberFormat="1" applyFont="1" applyFill="1" applyBorder="1" applyAlignment="1">
      <alignment vertical="center" wrapText="1"/>
    </xf>
    <xf numFmtId="165" fontId="98" fillId="0" borderId="6" xfId="4" applyNumberFormat="1" applyFont="1" applyBorder="1" applyAlignment="1">
      <alignment vertical="center" wrapText="1"/>
    </xf>
    <xf numFmtId="165" fontId="98" fillId="5" borderId="6" xfId="4" applyNumberFormat="1" applyFont="1" applyFill="1" applyBorder="1" applyAlignment="1">
      <alignment vertical="center" wrapText="1"/>
    </xf>
    <xf numFmtId="165" fontId="98" fillId="22" borderId="6" xfId="4" applyNumberFormat="1" applyFont="1" applyFill="1" applyBorder="1" applyAlignment="1">
      <alignment vertical="center" wrapText="1"/>
    </xf>
    <xf numFmtId="165" fontId="98" fillId="37" borderId="6" xfId="4" applyNumberFormat="1" applyFont="1" applyFill="1" applyBorder="1" applyAlignment="1">
      <alignment vertical="center" wrapText="1"/>
    </xf>
    <xf numFmtId="165" fontId="98" fillId="38" borderId="6" xfId="4" applyNumberFormat="1" applyFont="1" applyFill="1" applyBorder="1" applyAlignment="1">
      <alignment vertical="center" wrapText="1"/>
    </xf>
    <xf numFmtId="175" fontId="0" fillId="17" borderId="18" xfId="0" applyNumberFormat="1" applyFont="1" applyFill="1" applyBorder="1" applyAlignment="1">
      <alignment horizontal="right" vertical="center" wrapText="1"/>
    </xf>
    <xf numFmtId="175" fontId="0" fillId="17" borderId="18" xfId="0" applyNumberFormat="1" applyFont="1" applyFill="1" applyBorder="1" applyAlignment="1">
      <alignment vertical="center" wrapText="1"/>
    </xf>
    <xf numFmtId="175" fontId="0" fillId="17" borderId="5" xfId="0" applyNumberFormat="1" applyFont="1" applyFill="1" applyBorder="1" applyAlignment="1">
      <alignment horizontal="right" vertical="center" wrapText="1"/>
    </xf>
    <xf numFmtId="175" fontId="0" fillId="17" borderId="5" xfId="0" applyNumberFormat="1" applyFont="1" applyFill="1" applyBorder="1" applyAlignment="1">
      <alignment vertical="center" wrapText="1"/>
    </xf>
    <xf numFmtId="175" fontId="0" fillId="17" borderId="6" xfId="0" applyNumberFormat="1" applyFont="1" applyFill="1" applyBorder="1" applyAlignment="1">
      <alignment horizontal="right" vertical="center" wrapText="1"/>
    </xf>
    <xf numFmtId="175" fontId="0" fillId="17" borderId="6" xfId="0" applyNumberFormat="1" applyFont="1" applyFill="1" applyBorder="1" applyAlignment="1">
      <alignment vertical="center" wrapText="1"/>
    </xf>
    <xf numFmtId="175" fontId="0" fillId="31" borderId="18" xfId="0" applyNumberFormat="1" applyFont="1" applyFill="1" applyBorder="1" applyAlignment="1">
      <alignment horizontal="right" vertical="center" wrapText="1"/>
    </xf>
    <xf numFmtId="175" fontId="0" fillId="31" borderId="18" xfId="0" applyNumberFormat="1" applyFont="1" applyFill="1" applyBorder="1" applyAlignment="1">
      <alignment vertical="center" wrapText="1"/>
    </xf>
    <xf numFmtId="175" fontId="0" fillId="31" borderId="5" xfId="0" applyNumberFormat="1" applyFont="1" applyFill="1" applyBorder="1" applyAlignment="1">
      <alignment horizontal="right" vertical="center" wrapText="1"/>
    </xf>
    <xf numFmtId="175" fontId="0" fillId="31" borderId="5" xfId="0" applyNumberFormat="1" applyFont="1" applyFill="1" applyBorder="1" applyAlignment="1">
      <alignment vertical="center" wrapText="1"/>
    </xf>
    <xf numFmtId="175" fontId="0" fillId="31" borderId="6" xfId="0" applyNumberFormat="1" applyFont="1" applyFill="1" applyBorder="1" applyAlignment="1">
      <alignment horizontal="right" vertical="center" wrapText="1"/>
    </xf>
    <xf numFmtId="175" fontId="0" fillId="31" borderId="6" xfId="0" applyNumberFormat="1" applyFont="1" applyFill="1" applyBorder="1" applyAlignment="1">
      <alignment vertical="center" wrapText="1"/>
    </xf>
    <xf numFmtId="175" fontId="0" fillId="8" borderId="18" xfId="0" applyNumberFormat="1" applyFont="1" applyFill="1" applyBorder="1" applyAlignment="1">
      <alignment horizontal="right" vertical="center" wrapText="1"/>
    </xf>
    <xf numFmtId="175" fontId="0" fillId="8" borderId="18" xfId="0" applyNumberFormat="1" applyFont="1" applyFill="1" applyBorder="1" applyAlignment="1">
      <alignment vertical="center" wrapText="1"/>
    </xf>
    <xf numFmtId="175" fontId="0" fillId="8" borderId="5" xfId="0" applyNumberFormat="1" applyFont="1" applyFill="1" applyBorder="1" applyAlignment="1">
      <alignment horizontal="right" vertical="center" wrapText="1"/>
    </xf>
    <xf numFmtId="175" fontId="0" fillId="8" borderId="5" xfId="0" applyNumberFormat="1" applyFont="1" applyFill="1" applyBorder="1" applyAlignment="1">
      <alignment vertical="center" wrapText="1"/>
    </xf>
    <xf numFmtId="175" fontId="0" fillId="8" borderId="6" xfId="0" applyNumberFormat="1" applyFont="1" applyFill="1" applyBorder="1" applyAlignment="1">
      <alignment horizontal="right" vertical="center" wrapText="1"/>
    </xf>
    <xf numFmtId="175" fontId="0" fillId="8" borderId="6" xfId="0" applyNumberFormat="1" applyFont="1" applyFill="1" applyBorder="1" applyAlignment="1">
      <alignment vertical="center" wrapText="1"/>
    </xf>
    <xf numFmtId="175" fontId="0" fillId="12" borderId="18" xfId="0" applyNumberFormat="1" applyFont="1" applyFill="1" applyBorder="1" applyAlignment="1">
      <alignment horizontal="right" vertical="center" wrapText="1"/>
    </xf>
    <xf numFmtId="175" fontId="0" fillId="12" borderId="18" xfId="0" applyNumberFormat="1" applyFont="1" applyFill="1" applyBorder="1" applyAlignment="1">
      <alignment vertical="center" wrapText="1"/>
    </xf>
    <xf numFmtId="175" fontId="0" fillId="12" borderId="6" xfId="0" applyNumberFormat="1" applyFont="1" applyFill="1" applyBorder="1" applyAlignment="1">
      <alignment horizontal="right" vertical="center" wrapText="1"/>
    </xf>
    <xf numFmtId="175" fontId="0" fillId="12" borderId="6" xfId="0" applyNumberFormat="1" applyFont="1" applyFill="1" applyBorder="1" applyAlignment="1">
      <alignment vertical="center" wrapText="1"/>
    </xf>
    <xf numFmtId="175" fontId="0" fillId="34" borderId="18" xfId="0" applyNumberFormat="1" applyFont="1" applyFill="1" applyBorder="1" applyAlignment="1">
      <alignment horizontal="right" vertical="center" wrapText="1"/>
    </xf>
    <xf numFmtId="175" fontId="0" fillId="34" borderId="18" xfId="0" applyNumberFormat="1" applyFont="1" applyFill="1" applyBorder="1" applyAlignment="1">
      <alignment vertical="center" wrapText="1"/>
    </xf>
    <xf numFmtId="175" fontId="0" fillId="34" borderId="5" xfId="0" applyNumberFormat="1" applyFont="1" applyFill="1" applyBorder="1" applyAlignment="1">
      <alignment horizontal="right" vertical="center" wrapText="1"/>
    </xf>
    <xf numFmtId="175" fontId="0" fillId="34" borderId="5" xfId="0" applyNumberFormat="1" applyFont="1" applyFill="1" applyBorder="1" applyAlignment="1">
      <alignment vertical="center" wrapText="1"/>
    </xf>
    <xf numFmtId="175" fontId="0" fillId="34" borderId="6" xfId="0" applyNumberFormat="1" applyFont="1" applyFill="1" applyBorder="1" applyAlignment="1">
      <alignment horizontal="right" vertical="center" wrapText="1"/>
    </xf>
    <xf numFmtId="175" fontId="0" fillId="34" borderId="6" xfId="0" applyNumberFormat="1" applyFont="1" applyFill="1" applyBorder="1" applyAlignment="1">
      <alignment vertical="center" wrapText="1"/>
    </xf>
    <xf numFmtId="175" fontId="0" fillId="35" borderId="18" xfId="0" applyNumberFormat="1" applyFont="1" applyFill="1" applyBorder="1" applyAlignment="1">
      <alignment horizontal="right" vertical="center" wrapText="1"/>
    </xf>
    <xf numFmtId="175" fontId="0" fillId="35" borderId="18" xfId="0" applyNumberFormat="1" applyFont="1" applyFill="1" applyBorder="1" applyAlignment="1">
      <alignment vertical="center" wrapText="1"/>
    </xf>
    <xf numFmtId="175" fontId="0" fillId="35" borderId="6" xfId="0" applyNumberFormat="1" applyFont="1" applyFill="1" applyBorder="1" applyAlignment="1">
      <alignment horizontal="right" vertical="center" wrapText="1"/>
    </xf>
    <xf numFmtId="175" fontId="0" fillId="35" borderId="6" xfId="0" applyNumberFormat="1" applyFont="1" applyFill="1" applyBorder="1" applyAlignment="1">
      <alignment vertical="center" wrapText="1"/>
    </xf>
    <xf numFmtId="0" fontId="0" fillId="39" borderId="0" xfId="0" applyFill="1"/>
    <xf numFmtId="165" fontId="66" fillId="0" borderId="0" xfId="5" applyNumberFormat="1" applyFont="1" applyFill="1"/>
    <xf numFmtId="165" fontId="66" fillId="40" borderId="18" xfId="5" applyNumberFormat="1" applyFont="1" applyFill="1" applyBorder="1" applyAlignment="1">
      <alignment vertical="center" wrapText="1"/>
    </xf>
    <xf numFmtId="165" fontId="66" fillId="40" borderId="5" xfId="5" applyNumberFormat="1" applyFont="1" applyFill="1" applyBorder="1" applyAlignment="1">
      <alignment vertical="center" wrapText="1"/>
    </xf>
    <xf numFmtId="165" fontId="66" fillId="40" borderId="6" xfId="5" applyNumberFormat="1" applyFont="1" applyFill="1" applyBorder="1" applyAlignment="1">
      <alignment vertical="center" wrapText="1"/>
    </xf>
    <xf numFmtId="0" fontId="100" fillId="0" borderId="0" xfId="0" applyFont="1" applyBorder="1"/>
    <xf numFmtId="0" fontId="101" fillId="0" borderId="0" xfId="0" applyFont="1" applyBorder="1"/>
    <xf numFmtId="10" fontId="66" fillId="17" borderId="18" xfId="5" applyNumberFormat="1" applyFont="1" applyFill="1" applyBorder="1" applyAlignment="1">
      <alignment vertical="center" wrapText="1"/>
    </xf>
    <xf numFmtId="10" fontId="66" fillId="31" borderId="18" xfId="5" applyNumberFormat="1" applyFont="1" applyFill="1" applyBorder="1" applyAlignment="1">
      <alignment vertical="center" wrapText="1"/>
    </xf>
    <xf numFmtId="10" fontId="66" fillId="31" borderId="5" xfId="5" applyNumberFormat="1" applyFont="1" applyFill="1" applyBorder="1" applyAlignment="1">
      <alignment vertical="center" wrapText="1"/>
    </xf>
    <xf numFmtId="10" fontId="66" fillId="31" borderId="6" xfId="5" applyNumberFormat="1" applyFont="1" applyFill="1" applyBorder="1" applyAlignment="1">
      <alignment vertical="center" wrapText="1"/>
    </xf>
    <xf numFmtId="10" fontId="66" fillId="34" borderId="18" xfId="5" applyNumberFormat="1" applyFont="1" applyFill="1" applyBorder="1" applyAlignment="1">
      <alignment vertical="center" wrapText="1"/>
    </xf>
    <xf numFmtId="10" fontId="66" fillId="34" borderId="5" xfId="5" applyNumberFormat="1" applyFont="1" applyFill="1" applyBorder="1" applyAlignment="1">
      <alignment vertical="center" wrapText="1"/>
    </xf>
    <xf numFmtId="10" fontId="66" fillId="34" borderId="6" xfId="5" applyNumberFormat="1" applyFont="1" applyFill="1" applyBorder="1" applyAlignment="1">
      <alignment vertical="center" wrapText="1"/>
    </xf>
    <xf numFmtId="10" fontId="66" fillId="35" borderId="18" xfId="5" applyNumberFormat="1" applyFont="1" applyFill="1" applyBorder="1" applyAlignment="1">
      <alignment vertical="center" wrapText="1"/>
    </xf>
    <xf numFmtId="10" fontId="66" fillId="35" borderId="6" xfId="5" applyNumberFormat="1" applyFont="1" applyFill="1" applyBorder="1" applyAlignment="1">
      <alignment vertical="center" wrapText="1"/>
    </xf>
    <xf numFmtId="10" fontId="66" fillId="12" borderId="18" xfId="5" applyNumberFormat="1" applyFont="1" applyFill="1" applyBorder="1" applyAlignment="1">
      <alignment vertical="center" wrapText="1"/>
    </xf>
    <xf numFmtId="10" fontId="66" fillId="12" borderId="6" xfId="5" applyNumberFormat="1" applyFont="1" applyFill="1" applyBorder="1" applyAlignment="1">
      <alignment vertical="center" wrapText="1"/>
    </xf>
    <xf numFmtId="10" fontId="66" fillId="17" borderId="6" xfId="4" applyNumberFormat="1" applyFont="1" applyFill="1" applyBorder="1" applyAlignment="1">
      <alignment vertical="center" wrapText="1"/>
    </xf>
    <xf numFmtId="0" fontId="68" fillId="5" borderId="28" xfId="0" applyFont="1" applyFill="1" applyBorder="1" applyAlignment="1">
      <alignment horizontal="center" vertical="center" wrapText="1"/>
    </xf>
    <xf numFmtId="10" fontId="68" fillId="5" borderId="54" xfId="4" applyNumberFormat="1" applyFont="1" applyFill="1" applyBorder="1" applyAlignment="1">
      <alignment vertical="center" wrapText="1"/>
    </xf>
    <xf numFmtId="10" fontId="68" fillId="5" borderId="53" xfId="4" applyNumberFormat="1" applyFont="1" applyFill="1" applyBorder="1" applyAlignment="1">
      <alignment vertical="center" wrapText="1"/>
    </xf>
    <xf numFmtId="10" fontId="66" fillId="17" borderId="19" xfId="5" applyNumberFormat="1" applyFont="1" applyFill="1" applyBorder="1" applyAlignment="1">
      <alignment vertical="center" wrapText="1"/>
    </xf>
    <xf numFmtId="10" fontId="66" fillId="17" borderId="41" xfId="5" applyNumberFormat="1" applyFont="1" applyFill="1" applyBorder="1" applyAlignment="1">
      <alignment vertical="center" wrapText="1"/>
    </xf>
    <xf numFmtId="10" fontId="66" fillId="17" borderId="43" xfId="5" applyNumberFormat="1" applyFont="1" applyFill="1" applyBorder="1" applyAlignment="1">
      <alignment vertical="center" wrapText="1"/>
    </xf>
    <xf numFmtId="10" fontId="66" fillId="17" borderId="42" xfId="4" applyNumberFormat="1" applyFont="1" applyFill="1" applyBorder="1" applyAlignment="1">
      <alignment vertical="center" wrapText="1"/>
    </xf>
    <xf numFmtId="10" fontId="66" fillId="31" borderId="41" xfId="5" applyNumberFormat="1" applyFont="1" applyFill="1" applyBorder="1" applyAlignment="1">
      <alignment vertical="center" wrapText="1"/>
    </xf>
    <xf numFmtId="10" fontId="66" fillId="31" borderId="43" xfId="5" applyNumberFormat="1" applyFont="1" applyFill="1" applyBorder="1" applyAlignment="1">
      <alignment vertical="center" wrapText="1"/>
    </xf>
    <xf numFmtId="10" fontId="66" fillId="31" borderId="42" xfId="5" applyNumberFormat="1" applyFont="1" applyFill="1" applyBorder="1" applyAlignment="1">
      <alignment vertical="center" wrapText="1"/>
    </xf>
    <xf numFmtId="10" fontId="68" fillId="41" borderId="41" xfId="4" applyNumberFormat="1" applyFont="1" applyFill="1" applyBorder="1" applyAlignment="1">
      <alignment vertical="center" wrapText="1"/>
    </xf>
    <xf numFmtId="10" fontId="68" fillId="41" borderId="43" xfId="4" applyNumberFormat="1" applyFont="1" applyFill="1" applyBorder="1" applyAlignment="1">
      <alignment vertical="center" wrapText="1"/>
    </xf>
    <xf numFmtId="10" fontId="68" fillId="41" borderId="42" xfId="4" applyNumberFormat="1" applyFont="1" applyFill="1" applyBorder="1" applyAlignment="1">
      <alignment vertical="center" wrapText="1"/>
    </xf>
    <xf numFmtId="10" fontId="66" fillId="34" borderId="41" xfId="5" applyNumberFormat="1" applyFont="1" applyFill="1" applyBorder="1" applyAlignment="1">
      <alignment vertical="center" wrapText="1"/>
    </xf>
    <xf numFmtId="10" fontId="66" fillId="34" borderId="43" xfId="5" applyNumberFormat="1" applyFont="1" applyFill="1" applyBorder="1" applyAlignment="1">
      <alignment vertical="center" wrapText="1"/>
    </xf>
    <xf numFmtId="10" fontId="66" fillId="34" borderId="42" xfId="5" applyNumberFormat="1" applyFont="1" applyFill="1" applyBorder="1" applyAlignment="1">
      <alignment vertical="center" wrapText="1"/>
    </xf>
    <xf numFmtId="10" fontId="66" fillId="35" borderId="41" xfId="5" applyNumberFormat="1" applyFont="1" applyFill="1" applyBorder="1" applyAlignment="1">
      <alignment vertical="center" wrapText="1"/>
    </xf>
    <xf numFmtId="10" fontId="66" fillId="35" borderId="42" xfId="5" applyNumberFormat="1" applyFont="1" applyFill="1" applyBorder="1" applyAlignment="1">
      <alignment vertical="center" wrapText="1"/>
    </xf>
    <xf numFmtId="10" fontId="66" fillId="12" borderId="41" xfId="5" applyNumberFormat="1" applyFont="1" applyFill="1" applyBorder="1" applyAlignment="1">
      <alignment vertical="center" wrapText="1"/>
    </xf>
    <xf numFmtId="10" fontId="66" fillId="12" borderId="42" xfId="5" applyNumberFormat="1" applyFont="1" applyFill="1" applyBorder="1" applyAlignment="1">
      <alignment vertical="center" wrapText="1"/>
    </xf>
    <xf numFmtId="10" fontId="66" fillId="17" borderId="64" xfId="5" applyNumberFormat="1" applyFont="1" applyFill="1" applyBorder="1" applyAlignment="1">
      <alignment vertical="center" wrapText="1"/>
    </xf>
    <xf numFmtId="10" fontId="66" fillId="17" borderId="65" xfId="5" applyNumberFormat="1" applyFont="1" applyFill="1" applyBorder="1" applyAlignment="1">
      <alignment vertical="center" wrapText="1"/>
    </xf>
    <xf numFmtId="10" fontId="66" fillId="17" borderId="66" xfId="5" applyNumberFormat="1" applyFont="1" applyFill="1" applyBorder="1" applyAlignment="1">
      <alignment vertical="center" wrapText="1"/>
    </xf>
    <xf numFmtId="10" fontId="66" fillId="17" borderId="67" xfId="4" applyNumberFormat="1" applyFont="1" applyFill="1" applyBorder="1" applyAlignment="1">
      <alignment vertical="center" wrapText="1"/>
    </xf>
    <xf numFmtId="10" fontId="66" fillId="31" borderId="65" xfId="5" applyNumberFormat="1" applyFont="1" applyFill="1" applyBorder="1" applyAlignment="1">
      <alignment vertical="center" wrapText="1"/>
    </xf>
    <xf numFmtId="10" fontId="66" fillId="31" borderId="66" xfId="5" applyNumberFormat="1" applyFont="1" applyFill="1" applyBorder="1" applyAlignment="1">
      <alignment vertical="center" wrapText="1"/>
    </xf>
    <xf numFmtId="10" fontId="66" fillId="31" borderId="67" xfId="5" applyNumberFormat="1" applyFont="1" applyFill="1" applyBorder="1" applyAlignment="1">
      <alignment vertical="center" wrapText="1"/>
    </xf>
    <xf numFmtId="10" fontId="68" fillId="41" borderId="65" xfId="4" applyNumberFormat="1" applyFont="1" applyFill="1" applyBorder="1" applyAlignment="1">
      <alignment vertical="center" wrapText="1"/>
    </xf>
    <xf numFmtId="10" fontId="68" fillId="41" borderId="66" xfId="4" applyNumberFormat="1" applyFont="1" applyFill="1" applyBorder="1" applyAlignment="1">
      <alignment vertical="center" wrapText="1"/>
    </xf>
    <xf numFmtId="10" fontId="68" fillId="41" borderId="67" xfId="4" applyNumberFormat="1" applyFont="1" applyFill="1" applyBorder="1" applyAlignment="1">
      <alignment vertical="center" wrapText="1"/>
    </xf>
    <xf numFmtId="10" fontId="66" fillId="34" borderId="65" xfId="5" applyNumberFormat="1" applyFont="1" applyFill="1" applyBorder="1" applyAlignment="1">
      <alignment vertical="center" wrapText="1"/>
    </xf>
    <xf numFmtId="10" fontId="66" fillId="34" borderId="66" xfId="5" applyNumberFormat="1" applyFont="1" applyFill="1" applyBorder="1" applyAlignment="1">
      <alignment vertical="center" wrapText="1"/>
    </xf>
    <xf numFmtId="10" fontId="66" fillId="34" borderId="67" xfId="5" applyNumberFormat="1" applyFont="1" applyFill="1" applyBorder="1" applyAlignment="1">
      <alignment vertical="center" wrapText="1"/>
    </xf>
    <xf numFmtId="10" fontId="66" fillId="35" borderId="65" xfId="5" applyNumberFormat="1" applyFont="1" applyFill="1" applyBorder="1" applyAlignment="1">
      <alignment vertical="center" wrapText="1"/>
    </xf>
    <xf numFmtId="10" fontId="66" fillId="35" borderId="67" xfId="5" applyNumberFormat="1" applyFont="1" applyFill="1" applyBorder="1" applyAlignment="1">
      <alignment vertical="center" wrapText="1"/>
    </xf>
    <xf numFmtId="10" fontId="66" fillId="12" borderId="65" xfId="5" applyNumberFormat="1" applyFont="1" applyFill="1" applyBorder="1" applyAlignment="1">
      <alignment vertical="center" wrapText="1"/>
    </xf>
    <xf numFmtId="10" fontId="66" fillId="42" borderId="18" xfId="4" applyNumberFormat="1" applyFont="1" applyFill="1" applyBorder="1" applyAlignment="1">
      <alignment vertical="center" wrapText="1"/>
    </xf>
    <xf numFmtId="10" fontId="66" fillId="42" borderId="5" xfId="4" applyNumberFormat="1" applyFont="1" applyFill="1" applyBorder="1" applyAlignment="1">
      <alignment vertical="center" wrapText="1"/>
    </xf>
    <xf numFmtId="10" fontId="66" fillId="42" borderId="6" xfId="4" applyNumberFormat="1" applyFont="1" applyFill="1" applyBorder="1" applyAlignment="1">
      <alignment vertical="center" wrapText="1"/>
    </xf>
    <xf numFmtId="0" fontId="0" fillId="0" borderId="68" xfId="0" applyBorder="1"/>
    <xf numFmtId="10" fontId="66" fillId="42" borderId="41" xfId="4" applyNumberFormat="1" applyFont="1" applyFill="1" applyBorder="1" applyAlignment="1">
      <alignment vertical="center" wrapText="1"/>
    </xf>
    <xf numFmtId="10" fontId="66" fillId="42" borderId="43" xfId="4" applyNumberFormat="1" applyFont="1" applyFill="1" applyBorder="1" applyAlignment="1">
      <alignment vertical="center" wrapText="1"/>
    </xf>
    <xf numFmtId="10" fontId="66" fillId="42" borderId="42" xfId="4" applyNumberFormat="1" applyFont="1" applyFill="1" applyBorder="1" applyAlignment="1">
      <alignment vertical="center" wrapText="1"/>
    </xf>
    <xf numFmtId="10" fontId="66" fillId="42" borderId="65" xfId="4" applyNumberFormat="1" applyFont="1" applyFill="1" applyBorder="1" applyAlignment="1">
      <alignment vertical="center" wrapText="1"/>
    </xf>
    <xf numFmtId="10" fontId="66" fillId="42" borderId="66" xfId="4" applyNumberFormat="1" applyFont="1" applyFill="1" applyBorder="1" applyAlignment="1">
      <alignment vertical="center" wrapText="1"/>
    </xf>
    <xf numFmtId="10" fontId="66" fillId="42" borderId="67" xfId="4" applyNumberFormat="1" applyFont="1" applyFill="1" applyBorder="1" applyAlignment="1">
      <alignment vertical="center" wrapText="1"/>
    </xf>
    <xf numFmtId="10" fontId="66" fillId="12" borderId="67" xfId="5" applyNumberFormat="1" applyFont="1" applyFill="1" applyBorder="1" applyAlignment="1">
      <alignment vertical="center" wrapText="1"/>
    </xf>
    <xf numFmtId="10" fontId="68" fillId="5" borderId="69" xfId="4" applyNumberFormat="1" applyFont="1" applyFill="1" applyBorder="1" applyAlignment="1">
      <alignment vertical="center" wrapText="1"/>
    </xf>
    <xf numFmtId="10" fontId="66" fillId="17" borderId="42" xfId="5" applyNumberFormat="1" applyFont="1" applyFill="1" applyBorder="1" applyAlignment="1">
      <alignment vertical="center" wrapText="1"/>
    </xf>
    <xf numFmtId="0" fontId="68" fillId="41" borderId="41" xfId="0" applyFont="1" applyFill="1" applyBorder="1" applyAlignment="1">
      <alignment vertical="center" wrapText="1"/>
    </xf>
    <xf numFmtId="0" fontId="68" fillId="41" borderId="43" xfId="0" applyFont="1" applyFill="1" applyBorder="1" applyAlignment="1">
      <alignment vertical="center" wrapText="1"/>
    </xf>
    <xf numFmtId="0" fontId="68" fillId="41" borderId="42" xfId="0" applyFont="1" applyFill="1" applyBorder="1" applyAlignment="1">
      <alignment vertical="center" wrapText="1"/>
    </xf>
    <xf numFmtId="10" fontId="66" fillId="34" borderId="41" xfId="5" applyNumberFormat="1" applyFont="1" applyFill="1" applyBorder="1" applyAlignment="1">
      <alignment vertical="center" wrapText="1"/>
    </xf>
    <xf numFmtId="10" fontId="66" fillId="34" borderId="43" xfId="5" applyNumberFormat="1" applyFont="1" applyFill="1" applyBorder="1" applyAlignment="1">
      <alignment vertical="center" wrapText="1"/>
    </xf>
    <xf numFmtId="10" fontId="66" fillId="34" borderId="42" xfId="5" applyNumberFormat="1" applyFont="1" applyFill="1" applyBorder="1" applyAlignment="1">
      <alignment vertical="center" wrapText="1"/>
    </xf>
    <xf numFmtId="10" fontId="66" fillId="35" borderId="41" xfId="5" applyNumberFormat="1" applyFont="1" applyFill="1" applyBorder="1" applyAlignment="1">
      <alignment vertical="center" wrapText="1"/>
    </xf>
    <xf numFmtId="10" fontId="66" fillId="35" borderId="42" xfId="5" applyNumberFormat="1" applyFont="1" applyFill="1" applyBorder="1" applyAlignment="1">
      <alignment vertical="center" wrapText="1"/>
    </xf>
    <xf numFmtId="10" fontId="66" fillId="12" borderId="41" xfId="5" applyNumberFormat="1" applyFont="1" applyFill="1" applyBorder="1" applyAlignment="1">
      <alignment vertical="center" wrapText="1"/>
    </xf>
    <xf numFmtId="10" fontId="66" fillId="12" borderId="42" xfId="5" applyNumberFormat="1" applyFont="1" applyFill="1" applyBorder="1" applyAlignment="1">
      <alignment vertical="center" wrapText="1"/>
    </xf>
    <xf numFmtId="10" fontId="67" fillId="0" borderId="0" xfId="0" applyNumberFormat="1" applyFont="1"/>
    <xf numFmtId="10" fontId="67" fillId="0" borderId="0" xfId="5" applyNumberFormat="1" applyFont="1"/>
    <xf numFmtId="0" fontId="67" fillId="0" borderId="0" xfId="0" applyFont="1" applyAlignment="1">
      <alignment vertical="center" wrapText="1"/>
    </xf>
    <xf numFmtId="0" fontId="102" fillId="5" borderId="54" xfId="0" applyFont="1" applyFill="1" applyBorder="1" applyAlignment="1">
      <alignment vertical="center" wrapText="1"/>
    </xf>
    <xf numFmtId="10" fontId="102" fillId="5" borderId="54" xfId="4" applyNumberFormat="1" applyFont="1" applyFill="1" applyBorder="1" applyAlignment="1">
      <alignment vertical="center" wrapText="1"/>
    </xf>
    <xf numFmtId="0" fontId="103" fillId="5" borderId="54" xfId="0" applyFont="1" applyFill="1" applyBorder="1" applyAlignment="1">
      <alignment vertical="center" wrapText="1"/>
    </xf>
    <xf numFmtId="10" fontId="103" fillId="5" borderId="54" xfId="4" applyNumberFormat="1" applyFont="1" applyFill="1" applyBorder="1" applyAlignment="1">
      <alignment vertical="center" wrapText="1"/>
    </xf>
    <xf numFmtId="10" fontId="104" fillId="17" borderId="18" xfId="5" applyNumberFormat="1" applyFont="1" applyFill="1" applyBorder="1" applyAlignment="1">
      <alignment vertical="center" wrapText="1"/>
    </xf>
    <xf numFmtId="10" fontId="104" fillId="17" borderId="5" xfId="5" applyNumberFormat="1" applyFont="1" applyFill="1" applyBorder="1" applyAlignment="1">
      <alignment vertical="center" wrapText="1"/>
    </xf>
    <xf numFmtId="10" fontId="104" fillId="17" borderId="6" xfId="4" applyNumberFormat="1" applyFont="1" applyFill="1" applyBorder="1" applyAlignment="1">
      <alignment vertical="center" wrapText="1"/>
    </xf>
    <xf numFmtId="10" fontId="104" fillId="31" borderId="18" xfId="5" applyNumberFormat="1" applyFont="1" applyFill="1" applyBorder="1" applyAlignment="1">
      <alignment vertical="center" wrapText="1"/>
    </xf>
    <xf numFmtId="10" fontId="104" fillId="31" borderId="5" xfId="5" applyNumberFormat="1" applyFont="1" applyFill="1" applyBorder="1" applyAlignment="1">
      <alignment vertical="center" wrapText="1"/>
    </xf>
    <xf numFmtId="10" fontId="104" fillId="31" borderId="6" xfId="5" applyNumberFormat="1" applyFont="1" applyFill="1" applyBorder="1" applyAlignment="1">
      <alignment vertical="center" wrapText="1"/>
    </xf>
    <xf numFmtId="10" fontId="104" fillId="42" borderId="18" xfId="4" applyNumberFormat="1" applyFont="1" applyFill="1" applyBorder="1" applyAlignment="1">
      <alignment vertical="center" wrapText="1"/>
    </xf>
    <xf numFmtId="10" fontId="104" fillId="42" borderId="5" xfId="4" applyNumberFormat="1" applyFont="1" applyFill="1" applyBorder="1" applyAlignment="1">
      <alignment vertical="center" wrapText="1"/>
    </xf>
    <xf numFmtId="10" fontId="104" fillId="42" borderId="6" xfId="4" applyNumberFormat="1" applyFont="1" applyFill="1" applyBorder="1" applyAlignment="1">
      <alignment vertical="center" wrapText="1"/>
    </xf>
    <xf numFmtId="10" fontId="104" fillId="34" borderId="18" xfId="5" applyNumberFormat="1" applyFont="1" applyFill="1" applyBorder="1" applyAlignment="1">
      <alignment vertical="center" wrapText="1"/>
    </xf>
    <xf numFmtId="10" fontId="104" fillId="34" borderId="5" xfId="5" applyNumberFormat="1" applyFont="1" applyFill="1" applyBorder="1" applyAlignment="1">
      <alignment vertical="center" wrapText="1"/>
    </xf>
    <xf numFmtId="10" fontId="104" fillId="34" borderId="6" xfId="5" applyNumberFormat="1" applyFont="1" applyFill="1" applyBorder="1" applyAlignment="1">
      <alignment vertical="center" wrapText="1"/>
    </xf>
    <xf numFmtId="10" fontId="104" fillId="35" borderId="18" xfId="5" applyNumberFormat="1" applyFont="1" applyFill="1" applyBorder="1" applyAlignment="1">
      <alignment vertical="center" wrapText="1"/>
    </xf>
    <xf numFmtId="10" fontId="104" fillId="35" borderId="6" xfId="5" applyNumberFormat="1" applyFont="1" applyFill="1" applyBorder="1" applyAlignment="1">
      <alignment vertical="center" wrapText="1"/>
    </xf>
    <xf numFmtId="10" fontId="104" fillId="12" borderId="18" xfId="5" applyNumberFormat="1" applyFont="1" applyFill="1" applyBorder="1" applyAlignment="1">
      <alignment vertical="center" wrapText="1"/>
    </xf>
    <xf numFmtId="10" fontId="104" fillId="12" borderId="6" xfId="5" applyNumberFormat="1" applyFont="1" applyFill="1" applyBorder="1" applyAlignment="1">
      <alignment vertical="center" wrapText="1"/>
    </xf>
    <xf numFmtId="10" fontId="104" fillId="17" borderId="6" xfId="5" applyNumberFormat="1" applyFont="1" applyFill="1" applyBorder="1" applyAlignment="1">
      <alignment vertical="center" wrapText="1"/>
    </xf>
    <xf numFmtId="10" fontId="103" fillId="41" borderId="18" xfId="4" applyNumberFormat="1" applyFont="1" applyFill="1" applyBorder="1" applyAlignment="1">
      <alignment vertical="center" wrapText="1"/>
    </xf>
    <xf numFmtId="10" fontId="103" fillId="41" borderId="5" xfId="4" applyNumberFormat="1" applyFont="1" applyFill="1" applyBorder="1" applyAlignment="1">
      <alignment vertical="center" wrapText="1"/>
    </xf>
    <xf numFmtId="10" fontId="103" fillId="41" borderId="6" xfId="4" applyNumberFormat="1" applyFont="1" applyFill="1" applyBorder="1" applyAlignment="1">
      <alignment vertical="center" wrapText="1"/>
    </xf>
    <xf numFmtId="0" fontId="103" fillId="41" borderId="18" xfId="0" applyFont="1" applyFill="1" applyBorder="1" applyAlignment="1">
      <alignment vertical="center" wrapText="1"/>
    </xf>
    <xf numFmtId="0" fontId="103" fillId="41" borderId="5" xfId="0" applyFont="1" applyFill="1" applyBorder="1" applyAlignment="1">
      <alignment vertical="center" wrapText="1"/>
    </xf>
    <xf numFmtId="0" fontId="103" fillId="41" borderId="6" xfId="0" applyFont="1" applyFill="1" applyBorder="1" applyAlignment="1">
      <alignment vertical="center" wrapText="1"/>
    </xf>
    <xf numFmtId="10" fontId="104" fillId="6" borderId="92" xfId="0" applyNumberFormat="1" applyFont="1" applyFill="1" applyBorder="1" applyAlignment="1">
      <alignment vertical="center" wrapText="1"/>
    </xf>
    <xf numFmtId="10" fontId="104" fillId="6" borderId="92" xfId="4" applyNumberFormat="1" applyFont="1" applyFill="1" applyBorder="1" applyAlignment="1">
      <alignment vertical="center" wrapText="1"/>
    </xf>
    <xf numFmtId="10" fontId="104" fillId="7" borderId="102" xfId="0" applyNumberFormat="1" applyFont="1" applyFill="1" applyBorder="1" applyAlignment="1">
      <alignment vertical="center" wrapText="1"/>
    </xf>
    <xf numFmtId="10" fontId="104" fillId="7" borderId="102" xfId="4" applyNumberFormat="1" applyFont="1" applyFill="1" applyBorder="1" applyAlignment="1">
      <alignment vertical="center" wrapText="1"/>
    </xf>
    <xf numFmtId="10" fontId="104" fillId="6" borderId="102" xfId="0" applyNumberFormat="1" applyFont="1" applyFill="1" applyBorder="1" applyAlignment="1">
      <alignment vertical="center" wrapText="1"/>
    </xf>
    <xf numFmtId="10" fontId="104" fillId="6" borderId="102" xfId="4" applyNumberFormat="1" applyFont="1" applyFill="1" applyBorder="1" applyAlignment="1">
      <alignment vertical="center" wrapText="1"/>
    </xf>
    <xf numFmtId="10" fontId="104" fillId="7" borderId="108" xfId="0" applyNumberFormat="1" applyFont="1" applyFill="1" applyBorder="1" applyAlignment="1">
      <alignment vertical="center" wrapText="1"/>
    </xf>
    <xf numFmtId="10" fontId="104" fillId="7" borderId="108" xfId="4" applyNumberFormat="1" applyFont="1" applyFill="1" applyBorder="1" applyAlignment="1">
      <alignment vertical="center" wrapText="1"/>
    </xf>
    <xf numFmtId="10" fontId="104" fillId="8" borderId="92" xfId="0" applyNumberFormat="1" applyFont="1" applyFill="1" applyBorder="1" applyAlignment="1">
      <alignment vertical="center" wrapText="1"/>
    </xf>
    <xf numFmtId="10" fontId="104" fillId="8" borderId="92" xfId="4" applyNumberFormat="1" applyFont="1" applyFill="1" applyBorder="1" applyAlignment="1">
      <alignment vertical="center" wrapText="1"/>
    </xf>
    <xf numFmtId="10" fontId="104" fillId="9" borderId="102" xfId="0" applyNumberFormat="1" applyFont="1" applyFill="1" applyBorder="1" applyAlignment="1">
      <alignment vertical="center" wrapText="1"/>
    </xf>
    <xf numFmtId="10" fontId="104" fillId="9" borderId="102" xfId="4" applyNumberFormat="1" applyFont="1" applyFill="1" applyBorder="1" applyAlignment="1">
      <alignment vertical="center" wrapText="1"/>
    </xf>
    <xf numFmtId="10" fontId="104" fillId="8" borderId="102" xfId="0" applyNumberFormat="1" applyFont="1" applyFill="1" applyBorder="1" applyAlignment="1">
      <alignment vertical="center" wrapText="1"/>
    </xf>
    <xf numFmtId="10" fontId="104" fillId="8" borderId="102" xfId="4" applyNumberFormat="1" applyFont="1" applyFill="1" applyBorder="1" applyAlignment="1">
      <alignment vertical="center" wrapText="1"/>
    </xf>
    <xf numFmtId="10" fontId="104" fillId="9" borderId="108" xfId="0" applyNumberFormat="1" applyFont="1" applyFill="1" applyBorder="1" applyAlignment="1">
      <alignment vertical="center" wrapText="1"/>
    </xf>
    <xf numFmtId="10" fontId="104" fillId="9" borderId="108" xfId="4" applyNumberFormat="1" applyFont="1" applyFill="1" applyBorder="1" applyAlignment="1">
      <alignment vertical="center" wrapText="1"/>
    </xf>
    <xf numFmtId="10" fontId="104" fillId="10" borderId="92" xfId="0" applyNumberFormat="1" applyFont="1" applyFill="1" applyBorder="1" applyAlignment="1">
      <alignment vertical="center" wrapText="1"/>
    </xf>
    <xf numFmtId="10" fontId="104" fillId="10" borderId="92" xfId="4" applyNumberFormat="1" applyFont="1" applyFill="1" applyBorder="1" applyAlignment="1">
      <alignment vertical="center" wrapText="1"/>
    </xf>
    <xf numFmtId="10" fontId="104" fillId="11" borderId="102" xfId="0" applyNumberFormat="1" applyFont="1" applyFill="1" applyBorder="1" applyAlignment="1">
      <alignment vertical="center" wrapText="1"/>
    </xf>
    <xf numFmtId="10" fontId="104" fillId="11" borderId="102" xfId="4" applyNumberFormat="1" applyFont="1" applyFill="1" applyBorder="1" applyAlignment="1">
      <alignment vertical="center" wrapText="1"/>
    </xf>
    <xf numFmtId="10" fontId="104" fillId="10" borderId="102" xfId="0" applyNumberFormat="1" applyFont="1" applyFill="1" applyBorder="1" applyAlignment="1">
      <alignment vertical="center" wrapText="1"/>
    </xf>
    <xf numFmtId="10" fontId="104" fillId="10" borderId="102" xfId="4" applyNumberFormat="1" applyFont="1" applyFill="1" applyBorder="1" applyAlignment="1">
      <alignment vertical="center" wrapText="1"/>
    </xf>
    <xf numFmtId="10" fontId="104" fillId="11" borderId="108" xfId="0" applyNumberFormat="1" applyFont="1" applyFill="1" applyBorder="1" applyAlignment="1">
      <alignment vertical="center" wrapText="1"/>
    </xf>
    <xf numFmtId="10" fontId="104" fillId="11" borderId="108" xfId="4" applyNumberFormat="1" applyFont="1" applyFill="1" applyBorder="1" applyAlignment="1">
      <alignment vertical="center" wrapText="1"/>
    </xf>
    <xf numFmtId="10" fontId="104" fillId="12" borderId="92" xfId="0" applyNumberFormat="1" applyFont="1" applyFill="1" applyBorder="1" applyAlignment="1">
      <alignment vertical="center" wrapText="1"/>
    </xf>
    <xf numFmtId="10" fontId="104" fillId="12" borderId="92" xfId="4" applyNumberFormat="1" applyFont="1" applyFill="1" applyBorder="1" applyAlignment="1">
      <alignment vertical="center" wrapText="1"/>
    </xf>
    <xf numFmtId="10" fontId="104" fillId="12" borderId="108" xfId="0" applyNumberFormat="1" applyFont="1" applyFill="1" applyBorder="1" applyAlignment="1">
      <alignment vertical="center" wrapText="1"/>
    </xf>
    <xf numFmtId="10" fontId="104" fillId="12" borderId="108" xfId="4" applyNumberFormat="1" applyFont="1" applyFill="1" applyBorder="1" applyAlignment="1">
      <alignment vertical="center" wrapText="1"/>
    </xf>
    <xf numFmtId="10" fontId="104" fillId="13" borderId="92" xfId="0" applyNumberFormat="1" applyFont="1" applyFill="1" applyBorder="1" applyAlignment="1">
      <alignment vertical="center" wrapText="1"/>
    </xf>
    <xf numFmtId="10" fontId="104" fillId="13" borderId="92" xfId="4" applyNumberFormat="1" applyFont="1" applyFill="1" applyBorder="1" applyAlignment="1">
      <alignment vertical="center" wrapText="1"/>
    </xf>
    <xf numFmtId="10" fontId="104" fillId="13" borderId="108" xfId="0" applyNumberFormat="1" applyFont="1" applyFill="1" applyBorder="1" applyAlignment="1">
      <alignment vertical="center" wrapText="1"/>
    </xf>
    <xf numFmtId="10" fontId="104" fillId="13" borderId="108" xfId="4" applyNumberFormat="1" applyFont="1" applyFill="1" applyBorder="1" applyAlignment="1">
      <alignment vertical="center" wrapText="1"/>
    </xf>
    <xf numFmtId="0" fontId="103" fillId="28" borderId="8" xfId="0" applyFont="1" applyFill="1" applyBorder="1" applyAlignment="1">
      <alignment vertical="center" wrapText="1"/>
    </xf>
    <xf numFmtId="10" fontId="103" fillId="28" borderId="8" xfId="4" applyNumberFormat="1" applyFont="1" applyFill="1" applyBorder="1" applyAlignment="1">
      <alignment vertical="center" wrapText="1"/>
    </xf>
    <xf numFmtId="10" fontId="104" fillId="20" borderId="18" xfId="5" applyNumberFormat="1" applyFont="1" applyFill="1" applyBorder="1" applyAlignment="1">
      <alignment horizontal="right" vertical="center" wrapText="1"/>
    </xf>
    <xf numFmtId="10" fontId="104" fillId="21" borderId="6" xfId="5" applyNumberFormat="1" applyFont="1" applyFill="1" applyBorder="1" applyAlignment="1">
      <alignment horizontal="right" vertical="center" wrapText="1"/>
    </xf>
    <xf numFmtId="10" fontId="67" fillId="28" borderId="0" xfId="0" applyNumberFormat="1" applyFont="1" applyFill="1"/>
    <xf numFmtId="10" fontId="67" fillId="28" borderId="0" xfId="5" applyNumberFormat="1" applyFont="1" applyFill="1"/>
    <xf numFmtId="0" fontId="67" fillId="28" borderId="0" xfId="0" applyFont="1" applyFill="1" applyAlignment="1">
      <alignment vertical="center" wrapText="1"/>
    </xf>
    <xf numFmtId="0" fontId="68" fillId="5" borderId="70" xfId="0" applyFont="1" applyFill="1" applyBorder="1" applyAlignment="1">
      <alignment vertical="center" wrapText="1"/>
    </xf>
    <xf numFmtId="10" fontId="105" fillId="6" borderId="92" xfId="0" applyNumberFormat="1" applyFont="1" applyFill="1" applyBorder="1" applyAlignment="1">
      <alignment vertical="center" wrapText="1"/>
    </xf>
    <xf numFmtId="10" fontId="105" fillId="7" borderId="102" xfId="0" applyNumberFormat="1" applyFont="1" applyFill="1" applyBorder="1" applyAlignment="1">
      <alignment vertical="center" wrapText="1"/>
    </xf>
    <xf numFmtId="10" fontId="105" fillId="6" borderId="102" xfId="0" applyNumberFormat="1" applyFont="1" applyFill="1" applyBorder="1" applyAlignment="1">
      <alignment vertical="center" wrapText="1"/>
    </xf>
    <xf numFmtId="10" fontId="105" fillId="7" borderId="108" xfId="0" applyNumberFormat="1" applyFont="1" applyFill="1" applyBorder="1" applyAlignment="1">
      <alignment vertical="center" wrapText="1"/>
    </xf>
    <xf numFmtId="10" fontId="105" fillId="8" borderId="92" xfId="0" applyNumberFormat="1" applyFont="1" applyFill="1" applyBorder="1" applyAlignment="1">
      <alignment vertical="center" wrapText="1"/>
    </xf>
    <xf numFmtId="10" fontId="105" fillId="9" borderId="102" xfId="0" applyNumberFormat="1" applyFont="1" applyFill="1" applyBorder="1" applyAlignment="1">
      <alignment vertical="center" wrapText="1"/>
    </xf>
    <xf numFmtId="10" fontId="105" fillId="8" borderId="102" xfId="0" applyNumberFormat="1" applyFont="1" applyFill="1" applyBorder="1" applyAlignment="1">
      <alignment vertical="center" wrapText="1"/>
    </xf>
    <xf numFmtId="10" fontId="105" fillId="9" borderId="108" xfId="0" applyNumberFormat="1" applyFont="1" applyFill="1" applyBorder="1" applyAlignment="1">
      <alignment vertical="center" wrapText="1"/>
    </xf>
    <xf numFmtId="10" fontId="105" fillId="10" borderId="92" xfId="0" applyNumberFormat="1" applyFont="1" applyFill="1" applyBorder="1" applyAlignment="1">
      <alignment vertical="center" wrapText="1"/>
    </xf>
    <xf numFmtId="10" fontId="105" fillId="11" borderId="102" xfId="0" applyNumberFormat="1" applyFont="1" applyFill="1" applyBorder="1" applyAlignment="1">
      <alignment vertical="center" wrapText="1"/>
    </xf>
    <xf numFmtId="10" fontId="105" fillId="10" borderId="102" xfId="0" applyNumberFormat="1" applyFont="1" applyFill="1" applyBorder="1" applyAlignment="1">
      <alignment vertical="center" wrapText="1"/>
    </xf>
    <xf numFmtId="10" fontId="105" fillId="11" borderId="108" xfId="0" applyNumberFormat="1" applyFont="1" applyFill="1" applyBorder="1" applyAlignment="1">
      <alignment vertical="center" wrapText="1"/>
    </xf>
    <xf numFmtId="10" fontId="105" fillId="12" borderId="92" xfId="0" applyNumberFormat="1" applyFont="1" applyFill="1" applyBorder="1" applyAlignment="1">
      <alignment vertical="center" wrapText="1"/>
    </xf>
    <xf numFmtId="10" fontId="105" fillId="12" borderId="108" xfId="0" applyNumberFormat="1" applyFont="1" applyFill="1" applyBorder="1" applyAlignment="1">
      <alignment vertical="center" wrapText="1"/>
    </xf>
    <xf numFmtId="10" fontId="105" fillId="13" borderId="92" xfId="0" applyNumberFormat="1" applyFont="1" applyFill="1" applyBorder="1" applyAlignment="1">
      <alignment vertical="center" wrapText="1"/>
    </xf>
    <xf numFmtId="10" fontId="0" fillId="43" borderId="94" xfId="0" applyNumberFormat="1" applyFill="1" applyBorder="1" applyAlignment="1">
      <alignment vertical="center" wrapText="1"/>
    </xf>
    <xf numFmtId="10" fontId="0" fillId="44" borderId="103" xfId="0" applyNumberFormat="1" applyFill="1" applyBorder="1" applyAlignment="1">
      <alignment vertical="center" wrapText="1"/>
    </xf>
    <xf numFmtId="10" fontId="0" fillId="43" borderId="103" xfId="0" applyNumberFormat="1" applyFill="1" applyBorder="1" applyAlignment="1">
      <alignment vertical="center" wrapText="1"/>
    </xf>
    <xf numFmtId="10" fontId="0" fillId="44" borderId="107" xfId="0" applyNumberFormat="1" applyFill="1" applyBorder="1" applyAlignment="1">
      <alignment vertical="center" wrapText="1"/>
    </xf>
    <xf numFmtId="10" fontId="0" fillId="30" borderId="94" xfId="0" applyNumberFormat="1" applyFill="1" applyBorder="1" applyAlignment="1">
      <alignment vertical="center" wrapText="1"/>
    </xf>
    <xf numFmtId="10" fontId="0" fillId="45" borderId="103" xfId="0" applyNumberFormat="1" applyFill="1" applyBorder="1" applyAlignment="1">
      <alignment vertical="center" wrapText="1"/>
    </xf>
    <xf numFmtId="10" fontId="0" fillId="30" borderId="103" xfId="0" applyNumberFormat="1" applyFill="1" applyBorder="1" applyAlignment="1">
      <alignment vertical="center" wrapText="1"/>
    </xf>
    <xf numFmtId="10" fontId="0" fillId="45" borderId="107" xfId="0" applyNumberFormat="1" applyFill="1" applyBorder="1" applyAlignment="1">
      <alignment vertical="center" wrapText="1"/>
    </xf>
    <xf numFmtId="10" fontId="0" fillId="46" borderId="94" xfId="0" applyNumberFormat="1" applyFill="1" applyBorder="1" applyAlignment="1">
      <alignment vertical="center" wrapText="1"/>
    </xf>
    <xf numFmtId="10" fontId="0" fillId="47" borderId="103" xfId="0" applyNumberFormat="1" applyFill="1" applyBorder="1" applyAlignment="1">
      <alignment vertical="center" wrapText="1"/>
    </xf>
    <xf numFmtId="10" fontId="0" fillId="46" borderId="103" xfId="0" applyNumberFormat="1" applyFill="1" applyBorder="1" applyAlignment="1">
      <alignment vertical="center" wrapText="1"/>
    </xf>
    <xf numFmtId="10" fontId="0" fillId="47" borderId="107" xfId="0" applyNumberFormat="1" applyFill="1" applyBorder="1" applyAlignment="1">
      <alignment vertical="center" wrapText="1"/>
    </xf>
    <xf numFmtId="10" fontId="0" fillId="14" borderId="94" xfId="0" applyNumberFormat="1" applyFill="1" applyBorder="1" applyAlignment="1">
      <alignment vertical="center" wrapText="1"/>
    </xf>
    <xf numFmtId="10" fontId="0" fillId="14" borderId="107" xfId="0" applyNumberFormat="1" applyFill="1" applyBorder="1" applyAlignment="1">
      <alignment vertical="center" wrapText="1"/>
    </xf>
    <xf numFmtId="10" fontId="0" fillId="15" borderId="94" xfId="0" applyNumberFormat="1" applyFill="1" applyBorder="1" applyAlignment="1">
      <alignment vertical="center" wrapText="1"/>
    </xf>
    <xf numFmtId="10" fontId="0" fillId="15" borderId="107" xfId="0" applyNumberFormat="1" applyFill="1" applyBorder="1" applyAlignment="1">
      <alignment vertical="center" wrapText="1"/>
    </xf>
    <xf numFmtId="10" fontId="104" fillId="43" borderId="92" xfId="0" applyNumberFormat="1" applyFont="1" applyFill="1" applyBorder="1" applyAlignment="1">
      <alignment vertical="center" wrapText="1"/>
    </xf>
    <xf numFmtId="10" fontId="104" fillId="43" borderId="92" xfId="4" applyNumberFormat="1" applyFont="1" applyFill="1" applyBorder="1" applyAlignment="1">
      <alignment vertical="center" wrapText="1"/>
    </xf>
    <xf numFmtId="10" fontId="104" fillId="44" borderId="102" xfId="0" applyNumberFormat="1" applyFont="1" applyFill="1" applyBorder="1" applyAlignment="1">
      <alignment vertical="center" wrapText="1"/>
    </xf>
    <xf numFmtId="10" fontId="104" fillId="44" borderId="102" xfId="4" applyNumberFormat="1" applyFont="1" applyFill="1" applyBorder="1" applyAlignment="1">
      <alignment vertical="center" wrapText="1"/>
    </xf>
    <xf numFmtId="10" fontId="104" fillId="43" borderId="102" xfId="0" applyNumberFormat="1" applyFont="1" applyFill="1" applyBorder="1" applyAlignment="1">
      <alignment vertical="center" wrapText="1"/>
    </xf>
    <xf numFmtId="10" fontId="104" fillId="43" borderId="102" xfId="4" applyNumberFormat="1" applyFont="1" applyFill="1" applyBorder="1" applyAlignment="1">
      <alignment vertical="center" wrapText="1"/>
    </xf>
    <xf numFmtId="10" fontId="104" fillId="44" borderId="108" xfId="0" applyNumberFormat="1" applyFont="1" applyFill="1" applyBorder="1" applyAlignment="1">
      <alignment vertical="center" wrapText="1"/>
    </xf>
    <xf numFmtId="10" fontId="104" fillId="44" borderId="108" xfId="4" applyNumberFormat="1" applyFont="1" applyFill="1" applyBorder="1" applyAlignment="1">
      <alignment vertical="center" wrapText="1"/>
    </xf>
    <xf numFmtId="10" fontId="104" fillId="30" borderId="92" xfId="0" applyNumberFormat="1" applyFont="1" applyFill="1" applyBorder="1" applyAlignment="1">
      <alignment vertical="center" wrapText="1"/>
    </xf>
    <xf numFmtId="10" fontId="104" fillId="30" borderId="92" xfId="4" applyNumberFormat="1" applyFont="1" applyFill="1" applyBorder="1" applyAlignment="1">
      <alignment vertical="center" wrapText="1"/>
    </xf>
    <xf numFmtId="10" fontId="104" fillId="45" borderId="102" xfId="0" applyNumberFormat="1" applyFont="1" applyFill="1" applyBorder="1" applyAlignment="1">
      <alignment vertical="center" wrapText="1"/>
    </xf>
    <xf numFmtId="10" fontId="104" fillId="45" borderId="102" xfId="4" applyNumberFormat="1" applyFont="1" applyFill="1" applyBorder="1" applyAlignment="1">
      <alignment vertical="center" wrapText="1"/>
    </xf>
    <xf numFmtId="10" fontId="104" fillId="30" borderId="102" xfId="0" applyNumberFormat="1" applyFont="1" applyFill="1" applyBorder="1" applyAlignment="1">
      <alignment vertical="center" wrapText="1"/>
    </xf>
    <xf numFmtId="10" fontId="104" fillId="30" borderId="102" xfId="4" applyNumberFormat="1" applyFont="1" applyFill="1" applyBorder="1" applyAlignment="1">
      <alignment vertical="center" wrapText="1"/>
    </xf>
    <xf numFmtId="10" fontId="104" fillId="45" borderId="108" xfId="0" applyNumberFormat="1" applyFont="1" applyFill="1" applyBorder="1" applyAlignment="1">
      <alignment vertical="center" wrapText="1"/>
    </xf>
    <xf numFmtId="10" fontId="104" fillId="45" borderId="108" xfId="4" applyNumberFormat="1" applyFont="1" applyFill="1" applyBorder="1" applyAlignment="1">
      <alignment vertical="center" wrapText="1"/>
    </xf>
    <xf numFmtId="10" fontId="104" fillId="46" borderId="92" xfId="0" applyNumberFormat="1" applyFont="1" applyFill="1" applyBorder="1" applyAlignment="1">
      <alignment vertical="center" wrapText="1"/>
    </xf>
    <xf numFmtId="10" fontId="104" fillId="46" borderId="92" xfId="4" applyNumberFormat="1" applyFont="1" applyFill="1" applyBorder="1" applyAlignment="1">
      <alignment vertical="center" wrapText="1"/>
    </xf>
    <xf numFmtId="10" fontId="104" fillId="47" borderId="102" xfId="0" applyNumberFormat="1" applyFont="1" applyFill="1" applyBorder="1" applyAlignment="1">
      <alignment vertical="center" wrapText="1"/>
    </xf>
    <xf numFmtId="10" fontId="104" fillId="47" borderId="102" xfId="4" applyNumberFormat="1" applyFont="1" applyFill="1" applyBorder="1" applyAlignment="1">
      <alignment vertical="center" wrapText="1"/>
    </xf>
    <xf numFmtId="10" fontId="104" fillId="46" borderId="102" xfId="0" applyNumberFormat="1" applyFont="1" applyFill="1" applyBorder="1" applyAlignment="1">
      <alignment vertical="center" wrapText="1"/>
    </xf>
    <xf numFmtId="10" fontId="104" fillId="46" borderId="102" xfId="4" applyNumberFormat="1" applyFont="1" applyFill="1" applyBorder="1" applyAlignment="1">
      <alignment vertical="center" wrapText="1"/>
    </xf>
    <xf numFmtId="10" fontId="104" fillId="47" borderId="108" xfId="0" applyNumberFormat="1" applyFont="1" applyFill="1" applyBorder="1" applyAlignment="1">
      <alignment vertical="center" wrapText="1"/>
    </xf>
    <xf numFmtId="10" fontId="104" fillId="47" borderId="108" xfId="4" applyNumberFormat="1" applyFont="1" applyFill="1" applyBorder="1" applyAlignment="1">
      <alignment vertical="center" wrapText="1"/>
    </xf>
    <xf numFmtId="10" fontId="104" fillId="14" borderId="92" xfId="0" applyNumberFormat="1" applyFont="1" applyFill="1" applyBorder="1" applyAlignment="1">
      <alignment vertical="center" wrapText="1"/>
    </xf>
    <xf numFmtId="10" fontId="104" fillId="14" borderId="92" xfId="4" applyNumberFormat="1" applyFont="1" applyFill="1" applyBorder="1" applyAlignment="1">
      <alignment vertical="center" wrapText="1"/>
    </xf>
    <xf numFmtId="10" fontId="104" fillId="14" borderId="108" xfId="0" applyNumberFormat="1" applyFont="1" applyFill="1" applyBorder="1" applyAlignment="1">
      <alignment vertical="center" wrapText="1"/>
    </xf>
    <xf numFmtId="10" fontId="104" fillId="14" borderId="108" xfId="4" applyNumberFormat="1" applyFont="1" applyFill="1" applyBorder="1" applyAlignment="1">
      <alignment vertical="center" wrapText="1"/>
    </xf>
    <xf numFmtId="10" fontId="104" fillId="15" borderId="92" xfId="0" applyNumberFormat="1" applyFont="1" applyFill="1" applyBorder="1" applyAlignment="1">
      <alignment vertical="center" wrapText="1"/>
    </xf>
    <xf numFmtId="10" fontId="104" fillId="15" borderId="92" xfId="4" applyNumberFormat="1" applyFont="1" applyFill="1" applyBorder="1" applyAlignment="1">
      <alignment vertical="center" wrapText="1"/>
    </xf>
    <xf numFmtId="10" fontId="104" fillId="15" borderId="108" xfId="0" applyNumberFormat="1" applyFont="1" applyFill="1" applyBorder="1" applyAlignment="1">
      <alignment vertical="center" wrapText="1"/>
    </xf>
    <xf numFmtId="10" fontId="104" fillId="15" borderId="108" xfId="4" applyNumberFormat="1" applyFont="1" applyFill="1" applyBorder="1" applyAlignment="1">
      <alignment vertical="center" wrapText="1"/>
    </xf>
    <xf numFmtId="0" fontId="0" fillId="48" borderId="3" xfId="0" applyFont="1" applyFill="1" applyBorder="1" applyAlignment="1">
      <alignment horizontal="center" vertical="center" wrapText="1"/>
    </xf>
    <xf numFmtId="0" fontId="37" fillId="8" borderId="2" xfId="3" applyFont="1" applyFill="1" applyBorder="1" applyAlignment="1">
      <alignment horizontal="center" vertical="center"/>
    </xf>
    <xf numFmtId="0" fontId="68" fillId="28" borderId="33" xfId="0" applyFont="1" applyFill="1" applyBorder="1" applyAlignment="1">
      <alignment vertical="center" wrapText="1"/>
    </xf>
    <xf numFmtId="10" fontId="0" fillId="15" borderId="145" xfId="0" applyNumberFormat="1" applyFill="1" applyBorder="1" applyAlignment="1">
      <alignment vertical="center" wrapText="1"/>
    </xf>
    <xf numFmtId="10" fontId="79" fillId="6" borderId="97" xfId="5" applyNumberFormat="1" applyFont="1" applyFill="1" applyBorder="1" applyAlignment="1">
      <alignment horizontal="center" vertical="center"/>
    </xf>
    <xf numFmtId="10" fontId="79" fillId="7" borderId="97" xfId="5" applyNumberFormat="1" applyFont="1" applyFill="1" applyBorder="1" applyAlignment="1">
      <alignment horizontal="center" vertical="center"/>
    </xf>
    <xf numFmtId="10" fontId="79" fillId="7" borderId="106" xfId="5" applyNumberFormat="1" applyFont="1" applyFill="1" applyBorder="1" applyAlignment="1">
      <alignment horizontal="center" vertical="center"/>
    </xf>
    <xf numFmtId="10" fontId="79" fillId="8" borderId="97" xfId="5" applyNumberFormat="1" applyFont="1" applyFill="1" applyBorder="1" applyAlignment="1">
      <alignment horizontal="center" vertical="center"/>
    </xf>
    <xf numFmtId="10" fontId="79" fillId="9" borderId="97" xfId="5" applyNumberFormat="1" applyFont="1" applyFill="1" applyBorder="1" applyAlignment="1">
      <alignment horizontal="center" vertical="center"/>
    </xf>
    <xf numFmtId="10" fontId="79" fillId="9" borderId="106" xfId="5" applyNumberFormat="1" applyFont="1" applyFill="1" applyBorder="1" applyAlignment="1">
      <alignment horizontal="center" vertical="center"/>
    </xf>
    <xf numFmtId="10" fontId="79" fillId="10" borderId="97" xfId="5" applyNumberFormat="1" applyFont="1" applyFill="1" applyBorder="1" applyAlignment="1">
      <alignment horizontal="center" vertical="center"/>
    </xf>
    <xf numFmtId="10" fontId="79" fillId="11" borderId="97" xfId="5" applyNumberFormat="1" applyFont="1" applyFill="1" applyBorder="1" applyAlignment="1">
      <alignment horizontal="center" vertical="center"/>
    </xf>
    <xf numFmtId="10" fontId="79" fillId="11" borderId="106" xfId="5" applyNumberFormat="1" applyFont="1" applyFill="1" applyBorder="1" applyAlignment="1">
      <alignment horizontal="center" vertical="center"/>
    </xf>
    <xf numFmtId="10" fontId="79" fillId="12" borderId="97" xfId="5" applyNumberFormat="1" applyFont="1" applyFill="1" applyBorder="1" applyAlignment="1">
      <alignment horizontal="center" vertical="center"/>
    </xf>
    <xf numFmtId="10" fontId="79" fillId="12" borderId="106" xfId="5" applyNumberFormat="1" applyFont="1" applyFill="1" applyBorder="1" applyAlignment="1">
      <alignment horizontal="center" vertical="center"/>
    </xf>
    <xf numFmtId="10" fontId="79" fillId="13" borderId="97" xfId="5" applyNumberFormat="1" applyFont="1" applyFill="1" applyBorder="1" applyAlignment="1">
      <alignment horizontal="center" vertical="center"/>
    </xf>
    <xf numFmtId="10" fontId="66" fillId="20" borderId="10" xfId="5" applyNumberFormat="1" applyFont="1" applyFill="1" applyBorder="1" applyAlignment="1">
      <alignment horizontal="center" vertical="center" wrapText="1"/>
    </xf>
    <xf numFmtId="10" fontId="66" fillId="21" borderId="4" xfId="5" applyNumberFormat="1" applyFont="1" applyFill="1" applyBorder="1" applyAlignment="1">
      <alignment horizontal="center" vertical="center" wrapText="1"/>
    </xf>
    <xf numFmtId="10" fontId="79" fillId="6" borderId="97" xfId="5" applyNumberFormat="1" applyFont="1" applyFill="1" applyBorder="1" applyAlignment="1">
      <alignment horizontal="center" vertical="center" wrapText="1"/>
    </xf>
    <xf numFmtId="10" fontId="79" fillId="7" borderId="97" xfId="5" applyNumberFormat="1" applyFont="1" applyFill="1" applyBorder="1" applyAlignment="1">
      <alignment horizontal="center" vertical="center" wrapText="1"/>
    </xf>
    <xf numFmtId="10" fontId="79" fillId="7" borderId="106" xfId="5" applyNumberFormat="1" applyFont="1" applyFill="1" applyBorder="1" applyAlignment="1">
      <alignment horizontal="center" vertical="center" wrapText="1"/>
    </xf>
    <xf numFmtId="10" fontId="79" fillId="8" borderId="97" xfId="5" applyNumberFormat="1" applyFont="1" applyFill="1" applyBorder="1" applyAlignment="1">
      <alignment horizontal="center" vertical="center" wrapText="1"/>
    </xf>
    <xf numFmtId="10" fontId="79" fillId="9" borderId="97" xfId="5" applyNumberFormat="1" applyFont="1" applyFill="1" applyBorder="1" applyAlignment="1">
      <alignment horizontal="center" vertical="center" wrapText="1"/>
    </xf>
    <xf numFmtId="10" fontId="79" fillId="9" borderId="106" xfId="5" applyNumberFormat="1" applyFont="1" applyFill="1" applyBorder="1" applyAlignment="1">
      <alignment horizontal="center" vertical="center" wrapText="1"/>
    </xf>
    <xf numFmtId="10" fontId="79" fillId="10" borderId="97" xfId="5" applyNumberFormat="1" applyFont="1" applyFill="1" applyBorder="1" applyAlignment="1">
      <alignment horizontal="center" vertical="center" wrapText="1"/>
    </xf>
    <xf numFmtId="10" fontId="79" fillId="11" borderId="97" xfId="5" applyNumberFormat="1" applyFont="1" applyFill="1" applyBorder="1" applyAlignment="1">
      <alignment horizontal="center" vertical="center" wrapText="1"/>
    </xf>
    <xf numFmtId="10" fontId="79" fillId="11" borderId="106" xfId="5" applyNumberFormat="1" applyFont="1" applyFill="1" applyBorder="1" applyAlignment="1">
      <alignment horizontal="center" vertical="center" wrapText="1"/>
    </xf>
    <xf numFmtId="10" fontId="79" fillId="12" borderId="97" xfId="5" applyNumberFormat="1" applyFont="1" applyFill="1" applyBorder="1" applyAlignment="1">
      <alignment horizontal="center" vertical="center" wrapText="1"/>
    </xf>
    <xf numFmtId="10" fontId="79" fillId="12" borderId="106" xfId="5" applyNumberFormat="1" applyFont="1" applyFill="1" applyBorder="1" applyAlignment="1">
      <alignment horizontal="center" vertical="center" wrapText="1"/>
    </xf>
    <xf numFmtId="10" fontId="79" fillId="13" borderId="97" xfId="5" applyNumberFormat="1" applyFont="1" applyFill="1" applyBorder="1" applyAlignment="1">
      <alignment horizontal="center" vertical="center" wrapText="1"/>
    </xf>
    <xf numFmtId="10" fontId="66" fillId="20" borderId="2" xfId="5" applyNumberFormat="1" applyFont="1" applyFill="1" applyBorder="1" applyAlignment="1">
      <alignment horizontal="center" vertical="center" wrapText="1"/>
    </xf>
    <xf numFmtId="166" fontId="79" fillId="6" borderId="97" xfId="5" applyNumberFormat="1" applyFont="1" applyFill="1" applyBorder="1" applyAlignment="1">
      <alignment horizontal="center" vertical="center"/>
    </xf>
    <xf numFmtId="166" fontId="79" fillId="7" borderId="97" xfId="5" applyNumberFormat="1" applyFont="1" applyFill="1" applyBorder="1" applyAlignment="1">
      <alignment horizontal="center" vertical="center"/>
    </xf>
    <xf numFmtId="166" fontId="79" fillId="7" borderId="106" xfId="5" applyNumberFormat="1" applyFont="1" applyFill="1" applyBorder="1" applyAlignment="1">
      <alignment horizontal="center" vertical="center"/>
    </xf>
    <xf numFmtId="166" fontId="79" fillId="8" borderId="97" xfId="5" applyNumberFormat="1" applyFont="1" applyFill="1" applyBorder="1" applyAlignment="1">
      <alignment horizontal="center" vertical="center"/>
    </xf>
    <xf numFmtId="166" fontId="79" fillId="9" borderId="97" xfId="5" applyNumberFormat="1" applyFont="1" applyFill="1" applyBorder="1" applyAlignment="1">
      <alignment horizontal="center" vertical="center"/>
    </xf>
    <xf numFmtId="166" fontId="79" fillId="9" borderId="106" xfId="5" applyNumberFormat="1" applyFont="1" applyFill="1" applyBorder="1" applyAlignment="1">
      <alignment horizontal="center" vertical="center"/>
    </xf>
    <xf numFmtId="166" fontId="79" fillId="10" borderId="97" xfId="5" applyNumberFormat="1" applyFont="1" applyFill="1" applyBorder="1" applyAlignment="1">
      <alignment horizontal="center" vertical="center"/>
    </xf>
    <xf numFmtId="166" fontId="79" fillId="11" borderId="97" xfId="5" applyNumberFormat="1" applyFont="1" applyFill="1" applyBorder="1" applyAlignment="1">
      <alignment horizontal="center" vertical="center"/>
    </xf>
    <xf numFmtId="166" fontId="79" fillId="11" borderId="106" xfId="5" applyNumberFormat="1" applyFont="1" applyFill="1" applyBorder="1" applyAlignment="1">
      <alignment horizontal="center" vertical="center"/>
    </xf>
    <xf numFmtId="166" fontId="79" fillId="12" borderId="97" xfId="5" applyNumberFormat="1" applyFont="1" applyFill="1" applyBorder="1" applyAlignment="1">
      <alignment horizontal="center" vertical="center"/>
    </xf>
    <xf numFmtId="166" fontId="79" fillId="12" borderId="106" xfId="5" applyNumberFormat="1" applyFont="1" applyFill="1" applyBorder="1" applyAlignment="1">
      <alignment horizontal="center" vertical="center"/>
    </xf>
    <xf numFmtId="166" fontId="79" fillId="13" borderId="97" xfId="5" applyNumberFormat="1" applyFont="1" applyFill="1" applyBorder="1" applyAlignment="1">
      <alignment horizontal="center" vertical="center"/>
    </xf>
    <xf numFmtId="166" fontId="79" fillId="13" borderId="120" xfId="5" applyNumberFormat="1" applyFont="1" applyFill="1" applyBorder="1" applyAlignment="1">
      <alignment horizontal="center" vertical="center"/>
    </xf>
    <xf numFmtId="10" fontId="79" fillId="13" borderId="120" xfId="5" applyNumberFormat="1" applyFont="1" applyFill="1" applyBorder="1" applyAlignment="1">
      <alignment horizontal="center" vertical="center"/>
    </xf>
    <xf numFmtId="10" fontId="0" fillId="13" borderId="145" xfId="0" applyNumberFormat="1" applyFill="1" applyBorder="1" applyAlignment="1">
      <alignment vertical="center" wrapText="1"/>
    </xf>
    <xf numFmtId="10" fontId="79" fillId="13" borderId="120" xfId="5" applyNumberFormat="1" applyFont="1" applyFill="1" applyBorder="1" applyAlignment="1">
      <alignment horizontal="center" vertical="center" wrapText="1"/>
    </xf>
    <xf numFmtId="0" fontId="0" fillId="20" borderId="18" xfId="0" applyFont="1" applyFill="1" applyBorder="1" applyAlignment="1">
      <alignment horizontal="center" vertical="center" wrapText="1"/>
    </xf>
    <xf numFmtId="10" fontId="79" fillId="6" borderId="100" xfId="5" applyNumberFormat="1" applyFont="1" applyFill="1" applyBorder="1" applyAlignment="1">
      <alignment vertical="center"/>
    </xf>
    <xf numFmtId="10" fontId="79" fillId="7" borderId="100" xfId="5" applyNumberFormat="1" applyFont="1" applyFill="1" applyBorder="1" applyAlignment="1">
      <alignment vertical="center"/>
    </xf>
    <xf numFmtId="10" fontId="79" fillId="7" borderId="146" xfId="5" applyNumberFormat="1" applyFont="1" applyFill="1" applyBorder="1" applyAlignment="1">
      <alignment vertical="center"/>
    </xf>
    <xf numFmtId="10" fontId="79" fillId="8" borderId="100" xfId="5" applyNumberFormat="1" applyFont="1" applyFill="1" applyBorder="1" applyAlignment="1">
      <alignment vertical="center"/>
    </xf>
    <xf numFmtId="10" fontId="79" fillId="9" borderId="100" xfId="5" applyNumberFormat="1" applyFont="1" applyFill="1" applyBorder="1" applyAlignment="1">
      <alignment vertical="center"/>
    </xf>
    <xf numFmtId="10" fontId="79" fillId="9" borderId="146" xfId="5" applyNumberFormat="1" applyFont="1" applyFill="1" applyBorder="1" applyAlignment="1">
      <alignment vertical="center"/>
    </xf>
    <xf numFmtId="10" fontId="79" fillId="10" borderId="100" xfId="5" applyNumberFormat="1" applyFont="1" applyFill="1" applyBorder="1" applyAlignment="1">
      <alignment vertical="center"/>
    </xf>
    <xf numFmtId="10" fontId="79" fillId="11" borderId="100" xfId="5" applyNumberFormat="1" applyFont="1" applyFill="1" applyBorder="1" applyAlignment="1">
      <alignment vertical="center"/>
    </xf>
    <xf numFmtId="10" fontId="79" fillId="11" borderId="146" xfId="5" applyNumberFormat="1" applyFont="1" applyFill="1" applyBorder="1" applyAlignment="1">
      <alignment vertical="center"/>
    </xf>
    <xf numFmtId="10" fontId="79" fillId="12" borderId="100" xfId="5" applyNumberFormat="1" applyFont="1" applyFill="1" applyBorder="1" applyAlignment="1">
      <alignment vertical="center"/>
    </xf>
    <xf numFmtId="10" fontId="79" fillId="12" borderId="146" xfId="5" applyNumberFormat="1" applyFont="1" applyFill="1" applyBorder="1" applyAlignment="1">
      <alignment vertical="center"/>
    </xf>
    <xf numFmtId="10" fontId="79" fillId="13" borderId="100" xfId="5" applyNumberFormat="1" applyFont="1" applyFill="1" applyBorder="1" applyAlignment="1">
      <alignment vertical="center"/>
    </xf>
    <xf numFmtId="10" fontId="79" fillId="13" borderId="122" xfId="5" applyNumberFormat="1" applyFont="1" applyFill="1" applyBorder="1" applyAlignment="1">
      <alignment vertical="center"/>
    </xf>
    <xf numFmtId="165" fontId="98" fillId="28" borderId="27" xfId="4" applyNumberFormat="1" applyFont="1" applyFill="1" applyBorder="1" applyAlignment="1">
      <alignment vertical="center" wrapText="1"/>
    </xf>
    <xf numFmtId="165" fontId="106" fillId="17" borderId="41" xfId="4" applyNumberFormat="1" applyFont="1" applyFill="1" applyBorder="1" applyAlignment="1">
      <alignment vertical="center" wrapText="1"/>
    </xf>
    <xf numFmtId="165" fontId="106" fillId="17" borderId="43" xfId="4" applyNumberFormat="1" applyFont="1" applyFill="1" applyBorder="1" applyAlignment="1">
      <alignment vertical="center" wrapText="1"/>
    </xf>
    <xf numFmtId="165" fontId="106" fillId="17" borderId="42" xfId="4" applyNumberFormat="1" applyFont="1" applyFill="1" applyBorder="1" applyAlignment="1">
      <alignment vertical="center" wrapText="1"/>
    </xf>
    <xf numFmtId="165" fontId="106" fillId="31" borderId="41" xfId="4" applyNumberFormat="1" applyFont="1" applyFill="1" applyBorder="1" applyAlignment="1">
      <alignment vertical="center" wrapText="1"/>
    </xf>
    <xf numFmtId="165" fontId="106" fillId="31" borderId="43" xfId="4" applyNumberFormat="1" applyFont="1" applyFill="1" applyBorder="1" applyAlignment="1">
      <alignment vertical="center" wrapText="1"/>
    </xf>
    <xf numFmtId="165" fontId="106" fillId="31" borderId="42" xfId="4" applyNumberFormat="1" applyFont="1" applyFill="1" applyBorder="1" applyAlignment="1">
      <alignment vertical="center" wrapText="1"/>
    </xf>
    <xf numFmtId="165" fontId="106" fillId="34" borderId="41" xfId="4" applyNumberFormat="1" applyFont="1" applyFill="1" applyBorder="1" applyAlignment="1">
      <alignment vertical="center" wrapText="1"/>
    </xf>
    <xf numFmtId="165" fontId="106" fillId="34" borderId="43" xfId="4" applyNumberFormat="1" applyFont="1" applyFill="1" applyBorder="1" applyAlignment="1">
      <alignment vertical="center" wrapText="1"/>
    </xf>
    <xf numFmtId="165" fontId="106" fillId="34" borderId="42" xfId="4" applyNumberFormat="1" applyFont="1" applyFill="1" applyBorder="1" applyAlignment="1">
      <alignment vertical="center" wrapText="1"/>
    </xf>
    <xf numFmtId="165" fontId="106" fillId="35" borderId="41" xfId="4" applyNumberFormat="1" applyFont="1" applyFill="1" applyBorder="1" applyAlignment="1">
      <alignment vertical="center" wrapText="1"/>
    </xf>
    <xf numFmtId="165" fontId="106" fillId="35" borderId="42" xfId="4" applyNumberFormat="1" applyFont="1" applyFill="1" applyBorder="1" applyAlignment="1">
      <alignment vertical="center" wrapText="1"/>
    </xf>
    <xf numFmtId="165" fontId="106" fillId="12" borderId="41" xfId="4" applyNumberFormat="1" applyFont="1" applyFill="1" applyBorder="1" applyAlignment="1">
      <alignment vertical="center" wrapText="1"/>
    </xf>
    <xf numFmtId="165" fontId="106" fillId="12" borderId="42" xfId="4" applyNumberFormat="1" applyFont="1" applyFill="1" applyBorder="1" applyAlignment="1">
      <alignment vertical="center" wrapText="1"/>
    </xf>
    <xf numFmtId="165" fontId="98" fillId="27" borderId="9" xfId="4" applyNumberFormat="1" applyFont="1" applyFill="1" applyBorder="1" applyAlignment="1">
      <alignment horizontal="center" vertical="center" wrapText="1"/>
    </xf>
    <xf numFmtId="165" fontId="98" fillId="27" borderId="17" xfId="4" applyNumberFormat="1" applyFont="1" applyFill="1" applyBorder="1" applyAlignment="1">
      <alignment horizontal="center" vertical="center" wrapText="1"/>
    </xf>
    <xf numFmtId="165" fontId="106" fillId="27" borderId="18" xfId="4" applyNumberFormat="1" applyFont="1" applyFill="1" applyBorder="1" applyAlignment="1">
      <alignment vertical="center" wrapText="1"/>
    </xf>
    <xf numFmtId="165" fontId="106" fillId="27" borderId="5" xfId="4" applyNumberFormat="1" applyFont="1" applyFill="1" applyBorder="1" applyAlignment="1">
      <alignment vertical="center" wrapText="1"/>
    </xf>
    <xf numFmtId="165" fontId="106" fillId="27" borderId="6" xfId="4" applyNumberFormat="1" applyFont="1" applyFill="1" applyBorder="1" applyAlignment="1">
      <alignment vertical="center" wrapText="1"/>
    </xf>
    <xf numFmtId="165" fontId="106" fillId="27" borderId="17" xfId="4" applyNumberFormat="1" applyFont="1" applyFill="1" applyBorder="1" applyAlignment="1">
      <alignment vertical="center" wrapText="1"/>
    </xf>
    <xf numFmtId="0" fontId="79" fillId="27" borderId="101" xfId="0" applyFont="1" applyFill="1" applyBorder="1" applyAlignment="1">
      <alignment vertical="center"/>
    </xf>
    <xf numFmtId="0" fontId="79" fillId="27" borderId="147" xfId="0" applyFont="1" applyFill="1" applyBorder="1" applyAlignment="1">
      <alignment vertical="center"/>
    </xf>
    <xf numFmtId="0" fontId="79" fillId="27" borderId="123" xfId="0" applyFont="1" applyFill="1" applyBorder="1" applyAlignment="1">
      <alignment vertical="center"/>
    </xf>
    <xf numFmtId="165" fontId="98" fillId="27" borderId="9" xfId="4" applyNumberFormat="1" applyFont="1" applyFill="1" applyBorder="1" applyAlignment="1">
      <alignment vertical="center" wrapText="1"/>
    </xf>
    <xf numFmtId="0" fontId="0" fillId="27" borderId="18" xfId="0" applyFont="1" applyFill="1" applyBorder="1" applyAlignment="1">
      <alignment horizontal="left" vertical="center" wrapText="1"/>
    </xf>
    <xf numFmtId="0" fontId="0" fillId="27" borderId="6" xfId="0" applyFont="1" applyFill="1" applyBorder="1" applyAlignment="1">
      <alignment horizontal="left" vertical="center" wrapText="1"/>
    </xf>
    <xf numFmtId="0" fontId="79" fillId="27" borderId="101" xfId="0" applyFont="1" applyFill="1" applyBorder="1" applyAlignment="1">
      <alignment vertical="center" wrapText="1"/>
    </xf>
    <xf numFmtId="0" fontId="79" fillId="27" borderId="147" xfId="0" applyFont="1" applyFill="1" applyBorder="1" applyAlignment="1">
      <alignment vertical="center" wrapText="1"/>
    </xf>
    <xf numFmtId="0" fontId="79" fillId="27" borderId="123" xfId="0" applyFont="1" applyFill="1" applyBorder="1" applyAlignment="1">
      <alignment vertical="center" wrapText="1"/>
    </xf>
    <xf numFmtId="165" fontId="98" fillId="5" borderId="58" xfId="4" applyNumberFormat="1" applyFont="1" applyFill="1" applyBorder="1" applyAlignment="1">
      <alignment horizontal="center" vertical="center" wrapText="1"/>
    </xf>
    <xf numFmtId="0" fontId="0" fillId="27" borderId="0" xfId="0" applyFill="1" applyBorder="1"/>
    <xf numFmtId="0" fontId="68" fillId="28" borderId="59" xfId="0" applyFont="1" applyFill="1" applyBorder="1" applyAlignment="1">
      <alignment vertical="center" wrapText="1"/>
    </xf>
    <xf numFmtId="0" fontId="68" fillId="28" borderId="31" xfId="0" applyFont="1" applyFill="1" applyBorder="1" applyAlignment="1">
      <alignment vertical="center" wrapText="1"/>
    </xf>
    <xf numFmtId="0" fontId="68" fillId="49" borderId="129" xfId="0" applyFont="1" applyFill="1" applyBorder="1" applyAlignment="1">
      <alignment horizontal="center" vertical="center" wrapText="1"/>
    </xf>
    <xf numFmtId="0" fontId="91" fillId="20" borderId="148" xfId="0" applyFont="1" applyFill="1" applyBorder="1" applyAlignment="1">
      <alignment horizontal="center" vertical="center"/>
    </xf>
    <xf numFmtId="0" fontId="91" fillId="21" borderId="149" xfId="0" applyFont="1" applyFill="1" applyBorder="1" applyAlignment="1">
      <alignment horizontal="center" vertical="center"/>
    </xf>
    <xf numFmtId="0" fontId="80" fillId="7" borderId="98" xfId="0" applyFont="1" applyFill="1" applyBorder="1" applyAlignment="1">
      <alignment horizontal="left" vertical="center"/>
    </xf>
    <xf numFmtId="0" fontId="80" fillId="6" borderId="98" xfId="0" applyFont="1" applyFill="1" applyBorder="1" applyAlignment="1">
      <alignment horizontal="left" vertical="center"/>
    </xf>
    <xf numFmtId="0" fontId="80" fillId="8" borderId="98" xfId="0" applyFont="1" applyFill="1" applyBorder="1" applyAlignment="1">
      <alignment horizontal="left" vertical="center"/>
    </xf>
    <xf numFmtId="0" fontId="80" fillId="9" borderId="98" xfId="0" applyFont="1" applyFill="1" applyBorder="1" applyAlignment="1">
      <alignment horizontal="left" vertical="center"/>
    </xf>
    <xf numFmtId="0" fontId="91" fillId="9" borderId="150" xfId="0" applyFont="1" applyFill="1" applyBorder="1" applyAlignment="1">
      <alignment horizontal="center" vertical="center"/>
    </xf>
    <xf numFmtId="0" fontId="80" fillId="10" borderId="98" xfId="0" applyFont="1" applyFill="1" applyBorder="1" applyAlignment="1">
      <alignment horizontal="left" vertical="center"/>
    </xf>
    <xf numFmtId="0" fontId="80" fillId="11" borderId="98" xfId="0" applyFont="1" applyFill="1" applyBorder="1" applyAlignment="1">
      <alignment horizontal="left" vertical="center"/>
    </xf>
    <xf numFmtId="0" fontId="68" fillId="6" borderId="129" xfId="0" applyFont="1" applyFill="1" applyBorder="1" applyAlignment="1">
      <alignment vertical="center"/>
    </xf>
    <xf numFmtId="0" fontId="0" fillId="48" borderId="2"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68"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07" fillId="13" borderId="151" xfId="0" applyFont="1" applyFill="1" applyBorder="1" applyAlignment="1">
      <alignment vertical="center"/>
    </xf>
    <xf numFmtId="0" fontId="107" fillId="13" borderId="54" xfId="0" applyFont="1" applyFill="1" applyBorder="1" applyAlignment="1">
      <alignment vertical="center"/>
    </xf>
    <xf numFmtId="0" fontId="107" fillId="13" borderId="151" xfId="0" applyFont="1" applyFill="1" applyBorder="1" applyAlignment="1">
      <alignment horizontal="center" vertical="center"/>
    </xf>
    <xf numFmtId="0" fontId="107" fillId="13" borderId="54" xfId="0" applyFont="1" applyFill="1"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0"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8" xfId="0" applyBorder="1" applyAlignment="1">
      <alignment horizontal="center" vertical="center"/>
    </xf>
    <xf numFmtId="0" fontId="0" fillId="0" borderId="24" xfId="0" applyBorder="1" applyAlignment="1">
      <alignment horizontal="center" vertical="center"/>
    </xf>
    <xf numFmtId="0" fontId="0" fillId="28" borderId="59" xfId="0" applyFont="1" applyFill="1" applyBorder="1" applyAlignment="1">
      <alignment horizontal="center" vertical="center" wrapText="1"/>
    </xf>
    <xf numFmtId="0" fontId="0" fillId="28" borderId="59" xfId="0" applyFont="1" applyFill="1" applyBorder="1" applyAlignment="1">
      <alignment vertical="center" wrapText="1"/>
    </xf>
    <xf numFmtId="0" fontId="97" fillId="28" borderId="59" xfId="0" applyFont="1" applyFill="1" applyBorder="1" applyAlignment="1">
      <alignment vertical="center" wrapText="1"/>
    </xf>
    <xf numFmtId="0" fontId="0" fillId="28" borderId="59" xfId="0" applyFont="1" applyFill="1" applyBorder="1" applyAlignment="1">
      <alignment horizontal="right" vertical="center" wrapText="1"/>
    </xf>
    <xf numFmtId="10" fontId="66" fillId="28" borderId="59" xfId="5" applyNumberFormat="1" applyFont="1" applyFill="1" applyBorder="1" applyAlignment="1">
      <alignment vertical="center" wrapText="1"/>
    </xf>
    <xf numFmtId="10" fontId="0" fillId="28" borderId="59" xfId="0" applyNumberFormat="1" applyFont="1" applyFill="1" applyBorder="1" applyAlignment="1">
      <alignment vertical="center" wrapText="1"/>
    </xf>
    <xf numFmtId="169" fontId="0" fillId="28" borderId="59" xfId="0" applyNumberFormat="1" applyFont="1" applyFill="1" applyBorder="1" applyAlignment="1">
      <alignment vertical="center" wrapText="1"/>
    </xf>
    <xf numFmtId="175" fontId="0" fillId="28" borderId="59" xfId="0" applyNumberFormat="1" applyFont="1" applyFill="1" applyBorder="1" applyAlignment="1">
      <alignment horizontal="right" vertical="center" wrapText="1"/>
    </xf>
    <xf numFmtId="175" fontId="0" fillId="28" borderId="59" xfId="0" applyNumberFormat="1" applyFont="1" applyFill="1" applyBorder="1" applyAlignment="1">
      <alignment vertical="center" wrapText="1"/>
    </xf>
    <xf numFmtId="177" fontId="106" fillId="28" borderId="59" xfId="5" applyNumberFormat="1" applyFont="1" applyFill="1" applyBorder="1" applyAlignment="1">
      <alignment vertical="center" wrapText="1"/>
    </xf>
    <xf numFmtId="177" fontId="106" fillId="28" borderId="60" xfId="5" applyNumberFormat="1" applyFont="1" applyFill="1" applyBorder="1" applyAlignment="1">
      <alignment vertical="center" wrapText="1"/>
    </xf>
    <xf numFmtId="177" fontId="106" fillId="28" borderId="71" xfId="5" applyNumberFormat="1" applyFont="1" applyFill="1" applyBorder="1" applyAlignment="1">
      <alignment vertical="center" wrapText="1"/>
    </xf>
    <xf numFmtId="165" fontId="106" fillId="28" borderId="59" xfId="4" applyNumberFormat="1" applyFont="1" applyFill="1" applyBorder="1" applyAlignment="1">
      <alignment vertical="center" wrapText="1"/>
    </xf>
    <xf numFmtId="165" fontId="106" fillId="28" borderId="60" xfId="4" applyNumberFormat="1" applyFont="1" applyFill="1" applyBorder="1" applyAlignment="1">
      <alignment vertical="center" wrapText="1"/>
    </xf>
    <xf numFmtId="10" fontId="66" fillId="28" borderId="21" xfId="5" applyNumberFormat="1" applyFont="1" applyFill="1" applyBorder="1" applyAlignment="1">
      <alignment vertical="center" wrapText="1"/>
    </xf>
    <xf numFmtId="10" fontId="104" fillId="28" borderId="8" xfId="5" applyNumberFormat="1" applyFont="1" applyFill="1" applyBorder="1" applyAlignment="1">
      <alignment vertical="center" wrapText="1"/>
    </xf>
    <xf numFmtId="10" fontId="66" fillId="28" borderId="8" xfId="5" applyNumberFormat="1" applyFont="1" applyFill="1" applyBorder="1" applyAlignment="1">
      <alignment vertical="center" wrapText="1"/>
    </xf>
    <xf numFmtId="10" fontId="66" fillId="28" borderId="8" xfId="5" applyNumberFormat="1" applyFont="1" applyFill="1" applyBorder="1" applyAlignment="1">
      <alignment vertical="center" wrapText="1"/>
    </xf>
    <xf numFmtId="165" fontId="98" fillId="28" borderId="9" xfId="4" applyNumberFormat="1" applyFont="1" applyFill="1" applyBorder="1" applyAlignment="1">
      <alignment vertical="center" wrapText="1"/>
    </xf>
    <xf numFmtId="165" fontId="98" fillId="28" borderId="27" xfId="4" applyNumberFormat="1" applyFont="1" applyFill="1" applyBorder="1" applyAlignment="1">
      <alignment horizontal="center" vertical="center" wrapText="1"/>
    </xf>
    <xf numFmtId="0" fontId="68" fillId="28" borderId="21" xfId="0" applyFont="1" applyFill="1" applyBorder="1" applyAlignment="1">
      <alignment vertical="center" wrapText="1"/>
    </xf>
    <xf numFmtId="10" fontId="68" fillId="28" borderId="72" xfId="4" applyNumberFormat="1" applyFont="1" applyFill="1" applyBorder="1" applyAlignment="1">
      <alignment vertical="center" wrapText="1"/>
    </xf>
    <xf numFmtId="0" fontId="68" fillId="28" borderId="73" xfId="0" applyFont="1" applyFill="1" applyBorder="1" applyAlignment="1">
      <alignment vertical="center" wrapText="1"/>
    </xf>
    <xf numFmtId="0" fontId="68" fillId="28" borderId="8" xfId="0" applyFont="1" applyFill="1" applyBorder="1" applyAlignment="1">
      <alignment horizontal="center" vertical="center" wrapText="1"/>
    </xf>
    <xf numFmtId="0" fontId="97" fillId="28" borderId="8" xfId="0" applyFont="1" applyFill="1" applyBorder="1" applyAlignment="1">
      <alignment vertical="center" wrapText="1"/>
    </xf>
    <xf numFmtId="177" fontId="106" fillId="22" borderId="18" xfId="5" applyNumberFormat="1" applyFont="1" applyFill="1" applyBorder="1" applyAlignment="1">
      <alignment vertical="center" wrapText="1"/>
    </xf>
    <xf numFmtId="177" fontId="106" fillId="22" borderId="5" xfId="5" applyNumberFormat="1" applyFont="1" applyFill="1" applyBorder="1" applyAlignment="1">
      <alignment vertical="center" wrapText="1"/>
    </xf>
    <xf numFmtId="177" fontId="106" fillId="22" borderId="6" xfId="5" applyNumberFormat="1" applyFont="1" applyFill="1" applyBorder="1" applyAlignment="1">
      <alignment vertical="center" wrapText="1"/>
    </xf>
    <xf numFmtId="165" fontId="106" fillId="22" borderId="18" xfId="5" applyNumberFormat="1" applyFont="1" applyFill="1" applyBorder="1" applyAlignment="1">
      <alignment vertical="center" wrapText="1"/>
    </xf>
    <xf numFmtId="165" fontId="106" fillId="22" borderId="5" xfId="5" applyNumberFormat="1" applyFont="1" applyFill="1" applyBorder="1" applyAlignment="1">
      <alignment vertical="center" wrapText="1"/>
    </xf>
    <xf numFmtId="165" fontId="106" fillId="22" borderId="6" xfId="5" applyNumberFormat="1" applyFont="1" applyFill="1" applyBorder="1" applyAlignment="1">
      <alignment vertical="center" wrapText="1"/>
    </xf>
    <xf numFmtId="170" fontId="106" fillId="22" borderId="18" xfId="5" applyNumberFormat="1" applyFont="1" applyFill="1" applyBorder="1" applyAlignment="1">
      <alignment vertical="center" wrapText="1"/>
    </xf>
    <xf numFmtId="170" fontId="106" fillId="22" borderId="5" xfId="5" applyNumberFormat="1" applyFont="1" applyFill="1" applyBorder="1" applyAlignment="1">
      <alignment vertical="center" wrapText="1"/>
    </xf>
    <xf numFmtId="170" fontId="106" fillId="22" borderId="6" xfId="5" applyNumberFormat="1" applyFont="1" applyFill="1" applyBorder="1" applyAlignment="1">
      <alignment vertical="center" wrapText="1"/>
    </xf>
    <xf numFmtId="177" fontId="106" fillId="0" borderId="18" xfId="5" applyNumberFormat="1" applyFont="1" applyFill="1" applyBorder="1" applyAlignment="1">
      <alignment vertical="center" wrapText="1"/>
    </xf>
    <xf numFmtId="177" fontId="106" fillId="0" borderId="5" xfId="5" applyNumberFormat="1" applyFont="1" applyFill="1" applyBorder="1" applyAlignment="1">
      <alignment vertical="center" wrapText="1"/>
    </xf>
    <xf numFmtId="177" fontId="106" fillId="0" borderId="6" xfId="5" applyNumberFormat="1" applyFont="1" applyFill="1" applyBorder="1" applyAlignment="1">
      <alignment vertical="center" wrapText="1"/>
    </xf>
    <xf numFmtId="165" fontId="106" fillId="0" borderId="18" xfId="5" applyNumberFormat="1" applyFont="1" applyFill="1" applyBorder="1" applyAlignment="1">
      <alignment vertical="center" wrapText="1"/>
    </xf>
    <xf numFmtId="10" fontId="106" fillId="0" borderId="18" xfId="5" applyNumberFormat="1" applyFont="1" applyFill="1" applyBorder="1" applyAlignment="1">
      <alignment vertical="center" wrapText="1"/>
    </xf>
    <xf numFmtId="165" fontId="106" fillId="0" borderId="5" xfId="5" applyNumberFormat="1" applyFont="1" applyFill="1" applyBorder="1" applyAlignment="1">
      <alignment vertical="center" wrapText="1"/>
    </xf>
    <xf numFmtId="10" fontId="106" fillId="0" borderId="5" xfId="5" applyNumberFormat="1" applyFont="1" applyFill="1" applyBorder="1" applyAlignment="1">
      <alignment vertical="center" wrapText="1"/>
    </xf>
    <xf numFmtId="165" fontId="106" fillId="0" borderId="6" xfId="5" applyNumberFormat="1" applyFont="1" applyFill="1" applyBorder="1" applyAlignment="1">
      <alignment vertical="center" wrapText="1"/>
    </xf>
    <xf numFmtId="10" fontId="106" fillId="0" borderId="6" xfId="5" applyNumberFormat="1" applyFont="1" applyFill="1" applyBorder="1" applyAlignment="1">
      <alignment vertical="center" wrapText="1"/>
    </xf>
    <xf numFmtId="170" fontId="106" fillId="0" borderId="18" xfId="5" applyNumberFormat="1" applyFont="1" applyFill="1" applyBorder="1" applyAlignment="1">
      <alignment vertical="center" wrapText="1"/>
    </xf>
    <xf numFmtId="170" fontId="106" fillId="0" borderId="5" xfId="5" applyNumberFormat="1" applyFont="1" applyFill="1" applyBorder="1" applyAlignment="1">
      <alignment vertical="center" wrapText="1"/>
    </xf>
    <xf numFmtId="170" fontId="106" fillId="0" borderId="6" xfId="5" applyNumberFormat="1" applyFont="1" applyFill="1" applyBorder="1" applyAlignment="1">
      <alignment vertical="center" wrapText="1"/>
    </xf>
    <xf numFmtId="177" fontId="106" fillId="5" borderId="18" xfId="5" applyNumberFormat="1" applyFont="1" applyFill="1" applyBorder="1" applyAlignment="1">
      <alignment vertical="center" wrapText="1"/>
    </xf>
    <xf numFmtId="177" fontId="106" fillId="5" borderId="5" xfId="5" applyNumberFormat="1" applyFont="1" applyFill="1" applyBorder="1" applyAlignment="1">
      <alignment vertical="center" wrapText="1"/>
    </xf>
    <xf numFmtId="177" fontId="106" fillId="5" borderId="6" xfId="5" applyNumberFormat="1" applyFont="1" applyFill="1" applyBorder="1" applyAlignment="1">
      <alignment vertical="center" wrapText="1"/>
    </xf>
    <xf numFmtId="165" fontId="106" fillId="5" borderId="18" xfId="5" applyNumberFormat="1" applyFont="1" applyFill="1" applyBorder="1" applyAlignment="1">
      <alignment vertical="center" wrapText="1"/>
    </xf>
    <xf numFmtId="165" fontId="106" fillId="5" borderId="5" xfId="5" applyNumberFormat="1" applyFont="1" applyFill="1" applyBorder="1" applyAlignment="1">
      <alignment vertical="center" wrapText="1"/>
    </xf>
    <xf numFmtId="165" fontId="106" fillId="5" borderId="6" xfId="5" applyNumberFormat="1" applyFont="1" applyFill="1" applyBorder="1" applyAlignment="1">
      <alignment vertical="center" wrapText="1"/>
    </xf>
    <xf numFmtId="170" fontId="106" fillId="5" borderId="18" xfId="5" applyNumberFormat="1" applyFont="1" applyFill="1" applyBorder="1" applyAlignment="1">
      <alignment vertical="center" wrapText="1"/>
    </xf>
    <xf numFmtId="170" fontId="106" fillId="5" borderId="5" xfId="5" applyNumberFormat="1" applyFont="1" applyFill="1" applyBorder="1" applyAlignment="1">
      <alignment vertical="center" wrapText="1"/>
    </xf>
    <xf numFmtId="170" fontId="106" fillId="5" borderId="6" xfId="5" applyNumberFormat="1" applyFont="1" applyFill="1" applyBorder="1" applyAlignment="1">
      <alignment vertical="center" wrapText="1"/>
    </xf>
    <xf numFmtId="177" fontId="106" fillId="50" borderId="18" xfId="5" applyNumberFormat="1" applyFont="1" applyFill="1" applyBorder="1" applyAlignment="1">
      <alignment vertical="center" wrapText="1"/>
    </xf>
    <xf numFmtId="177" fontId="106" fillId="50" borderId="5" xfId="5" applyNumberFormat="1" applyFont="1" applyFill="1" applyBorder="1" applyAlignment="1">
      <alignment vertical="center" wrapText="1"/>
    </xf>
    <xf numFmtId="177" fontId="106" fillId="50" borderId="6" xfId="5" applyNumberFormat="1" applyFont="1" applyFill="1" applyBorder="1" applyAlignment="1">
      <alignment vertical="center" wrapText="1"/>
    </xf>
    <xf numFmtId="165" fontId="106" fillId="50" borderId="18" xfId="5" applyNumberFormat="1" applyFont="1" applyFill="1" applyBorder="1" applyAlignment="1">
      <alignment vertical="center" wrapText="1"/>
    </xf>
    <xf numFmtId="165" fontId="106" fillId="50" borderId="5" xfId="5" applyNumberFormat="1" applyFont="1" applyFill="1" applyBorder="1" applyAlignment="1">
      <alignment vertical="center" wrapText="1"/>
    </xf>
    <xf numFmtId="165" fontId="106" fillId="50" borderId="6" xfId="5" applyNumberFormat="1" applyFont="1" applyFill="1" applyBorder="1" applyAlignment="1">
      <alignment vertical="center" wrapText="1"/>
    </xf>
    <xf numFmtId="170" fontId="106" fillId="50" borderId="18" xfId="5" applyNumberFormat="1" applyFont="1" applyFill="1" applyBorder="1" applyAlignment="1">
      <alignment vertical="center" wrapText="1"/>
    </xf>
    <xf numFmtId="170" fontId="106" fillId="50" borderId="5" xfId="5" applyNumberFormat="1" applyFont="1" applyFill="1" applyBorder="1" applyAlignment="1">
      <alignment vertical="center" wrapText="1"/>
    </xf>
    <xf numFmtId="170" fontId="106" fillId="50" borderId="6" xfId="5" applyNumberFormat="1" applyFont="1" applyFill="1" applyBorder="1" applyAlignment="1">
      <alignment vertical="center" wrapText="1"/>
    </xf>
    <xf numFmtId="177" fontId="106" fillId="28" borderId="8" xfId="5" applyNumberFormat="1" applyFont="1" applyFill="1" applyBorder="1" applyAlignment="1">
      <alignment vertical="center" wrapText="1"/>
    </xf>
    <xf numFmtId="175" fontId="0" fillId="17" borderId="41" xfId="0" applyNumberFormat="1" applyFont="1" applyFill="1" applyBorder="1" applyAlignment="1">
      <alignment vertical="center" wrapText="1"/>
    </xf>
    <xf numFmtId="175" fontId="0" fillId="17" borderId="43" xfId="0" applyNumberFormat="1" applyFont="1" applyFill="1" applyBorder="1" applyAlignment="1">
      <alignment vertical="center" wrapText="1"/>
    </xf>
    <xf numFmtId="175" fontId="0" fillId="17" borderId="42" xfId="0" applyNumberFormat="1" applyFont="1" applyFill="1" applyBorder="1" applyAlignment="1">
      <alignment vertical="center" wrapText="1"/>
    </xf>
    <xf numFmtId="175" fontId="0" fillId="31" borderId="41" xfId="0" applyNumberFormat="1" applyFont="1" applyFill="1" applyBorder="1" applyAlignment="1">
      <alignment vertical="center" wrapText="1"/>
    </xf>
    <xf numFmtId="175" fontId="0" fillId="31" borderId="43" xfId="0" applyNumberFormat="1" applyFont="1" applyFill="1" applyBorder="1" applyAlignment="1">
      <alignment vertical="center" wrapText="1"/>
    </xf>
    <xf numFmtId="175" fontId="0" fillId="17" borderId="74" xfId="0" applyNumberFormat="1" applyFont="1" applyFill="1" applyBorder="1" applyAlignment="1">
      <alignment vertical="center" wrapText="1"/>
    </xf>
    <xf numFmtId="175" fontId="0" fillId="17" borderId="66" xfId="0" applyNumberFormat="1" applyFont="1" applyFill="1" applyBorder="1" applyAlignment="1">
      <alignment vertical="center" wrapText="1"/>
    </xf>
    <xf numFmtId="175" fontId="0" fillId="17" borderId="67" xfId="0" applyNumberFormat="1" applyFont="1" applyFill="1" applyBorder="1" applyAlignment="1">
      <alignment vertical="center" wrapText="1"/>
    </xf>
    <xf numFmtId="175" fontId="0" fillId="31" borderId="65" xfId="0" applyNumberFormat="1" applyFont="1" applyFill="1" applyBorder="1" applyAlignment="1">
      <alignment vertical="center" wrapText="1"/>
    </xf>
    <xf numFmtId="175" fontId="0" fillId="31" borderId="66" xfId="0" applyNumberFormat="1" applyFont="1" applyFill="1" applyBorder="1" applyAlignment="1">
      <alignment vertical="center" wrapText="1"/>
    </xf>
    <xf numFmtId="175" fontId="0" fillId="31" borderId="42" xfId="0" applyNumberFormat="1" applyFont="1" applyFill="1" applyBorder="1" applyAlignment="1">
      <alignment vertical="center" wrapText="1"/>
    </xf>
    <xf numFmtId="175" fontId="0" fillId="8" borderId="41" xfId="0" applyNumberFormat="1" applyFont="1" applyFill="1" applyBorder="1" applyAlignment="1">
      <alignment vertical="center" wrapText="1"/>
    </xf>
    <xf numFmtId="175" fontId="0" fillId="8" borderId="43" xfId="0" applyNumberFormat="1" applyFont="1" applyFill="1" applyBorder="1" applyAlignment="1">
      <alignment vertical="center" wrapText="1"/>
    </xf>
    <xf numFmtId="175" fontId="0" fillId="8" borderId="42" xfId="0" applyNumberFormat="1" applyFont="1" applyFill="1" applyBorder="1" applyAlignment="1">
      <alignment vertical="center" wrapText="1"/>
    </xf>
    <xf numFmtId="175" fontId="0" fillId="34" borderId="41" xfId="0" applyNumberFormat="1" applyFont="1" applyFill="1" applyBorder="1" applyAlignment="1">
      <alignment vertical="center" wrapText="1"/>
    </xf>
    <xf numFmtId="175" fontId="0" fillId="31" borderId="67" xfId="0" applyNumberFormat="1" applyFont="1" applyFill="1" applyBorder="1" applyAlignment="1">
      <alignment vertical="center" wrapText="1"/>
    </xf>
    <xf numFmtId="175" fontId="0" fillId="8" borderId="65" xfId="0" applyNumberFormat="1" applyFont="1" applyFill="1" applyBorder="1" applyAlignment="1">
      <alignment vertical="center" wrapText="1"/>
    </xf>
    <xf numFmtId="175" fontId="0" fillId="8" borderId="66" xfId="0" applyNumberFormat="1" applyFont="1" applyFill="1" applyBorder="1" applyAlignment="1">
      <alignment vertical="center" wrapText="1"/>
    </xf>
    <xf numFmtId="175" fontId="0" fillId="8" borderId="67" xfId="0" applyNumberFormat="1" applyFont="1" applyFill="1" applyBorder="1" applyAlignment="1">
      <alignment vertical="center" wrapText="1"/>
    </xf>
    <xf numFmtId="175" fontId="0" fillId="34" borderId="65" xfId="0" applyNumberFormat="1" applyFont="1" applyFill="1" applyBorder="1" applyAlignment="1">
      <alignment horizontal="right" vertical="center" wrapText="1"/>
    </xf>
    <xf numFmtId="175" fontId="0" fillId="34" borderId="20" xfId="0" applyNumberFormat="1" applyFont="1" applyFill="1" applyBorder="1" applyAlignment="1">
      <alignment vertical="center" wrapText="1"/>
    </xf>
    <xf numFmtId="175" fontId="0" fillId="34" borderId="75" xfId="0" applyNumberFormat="1" applyFont="1" applyFill="1" applyBorder="1" applyAlignment="1">
      <alignment vertical="center" wrapText="1"/>
    </xf>
    <xf numFmtId="175" fontId="0" fillId="34" borderId="42" xfId="0" applyNumberFormat="1" applyFont="1" applyFill="1" applyBorder="1" applyAlignment="1">
      <alignment vertical="center" wrapText="1"/>
    </xf>
    <xf numFmtId="175" fontId="0" fillId="34" borderId="67" xfId="0" applyNumberFormat="1" applyFont="1" applyFill="1" applyBorder="1" applyAlignment="1">
      <alignment vertical="center" wrapText="1"/>
    </xf>
    <xf numFmtId="175" fontId="0" fillId="35" borderId="19" xfId="0" applyNumberFormat="1" applyFont="1" applyFill="1" applyBorder="1" applyAlignment="1">
      <alignment vertical="center" wrapText="1"/>
    </xf>
    <xf numFmtId="175" fontId="0" fillId="35" borderId="76" xfId="0" applyNumberFormat="1" applyFont="1" applyFill="1" applyBorder="1" applyAlignment="1">
      <alignment vertical="center" wrapText="1"/>
    </xf>
    <xf numFmtId="175" fontId="0" fillId="35" borderId="24" xfId="0" applyNumberFormat="1" applyFont="1" applyFill="1" applyBorder="1" applyAlignment="1">
      <alignment vertical="center" wrapText="1"/>
    </xf>
    <xf numFmtId="175" fontId="0" fillId="35" borderId="77" xfId="0" applyNumberFormat="1" applyFont="1" applyFill="1" applyBorder="1" applyAlignment="1">
      <alignment vertical="center" wrapText="1"/>
    </xf>
    <xf numFmtId="175" fontId="0" fillId="12" borderId="41" xfId="0" applyNumberFormat="1" applyFont="1" applyFill="1" applyBorder="1" applyAlignment="1">
      <alignment vertical="center" wrapText="1"/>
    </xf>
    <xf numFmtId="175" fontId="0" fillId="12" borderId="74" xfId="0" applyNumberFormat="1" applyFont="1" applyFill="1" applyBorder="1" applyAlignment="1">
      <alignment vertical="center" wrapText="1"/>
    </xf>
    <xf numFmtId="175" fontId="0" fillId="12" borderId="42" xfId="0" applyNumberFormat="1" applyFont="1" applyFill="1" applyBorder="1" applyAlignment="1">
      <alignment vertical="center" wrapText="1"/>
    </xf>
    <xf numFmtId="175" fontId="0" fillId="12" borderId="67" xfId="0" applyNumberFormat="1" applyFont="1" applyFill="1" applyBorder="1" applyAlignment="1">
      <alignment vertical="center" wrapText="1"/>
    </xf>
    <xf numFmtId="175" fontId="0" fillId="12" borderId="24" xfId="0" applyNumberFormat="1" applyFont="1" applyFill="1" applyBorder="1" applyAlignment="1">
      <alignment vertical="center" wrapText="1"/>
    </xf>
    <xf numFmtId="175" fontId="0" fillId="12" borderId="77" xfId="0" applyNumberFormat="1" applyFont="1" applyFill="1" applyBorder="1" applyAlignment="1">
      <alignment vertical="center" wrapText="1"/>
    </xf>
    <xf numFmtId="175" fontId="0" fillId="12" borderId="19" xfId="0" applyNumberFormat="1" applyFont="1" applyFill="1" applyBorder="1" applyAlignment="1">
      <alignment vertical="center" wrapText="1"/>
    </xf>
    <xf numFmtId="175" fontId="0" fillId="12" borderId="76" xfId="0" applyNumberFormat="1" applyFont="1" applyFill="1" applyBorder="1" applyAlignment="1">
      <alignment vertical="center" wrapText="1"/>
    </xf>
    <xf numFmtId="175" fontId="0" fillId="35" borderId="42" xfId="0" applyNumberFormat="1" applyFont="1" applyFill="1" applyBorder="1" applyAlignment="1">
      <alignment vertical="center" wrapText="1"/>
    </xf>
    <xf numFmtId="175" fontId="0" fillId="35" borderId="67" xfId="0" applyNumberFormat="1" applyFont="1" applyFill="1" applyBorder="1" applyAlignment="1">
      <alignment vertical="center" wrapText="1"/>
    </xf>
    <xf numFmtId="175" fontId="0" fillId="34" borderId="24" xfId="0" applyNumberFormat="1" applyFont="1" applyFill="1" applyBorder="1" applyAlignment="1">
      <alignment vertical="center" wrapText="1"/>
    </xf>
    <xf numFmtId="175" fontId="0" fillId="34" borderId="77" xfId="0" applyNumberFormat="1" applyFont="1" applyFill="1" applyBorder="1" applyAlignment="1">
      <alignment vertical="center" wrapText="1"/>
    </xf>
    <xf numFmtId="175" fontId="0" fillId="34" borderId="19" xfId="0" applyNumberFormat="1" applyFont="1" applyFill="1" applyBorder="1" applyAlignment="1">
      <alignment vertical="center" wrapText="1"/>
    </xf>
    <xf numFmtId="175" fontId="0" fillId="34" borderId="76" xfId="0" applyNumberFormat="1" applyFont="1" applyFill="1" applyBorder="1" applyAlignment="1">
      <alignment vertical="center" wrapText="1"/>
    </xf>
    <xf numFmtId="175" fontId="0" fillId="8" borderId="24" xfId="0" applyNumberFormat="1" applyFont="1" applyFill="1" applyBorder="1" applyAlignment="1">
      <alignment vertical="center" wrapText="1"/>
    </xf>
    <xf numFmtId="175" fontId="0" fillId="8" borderId="77" xfId="0" applyNumberFormat="1" applyFont="1" applyFill="1" applyBorder="1" applyAlignment="1">
      <alignment vertical="center" wrapText="1"/>
    </xf>
    <xf numFmtId="175" fontId="0" fillId="8" borderId="19" xfId="0" applyNumberFormat="1" applyFont="1" applyFill="1" applyBorder="1" applyAlignment="1">
      <alignment vertical="center" wrapText="1"/>
    </xf>
    <xf numFmtId="175" fontId="0" fillId="8" borderId="76" xfId="0" applyNumberFormat="1" applyFont="1" applyFill="1" applyBorder="1" applyAlignment="1">
      <alignment vertical="center" wrapText="1"/>
    </xf>
    <xf numFmtId="175" fontId="0" fillId="31" borderId="19" xfId="0" applyNumberFormat="1" applyFont="1" applyFill="1" applyBorder="1" applyAlignment="1">
      <alignment vertical="center" wrapText="1"/>
    </xf>
    <xf numFmtId="175" fontId="0" fillId="31" borderId="76" xfId="0" applyNumberFormat="1" applyFont="1" applyFill="1" applyBorder="1" applyAlignment="1">
      <alignment vertical="center" wrapText="1"/>
    </xf>
    <xf numFmtId="175" fontId="0" fillId="31" borderId="20" xfId="0" applyNumberFormat="1" applyFont="1" applyFill="1" applyBorder="1" applyAlignment="1">
      <alignment vertical="center" wrapText="1"/>
    </xf>
    <xf numFmtId="175" fontId="0" fillId="31" borderId="75" xfId="0" applyNumberFormat="1" applyFont="1" applyFill="1" applyBorder="1" applyAlignment="1">
      <alignment vertical="center" wrapText="1"/>
    </xf>
    <xf numFmtId="175" fontId="0" fillId="17" borderId="20" xfId="0" applyNumberFormat="1" applyFont="1" applyFill="1" applyBorder="1" applyAlignment="1">
      <alignment vertical="center" wrapText="1"/>
    </xf>
    <xf numFmtId="175" fontId="0" fillId="17" borderId="75" xfId="0" applyNumberFormat="1" applyFont="1" applyFill="1" applyBorder="1" applyAlignment="1">
      <alignment vertical="center" wrapText="1"/>
    </xf>
    <xf numFmtId="175" fontId="0" fillId="17" borderId="24" xfId="0" applyNumberFormat="1" applyFont="1" applyFill="1" applyBorder="1" applyAlignment="1">
      <alignment vertical="center" wrapText="1"/>
    </xf>
    <xf numFmtId="175" fontId="0" fillId="17" borderId="77" xfId="0" applyNumberFormat="1" applyFont="1" applyFill="1" applyBorder="1" applyAlignment="1">
      <alignment vertical="center" wrapText="1"/>
    </xf>
    <xf numFmtId="175" fontId="0" fillId="17" borderId="19" xfId="0" applyNumberFormat="1" applyFont="1" applyFill="1" applyBorder="1" applyAlignment="1">
      <alignment vertical="center" wrapText="1"/>
    </xf>
    <xf numFmtId="175" fontId="0" fillId="17" borderId="76" xfId="0" applyNumberFormat="1" applyFont="1" applyFill="1" applyBorder="1" applyAlignment="1">
      <alignment vertical="center" wrapText="1"/>
    </xf>
    <xf numFmtId="0" fontId="0" fillId="17" borderId="18" xfId="0" applyFont="1" applyFill="1" applyBorder="1" applyAlignment="1">
      <alignment horizontal="center" vertical="center" wrapText="1"/>
    </xf>
    <xf numFmtId="176" fontId="66" fillId="17" borderId="18" xfId="2" applyNumberFormat="1" applyFont="1" applyFill="1" applyBorder="1" applyAlignment="1">
      <alignment horizontal="center" vertical="center" wrapText="1"/>
    </xf>
    <xf numFmtId="0" fontId="0" fillId="17" borderId="5" xfId="0" applyFont="1" applyFill="1" applyBorder="1" applyAlignment="1">
      <alignment horizontal="center" vertical="center" wrapText="1"/>
    </xf>
    <xf numFmtId="176" fontId="66" fillId="17" borderId="5" xfId="2" applyNumberFormat="1" applyFont="1" applyFill="1" applyBorder="1" applyAlignment="1">
      <alignment horizontal="center" vertical="center" wrapText="1"/>
    </xf>
    <xf numFmtId="0" fontId="0" fillId="17" borderId="6" xfId="0" applyFont="1" applyFill="1" applyBorder="1" applyAlignment="1">
      <alignment horizontal="center" vertical="center" wrapText="1"/>
    </xf>
    <xf numFmtId="176" fontId="66" fillId="17" borderId="6" xfId="2" applyNumberFormat="1" applyFont="1" applyFill="1" applyBorder="1" applyAlignment="1">
      <alignment horizontal="center" vertical="center" wrapText="1"/>
    </xf>
    <xf numFmtId="0" fontId="0" fillId="31" borderId="18" xfId="0" applyFont="1" applyFill="1" applyBorder="1" applyAlignment="1">
      <alignment horizontal="center" vertical="center" wrapText="1"/>
    </xf>
    <xf numFmtId="176" fontId="66" fillId="31" borderId="18" xfId="2" applyNumberFormat="1" applyFont="1" applyFill="1" applyBorder="1" applyAlignment="1">
      <alignment horizontal="center" vertical="center" wrapText="1"/>
    </xf>
    <xf numFmtId="0" fontId="0" fillId="31" borderId="5" xfId="0" applyFont="1" applyFill="1" applyBorder="1" applyAlignment="1">
      <alignment horizontal="center" vertical="center" wrapText="1"/>
    </xf>
    <xf numFmtId="176" fontId="66" fillId="31" borderId="5" xfId="2" applyNumberFormat="1" applyFont="1" applyFill="1" applyBorder="1" applyAlignment="1">
      <alignment horizontal="center" vertical="center" wrapText="1"/>
    </xf>
    <xf numFmtId="0" fontId="0" fillId="31" borderId="6" xfId="0" applyFont="1" applyFill="1" applyBorder="1" applyAlignment="1">
      <alignment horizontal="center" vertical="center" wrapText="1"/>
    </xf>
    <xf numFmtId="176" fontId="66" fillId="31" borderId="6" xfId="2" applyNumberFormat="1" applyFont="1" applyFill="1" applyBorder="1" applyAlignment="1">
      <alignment horizontal="center" vertical="center" wrapText="1"/>
    </xf>
    <xf numFmtId="0" fontId="0" fillId="8" borderId="18" xfId="0" applyFont="1" applyFill="1" applyBorder="1" applyAlignment="1">
      <alignment horizontal="center" vertical="center" wrapText="1"/>
    </xf>
    <xf numFmtId="176" fontId="66" fillId="8" borderId="18" xfId="2" applyNumberFormat="1" applyFont="1" applyFill="1" applyBorder="1" applyAlignment="1">
      <alignment horizontal="center" vertical="center" wrapText="1"/>
    </xf>
    <xf numFmtId="0" fontId="0" fillId="8" borderId="5" xfId="0" applyFont="1" applyFill="1" applyBorder="1" applyAlignment="1">
      <alignment horizontal="center" vertical="center" wrapText="1"/>
    </xf>
    <xf numFmtId="176" fontId="66" fillId="8" borderId="5" xfId="2" applyNumberFormat="1" applyFont="1" applyFill="1" applyBorder="1" applyAlignment="1">
      <alignment horizontal="center" vertical="center" wrapText="1"/>
    </xf>
    <xf numFmtId="0" fontId="0" fillId="8" borderId="6" xfId="0" applyFont="1" applyFill="1" applyBorder="1" applyAlignment="1">
      <alignment horizontal="center" vertical="center" wrapText="1"/>
    </xf>
    <xf numFmtId="176" fontId="66" fillId="8" borderId="6" xfId="2" applyNumberFormat="1" applyFont="1" applyFill="1" applyBorder="1" applyAlignment="1">
      <alignment horizontal="center" vertical="center" wrapText="1"/>
    </xf>
    <xf numFmtId="0" fontId="0" fillId="34" borderId="18" xfId="0" applyFont="1" applyFill="1" applyBorder="1" applyAlignment="1">
      <alignment horizontal="center" vertical="center" wrapText="1"/>
    </xf>
    <xf numFmtId="176" fontId="66" fillId="34" borderId="18" xfId="2" applyNumberFormat="1" applyFont="1" applyFill="1" applyBorder="1" applyAlignment="1">
      <alignment horizontal="center" vertical="center" wrapText="1"/>
    </xf>
    <xf numFmtId="0" fontId="0" fillId="34" borderId="5" xfId="0" applyFont="1" applyFill="1" applyBorder="1" applyAlignment="1">
      <alignment horizontal="center" vertical="center" wrapText="1"/>
    </xf>
    <xf numFmtId="176" fontId="66" fillId="34" borderId="5" xfId="2" applyNumberFormat="1" applyFont="1" applyFill="1" applyBorder="1" applyAlignment="1">
      <alignment horizontal="center" vertical="center" wrapText="1"/>
    </xf>
    <xf numFmtId="0" fontId="0" fillId="34" borderId="6" xfId="0" applyFont="1" applyFill="1" applyBorder="1" applyAlignment="1">
      <alignment horizontal="center" vertical="center" wrapText="1"/>
    </xf>
    <xf numFmtId="176" fontId="66" fillId="34" borderId="6" xfId="2" applyNumberFormat="1" applyFont="1" applyFill="1" applyBorder="1" applyAlignment="1">
      <alignment horizontal="center" vertical="center" wrapText="1"/>
    </xf>
    <xf numFmtId="176" fontId="66" fillId="35" borderId="18" xfId="2" applyNumberFormat="1" applyFont="1" applyFill="1" applyBorder="1" applyAlignment="1">
      <alignment horizontal="center" vertical="center" wrapText="1"/>
    </xf>
    <xf numFmtId="176" fontId="66" fillId="35" borderId="6" xfId="2" applyNumberFormat="1" applyFont="1" applyFill="1" applyBorder="1" applyAlignment="1">
      <alignment horizontal="center" vertical="center" wrapText="1"/>
    </xf>
    <xf numFmtId="0" fontId="0" fillId="12" borderId="18" xfId="0" applyFont="1" applyFill="1" applyBorder="1" applyAlignment="1">
      <alignment horizontal="center" vertical="center" wrapText="1"/>
    </xf>
    <xf numFmtId="176" fontId="66" fillId="12" borderId="18" xfId="2" applyNumberFormat="1" applyFont="1" applyFill="1" applyBorder="1" applyAlignment="1">
      <alignment horizontal="center" vertical="center" wrapText="1"/>
    </xf>
    <xf numFmtId="0" fontId="0" fillId="12" borderId="6" xfId="0" applyFont="1" applyFill="1" applyBorder="1" applyAlignment="1">
      <alignment horizontal="center" vertical="center" wrapText="1"/>
    </xf>
    <xf numFmtId="176" fontId="66" fillId="12" borderId="6" xfId="2" applyNumberFormat="1" applyFont="1" applyFill="1" applyBorder="1" applyAlignment="1">
      <alignment horizontal="center" vertical="center" wrapText="1"/>
    </xf>
    <xf numFmtId="0" fontId="99" fillId="28" borderId="59" xfId="3" applyFont="1" applyFill="1" applyBorder="1" applyAlignment="1">
      <alignment horizontal="center" vertical="center"/>
    </xf>
    <xf numFmtId="176" fontId="66" fillId="28" borderId="59" xfId="2" applyNumberFormat="1" applyFont="1" applyFill="1" applyBorder="1" applyAlignment="1">
      <alignment horizontal="center" vertical="center" wrapText="1"/>
    </xf>
    <xf numFmtId="176" fontId="0" fillId="6" borderId="92" xfId="0" applyNumberFormat="1" applyFill="1" applyBorder="1" applyAlignment="1">
      <alignment horizontal="center" vertical="center"/>
    </xf>
    <xf numFmtId="176" fontId="66" fillId="7" borderId="102" xfId="1" applyNumberFormat="1" applyFont="1" applyFill="1" applyBorder="1" applyAlignment="1">
      <alignment horizontal="center" vertical="center"/>
    </xf>
    <xf numFmtId="176" fontId="68" fillId="28" borderId="8" xfId="0" applyNumberFormat="1" applyFont="1" applyFill="1" applyBorder="1" applyAlignment="1">
      <alignment horizontal="center" vertical="center" wrapText="1"/>
    </xf>
    <xf numFmtId="176" fontId="66" fillId="20" borderId="18" xfId="2" applyNumberFormat="1" applyFont="1" applyFill="1" applyBorder="1" applyAlignment="1">
      <alignment horizontal="center" vertical="center" wrapText="1"/>
    </xf>
    <xf numFmtId="176" fontId="66" fillId="21" borderId="6" xfId="2" applyNumberFormat="1" applyFont="1" applyFill="1" applyBorder="1" applyAlignment="1">
      <alignment horizontal="center" vertical="center" wrapText="1"/>
    </xf>
    <xf numFmtId="176" fontId="66" fillId="20" borderId="5" xfId="2" applyNumberFormat="1" applyFont="1" applyFill="1" applyBorder="1" applyAlignment="1">
      <alignment horizontal="center" vertical="center" wrapText="1"/>
    </xf>
    <xf numFmtId="0" fontId="0" fillId="6" borderId="92" xfId="0" applyFill="1" applyBorder="1" applyAlignment="1">
      <alignment horizontal="center" vertical="center" wrapText="1"/>
    </xf>
    <xf numFmtId="176" fontId="66" fillId="6" borderId="92" xfId="2" applyNumberFormat="1" applyFont="1" applyFill="1" applyBorder="1" applyAlignment="1">
      <alignment horizontal="center" vertical="center"/>
    </xf>
    <xf numFmtId="176" fontId="66" fillId="7" borderId="102" xfId="2" applyNumberFormat="1" applyFont="1" applyFill="1" applyBorder="1" applyAlignment="1">
      <alignment horizontal="center" vertical="center"/>
    </xf>
    <xf numFmtId="0" fontId="0" fillId="6" borderId="102" xfId="0" applyFill="1" applyBorder="1" applyAlignment="1">
      <alignment horizontal="center" vertical="center"/>
    </xf>
    <xf numFmtId="176" fontId="66" fillId="6" borderId="102" xfId="1" applyNumberFormat="1" applyFont="1" applyFill="1" applyBorder="1" applyAlignment="1">
      <alignment horizontal="center" vertical="center"/>
    </xf>
    <xf numFmtId="0" fontId="0" fillId="7" borderId="108" xfId="0" applyFill="1" applyBorder="1" applyAlignment="1">
      <alignment horizontal="center" vertical="center"/>
    </xf>
    <xf numFmtId="176" fontId="66" fillId="7" borderId="108" xfId="1" applyNumberFormat="1" applyFont="1" applyFill="1" applyBorder="1" applyAlignment="1">
      <alignment horizontal="center" vertical="center"/>
    </xf>
    <xf numFmtId="0" fontId="0" fillId="8" borderId="92" xfId="0" applyFill="1" applyBorder="1" applyAlignment="1">
      <alignment horizontal="center" vertical="center"/>
    </xf>
    <xf numFmtId="176" fontId="66" fillId="8" borderId="92" xfId="1" applyNumberFormat="1" applyFont="1" applyFill="1" applyBorder="1" applyAlignment="1">
      <alignment horizontal="center" vertical="center"/>
    </xf>
    <xf numFmtId="0" fontId="0" fillId="9" borderId="102" xfId="0" applyFill="1" applyBorder="1" applyAlignment="1">
      <alignment horizontal="center" vertical="center"/>
    </xf>
    <xf numFmtId="176" fontId="66" fillId="9" borderId="102" xfId="1" applyNumberFormat="1" applyFont="1" applyFill="1" applyBorder="1" applyAlignment="1">
      <alignment horizontal="center" vertical="center"/>
    </xf>
    <xf numFmtId="0" fontId="0" fillId="8" borderId="102" xfId="0" applyFill="1" applyBorder="1" applyAlignment="1">
      <alignment horizontal="center" vertical="center"/>
    </xf>
    <xf numFmtId="176" fontId="66" fillId="8" borderId="102" xfId="1" applyNumberFormat="1" applyFont="1" applyFill="1" applyBorder="1" applyAlignment="1">
      <alignment horizontal="center" vertical="center"/>
    </xf>
    <xf numFmtId="0" fontId="0" fillId="9" borderId="108" xfId="0" applyFill="1" applyBorder="1" applyAlignment="1">
      <alignment horizontal="center" vertical="center"/>
    </xf>
    <xf numFmtId="176" fontId="66" fillId="9" borderId="108" xfId="1" applyNumberFormat="1" applyFont="1" applyFill="1" applyBorder="1" applyAlignment="1">
      <alignment horizontal="center" vertical="center"/>
    </xf>
    <xf numFmtId="0" fontId="0" fillId="10" borderId="92" xfId="0" applyFill="1" applyBorder="1" applyAlignment="1">
      <alignment horizontal="center" vertical="center"/>
    </xf>
    <xf numFmtId="176" fontId="66" fillId="10" borderId="92" xfId="1" applyNumberFormat="1" applyFont="1" applyFill="1" applyBorder="1" applyAlignment="1">
      <alignment horizontal="center" vertical="center"/>
    </xf>
    <xf numFmtId="0" fontId="0" fillId="11" borderId="102" xfId="0" applyFill="1" applyBorder="1" applyAlignment="1">
      <alignment horizontal="center" vertical="center"/>
    </xf>
    <xf numFmtId="176" fontId="66" fillId="11" borderId="102" xfId="1" applyNumberFormat="1" applyFont="1" applyFill="1" applyBorder="1" applyAlignment="1">
      <alignment horizontal="center" vertical="center"/>
    </xf>
    <xf numFmtId="0" fontId="0" fillId="10" borderId="102" xfId="0" applyFill="1" applyBorder="1" applyAlignment="1">
      <alignment horizontal="center" vertical="center"/>
    </xf>
    <xf numFmtId="176" fontId="66" fillId="10" borderId="102" xfId="1" applyNumberFormat="1" applyFont="1" applyFill="1" applyBorder="1" applyAlignment="1">
      <alignment horizontal="center" vertical="center"/>
    </xf>
    <xf numFmtId="0" fontId="0" fillId="11" borderId="108" xfId="0" applyFill="1" applyBorder="1" applyAlignment="1">
      <alignment horizontal="center" vertical="center"/>
    </xf>
    <xf numFmtId="176" fontId="66" fillId="11" borderId="108" xfId="1" applyNumberFormat="1" applyFont="1" applyFill="1" applyBorder="1" applyAlignment="1">
      <alignment horizontal="center" vertical="center"/>
    </xf>
    <xf numFmtId="0" fontId="0" fillId="12" borderId="92" xfId="0" applyFill="1" applyBorder="1" applyAlignment="1">
      <alignment horizontal="center" vertical="center"/>
    </xf>
    <xf numFmtId="176" fontId="66" fillId="12" borderId="92" xfId="1" applyNumberFormat="1" applyFont="1" applyFill="1" applyBorder="1" applyAlignment="1">
      <alignment horizontal="center" vertical="center"/>
    </xf>
    <xf numFmtId="0" fontId="0" fillId="12" borderId="108" xfId="0" applyFill="1" applyBorder="1" applyAlignment="1">
      <alignment horizontal="center" vertical="center"/>
    </xf>
    <xf numFmtId="176" fontId="66" fillId="12" borderId="108" xfId="1" applyNumberFormat="1" applyFont="1" applyFill="1" applyBorder="1" applyAlignment="1">
      <alignment horizontal="center" vertical="center"/>
    </xf>
    <xf numFmtId="0" fontId="0" fillId="13" borderId="92" xfId="0" applyFill="1" applyBorder="1" applyAlignment="1">
      <alignment horizontal="center" vertical="center"/>
    </xf>
    <xf numFmtId="176" fontId="66" fillId="13" borderId="92" xfId="1" applyNumberFormat="1" applyFont="1" applyFill="1" applyBorder="1" applyAlignment="1">
      <alignment horizontal="center" vertical="center"/>
    </xf>
    <xf numFmtId="0" fontId="0" fillId="13" borderId="108" xfId="0" applyFill="1" applyBorder="1" applyAlignment="1">
      <alignment horizontal="center" vertical="center"/>
    </xf>
    <xf numFmtId="176" fontId="66" fillId="13" borderId="108" xfId="1" applyNumberFormat="1" applyFont="1" applyFill="1" applyBorder="1" applyAlignment="1">
      <alignment horizontal="center" vertical="center"/>
    </xf>
    <xf numFmtId="176" fontId="66" fillId="6" borderId="102" xfId="2" applyNumberFormat="1" applyFont="1" applyFill="1" applyBorder="1" applyAlignment="1">
      <alignment horizontal="center" vertical="center"/>
    </xf>
    <xf numFmtId="176" fontId="66" fillId="7" borderId="108" xfId="2" applyNumberFormat="1" applyFont="1" applyFill="1" applyBorder="1" applyAlignment="1">
      <alignment horizontal="center" vertical="center"/>
    </xf>
    <xf numFmtId="176" fontId="66" fillId="8" borderId="92" xfId="2" applyNumberFormat="1" applyFont="1" applyFill="1" applyBorder="1" applyAlignment="1">
      <alignment horizontal="center" vertical="center"/>
    </xf>
    <xf numFmtId="176" fontId="66" fillId="9" borderId="102" xfId="2" applyNumberFormat="1" applyFont="1" applyFill="1" applyBorder="1" applyAlignment="1">
      <alignment horizontal="center" vertical="center"/>
    </xf>
    <xf numFmtId="176" fontId="66" fillId="8" borderId="102" xfId="2" applyNumberFormat="1" applyFont="1" applyFill="1" applyBorder="1" applyAlignment="1">
      <alignment horizontal="center" vertical="center"/>
    </xf>
    <xf numFmtId="176" fontId="66" fillId="9" borderId="108" xfId="2" applyNumberFormat="1" applyFont="1" applyFill="1" applyBorder="1" applyAlignment="1">
      <alignment horizontal="center" vertical="center"/>
    </xf>
    <xf numFmtId="0" fontId="91" fillId="12" borderId="152" xfId="0" applyFont="1" applyFill="1" applyBorder="1" applyAlignment="1">
      <alignment horizontal="center" vertical="center"/>
    </xf>
    <xf numFmtId="0" fontId="91" fillId="12" borderId="134" xfId="0" applyFont="1" applyFill="1" applyBorder="1" applyAlignment="1">
      <alignment horizontal="center" vertical="center"/>
    </xf>
    <xf numFmtId="0" fontId="91" fillId="13" borderId="111" xfId="0" applyFont="1" applyFill="1" applyBorder="1" applyAlignment="1">
      <alignment horizontal="center" vertical="center"/>
    </xf>
    <xf numFmtId="0" fontId="91" fillId="13" borderId="135" xfId="0" applyFont="1" applyFill="1" applyBorder="1" applyAlignment="1">
      <alignment horizontal="center" vertical="center"/>
    </xf>
    <xf numFmtId="0" fontId="91" fillId="10" borderId="153" xfId="0" applyFont="1" applyFill="1" applyBorder="1" applyAlignment="1">
      <alignment horizontal="center" vertical="center"/>
    </xf>
    <xf numFmtId="0" fontId="91" fillId="11" borderId="153" xfId="0" applyFont="1" applyFill="1" applyBorder="1" applyAlignment="1">
      <alignment horizontal="center" vertical="center"/>
    </xf>
    <xf numFmtId="0" fontId="91" fillId="11" borderId="154" xfId="0" applyFont="1" applyFill="1" applyBorder="1" applyAlignment="1">
      <alignment horizontal="center" vertical="center"/>
    </xf>
    <xf numFmtId="0" fontId="80" fillId="9" borderId="155" xfId="0" applyFont="1" applyFill="1" applyBorder="1" applyAlignment="1">
      <alignment horizontal="left" vertical="center"/>
    </xf>
    <xf numFmtId="0" fontId="79" fillId="9" borderId="156" xfId="0" applyFont="1" applyFill="1" applyBorder="1" applyAlignment="1">
      <alignment horizontal="center" vertical="center"/>
    </xf>
    <xf numFmtId="0" fontId="80" fillId="10" borderId="157" xfId="0" applyFont="1" applyFill="1" applyBorder="1" applyAlignment="1">
      <alignment horizontal="left" vertical="center"/>
    </xf>
    <xf numFmtId="0" fontId="79" fillId="10" borderId="158" xfId="0" applyFont="1" applyFill="1" applyBorder="1" applyAlignment="1">
      <alignment horizontal="center" vertical="center"/>
    </xf>
    <xf numFmtId="0" fontId="80" fillId="11" borderId="110" xfId="0" applyFont="1" applyFill="1" applyBorder="1" applyAlignment="1">
      <alignment horizontal="left" vertical="center"/>
    </xf>
    <xf numFmtId="0" fontId="79" fillId="11" borderId="149" xfId="0" applyFont="1" applyFill="1" applyBorder="1" applyAlignment="1">
      <alignment horizontal="center" vertical="center"/>
    </xf>
    <xf numFmtId="0" fontId="91" fillId="6" borderId="153" xfId="0" applyFont="1" applyFill="1" applyBorder="1" applyAlignment="1">
      <alignment horizontal="center" vertical="center"/>
    </xf>
    <xf numFmtId="0" fontId="91" fillId="7" borderId="153" xfId="0" applyFont="1" applyFill="1" applyBorder="1" applyAlignment="1">
      <alignment horizontal="center" vertical="center"/>
    </xf>
    <xf numFmtId="0" fontId="91" fillId="7" borderId="159" xfId="0" applyFont="1" applyFill="1" applyBorder="1" applyAlignment="1">
      <alignment horizontal="center" vertical="center"/>
    </xf>
    <xf numFmtId="0" fontId="79" fillId="6" borderId="148" xfId="0" applyFont="1" applyFill="1" applyBorder="1" applyAlignment="1">
      <alignment horizontal="center" vertical="center"/>
    </xf>
    <xf numFmtId="0" fontId="79" fillId="7" borderId="126" xfId="0" applyFont="1" applyFill="1" applyBorder="1" applyAlignment="1">
      <alignment horizontal="center" vertical="center"/>
    </xf>
    <xf numFmtId="0" fontId="80" fillId="7" borderId="119" xfId="0" applyFont="1" applyFill="1" applyBorder="1" applyAlignment="1">
      <alignment horizontal="left" vertical="center"/>
    </xf>
    <xf numFmtId="0" fontId="79" fillId="7" borderId="160" xfId="0" applyFont="1" applyFill="1" applyBorder="1" applyAlignment="1">
      <alignment horizontal="center" vertical="center"/>
    </xf>
    <xf numFmtId="0" fontId="91" fillId="20" borderId="161" xfId="0" applyFont="1" applyFill="1" applyBorder="1" applyAlignment="1">
      <alignment horizontal="center" vertical="center"/>
    </xf>
    <xf numFmtId="0" fontId="79" fillId="20" borderId="148" xfId="0" applyFont="1" applyFill="1" applyBorder="1" applyAlignment="1">
      <alignment horizontal="center" vertical="center" wrapText="1"/>
    </xf>
    <xf numFmtId="0" fontId="79" fillId="21" borderId="149" xfId="0" applyFont="1" applyFill="1" applyBorder="1" applyAlignment="1">
      <alignment horizontal="left" vertical="center" wrapText="1"/>
    </xf>
    <xf numFmtId="0" fontId="91" fillId="13" borderId="153" xfId="0" applyFont="1" applyFill="1" applyBorder="1" applyAlignment="1">
      <alignment horizontal="center"/>
    </xf>
    <xf numFmtId="0" fontId="91" fillId="13" borderId="149" xfId="0" applyFont="1" applyFill="1" applyBorder="1" applyAlignment="1">
      <alignment horizontal="center"/>
    </xf>
    <xf numFmtId="0" fontId="80" fillId="13" borderId="157" xfId="0" applyFont="1" applyFill="1" applyBorder="1"/>
    <xf numFmtId="0" fontId="79" fillId="13" borderId="162" xfId="0" applyFont="1" applyFill="1" applyBorder="1"/>
    <xf numFmtId="0" fontId="79" fillId="13" borderId="163" xfId="0" applyFont="1" applyFill="1" applyBorder="1"/>
    <xf numFmtId="0" fontId="91" fillId="12" borderId="153" xfId="0" applyFont="1" applyFill="1" applyBorder="1" applyAlignment="1">
      <alignment horizontal="center"/>
    </xf>
    <xf numFmtId="0" fontId="91" fillId="12" borderId="159" xfId="0" applyFont="1" applyFill="1" applyBorder="1" applyAlignment="1">
      <alignment horizontal="center"/>
    </xf>
    <xf numFmtId="0" fontId="80" fillId="12" borderId="157" xfId="0" applyFont="1" applyFill="1" applyBorder="1"/>
    <xf numFmtId="0" fontId="79" fillId="12" borderId="162" xfId="0" applyFont="1" applyFill="1" applyBorder="1"/>
    <xf numFmtId="0" fontId="80" fillId="12" borderId="119" xfId="0" applyFont="1" applyFill="1" applyBorder="1"/>
    <xf numFmtId="0" fontId="79" fillId="12" borderId="163" xfId="0" applyFont="1" applyFill="1" applyBorder="1"/>
    <xf numFmtId="0" fontId="91" fillId="10" borderId="153" xfId="0" applyFont="1" applyFill="1" applyBorder="1" applyAlignment="1">
      <alignment horizontal="center"/>
    </xf>
    <xf numFmtId="0" fontId="91" fillId="11" borderId="153" xfId="0" applyFont="1" applyFill="1" applyBorder="1" applyAlignment="1">
      <alignment horizontal="center"/>
    </xf>
    <xf numFmtId="0" fontId="91" fillId="11" borderId="159" xfId="0" applyFont="1" applyFill="1" applyBorder="1" applyAlignment="1">
      <alignment horizontal="center"/>
    </xf>
    <xf numFmtId="0" fontId="80" fillId="10" borderId="129" xfId="0" applyFont="1" applyFill="1" applyBorder="1"/>
    <xf numFmtId="0" fontId="79" fillId="10" borderId="162" xfId="0" applyFont="1" applyFill="1" applyBorder="1"/>
    <xf numFmtId="0" fontId="79" fillId="11" borderId="127" xfId="0" applyFont="1" applyFill="1" applyBorder="1"/>
    <xf numFmtId="0" fontId="79" fillId="10" borderId="127" xfId="0" applyFont="1" applyFill="1" applyBorder="1"/>
    <xf numFmtId="0" fontId="80" fillId="11" borderId="119" xfId="0" applyFont="1" applyFill="1" applyBorder="1"/>
    <xf numFmtId="0" fontId="79" fillId="11" borderId="163" xfId="0" applyFont="1" applyFill="1" applyBorder="1"/>
    <xf numFmtId="0" fontId="91" fillId="8" borderId="153" xfId="0" applyFont="1" applyFill="1" applyBorder="1" applyAlignment="1">
      <alignment horizontal="center"/>
    </xf>
    <xf numFmtId="0" fontId="91" fillId="9" borderId="153" xfId="0" applyFont="1" applyFill="1" applyBorder="1" applyAlignment="1">
      <alignment horizontal="center"/>
    </xf>
    <xf numFmtId="0" fontId="91" fillId="9" borderId="159" xfId="0" applyFont="1" applyFill="1" applyBorder="1" applyAlignment="1">
      <alignment horizontal="center"/>
    </xf>
    <xf numFmtId="0" fontId="80" fillId="8" borderId="129" xfId="0" applyFont="1" applyFill="1" applyBorder="1"/>
    <xf numFmtId="0" fontId="79" fillId="8" borderId="162" xfId="0" applyFont="1" applyFill="1" applyBorder="1"/>
    <xf numFmtId="0" fontId="79" fillId="9" borderId="126" xfId="0" applyFont="1" applyFill="1" applyBorder="1"/>
    <xf numFmtId="0" fontId="79" fillId="8" borderId="127" xfId="0" applyFont="1" applyFill="1" applyBorder="1"/>
    <xf numFmtId="0" fontId="79" fillId="9" borderId="127" xfId="0" applyFont="1" applyFill="1" applyBorder="1"/>
    <xf numFmtId="0" fontId="80" fillId="9" borderId="110" xfId="0" applyFont="1" applyFill="1" applyBorder="1"/>
    <xf numFmtId="0" fontId="79" fillId="9" borderId="163" xfId="0" applyFont="1" applyFill="1" applyBorder="1"/>
    <xf numFmtId="0" fontId="91" fillId="6" borderId="161" xfId="0" applyFont="1" applyFill="1" applyBorder="1" applyAlignment="1">
      <alignment horizontal="center" vertical="center"/>
    </xf>
    <xf numFmtId="0" fontId="91" fillId="6" borderId="153" xfId="0" applyFont="1" applyFill="1" applyBorder="1" applyAlignment="1">
      <alignment horizontal="center"/>
    </xf>
    <xf numFmtId="0" fontId="91" fillId="7" borderId="153" xfId="0" applyFont="1" applyFill="1" applyBorder="1" applyAlignment="1">
      <alignment horizontal="center"/>
    </xf>
    <xf numFmtId="0" fontId="91" fillId="7" borderId="159" xfId="0" applyFont="1" applyFill="1" applyBorder="1" applyAlignment="1">
      <alignment horizontal="center"/>
    </xf>
    <xf numFmtId="0" fontId="80" fillId="6" borderId="157" xfId="0" applyFont="1" applyFill="1" applyBorder="1" applyAlignment="1">
      <alignment vertical="center"/>
    </xf>
    <xf numFmtId="0" fontId="79" fillId="6" borderId="162" xfId="0" applyFont="1" applyFill="1" applyBorder="1" applyAlignment="1">
      <alignment vertical="center"/>
    </xf>
    <xf numFmtId="0" fontId="79" fillId="7" borderId="127" xfId="0" applyFont="1" applyFill="1" applyBorder="1" applyAlignment="1">
      <alignment vertical="center"/>
    </xf>
    <xf numFmtId="0" fontId="79" fillId="6" borderId="127" xfId="0" applyFont="1" applyFill="1" applyBorder="1"/>
    <xf numFmtId="0" fontId="79" fillId="7" borderId="127" xfId="0" applyFont="1" applyFill="1" applyBorder="1"/>
    <xf numFmtId="0" fontId="80" fillId="7" borderId="110" xfId="0" applyFont="1" applyFill="1" applyBorder="1"/>
    <xf numFmtId="0" fontId="79" fillId="7" borderId="163" xfId="0" applyFont="1" applyFill="1" applyBorder="1"/>
    <xf numFmtId="0" fontId="79" fillId="49" borderId="162" xfId="0" applyFont="1" applyFill="1" applyBorder="1" applyAlignment="1">
      <alignment horizontal="center" vertical="center"/>
    </xf>
    <xf numFmtId="0" fontId="79" fillId="19" borderId="160" xfId="0" applyFont="1" applyFill="1" applyBorder="1" applyAlignment="1">
      <alignment horizontal="center" vertical="center"/>
    </xf>
    <xf numFmtId="0" fontId="68" fillId="13" borderId="129" xfId="0" applyFont="1" applyFill="1" applyBorder="1" applyAlignment="1">
      <alignment vertical="center"/>
    </xf>
    <xf numFmtId="0" fontId="68" fillId="12" borderId="129" xfId="0" applyFont="1" applyFill="1" applyBorder="1" applyAlignment="1">
      <alignment vertical="center"/>
    </xf>
    <xf numFmtId="0" fontId="68" fillId="12" borderId="110" xfId="0" applyFont="1" applyFill="1" applyBorder="1" applyAlignment="1">
      <alignment vertical="center"/>
    </xf>
    <xf numFmtId="0" fontId="79" fillId="7" borderId="164" xfId="0" applyFont="1" applyFill="1" applyBorder="1"/>
    <xf numFmtId="0" fontId="79" fillId="8" borderId="165" xfId="0" applyFont="1" applyFill="1" applyBorder="1"/>
    <xf numFmtId="0" fontId="79" fillId="9" borderId="164" xfId="0" applyFont="1" applyFill="1" applyBorder="1"/>
    <xf numFmtId="0" fontId="79" fillId="10" borderId="165" xfId="0" applyFont="1" applyFill="1" applyBorder="1"/>
    <xf numFmtId="0" fontId="68" fillId="11" borderId="110" xfId="0" applyFont="1" applyFill="1" applyBorder="1" applyAlignment="1">
      <alignment vertical="center"/>
    </xf>
    <xf numFmtId="0" fontId="97" fillId="12" borderId="78" xfId="0" applyFont="1" applyFill="1" applyBorder="1" applyAlignment="1">
      <alignment horizontal="center" vertical="center" wrapText="1"/>
    </xf>
    <xf numFmtId="0" fontId="97" fillId="12" borderId="79" xfId="0" applyFont="1" applyFill="1" applyBorder="1" applyAlignment="1">
      <alignment horizontal="center" vertical="center" wrapText="1"/>
    </xf>
    <xf numFmtId="0" fontId="0" fillId="12" borderId="2" xfId="0" applyFont="1" applyFill="1" applyBorder="1" applyAlignment="1">
      <alignment horizontal="center" vertical="center" wrapText="1"/>
    </xf>
    <xf numFmtId="0" fontId="0" fillId="12" borderId="12" xfId="0" applyFont="1" applyFill="1" applyBorder="1" applyAlignment="1">
      <alignment vertical="center" wrapText="1"/>
    </xf>
    <xf numFmtId="0" fontId="0" fillId="12" borderId="7" xfId="0" applyFont="1" applyFill="1" applyBorder="1" applyAlignment="1">
      <alignment vertical="center" wrapText="1"/>
    </xf>
    <xf numFmtId="0" fontId="97" fillId="35" borderId="78" xfId="0" applyFont="1" applyFill="1" applyBorder="1" applyAlignment="1">
      <alignment horizontal="center" vertical="center" wrapText="1"/>
    </xf>
    <xf numFmtId="0" fontId="97" fillId="35" borderId="79" xfId="0" applyFont="1" applyFill="1" applyBorder="1" applyAlignment="1">
      <alignment horizontal="center" vertical="center" wrapText="1"/>
    </xf>
    <xf numFmtId="0" fontId="0" fillId="35" borderId="2" xfId="0" applyFont="1" applyFill="1" applyBorder="1" applyAlignment="1">
      <alignment horizontal="center" vertical="center" wrapText="1"/>
    </xf>
    <xf numFmtId="0" fontId="0" fillId="35" borderId="12" xfId="0" applyFont="1" applyFill="1" applyBorder="1" applyAlignment="1">
      <alignment horizontal="center" vertical="center" wrapText="1"/>
    </xf>
    <xf numFmtId="0" fontId="0" fillId="35" borderId="7" xfId="0" applyFont="1" applyFill="1" applyBorder="1" applyAlignment="1">
      <alignment horizontal="center" vertical="center" wrapText="1"/>
    </xf>
    <xf numFmtId="0" fontId="97" fillId="34" borderId="78" xfId="0" applyFont="1" applyFill="1" applyBorder="1" applyAlignment="1">
      <alignment horizontal="center" vertical="center" wrapText="1"/>
    </xf>
    <xf numFmtId="0" fontId="97" fillId="34" borderId="80" xfId="0" applyFont="1" applyFill="1" applyBorder="1" applyAlignment="1">
      <alignment horizontal="center" vertical="center" wrapText="1"/>
    </xf>
    <xf numFmtId="0" fontId="97" fillId="34" borderId="79" xfId="0" applyFont="1" applyFill="1" applyBorder="1" applyAlignment="1">
      <alignment horizontal="center" vertical="center" wrapText="1"/>
    </xf>
    <xf numFmtId="0" fontId="37" fillId="34" borderId="2" xfId="3" applyFont="1" applyFill="1" applyBorder="1" applyAlignment="1">
      <alignment horizontal="center" vertical="center"/>
    </xf>
    <xf numFmtId="0" fontId="37" fillId="34" borderId="12" xfId="3" applyFont="1" applyFill="1" applyBorder="1" applyAlignment="1" applyProtection="1">
      <alignment vertical="center" wrapText="1"/>
      <protection locked="0"/>
    </xf>
    <xf numFmtId="0" fontId="37" fillId="34" borderId="1" xfId="3" applyFont="1" applyFill="1" applyBorder="1" applyAlignment="1" applyProtection="1">
      <alignment vertical="center" wrapText="1"/>
      <protection locked="0"/>
    </xf>
    <xf numFmtId="0" fontId="37" fillId="34" borderId="7" xfId="3" applyFont="1" applyFill="1" applyBorder="1" applyAlignment="1" applyProtection="1">
      <alignment vertical="center" wrapText="1"/>
      <protection locked="0"/>
    </xf>
    <xf numFmtId="0" fontId="97" fillId="8" borderId="78" xfId="0" applyFont="1" applyFill="1" applyBorder="1" applyAlignment="1">
      <alignment horizontal="center" vertical="center" wrapText="1"/>
    </xf>
    <xf numFmtId="0" fontId="97" fillId="8" borderId="80" xfId="0" applyFont="1" applyFill="1" applyBorder="1" applyAlignment="1">
      <alignment horizontal="center" vertical="center" wrapText="1"/>
    </xf>
    <xf numFmtId="0" fontId="97" fillId="8" borderId="79" xfId="0" applyFont="1" applyFill="1" applyBorder="1" applyAlignment="1">
      <alignment horizontal="center" vertical="center" wrapText="1"/>
    </xf>
    <xf numFmtId="0" fontId="37" fillId="8" borderId="12" xfId="3" applyFont="1" applyFill="1" applyBorder="1" applyAlignment="1" applyProtection="1">
      <alignment vertical="center" wrapText="1"/>
      <protection locked="0"/>
    </xf>
    <xf numFmtId="0" fontId="37" fillId="8" borderId="1" xfId="3" applyFont="1" applyFill="1" applyBorder="1" applyAlignment="1" applyProtection="1">
      <alignment vertical="center" wrapText="1"/>
      <protection locked="0"/>
    </xf>
    <xf numFmtId="0" fontId="37" fillId="8" borderId="7" xfId="3" applyFont="1" applyFill="1" applyBorder="1" applyAlignment="1" applyProtection="1">
      <alignment vertical="center" wrapText="1"/>
      <protection locked="0"/>
    </xf>
    <xf numFmtId="0" fontId="97" fillId="31" borderId="78" xfId="0" applyFont="1" applyFill="1" applyBorder="1" applyAlignment="1">
      <alignment horizontal="center" vertical="center" wrapText="1"/>
    </xf>
    <xf numFmtId="0" fontId="97" fillId="31" borderId="80" xfId="0" applyFont="1" applyFill="1" applyBorder="1" applyAlignment="1">
      <alignment horizontal="center" vertical="center" wrapText="1"/>
    </xf>
    <xf numFmtId="0" fontId="97" fillId="31" borderId="79" xfId="0" applyFont="1" applyFill="1" applyBorder="1" applyAlignment="1">
      <alignment horizontal="center" vertical="center" wrapText="1"/>
    </xf>
    <xf numFmtId="0" fontId="37" fillId="31" borderId="2" xfId="3" applyFont="1" applyFill="1" applyBorder="1" applyAlignment="1">
      <alignment horizontal="center" vertical="center"/>
    </xf>
    <xf numFmtId="0" fontId="37" fillId="31" borderId="12" xfId="3" applyFont="1" applyFill="1" applyBorder="1" applyAlignment="1" applyProtection="1">
      <alignment vertical="center" wrapText="1"/>
      <protection locked="0"/>
    </xf>
    <xf numFmtId="0" fontId="37" fillId="31" borderId="1" xfId="3" applyFont="1" applyFill="1" applyBorder="1" applyAlignment="1" applyProtection="1">
      <alignment vertical="center" wrapText="1"/>
      <protection locked="0"/>
    </xf>
    <xf numFmtId="0" fontId="37" fillId="31" borderId="7" xfId="3" applyFont="1" applyFill="1" applyBorder="1" applyAlignment="1" applyProtection="1">
      <alignment vertical="center" wrapText="1"/>
      <protection locked="0"/>
    </xf>
    <xf numFmtId="0" fontId="97" fillId="48" borderId="78" xfId="0" applyFont="1" applyFill="1" applyBorder="1" applyAlignment="1">
      <alignment horizontal="center" vertical="center" wrapText="1"/>
    </xf>
    <xf numFmtId="0" fontId="97" fillId="48" borderId="80" xfId="0" applyFont="1" applyFill="1" applyBorder="1" applyAlignment="1">
      <alignment horizontal="center" vertical="center" wrapText="1"/>
    </xf>
    <xf numFmtId="0" fontId="97" fillId="17" borderId="80" xfId="0" applyFont="1" applyFill="1" applyBorder="1" applyAlignment="1">
      <alignment horizontal="center" vertical="center" wrapText="1"/>
    </xf>
    <xf numFmtId="0" fontId="97" fillId="17" borderId="79" xfId="0" applyFont="1" applyFill="1" applyBorder="1" applyAlignment="1">
      <alignment horizontal="center" vertical="center" wrapText="1"/>
    </xf>
    <xf numFmtId="0" fontId="37" fillId="48" borderId="12" xfId="3" applyFont="1" applyFill="1" applyBorder="1" applyAlignment="1" applyProtection="1">
      <alignment vertical="center" wrapText="1"/>
      <protection locked="0"/>
    </xf>
    <xf numFmtId="0" fontId="37" fillId="48" borderId="11" xfId="3" applyFont="1" applyFill="1" applyBorder="1" applyAlignment="1" applyProtection="1">
      <alignment vertical="center" wrapText="1"/>
      <protection locked="0"/>
    </xf>
    <xf numFmtId="0" fontId="37" fillId="17" borderId="81" xfId="3" applyFont="1" applyFill="1" applyBorder="1" applyAlignment="1" applyProtection="1">
      <alignment vertical="center" wrapText="1"/>
      <protection locked="0"/>
    </xf>
    <xf numFmtId="0" fontId="37" fillId="17" borderId="1" xfId="3" applyFont="1" applyFill="1" applyBorder="1" applyAlignment="1" applyProtection="1">
      <alignment vertical="center" wrapText="1"/>
      <protection locked="0"/>
    </xf>
    <xf numFmtId="0" fontId="37" fillId="17" borderId="36" xfId="3" applyFont="1" applyFill="1" applyBorder="1" applyAlignment="1" applyProtection="1">
      <alignment vertical="center" wrapText="1"/>
      <protection locked="0"/>
    </xf>
    <xf numFmtId="0" fontId="90" fillId="0" borderId="0" xfId="0" applyFont="1" applyFill="1" applyBorder="1" applyAlignment="1">
      <alignment horizontal="center"/>
    </xf>
    <xf numFmtId="0" fontId="108" fillId="0" borderId="0" xfId="0" applyFont="1" applyFill="1" applyBorder="1" applyAlignment="1">
      <alignment horizontal="left"/>
    </xf>
    <xf numFmtId="2" fontId="109" fillId="0" borderId="0" xfId="0" applyNumberFormat="1" applyFont="1" applyBorder="1" applyAlignment="1">
      <alignment horizontal="right"/>
    </xf>
    <xf numFmtId="0" fontId="109" fillId="0" borderId="0" xfId="0" applyFont="1" applyBorder="1" applyAlignment="1">
      <alignment horizontal="right"/>
    </xf>
    <xf numFmtId="0" fontId="7" fillId="0" borderId="82" xfId="0" applyFont="1" applyBorder="1"/>
    <xf numFmtId="0" fontId="3" fillId="0" borderId="62" xfId="0" applyFont="1" applyFill="1" applyBorder="1"/>
    <xf numFmtId="10" fontId="7" fillId="0" borderId="17" xfId="5" applyNumberFormat="1" applyFont="1" applyFill="1" applyBorder="1"/>
    <xf numFmtId="10" fontId="7" fillId="0" borderId="83" xfId="0" applyNumberFormat="1" applyFont="1" applyFill="1" applyBorder="1"/>
    <xf numFmtId="10" fontId="7" fillId="0" borderId="84" xfId="5" applyNumberFormat="1" applyFont="1" applyFill="1" applyBorder="1"/>
    <xf numFmtId="0" fontId="72" fillId="0" borderId="2" xfId="0" applyFont="1" applyBorder="1"/>
    <xf numFmtId="10" fontId="75" fillId="0" borderId="30" xfId="0" applyNumberFormat="1" applyFont="1" applyFill="1" applyBorder="1" applyAlignment="1">
      <alignment horizontal="right"/>
    </xf>
    <xf numFmtId="10" fontId="75" fillId="0" borderId="12" xfId="0" applyNumberFormat="1" applyFont="1" applyFill="1" applyBorder="1" applyAlignment="1">
      <alignment horizontal="right"/>
    </xf>
    <xf numFmtId="179" fontId="66" fillId="0" borderId="0" xfId="2" applyNumberFormat="1" applyFont="1"/>
    <xf numFmtId="179" fontId="68" fillId="0" borderId="0" xfId="2" applyNumberFormat="1" applyFont="1"/>
    <xf numFmtId="179" fontId="110" fillId="0" borderId="0" xfId="2" applyNumberFormat="1" applyFont="1"/>
    <xf numFmtId="179" fontId="111" fillId="0" borderId="0" xfId="2" applyNumberFormat="1" applyFont="1"/>
    <xf numFmtId="9" fontId="92" fillId="0" borderId="0" xfId="5" applyFont="1" applyFill="1" applyBorder="1"/>
    <xf numFmtId="165" fontId="98" fillId="28" borderId="9" xfId="4" applyNumberFormat="1" applyFont="1" applyFill="1" applyBorder="1" applyAlignment="1">
      <alignment horizontal="center" vertical="center" wrapText="1"/>
    </xf>
    <xf numFmtId="10" fontId="68" fillId="5" borderId="28" xfId="4" applyNumberFormat="1" applyFont="1" applyFill="1" applyBorder="1" applyAlignment="1">
      <alignment vertical="center" wrapText="1"/>
    </xf>
    <xf numFmtId="165" fontId="98" fillId="5" borderId="28" xfId="4" applyNumberFormat="1" applyFont="1" applyFill="1" applyBorder="1" applyAlignment="1">
      <alignment horizontal="center" vertical="center" wrapText="1"/>
    </xf>
    <xf numFmtId="0" fontId="0" fillId="0" borderId="90" xfId="0" applyBorder="1" applyAlignment="1">
      <alignment horizontal="center"/>
    </xf>
    <xf numFmtId="0" fontId="68" fillId="5" borderId="53" xfId="0" applyFont="1" applyFill="1" applyBorder="1" applyAlignment="1">
      <alignment horizontal="center" vertical="center" wrapText="1"/>
    </xf>
    <xf numFmtId="0" fontId="0" fillId="24" borderId="140" xfId="0" applyFill="1" applyBorder="1" applyAlignment="1">
      <alignment horizontal="center" vertical="center"/>
    </xf>
    <xf numFmtId="0" fontId="0" fillId="24" borderId="166" xfId="0" applyFill="1" applyBorder="1" applyAlignment="1">
      <alignment horizontal="center" vertical="center"/>
    </xf>
    <xf numFmtId="0" fontId="0" fillId="25" borderId="18" xfId="0" applyFill="1" applyBorder="1" applyAlignment="1">
      <alignment horizontal="center" vertical="center"/>
    </xf>
    <xf numFmtId="0" fontId="0" fillId="25" borderId="5" xfId="0" applyFill="1" applyBorder="1" applyAlignment="1">
      <alignment horizontal="center" vertical="center"/>
    </xf>
    <xf numFmtId="0" fontId="0" fillId="0" borderId="55" xfId="0" applyBorder="1" applyAlignment="1">
      <alignment horizontal="center" wrapText="1"/>
    </xf>
    <xf numFmtId="0" fontId="73" fillId="0" borderId="0" xfId="0" applyFont="1" applyBorder="1" applyAlignment="1">
      <alignment horizontal="center" vertical="center" wrapText="1"/>
    </xf>
    <xf numFmtId="166" fontId="7" fillId="0" borderId="0" xfId="0" applyNumberFormat="1" applyFont="1" applyFill="1" applyBorder="1"/>
    <xf numFmtId="165" fontId="7" fillId="0" borderId="12" xfId="0" applyNumberFormat="1" applyFont="1" applyFill="1" applyBorder="1"/>
    <xf numFmtId="165" fontId="66" fillId="17" borderId="18" xfId="5" applyNumberFormat="1" applyFont="1" applyFill="1" applyBorder="1" applyAlignment="1">
      <alignment vertical="center" wrapText="1"/>
    </xf>
    <xf numFmtId="165" fontId="66" fillId="17" borderId="5" xfId="5" applyNumberFormat="1" applyFont="1" applyFill="1" applyBorder="1" applyAlignment="1">
      <alignment vertical="center" wrapText="1"/>
    </xf>
    <xf numFmtId="165" fontId="66" fillId="17" borderId="6" xfId="5" applyNumberFormat="1" applyFont="1" applyFill="1" applyBorder="1" applyAlignment="1">
      <alignment vertical="center" wrapText="1"/>
    </xf>
    <xf numFmtId="165" fontId="66" fillId="31" borderId="18" xfId="5" applyNumberFormat="1" applyFont="1" applyFill="1" applyBorder="1" applyAlignment="1">
      <alignment vertical="center" wrapText="1"/>
    </xf>
    <xf numFmtId="165" fontId="66" fillId="31" borderId="5" xfId="5" applyNumberFormat="1" applyFont="1" applyFill="1" applyBorder="1" applyAlignment="1">
      <alignment vertical="center" wrapText="1"/>
    </xf>
    <xf numFmtId="165" fontId="66" fillId="31" borderId="6" xfId="5" applyNumberFormat="1" applyFont="1" applyFill="1" applyBorder="1" applyAlignment="1">
      <alignment vertical="center" wrapText="1"/>
    </xf>
    <xf numFmtId="165" fontId="66" fillId="8" borderId="18" xfId="5" applyNumberFormat="1" applyFont="1" applyFill="1" applyBorder="1" applyAlignment="1">
      <alignment vertical="center" wrapText="1"/>
    </xf>
    <xf numFmtId="165" fontId="66" fillId="8" borderId="5" xfId="5" applyNumberFormat="1" applyFont="1" applyFill="1" applyBorder="1" applyAlignment="1">
      <alignment vertical="center" wrapText="1"/>
    </xf>
    <xf numFmtId="165" fontId="66" fillId="8" borderId="6" xfId="5" applyNumberFormat="1" applyFont="1" applyFill="1" applyBorder="1" applyAlignment="1">
      <alignment vertical="center" wrapText="1"/>
    </xf>
    <xf numFmtId="165" fontId="66" fillId="34" borderId="18" xfId="5" applyNumberFormat="1" applyFont="1" applyFill="1" applyBorder="1" applyAlignment="1">
      <alignment vertical="center" wrapText="1"/>
    </xf>
    <xf numFmtId="165" fontId="66" fillId="34" borderId="5" xfId="5" applyNumberFormat="1" applyFont="1" applyFill="1" applyBorder="1" applyAlignment="1">
      <alignment vertical="center" wrapText="1"/>
    </xf>
    <xf numFmtId="165" fontId="66" fillId="34" borderId="6" xfId="5" applyNumberFormat="1" applyFont="1" applyFill="1" applyBorder="1" applyAlignment="1">
      <alignment vertical="center" wrapText="1"/>
    </xf>
    <xf numFmtId="165" fontId="66" fillId="35" borderId="18" xfId="5" applyNumberFormat="1" applyFont="1" applyFill="1" applyBorder="1" applyAlignment="1">
      <alignment vertical="center" wrapText="1"/>
    </xf>
    <xf numFmtId="165" fontId="66" fillId="35" borderId="6" xfId="5" applyNumberFormat="1" applyFont="1" applyFill="1" applyBorder="1" applyAlignment="1">
      <alignment vertical="center" wrapText="1"/>
    </xf>
    <xf numFmtId="165" fontId="66" fillId="12" borderId="18" xfId="5" applyNumberFormat="1" applyFont="1" applyFill="1" applyBorder="1" applyAlignment="1">
      <alignment vertical="center" wrapText="1"/>
    </xf>
    <xf numFmtId="165" fontId="66" fillId="12" borderId="6" xfId="5" applyNumberFormat="1" applyFont="1" applyFill="1" applyBorder="1" applyAlignment="1">
      <alignment vertical="center" wrapText="1"/>
    </xf>
    <xf numFmtId="165" fontId="7" fillId="0" borderId="30" xfId="0" applyNumberFormat="1" applyFont="1" applyFill="1" applyBorder="1"/>
    <xf numFmtId="43" fontId="100" fillId="0" borderId="0" xfId="0" applyNumberFormat="1" applyFont="1" applyBorder="1"/>
    <xf numFmtId="43" fontId="100" fillId="0" borderId="0" xfId="2" applyFont="1" applyFill="1" applyBorder="1"/>
    <xf numFmtId="43" fontId="100" fillId="0" borderId="0" xfId="2" applyFont="1" applyBorder="1"/>
    <xf numFmtId="0" fontId="100" fillId="0" borderId="0" xfId="0" applyFont="1" applyBorder="1" applyAlignment="1">
      <alignment horizontal="left"/>
    </xf>
    <xf numFmtId="10" fontId="104" fillId="6" borderId="167" xfId="4" applyNumberFormat="1" applyFont="1" applyFill="1" applyBorder="1" applyAlignment="1">
      <alignment vertical="center" wrapText="1"/>
    </xf>
    <xf numFmtId="10" fontId="104" fillId="7" borderId="168" xfId="4" applyNumberFormat="1" applyFont="1" applyFill="1" applyBorder="1" applyAlignment="1">
      <alignment vertical="center" wrapText="1"/>
    </xf>
    <xf numFmtId="10" fontId="104" fillId="8" borderId="113" xfId="4" applyNumberFormat="1" applyFont="1" applyFill="1" applyBorder="1" applyAlignment="1">
      <alignment vertical="center" wrapText="1"/>
    </xf>
    <xf numFmtId="10" fontId="104" fillId="9" borderId="167" xfId="4" applyNumberFormat="1" applyFont="1" applyFill="1" applyBorder="1" applyAlignment="1">
      <alignment vertical="center" wrapText="1"/>
    </xf>
    <xf numFmtId="10" fontId="104" fillId="8" borderId="167" xfId="4" applyNumberFormat="1" applyFont="1" applyFill="1" applyBorder="1" applyAlignment="1">
      <alignment vertical="center" wrapText="1"/>
    </xf>
    <xf numFmtId="10" fontId="104" fillId="9" borderId="168" xfId="4" applyNumberFormat="1" applyFont="1" applyFill="1" applyBorder="1" applyAlignment="1">
      <alignment vertical="center" wrapText="1"/>
    </xf>
    <xf numFmtId="10" fontId="104" fillId="10" borderId="113" xfId="4" applyNumberFormat="1" applyFont="1" applyFill="1" applyBorder="1" applyAlignment="1">
      <alignment vertical="center" wrapText="1"/>
    </xf>
    <xf numFmtId="10" fontId="104" fillId="11" borderId="167" xfId="4" applyNumberFormat="1" applyFont="1" applyFill="1" applyBorder="1" applyAlignment="1">
      <alignment vertical="center" wrapText="1"/>
    </xf>
    <xf numFmtId="10" fontId="104" fillId="10" borderId="167" xfId="4" applyNumberFormat="1" applyFont="1" applyFill="1" applyBorder="1" applyAlignment="1">
      <alignment vertical="center" wrapText="1"/>
    </xf>
    <xf numFmtId="10" fontId="104" fillId="11" borderId="168" xfId="4" applyNumberFormat="1" applyFont="1" applyFill="1" applyBorder="1" applyAlignment="1">
      <alignment vertical="center" wrapText="1"/>
    </xf>
    <xf numFmtId="10" fontId="104" fillId="12" borderId="113" xfId="4" applyNumberFormat="1" applyFont="1" applyFill="1" applyBorder="1" applyAlignment="1">
      <alignment vertical="center" wrapText="1"/>
    </xf>
    <xf numFmtId="10" fontId="104" fillId="12" borderId="168" xfId="4" applyNumberFormat="1" applyFont="1" applyFill="1" applyBorder="1" applyAlignment="1">
      <alignment vertical="center" wrapText="1"/>
    </xf>
    <xf numFmtId="10" fontId="104" fillId="13" borderId="113" xfId="4" applyNumberFormat="1" applyFont="1" applyFill="1" applyBorder="1" applyAlignment="1">
      <alignment vertical="center" wrapText="1"/>
    </xf>
    <xf numFmtId="10" fontId="104" fillId="13" borderId="168" xfId="4" applyNumberFormat="1" applyFont="1" applyFill="1" applyBorder="1" applyAlignment="1">
      <alignment vertical="center" wrapText="1"/>
    </xf>
    <xf numFmtId="10" fontId="0" fillId="6" borderId="129" xfId="0" applyNumberFormat="1" applyFill="1" applyBorder="1" applyAlignment="1">
      <alignment vertical="center" wrapText="1"/>
    </xf>
    <xf numFmtId="10" fontId="105" fillId="6" borderId="169" xfId="0" applyNumberFormat="1" applyFont="1" applyFill="1" applyBorder="1" applyAlignment="1">
      <alignment vertical="center" wrapText="1"/>
    </xf>
    <xf numFmtId="10" fontId="105" fillId="6" borderId="162" xfId="4" applyNumberFormat="1" applyFont="1" applyFill="1" applyBorder="1" applyAlignment="1">
      <alignment vertical="center" wrapText="1"/>
    </xf>
    <xf numFmtId="10" fontId="0" fillId="7" borderId="105" xfId="0" applyNumberFormat="1" applyFill="1" applyBorder="1" applyAlignment="1">
      <alignment vertical="center" wrapText="1"/>
    </xf>
    <xf numFmtId="10" fontId="105" fillId="7" borderId="164" xfId="4" applyNumberFormat="1" applyFont="1" applyFill="1" applyBorder="1" applyAlignment="1">
      <alignment vertical="center" wrapText="1"/>
    </xf>
    <xf numFmtId="10" fontId="0" fillId="8" borderId="109" xfId="0" applyNumberFormat="1" applyFill="1" applyBorder="1" applyAlignment="1">
      <alignment vertical="center" wrapText="1"/>
    </xf>
    <xf numFmtId="10" fontId="105" fillId="8" borderId="165" xfId="4" applyNumberFormat="1" applyFont="1" applyFill="1" applyBorder="1" applyAlignment="1">
      <alignment vertical="center" wrapText="1"/>
    </xf>
    <xf numFmtId="10" fontId="0" fillId="9" borderId="170" xfId="0" applyNumberFormat="1" applyFill="1" applyBorder="1" applyAlignment="1">
      <alignment vertical="center" wrapText="1"/>
    </xf>
    <xf numFmtId="10" fontId="105" fillId="9" borderId="171" xfId="4" applyNumberFormat="1" applyFont="1" applyFill="1" applyBorder="1" applyAlignment="1">
      <alignment vertical="center" wrapText="1"/>
    </xf>
    <xf numFmtId="10" fontId="0" fillId="8" borderId="170" xfId="0" applyNumberFormat="1" applyFill="1" applyBorder="1" applyAlignment="1">
      <alignment vertical="center" wrapText="1"/>
    </xf>
    <xf numFmtId="10" fontId="105" fillId="8" borderId="171" xfId="4" applyNumberFormat="1" applyFont="1" applyFill="1" applyBorder="1" applyAlignment="1">
      <alignment vertical="center" wrapText="1"/>
    </xf>
    <xf numFmtId="10" fontId="0" fillId="9" borderId="105" xfId="0" applyNumberFormat="1" applyFill="1" applyBorder="1" applyAlignment="1">
      <alignment vertical="center" wrapText="1"/>
    </xf>
    <xf numFmtId="10" fontId="105" fillId="9" borderId="164" xfId="4" applyNumberFormat="1" applyFont="1" applyFill="1" applyBorder="1" applyAlignment="1">
      <alignment vertical="center" wrapText="1"/>
    </xf>
    <xf numFmtId="10" fontId="0" fillId="10" borderId="109" xfId="0" applyNumberFormat="1" applyFill="1" applyBorder="1" applyAlignment="1">
      <alignment vertical="center" wrapText="1"/>
    </xf>
    <xf numFmtId="10" fontId="105" fillId="10" borderId="165" xfId="4" applyNumberFormat="1" applyFont="1" applyFill="1" applyBorder="1" applyAlignment="1">
      <alignment vertical="center" wrapText="1"/>
    </xf>
    <xf numFmtId="10" fontId="0" fillId="11" borderId="170" xfId="0" applyNumberFormat="1" applyFill="1" applyBorder="1" applyAlignment="1">
      <alignment vertical="center" wrapText="1"/>
    </xf>
    <xf numFmtId="10" fontId="105" fillId="11" borderId="171" xfId="4" applyNumberFormat="1" applyFont="1" applyFill="1" applyBorder="1" applyAlignment="1">
      <alignment vertical="center" wrapText="1"/>
    </xf>
    <xf numFmtId="10" fontId="0" fillId="10" borderId="170" xfId="0" applyNumberFormat="1" applyFill="1" applyBorder="1" applyAlignment="1">
      <alignment vertical="center" wrapText="1"/>
    </xf>
    <xf numFmtId="10" fontId="105" fillId="10" borderId="171" xfId="4" applyNumberFormat="1" applyFont="1" applyFill="1" applyBorder="1" applyAlignment="1">
      <alignment vertical="center" wrapText="1"/>
    </xf>
    <xf numFmtId="10" fontId="0" fillId="11" borderId="105" xfId="0" applyNumberFormat="1" applyFill="1" applyBorder="1" applyAlignment="1">
      <alignment vertical="center" wrapText="1"/>
    </xf>
    <xf numFmtId="10" fontId="105" fillId="11" borderId="164" xfId="4" applyNumberFormat="1" applyFont="1" applyFill="1" applyBorder="1" applyAlignment="1">
      <alignment vertical="center" wrapText="1"/>
    </xf>
    <xf numFmtId="10" fontId="0" fillId="12" borderId="109" xfId="0" applyNumberFormat="1" applyFill="1" applyBorder="1" applyAlignment="1">
      <alignment vertical="center" wrapText="1"/>
    </xf>
    <xf numFmtId="10" fontId="105" fillId="12" borderId="165" xfId="4" applyNumberFormat="1" applyFont="1" applyFill="1" applyBorder="1" applyAlignment="1">
      <alignment vertical="center" wrapText="1"/>
    </xf>
    <xf numFmtId="10" fontId="0" fillId="12" borderId="105" xfId="0" applyNumberFormat="1" applyFill="1" applyBorder="1" applyAlignment="1">
      <alignment vertical="center" wrapText="1"/>
    </xf>
    <xf numFmtId="10" fontId="105" fillId="12" borderId="164" xfId="4" applyNumberFormat="1" applyFont="1" applyFill="1" applyBorder="1" applyAlignment="1">
      <alignment vertical="center" wrapText="1"/>
    </xf>
    <xf numFmtId="10" fontId="0" fillId="13" borderId="109" xfId="0" applyNumberFormat="1" applyFill="1" applyBorder="1" applyAlignment="1">
      <alignment vertical="center" wrapText="1"/>
    </xf>
    <xf numFmtId="10" fontId="105" fillId="13" borderId="165" xfId="4" applyNumberFormat="1" applyFont="1" applyFill="1" applyBorder="1" applyAlignment="1">
      <alignment vertical="center" wrapText="1"/>
    </xf>
    <xf numFmtId="10" fontId="0" fillId="13" borderId="110" xfId="0" applyNumberFormat="1" applyFill="1" applyBorder="1" applyAlignment="1">
      <alignment vertical="center" wrapText="1"/>
    </xf>
    <xf numFmtId="10" fontId="105" fillId="13" borderId="172" xfId="0" applyNumberFormat="1" applyFont="1" applyFill="1" applyBorder="1" applyAlignment="1">
      <alignment vertical="center" wrapText="1"/>
    </xf>
    <xf numFmtId="10" fontId="105" fillId="13" borderId="163" xfId="4" applyNumberFormat="1" applyFont="1" applyFill="1" applyBorder="1" applyAlignment="1">
      <alignment vertical="center" wrapText="1"/>
    </xf>
    <xf numFmtId="165" fontId="106" fillId="41" borderId="41" xfId="4" applyNumberFormat="1" applyFont="1" applyFill="1" applyBorder="1" applyAlignment="1">
      <alignment vertical="center" wrapText="1"/>
    </xf>
    <xf numFmtId="165" fontId="106" fillId="41" borderId="43" xfId="4" applyNumberFormat="1" applyFont="1" applyFill="1" applyBorder="1" applyAlignment="1">
      <alignment vertical="center" wrapText="1"/>
    </xf>
    <xf numFmtId="165" fontId="106" fillId="41" borderId="42" xfId="4" applyNumberFormat="1" applyFont="1" applyFill="1" applyBorder="1" applyAlignment="1">
      <alignment vertical="center" wrapText="1"/>
    </xf>
    <xf numFmtId="10" fontId="79" fillId="30" borderId="100" xfId="5" applyNumberFormat="1" applyFont="1" applyFill="1" applyBorder="1" applyAlignment="1">
      <alignment vertical="center"/>
    </xf>
    <xf numFmtId="10" fontId="79" fillId="45" borderId="100" xfId="5" applyNumberFormat="1" applyFont="1" applyFill="1" applyBorder="1" applyAlignment="1">
      <alignment vertical="center"/>
    </xf>
    <xf numFmtId="10" fontId="79" fillId="45" borderId="146" xfId="5" applyNumberFormat="1" applyFont="1" applyFill="1" applyBorder="1" applyAlignment="1">
      <alignment vertical="center"/>
    </xf>
    <xf numFmtId="10" fontId="79" fillId="46" borderId="100" xfId="5" applyNumberFormat="1" applyFont="1" applyFill="1" applyBorder="1" applyAlignment="1">
      <alignment vertical="center"/>
    </xf>
    <xf numFmtId="10" fontId="79" fillId="47" borderId="100" xfId="5" applyNumberFormat="1" applyFont="1" applyFill="1" applyBorder="1" applyAlignment="1">
      <alignment vertical="center"/>
    </xf>
    <xf numFmtId="10" fontId="79" fillId="47" borderId="146" xfId="5" applyNumberFormat="1" applyFont="1" applyFill="1" applyBorder="1" applyAlignment="1">
      <alignment vertical="center"/>
    </xf>
    <xf numFmtId="10" fontId="79" fillId="14" borderId="100" xfId="5" applyNumberFormat="1" applyFont="1" applyFill="1" applyBorder="1" applyAlignment="1">
      <alignment vertical="center"/>
    </xf>
    <xf numFmtId="10" fontId="79" fillId="14" borderId="146" xfId="5" applyNumberFormat="1" applyFont="1" applyFill="1" applyBorder="1" applyAlignment="1">
      <alignment vertical="center"/>
    </xf>
    <xf numFmtId="10" fontId="79" fillId="15" borderId="100" xfId="5" applyNumberFormat="1" applyFont="1" applyFill="1" applyBorder="1" applyAlignment="1">
      <alignment vertical="center"/>
    </xf>
    <xf numFmtId="10" fontId="79" fillId="15" borderId="122" xfId="5" applyNumberFormat="1" applyFont="1" applyFill="1" applyBorder="1" applyAlignment="1">
      <alignment vertical="center"/>
    </xf>
    <xf numFmtId="10" fontId="66" fillId="49" borderId="30" xfId="5" applyNumberFormat="1" applyFont="1" applyFill="1" applyBorder="1" applyAlignment="1">
      <alignment horizontal="center" vertical="center" wrapText="1"/>
    </xf>
    <xf numFmtId="10" fontId="66" fillId="49" borderId="18" xfId="5" applyNumberFormat="1" applyFont="1" applyFill="1" applyBorder="1" applyAlignment="1">
      <alignment horizontal="center" vertical="center" wrapText="1"/>
    </xf>
    <xf numFmtId="10" fontId="66" fillId="19" borderId="6" xfId="5" applyNumberFormat="1" applyFont="1" applyFill="1" applyBorder="1" applyAlignment="1">
      <alignment horizontal="center" vertical="center" wrapText="1"/>
    </xf>
    <xf numFmtId="10" fontId="79" fillId="43" borderId="101" xfId="5" applyNumberFormat="1" applyFont="1" applyFill="1" applyBorder="1" applyAlignment="1">
      <alignment horizontal="center" vertical="center"/>
    </xf>
    <xf numFmtId="10" fontId="79" fillId="44" borderId="101" xfId="5" applyNumberFormat="1" applyFont="1" applyFill="1" applyBorder="1" applyAlignment="1">
      <alignment horizontal="center" vertical="center"/>
    </xf>
    <xf numFmtId="10" fontId="79" fillId="44" borderId="147" xfId="5" applyNumberFormat="1" applyFont="1" applyFill="1" applyBorder="1" applyAlignment="1">
      <alignment horizontal="center" vertical="center"/>
    </xf>
    <xf numFmtId="10" fontId="79" fillId="30" borderId="101" xfId="5" applyNumberFormat="1" applyFont="1" applyFill="1" applyBorder="1" applyAlignment="1">
      <alignment horizontal="center" vertical="center"/>
    </xf>
    <xf numFmtId="10" fontId="79" fillId="45" borderId="101" xfId="5" applyNumberFormat="1" applyFont="1" applyFill="1" applyBorder="1" applyAlignment="1">
      <alignment horizontal="center" vertical="center"/>
    </xf>
    <xf numFmtId="10" fontId="79" fillId="45" borderId="147" xfId="5" applyNumberFormat="1" applyFont="1" applyFill="1" applyBorder="1" applyAlignment="1">
      <alignment horizontal="center" vertical="center"/>
    </xf>
    <xf numFmtId="10" fontId="79" fillId="46" borderId="101" xfId="5" applyNumberFormat="1" applyFont="1" applyFill="1" applyBorder="1" applyAlignment="1">
      <alignment horizontal="center" vertical="center"/>
    </xf>
    <xf numFmtId="10" fontId="79" fillId="47" borderId="101" xfId="5" applyNumberFormat="1" applyFont="1" applyFill="1" applyBorder="1" applyAlignment="1">
      <alignment horizontal="center" vertical="center"/>
    </xf>
    <xf numFmtId="10" fontId="79" fillId="47" borderId="147" xfId="5" applyNumberFormat="1" applyFont="1" applyFill="1" applyBorder="1" applyAlignment="1">
      <alignment horizontal="center" vertical="center"/>
    </xf>
    <xf numFmtId="10" fontId="79" fillId="14" borderId="101" xfId="5" applyNumberFormat="1" applyFont="1" applyFill="1" applyBorder="1" applyAlignment="1">
      <alignment horizontal="center" vertical="center"/>
    </xf>
    <xf numFmtId="10" fontId="79" fillId="14" borderId="147" xfId="5" applyNumberFormat="1" applyFont="1" applyFill="1" applyBorder="1" applyAlignment="1">
      <alignment horizontal="center" vertical="center"/>
    </xf>
    <xf numFmtId="10" fontId="79" fillId="15" borderId="101" xfId="5" applyNumberFormat="1" applyFont="1" applyFill="1" applyBorder="1" applyAlignment="1">
      <alignment horizontal="center" vertical="center"/>
    </xf>
    <xf numFmtId="10" fontId="79" fillId="15" borderId="123" xfId="5" applyNumberFormat="1" applyFont="1" applyFill="1" applyBorder="1" applyAlignment="1">
      <alignment horizontal="center" vertical="center"/>
    </xf>
    <xf numFmtId="10" fontId="79" fillId="43" borderId="101" xfId="5" applyNumberFormat="1" applyFont="1" applyFill="1" applyBorder="1" applyAlignment="1">
      <alignment horizontal="center" vertical="center" wrapText="1"/>
    </xf>
    <xf numFmtId="10" fontId="79" fillId="44" borderId="101" xfId="5" applyNumberFormat="1" applyFont="1" applyFill="1" applyBorder="1" applyAlignment="1">
      <alignment horizontal="center" vertical="center" wrapText="1"/>
    </xf>
    <xf numFmtId="10" fontId="79" fillId="44" borderId="147" xfId="5" applyNumberFormat="1" applyFont="1" applyFill="1" applyBorder="1" applyAlignment="1">
      <alignment horizontal="center" vertical="center" wrapText="1"/>
    </xf>
    <xf numFmtId="10" fontId="79" fillId="30" borderId="101" xfId="5" applyNumberFormat="1" applyFont="1" applyFill="1" applyBorder="1" applyAlignment="1">
      <alignment horizontal="center" vertical="center" wrapText="1"/>
    </xf>
    <xf numFmtId="10" fontId="79" fillId="45" borderId="101" xfId="5" applyNumberFormat="1" applyFont="1" applyFill="1" applyBorder="1" applyAlignment="1">
      <alignment horizontal="center" vertical="center" wrapText="1"/>
    </xf>
    <xf numFmtId="10" fontId="79" fillId="45" borderId="147" xfId="5" applyNumberFormat="1" applyFont="1" applyFill="1" applyBorder="1" applyAlignment="1">
      <alignment horizontal="center" vertical="center" wrapText="1"/>
    </xf>
    <xf numFmtId="10" fontId="79" fillId="46" borderId="101" xfId="5" applyNumberFormat="1" applyFont="1" applyFill="1" applyBorder="1" applyAlignment="1">
      <alignment horizontal="center" vertical="center" wrapText="1"/>
    </xf>
    <xf numFmtId="10" fontId="79" fillId="47" borderId="101" xfId="5" applyNumberFormat="1" applyFont="1" applyFill="1" applyBorder="1" applyAlignment="1">
      <alignment horizontal="center" vertical="center" wrapText="1"/>
    </xf>
    <xf numFmtId="10" fontId="79" fillId="47" borderId="147" xfId="5" applyNumberFormat="1" applyFont="1" applyFill="1" applyBorder="1" applyAlignment="1">
      <alignment horizontal="center" vertical="center" wrapText="1"/>
    </xf>
    <xf numFmtId="10" fontId="79" fillId="14" borderId="101" xfId="5" applyNumberFormat="1" applyFont="1" applyFill="1" applyBorder="1" applyAlignment="1">
      <alignment horizontal="center" vertical="center" wrapText="1"/>
    </xf>
    <xf numFmtId="10" fontId="79" fillId="14" borderId="147" xfId="5" applyNumberFormat="1" applyFont="1" applyFill="1" applyBorder="1" applyAlignment="1">
      <alignment horizontal="center" vertical="center" wrapText="1"/>
    </xf>
    <xf numFmtId="10" fontId="79" fillId="15" borderId="101" xfId="5" applyNumberFormat="1" applyFont="1" applyFill="1" applyBorder="1" applyAlignment="1">
      <alignment horizontal="center" vertical="center" wrapText="1"/>
    </xf>
    <xf numFmtId="10" fontId="79" fillId="15" borderId="123" xfId="5" applyNumberFormat="1" applyFont="1" applyFill="1" applyBorder="1" applyAlignment="1">
      <alignment horizontal="center" vertical="center" wrapText="1"/>
    </xf>
    <xf numFmtId="10" fontId="79" fillId="43" borderId="100" xfId="5" applyNumberFormat="1" applyFont="1" applyFill="1" applyBorder="1" applyAlignment="1">
      <alignment vertical="center"/>
    </xf>
    <xf numFmtId="10" fontId="79" fillId="44" borderId="146" xfId="5" applyNumberFormat="1" applyFont="1" applyFill="1" applyBorder="1" applyAlignment="1">
      <alignment vertical="center"/>
    </xf>
    <xf numFmtId="10" fontId="79" fillId="44" borderId="100" xfId="5" applyNumberFormat="1" applyFont="1" applyFill="1" applyBorder="1" applyAlignment="1">
      <alignment vertical="center"/>
    </xf>
    <xf numFmtId="165" fontId="106" fillId="51" borderId="41" xfId="4" applyNumberFormat="1" applyFont="1" applyFill="1" applyBorder="1" applyAlignment="1">
      <alignment vertical="center" wrapText="1"/>
    </xf>
    <xf numFmtId="165" fontId="106" fillId="51" borderId="43" xfId="4" applyNumberFormat="1" applyFont="1" applyFill="1" applyBorder="1" applyAlignment="1">
      <alignment vertical="center" wrapText="1"/>
    </xf>
    <xf numFmtId="165" fontId="106" fillId="51" borderId="42" xfId="4" applyNumberFormat="1" applyFont="1" applyFill="1" applyBorder="1" applyAlignment="1">
      <alignment vertical="center" wrapText="1"/>
    </xf>
    <xf numFmtId="164" fontId="100" fillId="0" borderId="0" xfId="0" applyNumberFormat="1" applyFont="1" applyBorder="1"/>
    <xf numFmtId="43" fontId="112" fillId="0" borderId="0" xfId="2" applyFont="1" applyFill="1" applyBorder="1" applyAlignment="1">
      <alignment horizontal="center"/>
    </xf>
    <xf numFmtId="2" fontId="0" fillId="5" borderId="5" xfId="0" applyNumberFormat="1" applyFill="1" applyBorder="1"/>
    <xf numFmtId="178" fontId="66" fillId="42" borderId="41" xfId="4" applyNumberFormat="1" applyFont="1" applyFill="1" applyBorder="1" applyAlignment="1">
      <alignment vertical="center" wrapText="1"/>
    </xf>
    <xf numFmtId="178" fontId="66" fillId="42" borderId="43" xfId="4" applyNumberFormat="1" applyFont="1" applyFill="1" applyBorder="1" applyAlignment="1">
      <alignment vertical="center" wrapText="1"/>
    </xf>
    <xf numFmtId="178" fontId="66" fillId="42" borderId="42" xfId="4" applyNumberFormat="1" applyFont="1" applyFill="1" applyBorder="1" applyAlignment="1">
      <alignment vertical="center" wrapText="1"/>
    </xf>
    <xf numFmtId="10" fontId="105" fillId="6" borderId="165" xfId="4" applyNumberFormat="1" applyFont="1" applyFill="1" applyBorder="1" applyAlignment="1">
      <alignment vertical="center" wrapText="1"/>
    </xf>
    <xf numFmtId="10" fontId="105" fillId="7" borderId="173" xfId="0" applyNumberFormat="1" applyFont="1" applyFill="1" applyBorder="1" applyAlignment="1">
      <alignment vertical="center" wrapText="1"/>
    </xf>
    <xf numFmtId="10" fontId="67" fillId="0" borderId="21" xfId="0" applyNumberFormat="1" applyFont="1" applyBorder="1"/>
    <xf numFmtId="10" fontId="67" fillId="0" borderId="8" xfId="0" applyNumberFormat="1" applyFont="1" applyBorder="1"/>
    <xf numFmtId="10" fontId="67" fillId="0" borderId="0" xfId="0" applyNumberFormat="1" applyFont="1" applyFill="1"/>
    <xf numFmtId="10" fontId="0" fillId="6" borderId="109" xfId="0" applyNumberFormat="1" applyFill="1" applyBorder="1" applyAlignment="1">
      <alignment vertical="center" wrapText="1"/>
    </xf>
    <xf numFmtId="10" fontId="104" fillId="6" borderId="113" xfId="4" applyNumberFormat="1" applyFont="1" applyFill="1" applyBorder="1" applyAlignment="1">
      <alignment vertical="center" wrapText="1"/>
    </xf>
    <xf numFmtId="10" fontId="104" fillId="7" borderId="167" xfId="4" applyNumberFormat="1" applyFont="1" applyFill="1" applyBorder="1" applyAlignment="1">
      <alignment vertical="center" wrapText="1"/>
    </xf>
    <xf numFmtId="10" fontId="0" fillId="7" borderId="170" xfId="0" applyNumberFormat="1" applyFill="1" applyBorder="1" applyAlignment="1">
      <alignment vertical="center" wrapText="1"/>
    </xf>
    <xf numFmtId="10" fontId="105" fillId="7" borderId="171" xfId="4" applyNumberFormat="1" applyFont="1" applyFill="1" applyBorder="1" applyAlignment="1">
      <alignment vertical="center" wrapText="1"/>
    </xf>
    <xf numFmtId="10" fontId="0" fillId="6" borderId="170" xfId="0" applyNumberFormat="1" applyFill="1" applyBorder="1" applyAlignment="1">
      <alignment vertical="center" wrapText="1"/>
    </xf>
    <xf numFmtId="10" fontId="105" fillId="6" borderId="171" xfId="4" applyNumberFormat="1" applyFont="1" applyFill="1" applyBorder="1" applyAlignment="1">
      <alignment vertical="center" wrapText="1"/>
    </xf>
    <xf numFmtId="10" fontId="0" fillId="7" borderId="174" xfId="0" applyNumberFormat="1" applyFill="1" applyBorder="1" applyAlignment="1">
      <alignment vertical="center" wrapText="1"/>
    </xf>
    <xf numFmtId="10" fontId="105" fillId="7" borderId="175" xfId="4" applyNumberFormat="1" applyFont="1" applyFill="1" applyBorder="1" applyAlignment="1">
      <alignment vertical="center" wrapText="1"/>
    </xf>
    <xf numFmtId="10" fontId="66" fillId="28" borderId="55" xfId="5" applyNumberFormat="1" applyFont="1" applyFill="1" applyBorder="1" applyAlignment="1">
      <alignment vertical="center" wrapText="1"/>
    </xf>
    <xf numFmtId="10" fontId="0" fillId="6" borderId="128" xfId="0" applyNumberFormat="1" applyFill="1" applyBorder="1" applyAlignment="1">
      <alignment vertical="center" wrapText="1"/>
    </xf>
    <xf numFmtId="10" fontId="0" fillId="43" borderId="176" xfId="0" applyNumberFormat="1" applyFill="1" applyBorder="1" applyAlignment="1">
      <alignment vertical="center" wrapText="1"/>
    </xf>
    <xf numFmtId="10" fontId="0" fillId="7" borderId="177" xfId="0" applyNumberFormat="1" applyFill="1" applyBorder="1" applyAlignment="1">
      <alignment vertical="center" wrapText="1"/>
    </xf>
    <xf numFmtId="10" fontId="0" fillId="44" borderId="178" xfId="0" applyNumberFormat="1" applyFill="1" applyBorder="1" applyAlignment="1">
      <alignment vertical="center" wrapText="1"/>
    </xf>
    <xf numFmtId="10" fontId="0" fillId="6" borderId="179" xfId="0" applyNumberFormat="1" applyFill="1" applyBorder="1" applyAlignment="1">
      <alignment vertical="center" wrapText="1"/>
    </xf>
    <xf numFmtId="10" fontId="0" fillId="7" borderId="179" xfId="0" applyNumberFormat="1" applyFill="1" applyBorder="1" applyAlignment="1">
      <alignment vertical="center" wrapText="1"/>
    </xf>
    <xf numFmtId="10" fontId="0" fillId="7" borderId="180" xfId="0" applyNumberFormat="1" applyFill="1" applyBorder="1" applyAlignment="1">
      <alignment vertical="center" wrapText="1"/>
    </xf>
    <xf numFmtId="10" fontId="0" fillId="43" borderId="181" xfId="0" applyNumberFormat="1" applyFill="1" applyBorder="1" applyAlignment="1">
      <alignment vertical="center" wrapText="1"/>
    </xf>
    <xf numFmtId="10" fontId="0" fillId="44" borderId="179" xfId="0" applyNumberFormat="1" applyFill="1" applyBorder="1" applyAlignment="1">
      <alignment vertical="center" wrapText="1"/>
    </xf>
    <xf numFmtId="10" fontId="0" fillId="43" borderId="179" xfId="0" applyNumberFormat="1" applyFill="1" applyBorder="1" applyAlignment="1">
      <alignment vertical="center" wrapText="1"/>
    </xf>
    <xf numFmtId="10" fontId="0" fillId="44" borderId="180" xfId="0" applyNumberFormat="1" applyFill="1" applyBorder="1" applyAlignment="1">
      <alignment vertical="center" wrapText="1"/>
    </xf>
    <xf numFmtId="10" fontId="0" fillId="30" borderId="182" xfId="0" applyNumberFormat="1" applyFill="1" applyBorder="1" applyAlignment="1">
      <alignment vertical="center" wrapText="1"/>
    </xf>
    <xf numFmtId="10" fontId="0" fillId="45" borderId="179" xfId="0" applyNumberFormat="1" applyFill="1" applyBorder="1" applyAlignment="1">
      <alignment vertical="center" wrapText="1"/>
    </xf>
    <xf numFmtId="10" fontId="0" fillId="30" borderId="179" xfId="0" applyNumberFormat="1" applyFill="1" applyBorder="1" applyAlignment="1">
      <alignment vertical="center" wrapText="1"/>
    </xf>
    <xf numFmtId="10" fontId="0" fillId="30" borderId="183" xfId="0" applyNumberFormat="1" applyFill="1" applyBorder="1" applyAlignment="1">
      <alignment vertical="center" wrapText="1"/>
    </xf>
    <xf numFmtId="10" fontId="0" fillId="8" borderId="183" xfId="0" applyNumberFormat="1" applyFill="1" applyBorder="1" applyAlignment="1">
      <alignment vertical="center" wrapText="1"/>
    </xf>
    <xf numFmtId="10" fontId="0" fillId="9" borderId="179" xfId="0" applyNumberFormat="1" applyFill="1" applyBorder="1" applyAlignment="1">
      <alignment vertical="center" wrapText="1"/>
    </xf>
    <xf numFmtId="10" fontId="0" fillId="8" borderId="179" xfId="0" applyNumberFormat="1" applyFill="1" applyBorder="1" applyAlignment="1">
      <alignment vertical="center" wrapText="1"/>
    </xf>
    <xf numFmtId="10" fontId="0" fillId="9" borderId="180" xfId="0" applyNumberFormat="1" applyFill="1" applyBorder="1" applyAlignment="1">
      <alignment vertical="center" wrapText="1"/>
    </xf>
    <xf numFmtId="10" fontId="0" fillId="10" borderId="182" xfId="0" applyNumberFormat="1" applyFill="1" applyBorder="1" applyAlignment="1">
      <alignment vertical="center" wrapText="1"/>
    </xf>
    <xf numFmtId="10" fontId="0" fillId="11" borderId="179" xfId="0" applyNumberFormat="1" applyFill="1" applyBorder="1" applyAlignment="1">
      <alignment vertical="center" wrapText="1"/>
    </xf>
    <xf numFmtId="10" fontId="0" fillId="10" borderId="179" xfId="0" applyNumberFormat="1" applyFill="1" applyBorder="1" applyAlignment="1">
      <alignment vertical="center" wrapText="1"/>
    </xf>
    <xf numFmtId="10" fontId="0" fillId="45" borderId="180" xfId="0" applyNumberFormat="1" applyFill="1" applyBorder="1" applyAlignment="1">
      <alignment vertical="center" wrapText="1"/>
    </xf>
    <xf numFmtId="10" fontId="0" fillId="46" borderId="182" xfId="0" applyNumberFormat="1" applyFill="1" applyBorder="1" applyAlignment="1">
      <alignment vertical="center" wrapText="1"/>
    </xf>
    <xf numFmtId="10" fontId="0" fillId="47" borderId="179" xfId="0" applyNumberFormat="1" applyFill="1" applyBorder="1" applyAlignment="1">
      <alignment vertical="center" wrapText="1"/>
    </xf>
    <xf numFmtId="10" fontId="0" fillId="46" borderId="179" xfId="0" applyNumberFormat="1" applyFill="1" applyBorder="1" applyAlignment="1">
      <alignment vertical="center" wrapText="1"/>
    </xf>
    <xf numFmtId="10" fontId="0" fillId="11" borderId="180" xfId="0" applyNumberFormat="1" applyFill="1" applyBorder="1" applyAlignment="1">
      <alignment vertical="center" wrapText="1"/>
    </xf>
    <xf numFmtId="10" fontId="0" fillId="12" borderId="182" xfId="0" applyNumberFormat="1" applyFill="1" applyBorder="1" applyAlignment="1">
      <alignment vertical="center" wrapText="1"/>
    </xf>
    <xf numFmtId="10" fontId="0" fillId="12" borderId="180" xfId="0" applyNumberFormat="1" applyFill="1" applyBorder="1" applyAlignment="1">
      <alignment vertical="center" wrapText="1"/>
    </xf>
    <xf numFmtId="10" fontId="0" fillId="13" borderId="182" xfId="0" applyNumberFormat="1" applyFill="1" applyBorder="1" applyAlignment="1">
      <alignment vertical="center" wrapText="1"/>
    </xf>
    <xf numFmtId="10" fontId="0" fillId="13" borderId="180" xfId="0" applyNumberFormat="1" applyFill="1" applyBorder="1" applyAlignment="1">
      <alignment vertical="center" wrapText="1"/>
    </xf>
    <xf numFmtId="10" fontId="0" fillId="47" borderId="180" xfId="0" applyNumberFormat="1" applyFill="1" applyBorder="1" applyAlignment="1">
      <alignment vertical="center" wrapText="1"/>
    </xf>
    <xf numFmtId="10" fontId="0" fillId="14" borderId="182" xfId="0" applyNumberFormat="1" applyFill="1" applyBorder="1" applyAlignment="1">
      <alignment vertical="center" wrapText="1"/>
    </xf>
    <xf numFmtId="10" fontId="0" fillId="14" borderId="180" xfId="0" applyNumberFormat="1" applyFill="1" applyBorder="1" applyAlignment="1">
      <alignment vertical="center" wrapText="1"/>
    </xf>
    <xf numFmtId="10" fontId="0" fillId="15" borderId="182" xfId="0" applyNumberFormat="1" applyFill="1" applyBorder="1" applyAlignment="1">
      <alignment vertical="center" wrapText="1"/>
    </xf>
    <xf numFmtId="10" fontId="0" fillId="15" borderId="180" xfId="0" applyNumberFormat="1" applyFill="1" applyBorder="1" applyAlignment="1">
      <alignment vertical="center" wrapText="1"/>
    </xf>
    <xf numFmtId="10" fontId="0" fillId="6" borderId="181" xfId="0" applyNumberFormat="1" applyFill="1" applyBorder="1" applyAlignment="1">
      <alignment vertical="center" wrapText="1"/>
    </xf>
    <xf numFmtId="165" fontId="98" fillId="28" borderId="8" xfId="4" applyNumberFormat="1" applyFont="1" applyFill="1" applyBorder="1" applyAlignment="1">
      <alignment horizontal="center" vertical="center" wrapText="1"/>
    </xf>
    <xf numFmtId="165" fontId="98" fillId="28" borderId="34" xfId="4" applyNumberFormat="1" applyFont="1" applyFill="1" applyBorder="1" applyAlignment="1">
      <alignment horizontal="center" vertical="center" wrapText="1"/>
    </xf>
    <xf numFmtId="165" fontId="106" fillId="17" borderId="19" xfId="4" applyNumberFormat="1" applyFont="1" applyFill="1" applyBorder="1" applyAlignment="1">
      <alignment vertical="center" wrapText="1"/>
    </xf>
    <xf numFmtId="10" fontId="106" fillId="17" borderId="2" xfId="4" applyNumberFormat="1" applyFont="1" applyFill="1" applyBorder="1" applyAlignment="1">
      <alignment horizontal="center" vertical="center" wrapText="1"/>
    </xf>
    <xf numFmtId="10" fontId="106" fillId="17" borderId="41" xfId="4" applyNumberFormat="1" applyFont="1" applyFill="1" applyBorder="1" applyAlignment="1">
      <alignment horizontal="center" vertical="center" wrapText="1"/>
    </xf>
    <xf numFmtId="165" fontId="106" fillId="17" borderId="1" xfId="4" applyNumberFormat="1" applyFont="1" applyFill="1" applyBorder="1" applyAlignment="1">
      <alignment vertical="center" wrapText="1"/>
    </xf>
    <xf numFmtId="165" fontId="106" fillId="17" borderId="20" xfId="4" applyNumberFormat="1" applyFont="1" applyFill="1" applyBorder="1" applyAlignment="1">
      <alignment vertical="center" wrapText="1"/>
    </xf>
    <xf numFmtId="10" fontId="106" fillId="17" borderId="3" xfId="4" applyNumberFormat="1" applyFont="1" applyFill="1" applyBorder="1" applyAlignment="1">
      <alignment horizontal="center" vertical="center" wrapText="1"/>
    </xf>
    <xf numFmtId="165" fontId="106" fillId="17" borderId="24" xfId="4" applyNumberFormat="1" applyFont="1" applyFill="1" applyBorder="1" applyAlignment="1">
      <alignment vertical="center" wrapText="1"/>
    </xf>
    <xf numFmtId="10" fontId="106" fillId="17" borderId="4" xfId="4" applyNumberFormat="1" applyFont="1" applyFill="1" applyBorder="1" applyAlignment="1">
      <alignment horizontal="center" vertical="center" wrapText="1"/>
    </xf>
    <xf numFmtId="10" fontId="106" fillId="31" borderId="41" xfId="4" applyNumberFormat="1" applyFont="1" applyFill="1" applyBorder="1" applyAlignment="1">
      <alignment horizontal="center" vertical="center" wrapText="1"/>
    </xf>
    <xf numFmtId="10" fontId="106" fillId="31" borderId="43" xfId="4" applyNumberFormat="1" applyFont="1" applyFill="1" applyBorder="1" applyAlignment="1">
      <alignment horizontal="center" vertical="center" wrapText="1"/>
    </xf>
    <xf numFmtId="10" fontId="106" fillId="31" borderId="42" xfId="4" applyNumberFormat="1" applyFont="1" applyFill="1" applyBorder="1" applyAlignment="1">
      <alignment horizontal="center" vertical="center" wrapText="1"/>
    </xf>
    <xf numFmtId="165" fontId="106" fillId="31" borderId="12" xfId="4" applyNumberFormat="1" applyFont="1" applyFill="1" applyBorder="1" applyAlignment="1">
      <alignment vertical="center" wrapText="1"/>
    </xf>
    <xf numFmtId="165" fontId="106" fillId="31" borderId="1" xfId="4" applyNumberFormat="1" applyFont="1" applyFill="1" applyBorder="1" applyAlignment="1">
      <alignment vertical="center" wrapText="1"/>
    </xf>
    <xf numFmtId="165" fontId="106" fillId="31" borderId="7" xfId="4" applyNumberFormat="1" applyFont="1" applyFill="1" applyBorder="1" applyAlignment="1">
      <alignment vertical="center" wrapText="1"/>
    </xf>
    <xf numFmtId="10" fontId="106" fillId="8" borderId="41" xfId="4" applyNumberFormat="1" applyFont="1" applyFill="1" applyBorder="1" applyAlignment="1">
      <alignment horizontal="center" vertical="center" wrapText="1"/>
    </xf>
    <xf numFmtId="10" fontId="106" fillId="8" borderId="43" xfId="4" applyNumberFormat="1" applyFont="1" applyFill="1" applyBorder="1" applyAlignment="1">
      <alignment horizontal="center" vertical="center" wrapText="1"/>
    </xf>
    <xf numFmtId="10" fontId="106" fillId="8" borderId="42" xfId="4" applyNumberFormat="1" applyFont="1" applyFill="1" applyBorder="1" applyAlignment="1">
      <alignment horizontal="center" vertical="center" wrapText="1"/>
    </xf>
    <xf numFmtId="165" fontId="106" fillId="8" borderId="12" xfId="4" applyNumberFormat="1" applyFont="1" applyFill="1" applyBorder="1" applyAlignment="1">
      <alignment vertical="center" wrapText="1"/>
    </xf>
    <xf numFmtId="165" fontId="106" fillId="8" borderId="1" xfId="4" applyNumberFormat="1" applyFont="1" applyFill="1" applyBorder="1" applyAlignment="1">
      <alignment vertical="center" wrapText="1"/>
    </xf>
    <xf numFmtId="165" fontId="106" fillId="8" borderId="7" xfId="4" applyNumberFormat="1" applyFont="1" applyFill="1" applyBorder="1" applyAlignment="1">
      <alignment vertical="center" wrapText="1"/>
    </xf>
    <xf numFmtId="10" fontId="106" fillId="34" borderId="41" xfId="4" applyNumberFormat="1" applyFont="1" applyFill="1" applyBorder="1" applyAlignment="1">
      <alignment horizontal="center" vertical="center" wrapText="1"/>
    </xf>
    <xf numFmtId="10" fontId="106" fillId="34" borderId="43" xfId="4" applyNumberFormat="1" applyFont="1" applyFill="1" applyBorder="1" applyAlignment="1">
      <alignment horizontal="center" vertical="center" wrapText="1"/>
    </xf>
    <xf numFmtId="10" fontId="106" fillId="34" borderId="42" xfId="4" applyNumberFormat="1" applyFont="1" applyFill="1" applyBorder="1" applyAlignment="1">
      <alignment horizontal="center" vertical="center" wrapText="1"/>
    </xf>
    <xf numFmtId="165" fontId="106" fillId="34" borderId="12" xfId="4" applyNumberFormat="1" applyFont="1" applyFill="1" applyBorder="1" applyAlignment="1">
      <alignment vertical="center" wrapText="1"/>
    </xf>
    <xf numFmtId="165" fontId="106" fillId="34" borderId="1" xfId="4" applyNumberFormat="1" applyFont="1" applyFill="1" applyBorder="1" applyAlignment="1">
      <alignment vertical="center" wrapText="1"/>
    </xf>
    <xf numFmtId="165" fontId="106" fillId="34" borderId="7" xfId="4" applyNumberFormat="1" applyFont="1" applyFill="1" applyBorder="1" applyAlignment="1">
      <alignment vertical="center" wrapText="1"/>
    </xf>
    <xf numFmtId="10" fontId="106" fillId="35" borderId="41" xfId="4" applyNumberFormat="1" applyFont="1" applyFill="1" applyBorder="1" applyAlignment="1">
      <alignment horizontal="center" vertical="center" wrapText="1"/>
    </xf>
    <xf numFmtId="10" fontId="106" fillId="35" borderId="42" xfId="4" applyNumberFormat="1" applyFont="1" applyFill="1" applyBorder="1" applyAlignment="1">
      <alignment horizontal="center" vertical="center" wrapText="1"/>
    </xf>
    <xf numFmtId="10" fontId="106" fillId="12" borderId="41" xfId="4" applyNumberFormat="1" applyFont="1" applyFill="1" applyBorder="1" applyAlignment="1">
      <alignment horizontal="center" vertical="center" wrapText="1"/>
    </xf>
    <xf numFmtId="10" fontId="106" fillId="12" borderId="42" xfId="4" applyNumberFormat="1" applyFont="1" applyFill="1" applyBorder="1" applyAlignment="1">
      <alignment horizontal="center" vertical="center" wrapText="1"/>
    </xf>
    <xf numFmtId="165" fontId="106" fillId="35" borderId="12" xfId="4" applyNumberFormat="1" applyFont="1" applyFill="1" applyBorder="1" applyAlignment="1">
      <alignment vertical="center" wrapText="1"/>
    </xf>
    <xf numFmtId="165" fontId="106" fillId="35" borderId="7" xfId="4" applyNumberFormat="1" applyFont="1" applyFill="1" applyBorder="1" applyAlignment="1">
      <alignment vertical="center" wrapText="1"/>
    </xf>
    <xf numFmtId="165" fontId="106" fillId="12" borderId="11" xfId="4" applyNumberFormat="1" applyFont="1" applyFill="1" applyBorder="1" applyAlignment="1">
      <alignment vertical="center" wrapText="1"/>
    </xf>
    <xf numFmtId="165" fontId="106" fillId="12" borderId="7" xfId="4" applyNumberFormat="1" applyFont="1" applyFill="1" applyBorder="1" applyAlignment="1">
      <alignment vertical="center" wrapText="1"/>
    </xf>
    <xf numFmtId="0" fontId="113" fillId="0" borderId="4" xfId="0" applyFont="1" applyFill="1" applyBorder="1"/>
    <xf numFmtId="10" fontId="100" fillId="0" borderId="6" xfId="5" applyNumberFormat="1" applyFont="1" applyFill="1" applyBorder="1"/>
    <xf numFmtId="10" fontId="100" fillId="0" borderId="6" xfId="0" applyNumberFormat="1" applyFont="1" applyFill="1" applyBorder="1"/>
    <xf numFmtId="10" fontId="100" fillId="0" borderId="7" xfId="5" applyNumberFormat="1" applyFont="1" applyFill="1" applyBorder="1"/>
    <xf numFmtId="0" fontId="85" fillId="0" borderId="0" xfId="0" applyFont="1" applyAlignment="1">
      <alignment horizontal="justify" vertical="center" wrapText="1"/>
    </xf>
    <xf numFmtId="0" fontId="85" fillId="0" borderId="0" xfId="0" applyFont="1" applyAlignment="1">
      <alignment horizontal="left" vertical="center" wrapText="1"/>
    </xf>
    <xf numFmtId="0" fontId="86" fillId="0" borderId="0" xfId="0" applyFont="1" applyAlignment="1">
      <alignment horizontal="justify" vertical="center" wrapText="1"/>
    </xf>
    <xf numFmtId="0" fontId="87" fillId="0" borderId="0" xfId="0" applyFont="1" applyAlignment="1">
      <alignment horizontal="justify" vertical="center" wrapText="1"/>
    </xf>
    <xf numFmtId="0" fontId="88" fillId="0" borderId="0" xfId="0" applyFont="1" applyAlignment="1">
      <alignment horizontal="justify" vertical="center" wrapText="1"/>
    </xf>
    <xf numFmtId="0" fontId="89" fillId="0" borderId="0" xfId="0" applyFont="1" applyAlignment="1">
      <alignment horizontal="justify" vertical="center" wrapText="1"/>
    </xf>
    <xf numFmtId="0" fontId="114" fillId="0" borderId="0" xfId="0" applyFont="1" applyBorder="1"/>
    <xf numFmtId="0" fontId="7" fillId="0" borderId="0" xfId="0" applyNumberFormat="1" applyFont="1" applyBorder="1"/>
    <xf numFmtId="0" fontId="14" fillId="0" borderId="0" xfId="0" applyFont="1" applyFill="1" applyBorder="1"/>
    <xf numFmtId="0" fontId="73" fillId="0" borderId="0" xfId="0" applyFont="1" applyFill="1" applyBorder="1"/>
    <xf numFmtId="2" fontId="73" fillId="0" borderId="0" xfId="0" applyNumberFormat="1" applyFont="1" applyFill="1" applyBorder="1"/>
    <xf numFmtId="2" fontId="73" fillId="0" borderId="0" xfId="0" applyNumberFormat="1" applyFont="1" applyBorder="1"/>
    <xf numFmtId="10" fontId="71" fillId="52" borderId="0" xfId="5" applyNumberFormat="1" applyFont="1" applyFill="1" applyBorder="1"/>
    <xf numFmtId="0" fontId="72" fillId="0" borderId="0" xfId="0" applyFont="1" applyBorder="1"/>
    <xf numFmtId="165" fontId="4" fillId="16" borderId="34" xfId="0" applyNumberFormat="1" applyFont="1" applyFill="1" applyBorder="1" applyAlignment="1">
      <alignment horizontal="center" vertical="top" wrapText="1"/>
    </xf>
    <xf numFmtId="43" fontId="73" fillId="0" borderId="0" xfId="0" applyNumberFormat="1" applyFont="1" applyBorder="1"/>
    <xf numFmtId="0" fontId="3" fillId="0" borderId="55" xfId="0" applyFont="1" applyBorder="1"/>
    <xf numFmtId="0" fontId="3" fillId="37" borderId="38" xfId="0" applyFont="1" applyFill="1" applyBorder="1"/>
    <xf numFmtId="2" fontId="3" fillId="37" borderId="38" xfId="0" applyNumberFormat="1" applyFont="1" applyFill="1" applyBorder="1"/>
    <xf numFmtId="0" fontId="3" fillId="5" borderId="58" xfId="0" applyFont="1" applyFill="1" applyBorder="1"/>
    <xf numFmtId="164" fontId="3" fillId="5" borderId="59" xfId="0" applyNumberFormat="1" applyFont="1" applyFill="1" applyBorder="1"/>
    <xf numFmtId="164" fontId="3" fillId="5" borderId="63" xfId="0" applyNumberFormat="1" applyFont="1" applyFill="1" applyBorder="1"/>
    <xf numFmtId="43" fontId="75" fillId="0" borderId="0" xfId="0" applyNumberFormat="1" applyFont="1" applyBorder="1"/>
    <xf numFmtId="10" fontId="71" fillId="53" borderId="0" xfId="5" applyNumberFormat="1" applyFont="1" applyFill="1" applyBorder="1"/>
    <xf numFmtId="10" fontId="7" fillId="0" borderId="0" xfId="5" applyNumberFormat="1" applyFont="1" applyBorder="1"/>
    <xf numFmtId="43" fontId="72" fillId="0" borderId="0" xfId="0" applyNumberFormat="1" applyFont="1" applyBorder="1"/>
    <xf numFmtId="4" fontId="7" fillId="0" borderId="1" xfId="0" applyNumberFormat="1" applyFont="1" applyFill="1" applyBorder="1" applyAlignment="1">
      <alignment vertical="center"/>
    </xf>
    <xf numFmtId="4" fontId="7" fillId="5" borderId="36" xfId="0" applyNumberFormat="1" applyFont="1" applyFill="1" applyBorder="1" applyAlignment="1">
      <alignment vertical="center"/>
    </xf>
    <xf numFmtId="0" fontId="115" fillId="0" borderId="3" xfId="0" applyFont="1" applyFill="1" applyBorder="1" applyAlignment="1">
      <alignment vertical="center"/>
    </xf>
    <xf numFmtId="0" fontId="115" fillId="0" borderId="4" xfId="0" applyFont="1" applyFill="1" applyBorder="1" applyAlignment="1">
      <alignment vertical="center"/>
    </xf>
    <xf numFmtId="14" fontId="7" fillId="22" borderId="1" xfId="0" applyNumberFormat="1" applyFont="1" applyFill="1" applyBorder="1" applyAlignment="1">
      <alignment vertical="center"/>
    </xf>
    <xf numFmtId="0" fontId="115" fillId="0" borderId="10" xfId="0" applyFont="1" applyFill="1" applyBorder="1" applyAlignment="1">
      <alignment vertical="center"/>
    </xf>
    <xf numFmtId="4" fontId="116" fillId="0" borderId="0" xfId="0" applyNumberFormat="1" applyFont="1" applyFill="1" applyBorder="1" applyAlignment="1">
      <alignment horizontal="center"/>
    </xf>
    <xf numFmtId="4" fontId="75" fillId="5" borderId="11" xfId="0" applyNumberFormat="1" applyFont="1" applyFill="1" applyBorder="1" applyAlignment="1">
      <alignment vertical="center"/>
    </xf>
    <xf numFmtId="0" fontId="82" fillId="0" borderId="0" xfId="0" applyFont="1" applyBorder="1"/>
    <xf numFmtId="2" fontId="82" fillId="0" borderId="0" xfId="0" applyNumberFormat="1" applyFont="1" applyBorder="1"/>
    <xf numFmtId="0" fontId="73" fillId="0" borderId="0" xfId="0" applyFont="1" applyBorder="1" applyAlignment="1">
      <alignment horizontal="left"/>
    </xf>
    <xf numFmtId="0" fontId="73" fillId="0" borderId="0" xfId="0" applyFont="1" applyBorder="1" applyAlignment="1">
      <alignment horizontal="center" wrapText="1"/>
    </xf>
    <xf numFmtId="2" fontId="3" fillId="0" borderId="0" xfId="0" applyNumberFormat="1" applyFont="1" applyFill="1" applyBorder="1"/>
    <xf numFmtId="0" fontId="27" fillId="0" borderId="0" xfId="0" applyFont="1" applyFill="1" applyBorder="1"/>
    <xf numFmtId="0" fontId="117" fillId="0" borderId="0" xfId="0" applyFont="1" applyBorder="1"/>
    <xf numFmtId="0" fontId="71" fillId="0" borderId="0" xfId="0" applyFont="1" applyBorder="1"/>
    <xf numFmtId="164" fontId="3" fillId="0" borderId="0" xfId="2" applyNumberFormat="1" applyFont="1" applyBorder="1"/>
    <xf numFmtId="4" fontId="118" fillId="22" borderId="7" xfId="0" applyNumberFormat="1" applyFont="1" applyFill="1" applyBorder="1" applyAlignment="1">
      <alignment vertical="center"/>
    </xf>
    <xf numFmtId="14" fontId="119" fillId="0" borderId="0" xfId="0" applyNumberFormat="1" applyFont="1" applyFill="1" applyBorder="1" applyAlignment="1">
      <alignment horizontal="left"/>
    </xf>
    <xf numFmtId="14" fontId="118" fillId="5" borderId="1" xfId="0" applyNumberFormat="1" applyFont="1" applyFill="1" applyBorder="1" applyAlignment="1">
      <alignment vertical="center"/>
    </xf>
    <xf numFmtId="14" fontId="120" fillId="0" borderId="0" xfId="0" applyNumberFormat="1" applyFont="1" applyFill="1" applyBorder="1" applyAlignment="1">
      <alignment horizontal="left"/>
    </xf>
    <xf numFmtId="14" fontId="60" fillId="0" borderId="0" xfId="0" applyNumberFormat="1" applyFont="1" applyFill="1" applyBorder="1" applyAlignment="1">
      <alignment horizontal="left"/>
    </xf>
    <xf numFmtId="43" fontId="73" fillId="0" borderId="0" xfId="0" applyNumberFormat="1" applyFont="1" applyFill="1" applyBorder="1"/>
    <xf numFmtId="168" fontId="73" fillId="0" borderId="0" xfId="0" applyNumberFormat="1" applyFont="1" applyFill="1" applyBorder="1"/>
    <xf numFmtId="0" fontId="121" fillId="28" borderId="0" xfId="0" applyFont="1" applyFill="1" applyBorder="1"/>
    <xf numFmtId="0" fontId="73" fillId="52" borderId="0" xfId="0" applyFont="1" applyFill="1" applyBorder="1"/>
    <xf numFmtId="43" fontId="73" fillId="52" borderId="0" xfId="0" applyNumberFormat="1" applyFont="1" applyFill="1" applyBorder="1"/>
    <xf numFmtId="0" fontId="2" fillId="0" borderId="53" xfId="0" applyFont="1" applyBorder="1" applyAlignment="1">
      <alignment horizontal="left"/>
    </xf>
    <xf numFmtId="0" fontId="2" fillId="0" borderId="8" xfId="0" applyFont="1" applyBorder="1" applyAlignment="1">
      <alignment horizontal="left"/>
    </xf>
    <xf numFmtId="0" fontId="2" fillId="0" borderId="23" xfId="0" applyFont="1" applyBorder="1" applyAlignment="1">
      <alignment horizontal="left"/>
    </xf>
    <xf numFmtId="0" fontId="2" fillId="0" borderId="35" xfId="0" applyFont="1" applyBorder="1" applyAlignment="1">
      <alignment horizontal="left"/>
    </xf>
    <xf numFmtId="0" fontId="2" fillId="0" borderId="0" xfId="0" applyFont="1" applyBorder="1" applyAlignment="1">
      <alignment horizontal="left"/>
    </xf>
    <xf numFmtId="0" fontId="2" fillId="0" borderId="22" xfId="0" applyFont="1" applyBorder="1" applyAlignment="1">
      <alignment horizontal="left"/>
    </xf>
    <xf numFmtId="0" fontId="1" fillId="0" borderId="35" xfId="0" applyFont="1" applyBorder="1" applyAlignment="1">
      <alignment horizontal="left"/>
    </xf>
    <xf numFmtId="0" fontId="1" fillId="0" borderId="0" xfId="0" applyFont="1" applyBorder="1" applyAlignment="1">
      <alignment horizontal="left"/>
    </xf>
    <xf numFmtId="0" fontId="1" fillId="0" borderId="22" xfId="0" applyFont="1" applyBorder="1" applyAlignment="1">
      <alignment horizontal="left"/>
    </xf>
    <xf numFmtId="0" fontId="122" fillId="0" borderId="85" xfId="0" applyFont="1" applyBorder="1" applyAlignment="1">
      <alignment horizontal="left"/>
    </xf>
    <xf numFmtId="0" fontId="122" fillId="0" borderId="31" xfId="0" applyFont="1" applyBorder="1" applyAlignment="1">
      <alignment horizontal="left"/>
    </xf>
    <xf numFmtId="0" fontId="122" fillId="0" borderId="32" xfId="0" applyFont="1" applyBorder="1" applyAlignment="1">
      <alignment horizontal="left"/>
    </xf>
    <xf numFmtId="0" fontId="1" fillId="0" borderId="53" xfId="0" applyFont="1" applyBorder="1" applyAlignment="1">
      <alignment horizontal="left"/>
    </xf>
    <xf numFmtId="0" fontId="1" fillId="0" borderId="8" xfId="0" applyFont="1" applyBorder="1" applyAlignment="1">
      <alignment horizontal="left"/>
    </xf>
    <xf numFmtId="0" fontId="1" fillId="0" borderId="23" xfId="0" applyFont="1" applyBorder="1" applyAlignment="1">
      <alignment horizontal="left"/>
    </xf>
    <xf numFmtId="0" fontId="5" fillId="16" borderId="85" xfId="0" applyFont="1" applyFill="1" applyBorder="1" applyAlignment="1">
      <alignment horizontal="center"/>
    </xf>
    <xf numFmtId="0" fontId="5" fillId="16" borderId="31" xfId="0" applyFont="1" applyFill="1" applyBorder="1" applyAlignment="1">
      <alignment horizontal="center"/>
    </xf>
    <xf numFmtId="0" fontId="5" fillId="16" borderId="32" xfId="0" applyFont="1" applyFill="1" applyBorder="1" applyAlignment="1">
      <alignment horizontal="center"/>
    </xf>
    <xf numFmtId="0" fontId="6" fillId="16" borderId="53" xfId="0" applyFont="1" applyFill="1" applyBorder="1" applyAlignment="1">
      <alignment horizontal="center" vertical="top" wrapText="1"/>
    </xf>
    <xf numFmtId="0" fontId="5" fillId="16" borderId="8" xfId="0" applyFont="1" applyFill="1" applyBorder="1" applyAlignment="1">
      <alignment horizontal="center" vertical="top" wrapText="1"/>
    </xf>
    <xf numFmtId="0" fontId="5" fillId="16" borderId="23" xfId="0" applyFont="1" applyFill="1" applyBorder="1" applyAlignment="1">
      <alignment horizontal="center" vertical="top" wrapText="1"/>
    </xf>
    <xf numFmtId="0" fontId="2" fillId="0" borderId="35" xfId="0" applyFont="1" applyFill="1" applyBorder="1" applyAlignment="1">
      <alignment horizontal="left"/>
    </xf>
    <xf numFmtId="0" fontId="2" fillId="0" borderId="0" xfId="0" applyFont="1" applyFill="1" applyBorder="1" applyAlignment="1">
      <alignment horizontal="left"/>
    </xf>
    <xf numFmtId="0" fontId="2" fillId="0" borderId="22" xfId="0" applyFont="1" applyFill="1" applyBorder="1" applyAlignment="1">
      <alignment horizontal="left"/>
    </xf>
    <xf numFmtId="0" fontId="72" fillId="0" borderId="53" xfId="0" applyFont="1" applyBorder="1" applyAlignment="1">
      <alignment horizontal="left"/>
    </xf>
    <xf numFmtId="0" fontId="72" fillId="0" borderId="8" xfId="0" applyFont="1" applyBorder="1" applyAlignment="1">
      <alignment horizontal="left"/>
    </xf>
    <xf numFmtId="0" fontId="72" fillId="0" borderId="23" xfId="0" applyFont="1" applyBorder="1" applyAlignment="1">
      <alignment horizontal="left"/>
    </xf>
    <xf numFmtId="0" fontId="2" fillId="0" borderId="53" xfId="0" applyFont="1" applyBorder="1" applyAlignment="1">
      <alignment horizontal="left" vertical="top" wrapText="1"/>
    </xf>
    <xf numFmtId="0" fontId="2" fillId="0" borderId="8" xfId="0" applyFont="1" applyBorder="1" applyAlignment="1">
      <alignment horizontal="left" vertical="top"/>
    </xf>
    <xf numFmtId="0" fontId="2" fillId="0" borderId="23" xfId="0" applyFont="1" applyBorder="1" applyAlignment="1">
      <alignment horizontal="left" vertical="top"/>
    </xf>
    <xf numFmtId="0" fontId="2" fillId="0" borderId="35" xfId="0" applyFont="1" applyBorder="1" applyAlignment="1">
      <alignment horizontal="left" vertical="top" wrapText="1"/>
    </xf>
    <xf numFmtId="0" fontId="2" fillId="0" borderId="0" xfId="0" applyFont="1" applyBorder="1" applyAlignment="1">
      <alignment horizontal="left" vertical="top"/>
    </xf>
    <xf numFmtId="0" fontId="2" fillId="0" borderId="22" xfId="0" applyFont="1" applyBorder="1" applyAlignment="1">
      <alignment horizontal="left" vertical="top"/>
    </xf>
    <xf numFmtId="0" fontId="2" fillId="0" borderId="35" xfId="0" applyFont="1" applyBorder="1" applyAlignment="1">
      <alignment horizontal="left" vertical="top"/>
    </xf>
    <xf numFmtId="0" fontId="5" fillId="16" borderId="58" xfId="0" applyFont="1" applyFill="1" applyBorder="1" applyAlignment="1">
      <alignment horizontal="center"/>
    </xf>
    <xf numFmtId="0" fontId="5" fillId="16" borderId="59" xfId="0" applyFont="1" applyFill="1" applyBorder="1" applyAlignment="1">
      <alignment horizontal="center"/>
    </xf>
    <xf numFmtId="0" fontId="5" fillId="16" borderId="63" xfId="0" applyFont="1" applyFill="1" applyBorder="1" applyAlignment="1">
      <alignment horizontal="center"/>
    </xf>
    <xf numFmtId="0" fontId="72" fillId="0" borderId="35" xfId="0" applyFont="1" applyBorder="1" applyAlignment="1">
      <alignment horizontal="left"/>
    </xf>
    <xf numFmtId="0" fontId="72" fillId="0" borderId="0" xfId="0" applyFont="1" applyBorder="1" applyAlignment="1">
      <alignment horizontal="left"/>
    </xf>
    <xf numFmtId="0" fontId="72" fillId="0" borderId="22" xfId="0" applyFont="1" applyBorder="1" applyAlignment="1">
      <alignment horizontal="left"/>
    </xf>
    <xf numFmtId="0" fontId="6" fillId="16" borderId="58" xfId="0" applyFont="1" applyFill="1" applyBorder="1" applyAlignment="1">
      <alignment horizontal="center" vertical="top" wrapText="1"/>
    </xf>
    <xf numFmtId="0" fontId="5" fillId="16" borderId="59" xfId="0" applyFont="1" applyFill="1" applyBorder="1" applyAlignment="1">
      <alignment horizontal="center" vertical="top" wrapText="1"/>
    </xf>
    <xf numFmtId="0" fontId="5" fillId="16" borderId="63" xfId="0" applyFont="1" applyFill="1" applyBorder="1" applyAlignment="1">
      <alignment horizontal="center" vertical="top" wrapText="1"/>
    </xf>
    <xf numFmtId="0" fontId="123" fillId="53" borderId="0" xfId="0" applyFont="1" applyFill="1" applyAlignment="1">
      <alignment horizontal="center" vertical="center"/>
    </xf>
    <xf numFmtId="0" fontId="124" fillId="0" borderId="35" xfId="0" applyFont="1" applyBorder="1" applyAlignment="1">
      <alignment horizontal="left" vertical="top" wrapText="1"/>
    </xf>
    <xf numFmtId="0" fontId="124" fillId="0" borderId="0" xfId="0" applyFont="1" applyBorder="1" applyAlignment="1">
      <alignment horizontal="left" vertical="top"/>
    </xf>
    <xf numFmtId="0" fontId="124" fillId="0" borderId="22" xfId="0" applyFont="1" applyBorder="1" applyAlignment="1">
      <alignment horizontal="left" vertical="top"/>
    </xf>
    <xf numFmtId="0" fontId="0" fillId="25" borderId="184" xfId="0" applyFill="1" applyBorder="1" applyAlignment="1">
      <alignment horizontal="center" vertical="center"/>
    </xf>
    <xf numFmtId="0" fontId="0" fillId="25" borderId="138" xfId="0" applyFill="1" applyBorder="1" applyAlignment="1">
      <alignment horizontal="center" vertical="center"/>
    </xf>
    <xf numFmtId="0" fontId="107" fillId="54" borderId="86" xfId="0" applyFont="1" applyFill="1" applyBorder="1" applyAlignment="1">
      <alignment horizontal="center" vertical="center" wrapText="1"/>
    </xf>
    <xf numFmtId="0" fontId="107" fillId="54" borderId="87" xfId="0" applyFont="1" applyFill="1" applyBorder="1" applyAlignment="1">
      <alignment horizontal="center" vertical="center" wrapText="1"/>
    </xf>
    <xf numFmtId="0" fontId="107" fillId="54" borderId="54" xfId="0" applyFont="1" applyFill="1" applyBorder="1" applyAlignment="1">
      <alignment horizontal="center" vertical="center" wrapText="1"/>
    </xf>
    <xf numFmtId="0" fontId="68" fillId="6" borderId="86" xfId="0" applyFont="1" applyFill="1" applyBorder="1" applyAlignment="1">
      <alignment horizontal="center" vertical="center" wrapText="1"/>
    </xf>
    <xf numFmtId="0" fontId="68" fillId="6" borderId="185" xfId="0" applyFont="1" applyFill="1" applyBorder="1" applyAlignment="1">
      <alignment horizontal="center" vertical="center" wrapText="1"/>
    </xf>
    <xf numFmtId="0" fontId="68" fillId="6" borderId="151" xfId="0" applyFont="1" applyFill="1" applyBorder="1" applyAlignment="1">
      <alignment horizontal="center" vertical="center" wrapText="1"/>
    </xf>
    <xf numFmtId="0" fontId="107" fillId="21" borderId="151" xfId="0" applyFont="1" applyFill="1" applyBorder="1" applyAlignment="1">
      <alignment horizontal="center" vertical="center"/>
    </xf>
    <xf numFmtId="0" fontId="107" fillId="21" borderId="87" xfId="0" applyFont="1" applyFill="1" applyBorder="1" applyAlignment="1">
      <alignment horizontal="center" vertical="center"/>
    </xf>
    <xf numFmtId="0" fontId="107" fillId="21" borderId="54" xfId="0" applyFont="1" applyFill="1" applyBorder="1" applyAlignment="1">
      <alignment horizontal="center" vertical="center"/>
    </xf>
    <xf numFmtId="0" fontId="107" fillId="12" borderId="86" xfId="0" applyFont="1" applyFill="1" applyBorder="1" applyAlignment="1">
      <alignment horizontal="center" vertical="center"/>
    </xf>
    <xf numFmtId="0" fontId="107" fillId="12" borderId="185" xfId="0" applyFont="1" applyFill="1" applyBorder="1" applyAlignment="1">
      <alignment horizontal="center" vertical="center"/>
    </xf>
    <xf numFmtId="0" fontId="107" fillId="55" borderId="86" xfId="0" applyFont="1" applyFill="1" applyBorder="1" applyAlignment="1">
      <alignment horizontal="center" vertical="center"/>
    </xf>
    <xf numFmtId="0" fontId="107" fillId="55" borderId="87" xfId="0" applyFont="1" applyFill="1" applyBorder="1" applyAlignment="1">
      <alignment horizontal="center" vertical="center"/>
    </xf>
    <xf numFmtId="0" fontId="107" fillId="55" borderId="54" xfId="0" applyFont="1" applyFill="1" applyBorder="1" applyAlignment="1">
      <alignment horizontal="center" vertical="center"/>
    </xf>
    <xf numFmtId="0" fontId="0" fillId="12" borderId="137" xfId="0" applyFill="1" applyBorder="1" applyAlignment="1">
      <alignment horizontal="center" vertical="center"/>
    </xf>
    <xf numFmtId="0" fontId="0" fillId="12" borderId="139" xfId="0" applyFill="1" applyBorder="1" applyAlignment="1">
      <alignment horizontal="center" vertical="center"/>
    </xf>
    <xf numFmtId="0" fontId="107" fillId="13" borderId="87" xfId="0" applyFont="1" applyFill="1" applyBorder="1" applyAlignment="1">
      <alignment horizontal="center" vertical="center"/>
    </xf>
    <xf numFmtId="0" fontId="107" fillId="13" borderId="54" xfId="0" applyFont="1" applyFill="1" applyBorder="1" applyAlignment="1">
      <alignment horizontal="center" vertical="center"/>
    </xf>
    <xf numFmtId="0" fontId="0" fillId="13" borderId="140" xfId="0" applyFill="1" applyBorder="1" applyAlignment="1">
      <alignment horizontal="center" vertical="center"/>
    </xf>
    <xf numFmtId="0" fontId="0" fillId="13" borderId="139" xfId="0" applyFill="1" applyBorder="1" applyAlignment="1">
      <alignment horizontal="center" vertical="center"/>
    </xf>
    <xf numFmtId="10" fontId="0" fillId="26" borderId="140" xfId="0" applyNumberFormat="1" applyFill="1" applyBorder="1" applyAlignment="1">
      <alignment horizontal="center" vertical="center"/>
    </xf>
    <xf numFmtId="10" fontId="0" fillId="26" borderId="137" xfId="0" applyNumberFormat="1" applyFill="1" applyBorder="1" applyAlignment="1">
      <alignment horizontal="center" vertical="center"/>
    </xf>
    <xf numFmtId="10" fontId="0" fillId="26" borderId="139" xfId="0" applyNumberFormat="1" applyFill="1" applyBorder="1" applyAlignment="1">
      <alignment horizontal="center" vertical="center"/>
    </xf>
    <xf numFmtId="0" fontId="68" fillId="0" borderId="186" xfId="0" applyFont="1" applyFill="1" applyBorder="1" applyAlignment="1">
      <alignment horizontal="center" vertical="center" wrapText="1"/>
    </xf>
    <xf numFmtId="0" fontId="68" fillId="0" borderId="90" xfId="0" applyFont="1" applyFill="1" applyBorder="1" applyAlignment="1">
      <alignment horizontal="center" vertical="center" wrapText="1"/>
    </xf>
    <xf numFmtId="0" fontId="107" fillId="21" borderId="151" xfId="0" applyFont="1" applyFill="1" applyBorder="1" applyAlignment="1">
      <alignment horizontal="center" vertical="center" wrapText="1"/>
    </xf>
    <xf numFmtId="0" fontId="107" fillId="21" borderId="87" xfId="0" applyFont="1" applyFill="1" applyBorder="1" applyAlignment="1">
      <alignment horizontal="center" vertical="center" wrapText="1"/>
    </xf>
    <xf numFmtId="0" fontId="107" fillId="21" borderId="54" xfId="0" applyFont="1" applyFill="1" applyBorder="1" applyAlignment="1">
      <alignment horizontal="center" vertical="center" wrapText="1"/>
    </xf>
    <xf numFmtId="0" fontId="107" fillId="12" borderId="54" xfId="0" applyFont="1" applyFill="1" applyBorder="1" applyAlignment="1">
      <alignment horizontal="center" vertical="center"/>
    </xf>
    <xf numFmtId="0" fontId="0" fillId="24" borderId="136" xfId="0" applyFill="1" applyBorder="1" applyAlignment="1">
      <alignment horizontal="center" vertical="center"/>
    </xf>
    <xf numFmtId="0" fontId="0" fillId="24" borderId="137" xfId="0" applyFill="1" applyBorder="1" applyAlignment="1">
      <alignment horizontal="center" vertical="center"/>
    </xf>
    <xf numFmtId="0" fontId="0" fillId="24" borderId="139" xfId="0" applyFill="1" applyBorder="1" applyAlignment="1">
      <alignment horizontal="center" vertical="center"/>
    </xf>
    <xf numFmtId="0" fontId="107" fillId="55" borderId="86" xfId="0" applyFont="1" applyFill="1" applyBorder="1" applyAlignment="1">
      <alignment horizontal="center" vertical="center" wrapText="1"/>
    </xf>
    <xf numFmtId="0" fontId="107" fillId="55" borderId="87" xfId="0" applyFont="1" applyFill="1" applyBorder="1" applyAlignment="1">
      <alignment horizontal="center" vertical="center" wrapText="1"/>
    </xf>
    <xf numFmtId="0" fontId="107" fillId="55" borderId="54" xfId="0" applyFont="1" applyFill="1" applyBorder="1" applyAlignment="1">
      <alignment horizontal="center" vertical="center" wrapText="1"/>
    </xf>
    <xf numFmtId="0" fontId="0" fillId="56" borderId="41" xfId="0" applyFill="1" applyBorder="1" applyAlignment="1">
      <alignment horizontal="center" vertical="center" wrapText="1"/>
    </xf>
    <xf numFmtId="0" fontId="0" fillId="56" borderId="18" xfId="0" applyFill="1" applyBorder="1" applyAlignment="1">
      <alignment horizontal="center" vertical="center" wrapText="1"/>
    </xf>
    <xf numFmtId="0" fontId="0" fillId="56" borderId="65" xfId="0" applyFill="1" applyBorder="1" applyAlignment="1">
      <alignment horizontal="center" vertical="center" wrapText="1"/>
    </xf>
    <xf numFmtId="0" fontId="125" fillId="0" borderId="85" xfId="0" applyFont="1" applyBorder="1" applyAlignment="1">
      <alignment horizontal="center"/>
    </xf>
    <xf numFmtId="0" fontId="125" fillId="0" borderId="31" xfId="0" applyFont="1" applyBorder="1" applyAlignment="1">
      <alignment horizontal="center"/>
    </xf>
    <xf numFmtId="0" fontId="125" fillId="0" borderId="63" xfId="0" applyFont="1" applyBorder="1" applyAlignment="1">
      <alignment horizontal="center"/>
    </xf>
    <xf numFmtId="0" fontId="107" fillId="17" borderId="87" xfId="0" applyFont="1" applyFill="1" applyBorder="1" applyAlignment="1">
      <alignment horizontal="center" vertical="center" wrapText="1"/>
    </xf>
    <xf numFmtId="0" fontId="107" fillId="17" borderId="54" xfId="0" applyFont="1" applyFill="1" applyBorder="1" applyAlignment="1">
      <alignment horizontal="center" vertical="center" wrapText="1"/>
    </xf>
    <xf numFmtId="0" fontId="107" fillId="31" borderId="86" xfId="0" applyFont="1" applyFill="1" applyBorder="1" applyAlignment="1">
      <alignment horizontal="center" vertical="center" wrapText="1"/>
    </xf>
    <xf numFmtId="0" fontId="107" fillId="31" borderId="87" xfId="0" applyFont="1" applyFill="1" applyBorder="1" applyAlignment="1">
      <alignment horizontal="center" vertical="center" wrapText="1"/>
    </xf>
    <xf numFmtId="0" fontId="107" fillId="31" borderId="54" xfId="0" applyFont="1" applyFill="1" applyBorder="1" applyAlignment="1">
      <alignment horizontal="center" vertical="center" wrapText="1"/>
    </xf>
    <xf numFmtId="0" fontId="107" fillId="34" borderId="86" xfId="0" applyFont="1" applyFill="1" applyBorder="1" applyAlignment="1">
      <alignment horizontal="center" vertical="center" wrapText="1"/>
    </xf>
    <xf numFmtId="0" fontId="107" fillId="34" borderId="87" xfId="0" applyFont="1" applyFill="1" applyBorder="1" applyAlignment="1">
      <alignment horizontal="center" vertical="center" wrapText="1"/>
    </xf>
    <xf numFmtId="0" fontId="107" fillId="34" borderId="54" xfId="0" applyFont="1" applyFill="1" applyBorder="1" applyAlignment="1">
      <alignment horizontal="center" vertical="center" wrapText="1"/>
    </xf>
    <xf numFmtId="0" fontId="107" fillId="8" borderId="86" xfId="0" applyFont="1" applyFill="1" applyBorder="1" applyAlignment="1">
      <alignment horizontal="center" vertical="center" wrapText="1"/>
    </xf>
    <xf numFmtId="0" fontId="107" fillId="8" borderId="87" xfId="0" applyFont="1" applyFill="1" applyBorder="1" applyAlignment="1">
      <alignment horizontal="center" vertical="center" wrapText="1"/>
    </xf>
    <xf numFmtId="0" fontId="107" fillId="8" borderId="54" xfId="0" applyFont="1" applyFill="1" applyBorder="1" applyAlignment="1">
      <alignment horizontal="center" vertical="center" wrapText="1"/>
    </xf>
    <xf numFmtId="0" fontId="126" fillId="16" borderId="88" xfId="0" applyFont="1" applyFill="1" applyBorder="1" applyAlignment="1">
      <alignment horizontal="center"/>
    </xf>
    <xf numFmtId="0" fontId="126" fillId="57" borderId="88" xfId="0" applyFont="1" applyFill="1" applyBorder="1" applyAlignment="1">
      <alignment horizontal="center"/>
    </xf>
    <xf numFmtId="0" fontId="127" fillId="16" borderId="88" xfId="0" applyFont="1" applyFill="1" applyBorder="1" applyAlignment="1">
      <alignment horizontal="center"/>
    </xf>
    <xf numFmtId="0" fontId="107" fillId="12" borderId="87" xfId="0" applyFont="1" applyFill="1" applyBorder="1" applyAlignment="1">
      <alignment horizontal="center" vertical="center" wrapText="1"/>
    </xf>
    <xf numFmtId="0" fontId="107" fillId="12" borderId="54" xfId="0" applyFont="1" applyFill="1" applyBorder="1" applyAlignment="1">
      <alignment horizontal="center" vertical="center" wrapText="1"/>
    </xf>
    <xf numFmtId="0" fontId="107" fillId="35" borderId="86" xfId="0" applyFont="1" applyFill="1" applyBorder="1" applyAlignment="1">
      <alignment horizontal="center" vertical="center" wrapText="1"/>
    </xf>
    <xf numFmtId="0" fontId="107" fillId="35" borderId="54" xfId="0" applyFont="1" applyFill="1" applyBorder="1" applyAlignment="1">
      <alignment horizontal="center" vertical="center" wrapText="1"/>
    </xf>
    <xf numFmtId="0" fontId="0" fillId="58" borderId="41" xfId="0" applyFill="1" applyBorder="1" applyAlignment="1">
      <alignment horizontal="center" vertical="center" wrapText="1"/>
    </xf>
    <xf numFmtId="0" fontId="0" fillId="58" borderId="18" xfId="0" applyFill="1" applyBorder="1" applyAlignment="1">
      <alignment horizontal="center" vertical="center" wrapText="1"/>
    </xf>
    <xf numFmtId="0" fontId="0" fillId="58" borderId="65" xfId="0" applyFill="1" applyBorder="1" applyAlignment="1">
      <alignment horizontal="center" vertical="center" wrapText="1"/>
    </xf>
    <xf numFmtId="0" fontId="0" fillId="31" borderId="41" xfId="0" applyFill="1" applyBorder="1" applyAlignment="1">
      <alignment horizontal="center" vertical="center" wrapText="1"/>
    </xf>
    <xf numFmtId="0" fontId="0" fillId="31" borderId="18" xfId="0" applyFill="1" applyBorder="1" applyAlignment="1">
      <alignment horizontal="center" vertical="center" wrapText="1"/>
    </xf>
    <xf numFmtId="0" fontId="0" fillId="31" borderId="65" xfId="0" applyFill="1" applyBorder="1" applyAlignment="1">
      <alignment horizontal="center" vertical="center" wrapText="1"/>
    </xf>
    <xf numFmtId="0" fontId="0" fillId="59" borderId="41" xfId="0" applyFill="1" applyBorder="1" applyAlignment="1">
      <alignment horizontal="center" vertical="center" wrapText="1"/>
    </xf>
    <xf numFmtId="0" fontId="0" fillId="59" borderId="18" xfId="0" applyFill="1" applyBorder="1" applyAlignment="1">
      <alignment horizontal="center" vertical="center" wrapText="1"/>
    </xf>
    <xf numFmtId="0" fontId="0" fillId="59" borderId="19" xfId="0" applyFill="1" applyBorder="1" applyAlignment="1">
      <alignment horizontal="center" vertical="center" wrapText="1"/>
    </xf>
    <xf numFmtId="0" fontId="0" fillId="12" borderId="89" xfId="0" applyFill="1" applyBorder="1" applyAlignment="1">
      <alignment horizontal="center"/>
    </xf>
    <xf numFmtId="0" fontId="0" fillId="12" borderId="64" xfId="0" applyFill="1" applyBorder="1" applyAlignment="1">
      <alignment horizontal="center"/>
    </xf>
    <xf numFmtId="0" fontId="73" fillId="0" borderId="26" xfId="0" applyFont="1" applyBorder="1" applyAlignment="1">
      <alignment horizontal="center" wrapText="1"/>
    </xf>
    <xf numFmtId="0" fontId="73" fillId="0" borderId="0" xfId="0" applyFont="1" applyBorder="1" applyAlignment="1">
      <alignment horizontal="center" vertical="center" wrapText="1"/>
    </xf>
    <xf numFmtId="0" fontId="73" fillId="0" borderId="0" xfId="0" applyFont="1" applyBorder="1" applyAlignment="1">
      <alignment horizontal="right" vertical="center" wrapText="1"/>
    </xf>
    <xf numFmtId="0" fontId="5" fillId="0" borderId="0" xfId="0" applyFont="1" applyFill="1" applyBorder="1" applyAlignment="1">
      <alignment horizontal="center"/>
    </xf>
    <xf numFmtId="0" fontId="25" fillId="16" borderId="53" xfId="0" applyFont="1" applyFill="1" applyBorder="1" applyAlignment="1">
      <alignment horizontal="center"/>
    </xf>
    <xf numFmtId="0" fontId="25" fillId="16" borderId="8" xfId="0" applyFont="1" applyFill="1" applyBorder="1" applyAlignment="1">
      <alignment horizontal="center"/>
    </xf>
    <xf numFmtId="0" fontId="25" fillId="16" borderId="23" xfId="0" applyFont="1" applyFill="1" applyBorder="1" applyAlignment="1">
      <alignment horizontal="center"/>
    </xf>
    <xf numFmtId="0" fontId="4" fillId="16" borderId="58" xfId="0" applyFont="1" applyFill="1" applyBorder="1" applyAlignment="1">
      <alignment horizontal="center"/>
    </xf>
    <xf numFmtId="0" fontId="4" fillId="16" borderId="63" xfId="0" applyFont="1" applyFill="1" applyBorder="1" applyAlignment="1">
      <alignment horizontal="center"/>
    </xf>
    <xf numFmtId="170" fontId="72" fillId="0" borderId="0" xfId="0" applyNumberFormat="1" applyFont="1" applyFill="1" applyBorder="1" applyAlignment="1">
      <alignment horizontal="center"/>
    </xf>
    <xf numFmtId="0" fontId="128" fillId="0" borderId="0" xfId="0" applyFont="1" applyFill="1" applyBorder="1" applyAlignment="1">
      <alignment horizontal="center" vertical="center"/>
    </xf>
    <xf numFmtId="0" fontId="9" fillId="0" borderId="0" xfId="0" applyFont="1" applyFill="1" applyBorder="1" applyAlignment="1">
      <alignment horizontal="left"/>
    </xf>
    <xf numFmtId="0" fontId="4" fillId="0" borderId="0" xfId="0" applyFont="1" applyFill="1" applyBorder="1" applyAlignment="1">
      <alignment horizontal="center"/>
    </xf>
    <xf numFmtId="0" fontId="129" fillId="53" borderId="0" xfId="0" applyFont="1" applyFill="1" applyAlignment="1">
      <alignment horizontal="center" vertical="center" wrapText="1"/>
    </xf>
    <xf numFmtId="0" fontId="130" fillId="53" borderId="0" xfId="0" applyFont="1" applyFill="1" applyAlignment="1">
      <alignment horizontal="center" vertical="center"/>
    </xf>
  </cellXfs>
  <cellStyles count="6">
    <cellStyle name="Comma 2" xfId="1" xr:uid="{00000000-0005-0000-0000-000000000000}"/>
    <cellStyle name="Migliaia" xfId="2" builtinId="3"/>
    <cellStyle name="Normal 2" xfId="3" xr:uid="{00000000-0005-0000-0000-000002000000}"/>
    <cellStyle name="Normale" xfId="0" builtinId="0"/>
    <cellStyle name="Percent 2" xfId="4" xr:uid="{00000000-0005-0000-0000-000004000000}"/>
    <cellStyle name="Percentuale"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668970677307868"/>
          <c:y val="3.883499369208683E-2"/>
        </c:manualLayout>
      </c:layout>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NEW'!$K$28</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NEW'!$K$29:$K$149</c:f>
              <c:numCache>
                <c:formatCode>0.00</c:formatCode>
                <c:ptCount val="121"/>
                <c:pt idx="0">
                  <c:v>329.74491814506473</c:v>
                </c:pt>
                <c:pt idx="1">
                  <c:v>323.75812897305633</c:v>
                </c:pt>
                <c:pt idx="2">
                  <c:v>317.77133980104793</c:v>
                </c:pt>
                <c:pt idx="3">
                  <c:v>311.78455062903953</c:v>
                </c:pt>
                <c:pt idx="4">
                  <c:v>305.79776145703107</c:v>
                </c:pt>
                <c:pt idx="5">
                  <c:v>299.81097228502273</c:v>
                </c:pt>
                <c:pt idx="6">
                  <c:v>293.82418311301433</c:v>
                </c:pt>
                <c:pt idx="7">
                  <c:v>287.83739394100587</c:v>
                </c:pt>
                <c:pt idx="8">
                  <c:v>281.85060476899747</c:v>
                </c:pt>
                <c:pt idx="9">
                  <c:v>275.86381559698907</c:v>
                </c:pt>
                <c:pt idx="10">
                  <c:v>269.87702642498067</c:v>
                </c:pt>
                <c:pt idx="11">
                  <c:v>263.89023725297227</c:v>
                </c:pt>
                <c:pt idx="12">
                  <c:v>257.90344808096387</c:v>
                </c:pt>
                <c:pt idx="13">
                  <c:v>251.91665890895547</c:v>
                </c:pt>
                <c:pt idx="14">
                  <c:v>245.92986973694707</c:v>
                </c:pt>
                <c:pt idx="15">
                  <c:v>239.94308056493867</c:v>
                </c:pt>
                <c:pt idx="16">
                  <c:v>233.95629139293027</c:v>
                </c:pt>
                <c:pt idx="17">
                  <c:v>227.96950222092184</c:v>
                </c:pt>
                <c:pt idx="18">
                  <c:v>221.98271304891347</c:v>
                </c:pt>
                <c:pt idx="19">
                  <c:v>215.99592387690504</c:v>
                </c:pt>
                <c:pt idx="20">
                  <c:v>210.00913470489664</c:v>
                </c:pt>
                <c:pt idx="21">
                  <c:v>204.02234553288824</c:v>
                </c:pt>
                <c:pt idx="22">
                  <c:v>198.03555636087981</c:v>
                </c:pt>
                <c:pt idx="23">
                  <c:v>192.04876718887144</c:v>
                </c:pt>
                <c:pt idx="24">
                  <c:v>186.06197801686301</c:v>
                </c:pt>
                <c:pt idx="25">
                  <c:v>180.07518884485461</c:v>
                </c:pt>
                <c:pt idx="26">
                  <c:v>174.08839967284621</c:v>
                </c:pt>
                <c:pt idx="27">
                  <c:v>168.10161050083778</c:v>
                </c:pt>
                <c:pt idx="28">
                  <c:v>162.11482132882938</c:v>
                </c:pt>
                <c:pt idx="29">
                  <c:v>156.12803215682101</c:v>
                </c:pt>
                <c:pt idx="30">
                  <c:v>150.14124298481258</c:v>
                </c:pt>
                <c:pt idx="31">
                  <c:v>144.15445381280418</c:v>
                </c:pt>
                <c:pt idx="32">
                  <c:v>138.16766464079578</c:v>
                </c:pt>
                <c:pt idx="33">
                  <c:v>132.18087546878735</c:v>
                </c:pt>
                <c:pt idx="34">
                  <c:v>126.19408629677898</c:v>
                </c:pt>
                <c:pt idx="35">
                  <c:v>120.20729712477058</c:v>
                </c:pt>
                <c:pt idx="36">
                  <c:v>114.22050795276215</c:v>
                </c:pt>
                <c:pt idx="37">
                  <c:v>108.23371878075375</c:v>
                </c:pt>
                <c:pt idx="38">
                  <c:v>102.24692960874535</c:v>
                </c:pt>
                <c:pt idx="39">
                  <c:v>96.260140436736947</c:v>
                </c:pt>
                <c:pt idx="40">
                  <c:v>90.273351264728547</c:v>
                </c:pt>
                <c:pt idx="41">
                  <c:v>84.286562092720132</c:v>
                </c:pt>
                <c:pt idx="42">
                  <c:v>78.299772920711732</c:v>
                </c:pt>
                <c:pt idx="43">
                  <c:v>72.312983748703331</c:v>
                </c:pt>
                <c:pt idx="44">
                  <c:v>66.326194576694917</c:v>
                </c:pt>
                <c:pt idx="45">
                  <c:v>60.339405404686516</c:v>
                </c:pt>
                <c:pt idx="46">
                  <c:v>54.352616232678116</c:v>
                </c:pt>
                <c:pt idx="47">
                  <c:v>48.365827060669702</c:v>
                </c:pt>
                <c:pt idx="48">
                  <c:v>42.379037888661301</c:v>
                </c:pt>
                <c:pt idx="49">
                  <c:v>36.392248716652901</c:v>
                </c:pt>
                <c:pt idx="50">
                  <c:v>30.405459544644494</c:v>
                </c:pt>
                <c:pt idx="51">
                  <c:v>24.418670372636093</c:v>
                </c:pt>
                <c:pt idx="52">
                  <c:v>18.431881200627679</c:v>
                </c:pt>
                <c:pt idx="53">
                  <c:v>12.445092028619278</c:v>
                </c:pt>
                <c:pt idx="54">
                  <c:v>6.4583028566108744</c:v>
                </c:pt>
                <c:pt idx="55">
                  <c:v>0.47151368460247056</c:v>
                </c:pt>
                <c:pt idx="56">
                  <c:v>-5.5152754874059333</c:v>
                </c:pt>
                <c:pt idx="57">
                  <c:v>-11.502064659414341</c:v>
                </c:pt>
                <c:pt idx="58">
                  <c:v>-17.488853831422745</c:v>
                </c:pt>
                <c:pt idx="59">
                  <c:v>-23.475643003431149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0330-4602-8B20-E4B4B5A6A333}"/>
            </c:ext>
          </c:extLst>
        </c:ser>
        <c:dLbls>
          <c:showLegendKey val="0"/>
          <c:showVal val="0"/>
          <c:showCatName val="0"/>
          <c:showSerName val="0"/>
          <c:showPercent val="0"/>
          <c:showBubbleSize val="0"/>
        </c:dLbls>
        <c:marker val="1"/>
        <c:smooth val="0"/>
        <c:axId val="505966264"/>
        <c:axId val="1"/>
      </c:lineChart>
      <c:catAx>
        <c:axId val="50596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0596626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NEW'!$I$28</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NEW'!$I$29:$I$149</c:f>
              <c:numCache>
                <c:formatCode>_(* #,##0.00_);_(* \(#,##0.00\);_(* "-"??_);_(@_)</c:formatCode>
                <c:ptCount val="121"/>
                <c:pt idx="0">
                  <c:v>447.18</c:v>
                </c:pt>
                <c:pt idx="1">
                  <c:v>439.21</c:v>
                </c:pt>
                <c:pt idx="2">
                  <c:v>431.25</c:v>
                </c:pt>
                <c:pt idx="3">
                  <c:v>423.28</c:v>
                </c:pt>
                <c:pt idx="4">
                  <c:v>415.31</c:v>
                </c:pt>
                <c:pt idx="5">
                  <c:v>407.34</c:v>
                </c:pt>
                <c:pt idx="6">
                  <c:v>399.37</c:v>
                </c:pt>
                <c:pt idx="7">
                  <c:v>391.4</c:v>
                </c:pt>
                <c:pt idx="8">
                  <c:v>383.43</c:v>
                </c:pt>
                <c:pt idx="9">
                  <c:v>375.47</c:v>
                </c:pt>
                <c:pt idx="10">
                  <c:v>367.5</c:v>
                </c:pt>
                <c:pt idx="11">
                  <c:v>359.53</c:v>
                </c:pt>
                <c:pt idx="12">
                  <c:v>351.56</c:v>
                </c:pt>
                <c:pt idx="13">
                  <c:v>343.59</c:v>
                </c:pt>
                <c:pt idx="14">
                  <c:v>335.62</c:v>
                </c:pt>
                <c:pt idx="15">
                  <c:v>327.64999999999998</c:v>
                </c:pt>
                <c:pt idx="16">
                  <c:v>319.68</c:v>
                </c:pt>
                <c:pt idx="17">
                  <c:v>311.72000000000003</c:v>
                </c:pt>
                <c:pt idx="18">
                  <c:v>303.75</c:v>
                </c:pt>
                <c:pt idx="19">
                  <c:v>295.77999999999997</c:v>
                </c:pt>
                <c:pt idx="20">
                  <c:v>287.81</c:v>
                </c:pt>
                <c:pt idx="21">
                  <c:v>279.83999999999997</c:v>
                </c:pt>
                <c:pt idx="22">
                  <c:v>271.87</c:v>
                </c:pt>
                <c:pt idx="23">
                  <c:v>263.89999999999998</c:v>
                </c:pt>
                <c:pt idx="24">
                  <c:v>255.93</c:v>
                </c:pt>
                <c:pt idx="25">
                  <c:v>247.97</c:v>
                </c:pt>
                <c:pt idx="26">
                  <c:v>240</c:v>
                </c:pt>
                <c:pt idx="27">
                  <c:v>232.03</c:v>
                </c:pt>
                <c:pt idx="28">
                  <c:v>224.06</c:v>
                </c:pt>
                <c:pt idx="29">
                  <c:v>216.09</c:v>
                </c:pt>
                <c:pt idx="30">
                  <c:v>208.12</c:v>
                </c:pt>
                <c:pt idx="31">
                  <c:v>200.15</c:v>
                </c:pt>
                <c:pt idx="32">
                  <c:v>192.18</c:v>
                </c:pt>
                <c:pt idx="33">
                  <c:v>184.22</c:v>
                </c:pt>
                <c:pt idx="34">
                  <c:v>176.25</c:v>
                </c:pt>
                <c:pt idx="35">
                  <c:v>168.28</c:v>
                </c:pt>
                <c:pt idx="36">
                  <c:v>160.31</c:v>
                </c:pt>
                <c:pt idx="37">
                  <c:v>152.34</c:v>
                </c:pt>
                <c:pt idx="38">
                  <c:v>144.37</c:v>
                </c:pt>
                <c:pt idx="39">
                  <c:v>136.4</c:v>
                </c:pt>
                <c:pt idx="40">
                  <c:v>128.43</c:v>
                </c:pt>
                <c:pt idx="41">
                  <c:v>120.47</c:v>
                </c:pt>
                <c:pt idx="42">
                  <c:v>112.5</c:v>
                </c:pt>
                <c:pt idx="43">
                  <c:v>104.53</c:v>
                </c:pt>
                <c:pt idx="44">
                  <c:v>96.56</c:v>
                </c:pt>
                <c:pt idx="45">
                  <c:v>88.59</c:v>
                </c:pt>
                <c:pt idx="46">
                  <c:v>80.62</c:v>
                </c:pt>
                <c:pt idx="47">
                  <c:v>72.650000000000006</c:v>
                </c:pt>
                <c:pt idx="48">
                  <c:v>64.680000000000007</c:v>
                </c:pt>
                <c:pt idx="49">
                  <c:v>56.72</c:v>
                </c:pt>
                <c:pt idx="50">
                  <c:v>48.75</c:v>
                </c:pt>
                <c:pt idx="51">
                  <c:v>40.78</c:v>
                </c:pt>
                <c:pt idx="52">
                  <c:v>32.81</c:v>
                </c:pt>
                <c:pt idx="53">
                  <c:v>24.84</c:v>
                </c:pt>
                <c:pt idx="54">
                  <c:v>16.87</c:v>
                </c:pt>
                <c:pt idx="55">
                  <c:v>8.9</c:v>
                </c:pt>
                <c:pt idx="56">
                  <c:v>0.94</c:v>
                </c:pt>
                <c:pt idx="57">
                  <c:v>-7.03</c:v>
                </c:pt>
                <c:pt idx="58">
                  <c:v>-15</c:v>
                </c:pt>
                <c:pt idx="59">
                  <c:v>-22.97</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C5FA-4575-8623-439727BC228A}"/>
            </c:ext>
          </c:extLst>
        </c:ser>
        <c:dLbls>
          <c:showLegendKey val="0"/>
          <c:showVal val="0"/>
          <c:showCatName val="0"/>
          <c:showSerName val="0"/>
          <c:showPercent val="0"/>
          <c:showBubbleSize val="0"/>
        </c:dLbls>
        <c:marker val="1"/>
        <c:smooth val="0"/>
        <c:axId val="505965936"/>
        <c:axId val="1"/>
      </c:lineChart>
      <c:catAx>
        <c:axId val="50596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0596593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NEW'!$H$28</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NEW'!$H$29:$H$149</c:f>
              <c:numCache>
                <c:formatCode>_(* #,##0.00_);_(* \(#,##0.00\);_(* "-"??_);_(@_)</c:formatCode>
                <c:ptCount val="121"/>
                <c:pt idx="0">
                  <c:v>472.18</c:v>
                </c:pt>
                <c:pt idx="1">
                  <c:v>464.21</c:v>
                </c:pt>
                <c:pt idx="2">
                  <c:v>456.25</c:v>
                </c:pt>
                <c:pt idx="3">
                  <c:v>448.28</c:v>
                </c:pt>
                <c:pt idx="4">
                  <c:v>440.31</c:v>
                </c:pt>
                <c:pt idx="5">
                  <c:v>432.34</c:v>
                </c:pt>
                <c:pt idx="6">
                  <c:v>424.37</c:v>
                </c:pt>
                <c:pt idx="7">
                  <c:v>416.4</c:v>
                </c:pt>
                <c:pt idx="8">
                  <c:v>408.43</c:v>
                </c:pt>
                <c:pt idx="9">
                  <c:v>400.47</c:v>
                </c:pt>
                <c:pt idx="10">
                  <c:v>392.5</c:v>
                </c:pt>
                <c:pt idx="11">
                  <c:v>384.53</c:v>
                </c:pt>
                <c:pt idx="12">
                  <c:v>376.56</c:v>
                </c:pt>
                <c:pt idx="13">
                  <c:v>368.59</c:v>
                </c:pt>
                <c:pt idx="14">
                  <c:v>360.62</c:v>
                </c:pt>
                <c:pt idx="15">
                  <c:v>352.65</c:v>
                </c:pt>
                <c:pt idx="16">
                  <c:v>344.68</c:v>
                </c:pt>
                <c:pt idx="17">
                  <c:v>336.72</c:v>
                </c:pt>
                <c:pt idx="18">
                  <c:v>328.75</c:v>
                </c:pt>
                <c:pt idx="19">
                  <c:v>320.77999999999997</c:v>
                </c:pt>
                <c:pt idx="20">
                  <c:v>312.81</c:v>
                </c:pt>
                <c:pt idx="21">
                  <c:v>304.83999999999997</c:v>
                </c:pt>
                <c:pt idx="22">
                  <c:v>296.87</c:v>
                </c:pt>
                <c:pt idx="23">
                  <c:v>288.89999999999998</c:v>
                </c:pt>
                <c:pt idx="24">
                  <c:v>280.93</c:v>
                </c:pt>
                <c:pt idx="25">
                  <c:v>272.97000000000003</c:v>
                </c:pt>
                <c:pt idx="26">
                  <c:v>265</c:v>
                </c:pt>
                <c:pt idx="27">
                  <c:v>257.02999999999997</c:v>
                </c:pt>
                <c:pt idx="28">
                  <c:v>249.06</c:v>
                </c:pt>
                <c:pt idx="29">
                  <c:v>241.09</c:v>
                </c:pt>
                <c:pt idx="30">
                  <c:v>233.12</c:v>
                </c:pt>
                <c:pt idx="31">
                  <c:v>225.15</c:v>
                </c:pt>
                <c:pt idx="32">
                  <c:v>217.18</c:v>
                </c:pt>
                <c:pt idx="33">
                  <c:v>209.22</c:v>
                </c:pt>
                <c:pt idx="34">
                  <c:v>201.25</c:v>
                </c:pt>
                <c:pt idx="35">
                  <c:v>193.28</c:v>
                </c:pt>
                <c:pt idx="36">
                  <c:v>185.31</c:v>
                </c:pt>
                <c:pt idx="37">
                  <c:v>177.34</c:v>
                </c:pt>
                <c:pt idx="38">
                  <c:v>169.37</c:v>
                </c:pt>
                <c:pt idx="39">
                  <c:v>161.4</c:v>
                </c:pt>
                <c:pt idx="40">
                  <c:v>153.43</c:v>
                </c:pt>
                <c:pt idx="41">
                  <c:v>145.47</c:v>
                </c:pt>
                <c:pt idx="42">
                  <c:v>137.5</c:v>
                </c:pt>
                <c:pt idx="43">
                  <c:v>129.53</c:v>
                </c:pt>
                <c:pt idx="44">
                  <c:v>121.56</c:v>
                </c:pt>
                <c:pt idx="45">
                  <c:v>113.59</c:v>
                </c:pt>
                <c:pt idx="46">
                  <c:v>105.62</c:v>
                </c:pt>
                <c:pt idx="47">
                  <c:v>97.65</c:v>
                </c:pt>
                <c:pt idx="48">
                  <c:v>89.68</c:v>
                </c:pt>
                <c:pt idx="49">
                  <c:v>81.72</c:v>
                </c:pt>
                <c:pt idx="50">
                  <c:v>73.75</c:v>
                </c:pt>
                <c:pt idx="51">
                  <c:v>65.78</c:v>
                </c:pt>
                <c:pt idx="52">
                  <c:v>57.81</c:v>
                </c:pt>
                <c:pt idx="53">
                  <c:v>49.84</c:v>
                </c:pt>
                <c:pt idx="54">
                  <c:v>41.870000000000005</c:v>
                </c:pt>
                <c:pt idx="55">
                  <c:v>33.9</c:v>
                </c:pt>
                <c:pt idx="56">
                  <c:v>25.94</c:v>
                </c:pt>
                <c:pt idx="57">
                  <c:v>17.97</c:v>
                </c:pt>
                <c:pt idx="58">
                  <c:v>10</c:v>
                </c:pt>
                <c:pt idx="59">
                  <c:v>2.0300000000000011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B4F1-43DD-AB86-B7DBC9177DA2}"/>
            </c:ext>
          </c:extLst>
        </c:ser>
        <c:dLbls>
          <c:showLegendKey val="0"/>
          <c:showVal val="0"/>
          <c:showCatName val="0"/>
          <c:showSerName val="0"/>
          <c:showPercent val="0"/>
          <c:showBubbleSize val="0"/>
        </c:dLbls>
        <c:marker val="1"/>
        <c:smooth val="0"/>
        <c:axId val="505968888"/>
        <c:axId val="1"/>
      </c:lineChart>
      <c:catAx>
        <c:axId val="505968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0596888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NEW'!$J$28</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NEW'!$J$29:$J$148</c:f>
              <c:numCache>
                <c:formatCode>0.00</c:formatCode>
                <c:ptCount val="120"/>
                <c:pt idx="0">
                  <c:v>354.74491814506473</c:v>
                </c:pt>
                <c:pt idx="1">
                  <c:v>348.75812897305633</c:v>
                </c:pt>
                <c:pt idx="2">
                  <c:v>342.77133980104793</c:v>
                </c:pt>
                <c:pt idx="3">
                  <c:v>336.78455062903953</c:v>
                </c:pt>
                <c:pt idx="4">
                  <c:v>330.79776145703107</c:v>
                </c:pt>
                <c:pt idx="5">
                  <c:v>324.81097228502273</c:v>
                </c:pt>
                <c:pt idx="6">
                  <c:v>318.82418311301433</c:v>
                </c:pt>
                <c:pt idx="7">
                  <c:v>312.83739394100587</c:v>
                </c:pt>
                <c:pt idx="8">
                  <c:v>306.85060476899747</c:v>
                </c:pt>
                <c:pt idx="9">
                  <c:v>300.86381559698907</c:v>
                </c:pt>
                <c:pt idx="10">
                  <c:v>294.87702642498067</c:v>
                </c:pt>
                <c:pt idx="11">
                  <c:v>288.89023725297227</c:v>
                </c:pt>
                <c:pt idx="12">
                  <c:v>282.90344808096387</c:v>
                </c:pt>
                <c:pt idx="13">
                  <c:v>276.91665890895547</c:v>
                </c:pt>
                <c:pt idx="14">
                  <c:v>270.92986973694707</c:v>
                </c:pt>
                <c:pt idx="15">
                  <c:v>264.94308056493867</c:v>
                </c:pt>
                <c:pt idx="16">
                  <c:v>258.95629139293027</c:v>
                </c:pt>
                <c:pt idx="17">
                  <c:v>252.96950222092184</c:v>
                </c:pt>
                <c:pt idx="18">
                  <c:v>246.98271304891347</c:v>
                </c:pt>
                <c:pt idx="19">
                  <c:v>240.99592387690504</c:v>
                </c:pt>
                <c:pt idx="20">
                  <c:v>235.00913470489664</c:v>
                </c:pt>
                <c:pt idx="21">
                  <c:v>229.02234553288824</c:v>
                </c:pt>
                <c:pt idx="22">
                  <c:v>223.03555636087981</c:v>
                </c:pt>
                <c:pt idx="23">
                  <c:v>217.04876718887144</c:v>
                </c:pt>
                <c:pt idx="24">
                  <c:v>211.06197801686301</c:v>
                </c:pt>
                <c:pt idx="25">
                  <c:v>205.07518884485461</c:v>
                </c:pt>
                <c:pt idx="26">
                  <c:v>199.08839967284621</c:v>
                </c:pt>
                <c:pt idx="27">
                  <c:v>193.10161050083778</c:v>
                </c:pt>
                <c:pt idx="28">
                  <c:v>187.11482132882938</c:v>
                </c:pt>
                <c:pt idx="29">
                  <c:v>181.12803215682101</c:v>
                </c:pt>
                <c:pt idx="30">
                  <c:v>175.14124298481258</c:v>
                </c:pt>
                <c:pt idx="31">
                  <c:v>169.15445381280418</c:v>
                </c:pt>
                <c:pt idx="32">
                  <c:v>163.16766464079578</c:v>
                </c:pt>
                <c:pt idx="33">
                  <c:v>157.18087546878735</c:v>
                </c:pt>
                <c:pt idx="34">
                  <c:v>151.19408629677898</c:v>
                </c:pt>
                <c:pt idx="35">
                  <c:v>145.20729712477058</c:v>
                </c:pt>
                <c:pt idx="36">
                  <c:v>139.22050795276215</c:v>
                </c:pt>
                <c:pt idx="37">
                  <c:v>133.23371878075375</c:v>
                </c:pt>
                <c:pt idx="38">
                  <c:v>127.24692960874535</c:v>
                </c:pt>
                <c:pt idx="39">
                  <c:v>121.26014043673695</c:v>
                </c:pt>
                <c:pt idx="40">
                  <c:v>115.27335126472855</c:v>
                </c:pt>
                <c:pt idx="41">
                  <c:v>109.28656209272013</c:v>
                </c:pt>
                <c:pt idx="42">
                  <c:v>103.29977292071173</c:v>
                </c:pt>
                <c:pt idx="43">
                  <c:v>97.312983748703331</c:v>
                </c:pt>
                <c:pt idx="44">
                  <c:v>91.326194576694917</c:v>
                </c:pt>
                <c:pt idx="45">
                  <c:v>85.339405404686516</c:v>
                </c:pt>
                <c:pt idx="46">
                  <c:v>79.352616232678116</c:v>
                </c:pt>
                <c:pt idx="47">
                  <c:v>73.365827060669702</c:v>
                </c:pt>
                <c:pt idx="48">
                  <c:v>67.379037888661301</c:v>
                </c:pt>
                <c:pt idx="49">
                  <c:v>61.392248716652901</c:v>
                </c:pt>
                <c:pt idx="50">
                  <c:v>55.405459544644494</c:v>
                </c:pt>
                <c:pt idx="51">
                  <c:v>49.418670372636093</c:v>
                </c:pt>
                <c:pt idx="52">
                  <c:v>43.431881200627679</c:v>
                </c:pt>
                <c:pt idx="53">
                  <c:v>37.445092028619278</c:v>
                </c:pt>
                <c:pt idx="54">
                  <c:v>31.458302856610874</c:v>
                </c:pt>
                <c:pt idx="55">
                  <c:v>25.471513684602471</c:v>
                </c:pt>
                <c:pt idx="56">
                  <c:v>19.484724512594067</c:v>
                </c:pt>
                <c:pt idx="57">
                  <c:v>13.497935340585659</c:v>
                </c:pt>
                <c:pt idx="58">
                  <c:v>7.5111461685772554</c:v>
                </c:pt>
                <c:pt idx="59">
                  <c:v>1.5243569965688513</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6B5A-4243-8A53-FC0656C514FD}"/>
            </c:ext>
          </c:extLst>
        </c:ser>
        <c:dLbls>
          <c:showLegendKey val="0"/>
          <c:showVal val="0"/>
          <c:showCatName val="0"/>
          <c:showSerName val="0"/>
          <c:showPercent val="0"/>
          <c:showBubbleSize val="0"/>
        </c:dLbls>
        <c:marker val="1"/>
        <c:smooth val="0"/>
        <c:axId val="505969216"/>
        <c:axId val="1"/>
      </c:lineChart>
      <c:catAx>
        <c:axId val="50596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0596921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(Leasing)'!$H$28</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(Leasing)'!$H$29:$H$149</c:f>
              <c:numCache>
                <c:formatCode>_(* #,##0.00_);_(* \(#,##0.00\);_(* "-"??_);_(@_)</c:formatCode>
                <c:ptCount val="121"/>
                <c:pt idx="0">
                  <c:v>339.91038558528641</c:v>
                </c:pt>
                <c:pt idx="1">
                  <c:v>331.17411502412369</c:v>
                </c:pt>
                <c:pt idx="2">
                  <c:v>322.54118831651186</c:v>
                </c:pt>
                <c:pt idx="3">
                  <c:v>314.01160546245092</c:v>
                </c:pt>
                <c:pt idx="4">
                  <c:v>305.58536646194091</c:v>
                </c:pt>
                <c:pt idx="5">
                  <c:v>297.26247131498178</c:v>
                </c:pt>
                <c:pt idx="6">
                  <c:v>289.04292002157354</c:v>
                </c:pt>
                <c:pt idx="7">
                  <c:v>280.92671258171629</c:v>
                </c:pt>
                <c:pt idx="8">
                  <c:v>272.91384899540981</c:v>
                </c:pt>
                <c:pt idx="9">
                  <c:v>265.00432926265432</c:v>
                </c:pt>
                <c:pt idx="10">
                  <c:v>257.19815338344972</c:v>
                </c:pt>
                <c:pt idx="11">
                  <c:v>249.49532135779603</c:v>
                </c:pt>
                <c:pt idx="12">
                  <c:v>241.89583318569322</c:v>
                </c:pt>
                <c:pt idx="13">
                  <c:v>234.39968886714135</c:v>
                </c:pt>
                <c:pt idx="14">
                  <c:v>227.00688840214031</c:v>
                </c:pt>
                <c:pt idx="15">
                  <c:v>219.71743179069023</c:v>
                </c:pt>
                <c:pt idx="16">
                  <c:v>212.53131903279103</c:v>
                </c:pt>
                <c:pt idx="17">
                  <c:v>205.44855012844272</c:v>
                </c:pt>
                <c:pt idx="18">
                  <c:v>198.46912507764534</c:v>
                </c:pt>
                <c:pt idx="19">
                  <c:v>191.59304388039885</c:v>
                </c:pt>
                <c:pt idx="20">
                  <c:v>184.82030653670327</c:v>
                </c:pt>
                <c:pt idx="21">
                  <c:v>178.15091304655857</c:v>
                </c:pt>
                <c:pt idx="22">
                  <c:v>171.58486340996478</c:v>
                </c:pt>
                <c:pt idx="23">
                  <c:v>165.12215762692193</c:v>
                </c:pt>
                <c:pt idx="24">
                  <c:v>158.76279569742994</c:v>
                </c:pt>
                <c:pt idx="25">
                  <c:v>152.50677762148888</c:v>
                </c:pt>
                <c:pt idx="26">
                  <c:v>146.3541033990987</c:v>
                </c:pt>
                <c:pt idx="27">
                  <c:v>140.30477303025941</c:v>
                </c:pt>
                <c:pt idx="28">
                  <c:v>134.35878651497103</c:v>
                </c:pt>
                <c:pt idx="29">
                  <c:v>128.51614385323356</c:v>
                </c:pt>
                <c:pt idx="30">
                  <c:v>122.776845045047</c:v>
                </c:pt>
                <c:pt idx="31">
                  <c:v>117.14089009041135</c:v>
                </c:pt>
                <c:pt idx="32">
                  <c:v>111.60827898932658</c:v>
                </c:pt>
                <c:pt idx="33">
                  <c:v>106.17901174179272</c:v>
                </c:pt>
                <c:pt idx="34">
                  <c:v>100.85308834780976</c:v>
                </c:pt>
                <c:pt idx="35">
                  <c:v>95.63050880737768</c:v>
                </c:pt>
                <c:pt idx="36">
                  <c:v>90.51127312049654</c:v>
                </c:pt>
                <c:pt idx="37">
                  <c:v>85.495381287166296</c:v>
                </c:pt>
                <c:pt idx="38">
                  <c:v>80.582833307386935</c:v>
                </c:pt>
                <c:pt idx="39">
                  <c:v>75.773629181158483</c:v>
                </c:pt>
                <c:pt idx="40">
                  <c:v>71.067768908480943</c:v>
                </c:pt>
                <c:pt idx="41">
                  <c:v>66.465252489354299</c:v>
                </c:pt>
                <c:pt idx="42">
                  <c:v>61.966079923778551</c:v>
                </c:pt>
                <c:pt idx="43">
                  <c:v>57.570251211753714</c:v>
                </c:pt>
                <c:pt idx="44">
                  <c:v>53.277766353279787</c:v>
                </c:pt>
                <c:pt idx="45">
                  <c:v>49.088625348356743</c:v>
                </c:pt>
                <c:pt idx="46">
                  <c:v>45.002828196984609</c:v>
                </c:pt>
                <c:pt idx="47">
                  <c:v>41.020374899163372</c:v>
                </c:pt>
                <c:pt idx="48">
                  <c:v>37.141265454893052</c:v>
                </c:pt>
                <c:pt idx="49">
                  <c:v>33.365499864173621</c:v>
                </c:pt>
                <c:pt idx="50">
                  <c:v>29.693078127005094</c:v>
                </c:pt>
                <c:pt idx="51">
                  <c:v>26.124000243387474</c:v>
                </c:pt>
                <c:pt idx="52">
                  <c:v>22.658266213320751</c:v>
                </c:pt>
                <c:pt idx="53">
                  <c:v>19.295876036804934</c:v>
                </c:pt>
                <c:pt idx="54">
                  <c:v>16.036829713840014</c:v>
                </c:pt>
                <c:pt idx="55">
                  <c:v>12.881127244426001</c:v>
                </c:pt>
                <c:pt idx="56">
                  <c:v>9.8287686285628855</c:v>
                </c:pt>
                <c:pt idx="57">
                  <c:v>6.8797538662506756</c:v>
                </c:pt>
                <c:pt idx="58">
                  <c:v>4.0340829574893675</c:v>
                </c:pt>
                <c:pt idx="59">
                  <c:v>1.2917559022789602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7933-40D2-89CE-FF4EBE782420}"/>
            </c:ext>
          </c:extLst>
        </c:ser>
        <c:dLbls>
          <c:showLegendKey val="0"/>
          <c:showVal val="0"/>
          <c:showCatName val="0"/>
          <c:showSerName val="0"/>
          <c:showPercent val="0"/>
          <c:showBubbleSize val="0"/>
        </c:dLbls>
        <c:marker val="1"/>
        <c:smooth val="0"/>
        <c:axId val="505957736"/>
        <c:axId val="1"/>
      </c:lineChart>
      <c:catAx>
        <c:axId val="505957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0595773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(Leasing)'!$I$28</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(Leasing)'!$I$29:$I$148</c:f>
              <c:numCache>
                <c:formatCode>_(* #,##0.00_);_(* \(#,##0.00\);_(* "-"??_);_(@_)</c:formatCode>
                <c:ptCount val="120"/>
                <c:pt idx="0">
                  <c:v>319.41038558528641</c:v>
                </c:pt>
                <c:pt idx="1">
                  <c:v>310.67411502412369</c:v>
                </c:pt>
                <c:pt idx="2">
                  <c:v>302.04118831651186</c:v>
                </c:pt>
                <c:pt idx="3">
                  <c:v>293.51160546245092</c:v>
                </c:pt>
                <c:pt idx="4">
                  <c:v>285.08536646194091</c:v>
                </c:pt>
                <c:pt idx="5">
                  <c:v>276.76247131498178</c:v>
                </c:pt>
                <c:pt idx="6">
                  <c:v>268.54292002157354</c:v>
                </c:pt>
                <c:pt idx="7">
                  <c:v>260.42671258171629</c:v>
                </c:pt>
                <c:pt idx="8">
                  <c:v>252.41384899540981</c:v>
                </c:pt>
                <c:pt idx="9">
                  <c:v>244.50432926265432</c:v>
                </c:pt>
                <c:pt idx="10">
                  <c:v>236.69815338344972</c:v>
                </c:pt>
                <c:pt idx="11">
                  <c:v>228.99532135779603</c:v>
                </c:pt>
                <c:pt idx="12">
                  <c:v>221.39583318569322</c:v>
                </c:pt>
                <c:pt idx="13">
                  <c:v>213.89968886714135</c:v>
                </c:pt>
                <c:pt idx="14">
                  <c:v>206.50688840214031</c:v>
                </c:pt>
                <c:pt idx="15">
                  <c:v>199.21743179069023</c:v>
                </c:pt>
                <c:pt idx="16">
                  <c:v>192.03131903279103</c:v>
                </c:pt>
                <c:pt idx="17">
                  <c:v>184.94855012844272</c:v>
                </c:pt>
                <c:pt idx="18">
                  <c:v>177.96912507764534</c:v>
                </c:pt>
                <c:pt idx="19">
                  <c:v>171.09304388039885</c:v>
                </c:pt>
                <c:pt idx="20">
                  <c:v>164.32030653670327</c:v>
                </c:pt>
                <c:pt idx="21">
                  <c:v>157.65091304655857</c:v>
                </c:pt>
                <c:pt idx="22">
                  <c:v>151.08486340996478</c:v>
                </c:pt>
                <c:pt idx="23">
                  <c:v>144.62215762692193</c:v>
                </c:pt>
                <c:pt idx="24">
                  <c:v>138.26279569742994</c:v>
                </c:pt>
                <c:pt idx="25">
                  <c:v>132.00677762148888</c:v>
                </c:pt>
                <c:pt idx="26">
                  <c:v>125.8541033990987</c:v>
                </c:pt>
                <c:pt idx="27">
                  <c:v>119.80477303025941</c:v>
                </c:pt>
                <c:pt idx="28">
                  <c:v>113.85878651497103</c:v>
                </c:pt>
                <c:pt idx="29">
                  <c:v>108.01614385323356</c:v>
                </c:pt>
                <c:pt idx="30">
                  <c:v>102.276845045047</c:v>
                </c:pt>
                <c:pt idx="31">
                  <c:v>96.640890090411347</c:v>
                </c:pt>
                <c:pt idx="32">
                  <c:v>91.108278989326578</c:v>
                </c:pt>
                <c:pt idx="33">
                  <c:v>85.679011741792721</c:v>
                </c:pt>
                <c:pt idx="34">
                  <c:v>80.353088347809759</c:v>
                </c:pt>
                <c:pt idx="35">
                  <c:v>75.13050880737768</c:v>
                </c:pt>
                <c:pt idx="36">
                  <c:v>70.01127312049654</c:v>
                </c:pt>
                <c:pt idx="37">
                  <c:v>64.995381287166296</c:v>
                </c:pt>
                <c:pt idx="38">
                  <c:v>60.082833307386935</c:v>
                </c:pt>
                <c:pt idx="39">
                  <c:v>55.273629181158483</c:v>
                </c:pt>
                <c:pt idx="40">
                  <c:v>50.567768908480943</c:v>
                </c:pt>
                <c:pt idx="41">
                  <c:v>45.965252489354299</c:v>
                </c:pt>
                <c:pt idx="42">
                  <c:v>41.466079923778551</c:v>
                </c:pt>
                <c:pt idx="43">
                  <c:v>37.070251211753714</c:v>
                </c:pt>
                <c:pt idx="44">
                  <c:v>32.777766353279787</c:v>
                </c:pt>
                <c:pt idx="45">
                  <c:v>28.588625348356743</c:v>
                </c:pt>
                <c:pt idx="46">
                  <c:v>24.502828196984609</c:v>
                </c:pt>
                <c:pt idx="47">
                  <c:v>20.520374899163372</c:v>
                </c:pt>
                <c:pt idx="48">
                  <c:v>16.641265454893052</c:v>
                </c:pt>
                <c:pt idx="49">
                  <c:v>12.865499864173621</c:v>
                </c:pt>
                <c:pt idx="50">
                  <c:v>9.1930781270050943</c:v>
                </c:pt>
                <c:pt idx="51">
                  <c:v>5.6240002433874743</c:v>
                </c:pt>
                <c:pt idx="52">
                  <c:v>2.1582662133207506</c:v>
                </c:pt>
                <c:pt idx="53">
                  <c:v>-1.204123963195066</c:v>
                </c:pt>
                <c:pt idx="54">
                  <c:v>-4.4631702861599862</c:v>
                </c:pt>
                <c:pt idx="55">
                  <c:v>-7.6188727555739995</c:v>
                </c:pt>
                <c:pt idx="56">
                  <c:v>-10.671231371437115</c:v>
                </c:pt>
                <c:pt idx="57">
                  <c:v>-13.620246133749324</c:v>
                </c:pt>
                <c:pt idx="58">
                  <c:v>-16.465917042510632</c:v>
                </c:pt>
                <c:pt idx="59">
                  <c:v>-19.208244097721039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98B6-46BF-A05C-86D0B051FE8D}"/>
            </c:ext>
          </c:extLst>
        </c:ser>
        <c:dLbls>
          <c:showLegendKey val="0"/>
          <c:showVal val="0"/>
          <c:showCatName val="0"/>
          <c:showSerName val="0"/>
          <c:showPercent val="0"/>
          <c:showBubbleSize val="0"/>
        </c:dLbls>
        <c:marker val="1"/>
        <c:smooth val="0"/>
        <c:axId val="505957408"/>
        <c:axId val="1"/>
      </c:lineChart>
      <c:catAx>
        <c:axId val="50595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0595740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(Leasing)'!$J$28</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(Leasing)'!$J$29:$J$149</c:f>
              <c:numCache>
                <c:formatCode>0.00</c:formatCode>
                <c:ptCount val="121"/>
                <c:pt idx="0">
                  <c:v>97.147336746995933</c:v>
                </c:pt>
                <c:pt idx="1">
                  <c:v>95.514185689113816</c:v>
                </c:pt>
                <c:pt idx="2">
                  <c:v>93.881034631231699</c:v>
                </c:pt>
                <c:pt idx="3">
                  <c:v>92.247883573349583</c:v>
                </c:pt>
                <c:pt idx="4">
                  <c:v>90.61473251546748</c:v>
                </c:pt>
                <c:pt idx="5">
                  <c:v>88.981581457585364</c:v>
                </c:pt>
                <c:pt idx="6">
                  <c:v>87.348430399703233</c:v>
                </c:pt>
                <c:pt idx="7">
                  <c:v>85.715279341821116</c:v>
                </c:pt>
                <c:pt idx="8">
                  <c:v>84.082128283938999</c:v>
                </c:pt>
                <c:pt idx="9">
                  <c:v>82.448977226056897</c:v>
                </c:pt>
                <c:pt idx="10">
                  <c:v>80.81582616817478</c:v>
                </c:pt>
                <c:pt idx="11">
                  <c:v>79.182675110292649</c:v>
                </c:pt>
                <c:pt idx="12">
                  <c:v>77.549524052410533</c:v>
                </c:pt>
                <c:pt idx="13">
                  <c:v>75.916372994528416</c:v>
                </c:pt>
                <c:pt idx="14">
                  <c:v>74.283221936646314</c:v>
                </c:pt>
                <c:pt idx="15">
                  <c:v>72.650070878764197</c:v>
                </c:pt>
                <c:pt idx="16">
                  <c:v>71.01691982088208</c:v>
                </c:pt>
                <c:pt idx="17">
                  <c:v>69.383768762999949</c:v>
                </c:pt>
                <c:pt idx="18">
                  <c:v>67.750617705117847</c:v>
                </c:pt>
                <c:pt idx="19">
                  <c:v>66.11746664723573</c:v>
                </c:pt>
                <c:pt idx="20">
                  <c:v>64.484315589353614</c:v>
                </c:pt>
                <c:pt idx="21">
                  <c:v>62.85116453147149</c:v>
                </c:pt>
                <c:pt idx="22">
                  <c:v>61.21801347358938</c:v>
                </c:pt>
                <c:pt idx="23">
                  <c:v>59.584862415707256</c:v>
                </c:pt>
                <c:pt idx="24">
                  <c:v>57.951711357825147</c:v>
                </c:pt>
                <c:pt idx="25">
                  <c:v>56.31856029994303</c:v>
                </c:pt>
                <c:pt idx="26">
                  <c:v>54.685409242060913</c:v>
                </c:pt>
                <c:pt idx="27">
                  <c:v>53.052258184178797</c:v>
                </c:pt>
                <c:pt idx="28">
                  <c:v>51.419107126296687</c:v>
                </c:pt>
                <c:pt idx="29">
                  <c:v>49.785956068414563</c:v>
                </c:pt>
                <c:pt idx="30">
                  <c:v>48.152805010532447</c:v>
                </c:pt>
                <c:pt idx="31">
                  <c:v>46.519653952650337</c:v>
                </c:pt>
                <c:pt idx="32">
                  <c:v>44.886502894768213</c:v>
                </c:pt>
                <c:pt idx="33">
                  <c:v>43.253351836886104</c:v>
                </c:pt>
                <c:pt idx="34">
                  <c:v>41.620200779003987</c:v>
                </c:pt>
                <c:pt idx="35">
                  <c:v>39.987049721121871</c:v>
                </c:pt>
                <c:pt idx="36">
                  <c:v>38.353898663239754</c:v>
                </c:pt>
                <c:pt idx="37">
                  <c:v>36.72074760535763</c:v>
                </c:pt>
                <c:pt idx="38">
                  <c:v>35.08759654747552</c:v>
                </c:pt>
                <c:pt idx="39">
                  <c:v>33.454445489593404</c:v>
                </c:pt>
                <c:pt idx="40">
                  <c:v>31.821294431711291</c:v>
                </c:pt>
                <c:pt idx="41">
                  <c:v>30.18814337382917</c:v>
                </c:pt>
                <c:pt idx="42">
                  <c:v>28.554992315947054</c:v>
                </c:pt>
                <c:pt idx="43">
                  <c:v>26.921841258064941</c:v>
                </c:pt>
                <c:pt idx="44">
                  <c:v>25.288690200182824</c:v>
                </c:pt>
                <c:pt idx="45">
                  <c:v>23.655539142300707</c:v>
                </c:pt>
                <c:pt idx="46">
                  <c:v>22.022388084418591</c:v>
                </c:pt>
                <c:pt idx="47">
                  <c:v>20.389237026536478</c:v>
                </c:pt>
                <c:pt idx="48">
                  <c:v>18.756085968654361</c:v>
                </c:pt>
                <c:pt idx="49">
                  <c:v>17.122934910772241</c:v>
                </c:pt>
                <c:pt idx="50">
                  <c:v>15.489783852890127</c:v>
                </c:pt>
                <c:pt idx="51">
                  <c:v>13.856632795008011</c:v>
                </c:pt>
                <c:pt idx="52">
                  <c:v>12.223481737125894</c:v>
                </c:pt>
                <c:pt idx="53">
                  <c:v>10.590330679243779</c:v>
                </c:pt>
                <c:pt idx="54">
                  <c:v>8.9571796213616626</c:v>
                </c:pt>
                <c:pt idx="55">
                  <c:v>7.3240285634795468</c:v>
                </c:pt>
                <c:pt idx="56">
                  <c:v>5.6908775055974301</c:v>
                </c:pt>
                <c:pt idx="57">
                  <c:v>4.0577264477153134</c:v>
                </c:pt>
                <c:pt idx="58">
                  <c:v>2.4245753898331976</c:v>
                </c:pt>
                <c:pt idx="59">
                  <c:v>0.79142433195108175</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C002-4814-9FB8-E794851416D6}"/>
            </c:ext>
          </c:extLst>
        </c:ser>
        <c:dLbls>
          <c:showLegendKey val="0"/>
          <c:showVal val="0"/>
          <c:showCatName val="0"/>
          <c:showSerName val="0"/>
          <c:showPercent val="0"/>
          <c:showBubbleSize val="0"/>
        </c:dLbls>
        <c:marker val="1"/>
        <c:smooth val="0"/>
        <c:axId val="505948552"/>
        <c:axId val="1"/>
      </c:lineChart>
      <c:catAx>
        <c:axId val="50594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0594855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(Leasing)'!$K$28</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(Leasing)'!$K$29:$K$149</c:f>
              <c:numCache>
                <c:formatCode>0.00</c:formatCode>
                <c:ptCount val="121"/>
                <c:pt idx="0">
                  <c:v>76.647336746995933</c:v>
                </c:pt>
                <c:pt idx="1">
                  <c:v>75.014185689113816</c:v>
                </c:pt>
                <c:pt idx="2">
                  <c:v>73.381034631231699</c:v>
                </c:pt>
                <c:pt idx="3">
                  <c:v>71.747883573349583</c:v>
                </c:pt>
                <c:pt idx="4">
                  <c:v>70.11473251546748</c:v>
                </c:pt>
                <c:pt idx="5">
                  <c:v>68.481581457585364</c:v>
                </c:pt>
                <c:pt idx="6">
                  <c:v>66.848430399703233</c:v>
                </c:pt>
                <c:pt idx="7">
                  <c:v>65.215279341821116</c:v>
                </c:pt>
                <c:pt idx="8">
                  <c:v>63.582128283938999</c:v>
                </c:pt>
                <c:pt idx="9">
                  <c:v>61.948977226056897</c:v>
                </c:pt>
                <c:pt idx="10">
                  <c:v>60.31582616817478</c:v>
                </c:pt>
                <c:pt idx="11">
                  <c:v>58.682675110292649</c:v>
                </c:pt>
                <c:pt idx="12">
                  <c:v>57.049524052410533</c:v>
                </c:pt>
                <c:pt idx="13">
                  <c:v>55.416372994528416</c:v>
                </c:pt>
                <c:pt idx="14">
                  <c:v>53.783221936646314</c:v>
                </c:pt>
                <c:pt idx="15">
                  <c:v>52.150070878764197</c:v>
                </c:pt>
                <c:pt idx="16">
                  <c:v>50.51691982088208</c:v>
                </c:pt>
                <c:pt idx="17">
                  <c:v>48.883768762999949</c:v>
                </c:pt>
                <c:pt idx="18">
                  <c:v>47.250617705117847</c:v>
                </c:pt>
                <c:pt idx="19">
                  <c:v>45.61746664723573</c:v>
                </c:pt>
                <c:pt idx="20">
                  <c:v>43.984315589353614</c:v>
                </c:pt>
                <c:pt idx="21">
                  <c:v>42.35116453147149</c:v>
                </c:pt>
                <c:pt idx="22">
                  <c:v>40.71801347358938</c:v>
                </c:pt>
                <c:pt idx="23">
                  <c:v>39.084862415707256</c:v>
                </c:pt>
                <c:pt idx="24">
                  <c:v>37.451711357825147</c:v>
                </c:pt>
                <c:pt idx="25">
                  <c:v>35.81856029994303</c:v>
                </c:pt>
                <c:pt idx="26">
                  <c:v>34.185409242060913</c:v>
                </c:pt>
                <c:pt idx="27">
                  <c:v>32.552258184178797</c:v>
                </c:pt>
                <c:pt idx="28">
                  <c:v>30.919107126296687</c:v>
                </c:pt>
                <c:pt idx="29">
                  <c:v>29.285956068414563</c:v>
                </c:pt>
                <c:pt idx="30">
                  <c:v>27.652805010532447</c:v>
                </c:pt>
                <c:pt idx="31">
                  <c:v>26.019653952650337</c:v>
                </c:pt>
                <c:pt idx="32">
                  <c:v>24.386502894768213</c:v>
                </c:pt>
                <c:pt idx="33">
                  <c:v>22.753351836886104</c:v>
                </c:pt>
                <c:pt idx="34">
                  <c:v>21.120200779003987</c:v>
                </c:pt>
                <c:pt idx="35">
                  <c:v>19.487049721121871</c:v>
                </c:pt>
                <c:pt idx="36">
                  <c:v>17.853898663239754</c:v>
                </c:pt>
                <c:pt idx="37">
                  <c:v>16.22074760535763</c:v>
                </c:pt>
                <c:pt idx="38">
                  <c:v>14.58759654747552</c:v>
                </c:pt>
                <c:pt idx="39">
                  <c:v>12.954445489593404</c:v>
                </c:pt>
                <c:pt idx="40">
                  <c:v>11.321294431711291</c:v>
                </c:pt>
                <c:pt idx="41">
                  <c:v>9.6881433738291705</c:v>
                </c:pt>
                <c:pt idx="42">
                  <c:v>8.0549923159470538</c:v>
                </c:pt>
                <c:pt idx="43">
                  <c:v>6.4218412580649407</c:v>
                </c:pt>
                <c:pt idx="44">
                  <c:v>4.788690200182824</c:v>
                </c:pt>
                <c:pt idx="45">
                  <c:v>3.1555391423007073</c:v>
                </c:pt>
                <c:pt idx="46">
                  <c:v>1.5223880844185906</c:v>
                </c:pt>
                <c:pt idx="47">
                  <c:v>-0.11076297346352248</c:v>
                </c:pt>
                <c:pt idx="48">
                  <c:v>-1.7439140313456392</c:v>
                </c:pt>
                <c:pt idx="49">
                  <c:v>-3.3770650892277594</c:v>
                </c:pt>
                <c:pt idx="50">
                  <c:v>-5.0102161471098725</c:v>
                </c:pt>
                <c:pt idx="51">
                  <c:v>-6.6433672049919892</c:v>
                </c:pt>
                <c:pt idx="52">
                  <c:v>-8.2765182628741059</c:v>
                </c:pt>
                <c:pt idx="53">
                  <c:v>-9.9096693207562208</c:v>
                </c:pt>
                <c:pt idx="54">
                  <c:v>-11.542820378638337</c:v>
                </c:pt>
                <c:pt idx="55">
                  <c:v>-13.175971436520452</c:v>
                </c:pt>
                <c:pt idx="56">
                  <c:v>-14.809122494402569</c:v>
                </c:pt>
                <c:pt idx="57">
                  <c:v>-16.442273552284686</c:v>
                </c:pt>
                <c:pt idx="58">
                  <c:v>-18.075424610166802</c:v>
                </c:pt>
                <c:pt idx="59">
                  <c:v>-19.708575668048919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021A-451D-B793-5816D03ABD37}"/>
            </c:ext>
          </c:extLst>
        </c:ser>
        <c:dLbls>
          <c:showLegendKey val="0"/>
          <c:showVal val="0"/>
          <c:showCatName val="0"/>
          <c:showSerName val="0"/>
          <c:showPercent val="0"/>
          <c:showBubbleSize val="0"/>
        </c:dLbls>
        <c:marker val="1"/>
        <c:smooth val="0"/>
        <c:axId val="505963968"/>
        <c:axId val="1"/>
      </c:lineChart>
      <c:catAx>
        <c:axId val="5059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0596396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it-IT"/>
              <a:t>OB/OLA</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'Loan simulator-estimates ONLY'!$F$11:$F$132</c:f>
              <c:numCache>
                <c:formatCode>_-* #,##0.000_-;\-* #,##0.000_-;_-* "-"??_-;_-@_-</c:formatCode>
                <c:ptCount val="122"/>
                <c:pt idx="0">
                  <c:v>1</c:v>
                </c:pt>
                <c:pt idx="1">
                  <c:v>0.9864723685728235</c:v>
                </c:pt>
                <c:pt idx="2">
                  <c:v>0.97285455293613254</c:v>
                </c:pt>
                <c:pt idx="3">
                  <c:v>0.95914595186186369</c:v>
                </c:pt>
                <c:pt idx="4">
                  <c:v>0.94534596011376626</c:v>
                </c:pt>
                <c:pt idx="5">
                  <c:v>0.93145396842068151</c:v>
                </c:pt>
                <c:pt idx="6">
                  <c:v>0.91746936344964292</c:v>
                </c:pt>
                <c:pt idx="7">
                  <c:v>0.90339152777879728</c:v>
                </c:pt>
                <c:pt idx="8">
                  <c:v>0.88921983987014619</c:v>
                </c:pt>
                <c:pt idx="9">
                  <c:v>0.874953674042104</c:v>
                </c:pt>
                <c:pt idx="10">
                  <c:v>0.86059240044187491</c:v>
                </c:pt>
                <c:pt idx="11">
                  <c:v>0.84613538501764418</c:v>
                </c:pt>
                <c:pt idx="12">
                  <c:v>0.83158198949058537</c:v>
                </c:pt>
                <c:pt idx="13">
                  <c:v>0.81693157132667948</c:v>
                </c:pt>
                <c:pt idx="14">
                  <c:v>0.80218348370834747</c:v>
                </c:pt>
                <c:pt idx="15">
                  <c:v>0.78733707550589327</c:v>
                </c:pt>
                <c:pt idx="16">
                  <c:v>0.77239169124875606</c:v>
                </c:pt>
                <c:pt idx="17">
                  <c:v>0.75734667109657128</c:v>
                </c:pt>
                <c:pt idx="18">
                  <c:v>0.74220135081003846</c:v>
                </c:pt>
                <c:pt idx="19">
                  <c:v>0.72695506172159552</c:v>
                </c:pt>
                <c:pt idx="20">
                  <c:v>0.71160713070589632</c:v>
                </c:pt>
                <c:pt idx="21">
                  <c:v>0.69615688015009247</c:v>
                </c:pt>
                <c:pt idx="22">
                  <c:v>0.6806036279239166</c:v>
                </c:pt>
                <c:pt idx="23">
                  <c:v>0.66494668734956619</c:v>
                </c:pt>
                <c:pt idx="24">
                  <c:v>0.64918536717138675</c:v>
                </c:pt>
                <c:pt idx="25">
                  <c:v>0.63331897152535288</c:v>
                </c:pt>
                <c:pt idx="26">
                  <c:v>0.6173467999083454</c:v>
                </c:pt>
                <c:pt idx="27">
                  <c:v>0.60126814714722443</c:v>
                </c:pt>
                <c:pt idx="28">
                  <c:v>0.58508230336769618</c:v>
                </c:pt>
                <c:pt idx="29">
                  <c:v>0.56878855396297101</c:v>
                </c:pt>
                <c:pt idx="30">
                  <c:v>0.55238617956221425</c:v>
                </c:pt>
                <c:pt idx="31">
                  <c:v>0.53587445599878591</c:v>
                </c:pt>
                <c:pt idx="32">
                  <c:v>0.51925265427826806</c:v>
                </c:pt>
                <c:pt idx="33">
                  <c:v>0.50252004054627997</c:v>
                </c:pt>
                <c:pt idx="34">
                  <c:v>0.48567587605607865</c:v>
                </c:pt>
                <c:pt idx="35">
                  <c:v>0.46871941713594267</c:v>
                </c:pt>
                <c:pt idx="36">
                  <c:v>0.45164991515633918</c:v>
                </c:pt>
                <c:pt idx="37">
                  <c:v>0.43446661649687157</c:v>
                </c:pt>
                <c:pt idx="38">
                  <c:v>0.41716876251300761</c:v>
                </c:pt>
                <c:pt idx="39">
                  <c:v>0.39975558950258444</c:v>
                </c:pt>
                <c:pt idx="40">
                  <c:v>0.38222632867209189</c:v>
                </c:pt>
                <c:pt idx="41">
                  <c:v>0.36458020610272934</c:v>
                </c:pt>
                <c:pt idx="42">
                  <c:v>0.34681644271623774</c:v>
                </c:pt>
                <c:pt idx="43">
                  <c:v>0.32893425424050282</c:v>
                </c:pt>
                <c:pt idx="44">
                  <c:v>0.31093285117492964</c:v>
                </c:pt>
                <c:pt idx="45">
                  <c:v>0.29281143875558602</c:v>
                </c:pt>
                <c:pt idx="46">
                  <c:v>0.27456921692011343</c:v>
                </c:pt>
                <c:pt idx="47">
                  <c:v>0.25620538027240436</c:v>
                </c:pt>
                <c:pt idx="48">
                  <c:v>0.23771911804704388</c:v>
                </c:pt>
                <c:pt idx="49">
                  <c:v>0.21910961407351431</c:v>
                </c:pt>
                <c:pt idx="50">
                  <c:v>0.20037604674016124</c:v>
                </c:pt>
                <c:pt idx="51">
                  <c:v>0.18151758895791917</c:v>
                </c:pt>
                <c:pt idx="52">
                  <c:v>0.16253340812379549</c:v>
                </c:pt>
                <c:pt idx="53">
                  <c:v>0.14342266608411097</c:v>
                </c:pt>
                <c:pt idx="54">
                  <c:v>0.12418451909749521</c:v>
                </c:pt>
                <c:pt idx="55">
                  <c:v>0.10481811779763536</c:v>
                </c:pt>
                <c:pt idx="56">
                  <c:v>8.5322607155776428E-2</c:v>
                </c:pt>
                <c:pt idx="57">
                  <c:v>6.5697126442971779E-2</c:v>
                </c:pt>
                <c:pt idx="58">
                  <c:v>4.5940809192081766E-2</c:v>
                </c:pt>
                <c:pt idx="59">
                  <c:v>2.6052783159519154E-2</c:v>
                </c:pt>
                <c:pt idx="60">
                  <c:v>6.0321702867394541E-3</c:v>
                </c:pt>
                <c:pt idx="61">
                  <c:v>-1.4121913338525442E-2</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val>
          <c:smooth val="0"/>
          <c:extLst>
            <c:ext xmlns:c16="http://schemas.microsoft.com/office/drawing/2014/chart" uri="{C3380CC4-5D6E-409C-BE32-E72D297353CC}">
              <c16:uniqueId val="{00000000-C0C6-40F5-AECD-F4E29BB22381}"/>
            </c:ext>
          </c:extLst>
        </c:ser>
        <c:dLbls>
          <c:showLegendKey val="0"/>
          <c:showVal val="0"/>
          <c:showCatName val="0"/>
          <c:showSerName val="0"/>
          <c:showPercent val="0"/>
          <c:showBubbleSize val="0"/>
        </c:dLbls>
        <c:marker val="1"/>
        <c:smooth val="0"/>
        <c:axId val="505948880"/>
        <c:axId val="1"/>
      </c:lineChart>
      <c:catAx>
        <c:axId val="50594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0_-;\-* #,##0.000_-;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0594888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cid:image001.png@01D3A965.7351AD40" TargetMode="External"/><Relationship Id="rId5" Type="http://schemas.openxmlformats.org/officeDocument/2006/relationships/image" Target="../media/image3.png"/><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1021080</xdr:colOff>
      <xdr:row>28</xdr:row>
      <xdr:rowOff>137160</xdr:rowOff>
    </xdr:from>
    <xdr:to>
      <xdr:col>11</xdr:col>
      <xdr:colOff>1211580</xdr:colOff>
      <xdr:row>30</xdr:row>
      <xdr:rowOff>99060</xdr:rowOff>
    </xdr:to>
    <xdr:pic>
      <xdr:nvPicPr>
        <xdr:cNvPr id="1235617" name="Picture 6">
          <a:extLst>
            <a:ext uri="{FF2B5EF4-FFF2-40B4-BE49-F238E27FC236}">
              <a16:creationId xmlns:a16="http://schemas.microsoft.com/office/drawing/2014/main" id="{C8420BD9-EAD2-4ABD-83CD-8E3C118D27F5}"/>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95160" y="6233160"/>
          <a:ext cx="190500" cy="335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1318260</xdr:colOff>
      <xdr:row>35</xdr:row>
      <xdr:rowOff>121920</xdr:rowOff>
    </xdr:from>
    <xdr:to>
      <xdr:col>11</xdr:col>
      <xdr:colOff>1478280</xdr:colOff>
      <xdr:row>37</xdr:row>
      <xdr:rowOff>83820</xdr:rowOff>
    </xdr:to>
    <xdr:pic>
      <xdr:nvPicPr>
        <xdr:cNvPr id="1235618" name="Picture 7">
          <a:extLst>
            <a:ext uri="{FF2B5EF4-FFF2-40B4-BE49-F238E27FC236}">
              <a16:creationId xmlns:a16="http://schemas.microsoft.com/office/drawing/2014/main" id="{6F56D911-BBF9-4E13-8E4B-3B603C9940AA}"/>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292340" y="7505700"/>
          <a:ext cx="16002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2232660</xdr:colOff>
      <xdr:row>40</xdr:row>
      <xdr:rowOff>0</xdr:rowOff>
    </xdr:from>
    <xdr:to>
      <xdr:col>11</xdr:col>
      <xdr:colOff>2423160</xdr:colOff>
      <xdr:row>41</xdr:row>
      <xdr:rowOff>76200</xdr:rowOff>
    </xdr:to>
    <xdr:pic>
      <xdr:nvPicPr>
        <xdr:cNvPr id="1235619" name="Picture 8">
          <a:extLst>
            <a:ext uri="{FF2B5EF4-FFF2-40B4-BE49-F238E27FC236}">
              <a16:creationId xmlns:a16="http://schemas.microsoft.com/office/drawing/2014/main" id="{91ED9844-4350-4B87-A23D-AA4DBC3631E5}"/>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06740" y="8298180"/>
          <a:ext cx="190500" cy="25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2606040</xdr:colOff>
      <xdr:row>52</xdr:row>
      <xdr:rowOff>121920</xdr:rowOff>
    </xdr:from>
    <xdr:to>
      <xdr:col>11</xdr:col>
      <xdr:colOff>2796540</xdr:colOff>
      <xdr:row>54</xdr:row>
      <xdr:rowOff>0</xdr:rowOff>
    </xdr:to>
    <xdr:pic>
      <xdr:nvPicPr>
        <xdr:cNvPr id="1235620" name="Picture 9">
          <a:extLst>
            <a:ext uri="{FF2B5EF4-FFF2-40B4-BE49-F238E27FC236}">
              <a16:creationId xmlns:a16="http://schemas.microsoft.com/office/drawing/2014/main" id="{5204755F-B5FC-4748-972E-C72D1FBF27EA}"/>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580120" y="10828020"/>
          <a:ext cx="190500"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1219200</xdr:colOff>
      <xdr:row>57</xdr:row>
      <xdr:rowOff>53340</xdr:rowOff>
    </xdr:from>
    <xdr:to>
      <xdr:col>11</xdr:col>
      <xdr:colOff>1386840</xdr:colOff>
      <xdr:row>59</xdr:row>
      <xdr:rowOff>15240</xdr:rowOff>
    </xdr:to>
    <xdr:pic>
      <xdr:nvPicPr>
        <xdr:cNvPr id="1235621" name="Picture 10">
          <a:extLst>
            <a:ext uri="{FF2B5EF4-FFF2-40B4-BE49-F238E27FC236}">
              <a16:creationId xmlns:a16="http://schemas.microsoft.com/office/drawing/2014/main" id="{01F7B322-57F8-45C4-A588-29C19509797C}"/>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93280" y="11673840"/>
          <a:ext cx="1676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231737</xdr:colOff>
      <xdr:row>2</xdr:row>
      <xdr:rowOff>56029</xdr:rowOff>
    </xdr:from>
    <xdr:to>
      <xdr:col>12</xdr:col>
      <xdr:colOff>620483</xdr:colOff>
      <xdr:row>70</xdr:row>
      <xdr:rowOff>33618</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937EBDC-A248-4676-89DA-B98C9F50709F}"/>
                </a:ext>
              </a:extLst>
            </xdr:cNvPr>
            <xdr:cNvSpPr txBox="1"/>
          </xdr:nvSpPr>
          <xdr:spPr>
            <a:xfrm>
              <a:off x="5758142" y="341779"/>
              <a:ext cx="12272683" cy="143222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time passed at the date of the reimbursement request;</a:t>
              </a:r>
            </a:p>
            <a:p>
              <a:r>
                <a:rPr lang="en-GB" sz="1100" b="1">
                  <a:solidFill>
                    <a:schemeClr val="dk1"/>
                  </a:solidFill>
                  <a:effectLst/>
                  <a:latin typeface="+mn-lt"/>
                  <a:ea typeface="+mn-ea"/>
                  <a:cs typeface="+mn-cs"/>
                </a:rPr>
                <a:t>β</a:t>
              </a:r>
              <a:r>
                <a:rPr lang="en-GB" sz="1100">
                  <a:solidFill>
                    <a:schemeClr val="dk1"/>
                  </a:solidFill>
                  <a:effectLst/>
                  <a:latin typeface="+mn-lt"/>
                  <a:ea typeface="+mn-ea"/>
                  <a:cs typeface="+mn-cs"/>
                </a:rPr>
                <a:t> means the rate of loading for operating expenses gross of charges for compensation of the insurer’s expenses;</a:t>
              </a: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φ</a:t>
              </a:r>
              <a:r>
                <a:rPr lang="en-GB" sz="1100">
                  <a:solidFill>
                    <a:schemeClr val="dk1"/>
                  </a:solidFill>
                  <a:effectLst/>
                  <a:latin typeface="+mn-lt"/>
                  <a:ea typeface="+mn-ea"/>
                  <a:cs typeface="+mn-cs"/>
                </a:rPr>
                <a:t> means the full issuing costs in euro per type of lending. Please note that this information should be entered during the configuration phase for each version of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owing to the Contractor in euro per type of loan. Please note that this information should be entered during the configuration phase for each version of the product as it may vary from product to product and/or from version to version;</a:t>
              </a:r>
            </a:p>
            <a:p>
              <a:r>
                <a:rPr lang="en-GB" sz="1100" b="1">
                  <a:solidFill>
                    <a:schemeClr val="dk1"/>
                  </a:solidFill>
                  <a:effectLst/>
                  <a:latin typeface="+mn-lt"/>
                  <a:ea typeface="+mn-ea"/>
                  <a:cs typeface="+mn-cs"/>
                </a:rPr>
                <a:t>φc </a:t>
              </a:r>
              <a:r>
                <a:rPr lang="en-GB" sz="1100">
                  <a:solidFill>
                    <a:schemeClr val="dk1"/>
                  </a:solidFill>
                  <a:effectLst/>
                  <a:latin typeface="+mn-lt"/>
                  <a:ea typeface="+mn-ea"/>
                  <a:cs typeface="+mn-cs"/>
                </a:rPr>
                <a:t>means part of the issuing costs owing to the Contractor in euro per type of lending.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US" sz="1100" b="1">
                  <a:solidFill>
                    <a:schemeClr val="dk1"/>
                  </a:solidFill>
                  <a:effectLst/>
                  <a:latin typeface="+mn-lt"/>
                  <a:ea typeface="+mn-ea"/>
                  <a:cs typeface="+mn-cs"/>
                </a:rPr>
                <a:t>PP</a:t>
              </a:r>
              <a:r>
                <a:rPr lang="en-US" sz="1100">
                  <a:solidFill>
                    <a:schemeClr val="dk1"/>
                  </a:solidFill>
                  <a:effectLst/>
                  <a:latin typeface="+mn-lt"/>
                  <a:ea typeface="+mn-ea"/>
                  <a:cs typeface="+mn-cs"/>
                </a:rPr>
                <a:t> means the pure premium determined in accordance with the following formula: PP= PT x (1 – </a:t>
              </a:r>
              <a:r>
                <a:rPr lang="en-GB" sz="1100">
                  <a:solidFill>
                    <a:schemeClr val="dk1"/>
                  </a:solidFill>
                  <a:effectLst/>
                  <a:latin typeface="+mn-lt"/>
                  <a:ea typeface="+mn-ea"/>
                  <a:cs typeface="+mn-cs"/>
                </a:rPr>
                <a:t>β – δ);</a:t>
              </a:r>
            </a:p>
            <a:p>
              <a:r>
                <a:rPr lang="en-GB" sz="1100" b="1">
                  <a:solidFill>
                    <a:schemeClr val="dk1"/>
                  </a:solidFill>
                  <a:effectLst/>
                  <a:latin typeface="+mn-lt"/>
                  <a:ea typeface="+mn-ea"/>
                  <a:cs typeface="+mn-cs"/>
                </a:rPr>
                <a:t>LOD</a:t>
              </a:r>
              <a:r>
                <a:rPr lang="en-GB" sz="1100">
                  <a:solidFill>
                    <a:schemeClr val="dk1"/>
                  </a:solidFill>
                  <a:effectLst/>
                  <a:latin typeface="+mn-lt"/>
                  <a:ea typeface="+mn-ea"/>
                  <a:cs typeface="+mn-cs"/>
                </a:rPr>
                <a:t> means the total loadings calculated in accordance with the following formula: LOD = PT x (δ + β);</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endParaRPr lang="en-GB" sz="1100">
                <a:solidFill>
                  <a:schemeClr val="dk1"/>
                </a:solidFill>
                <a:effectLst/>
                <a:latin typeface="+mn-lt"/>
                <a:ea typeface="+mn-ea"/>
                <a:cs typeface="+mn-cs"/>
              </a:endParaRPr>
            </a:p>
            <a:p>
              <a:pPr lvl="0"/>
              <a:r>
                <a:rPr lang="en-GB" sz="1100" u="sng">
                  <a:solidFill>
                    <a:schemeClr val="dk1"/>
                  </a:solidFill>
                  <a:effectLst/>
                  <a:latin typeface="+mn-lt"/>
                  <a:ea typeface="+mn-ea"/>
                  <a:cs typeface="+mn-cs"/>
                </a:rPr>
                <a:t>Single Premium Products: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(β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r>
                    <a:rPr lang="en-GB" sz="1100">
                      <a:solidFill>
                        <a:schemeClr val="dk1"/>
                      </a:solidFill>
                      <a:effectLst/>
                      <a:latin typeface="Cambria Math" panose="02040503050406030204" pitchFamily="18" charset="0"/>
                      <a:ea typeface="+mn-ea"/>
                      <a:cs typeface="+mn-cs"/>
                    </a:rPr>
                    <m:t> </m:t>
                  </m:r>
                </m:oMath>
              </a14:m>
              <a:r>
                <a:rPr lang="en-GB" sz="1100">
                  <a:solidFill>
                    <a:schemeClr val="dk1"/>
                  </a:solidFill>
                  <a:effectLst/>
                  <a:latin typeface="+mn-lt"/>
                  <a:ea typeface="+mn-ea"/>
                  <a:cs typeface="+mn-cs"/>
                </a:rPr>
                <a:t>+ PPR – ε – φ</a:t>
              </a:r>
            </a:p>
            <a:p>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PP x ((D - t + 1) x (D – t)) / (D x (D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PR = (PP + PT x (β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a:rPr lang="it-IT" sz="1100" i="1">
                          <a:solidFill>
                            <a:schemeClr val="dk1"/>
                          </a:solidFill>
                          <a:effectLst/>
                          <a:latin typeface="Cambria Math" panose="02040503050406030204" pitchFamily="18" charset="0"/>
                          <a:ea typeface="+mn-ea"/>
                          <a:cs typeface="+mn-cs"/>
                        </a:rPr>
                        <m:t>𝐷</m:t>
                      </m:r>
                      <m:r>
                        <a:rPr lang="en-GB" sz="1100" i="1">
                          <a:solidFill>
                            <a:schemeClr val="dk1"/>
                          </a:solidFill>
                          <a:effectLst/>
                          <a:latin typeface="Cambria Math" panose="02040503050406030204" pitchFamily="18" charset="0"/>
                          <a:ea typeface="+mn-ea"/>
                          <a:cs typeface="+mn-cs"/>
                        </a:rPr>
                        <m:t>−</m:t>
                      </m:r>
                      <m:r>
                        <a:rPr lang="it-IT" sz="1100" i="1">
                          <a:solidFill>
                            <a:schemeClr val="dk1"/>
                          </a:solidFill>
                          <a:effectLst/>
                          <a:latin typeface="Cambria Math" panose="02040503050406030204" pitchFamily="18" charset="0"/>
                          <a:ea typeface="+mn-ea"/>
                          <a:cs typeface="+mn-cs"/>
                        </a:rPr>
                        <m:t>𝑡</m:t>
                      </m:r>
                    </m:num>
                    <m:den>
                      <m:r>
                        <a:rPr lang="it-IT" sz="1100" i="1">
                          <a:solidFill>
                            <a:schemeClr val="dk1"/>
                          </a:solidFill>
                          <a:effectLst/>
                          <a:latin typeface="Cambria Math" panose="02040503050406030204" pitchFamily="18" charset="0"/>
                          <a:ea typeface="+mn-ea"/>
                          <a:cs typeface="+mn-cs"/>
                        </a:rPr>
                        <m:t>𝐷</m:t>
                      </m:r>
                    </m:den>
                  </m:f>
                </m:oMath>
              </a14:m>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 ε – φ 	</a:t>
              </a: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 φc</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refund to the Adherent shall be made by the Companies net of the issuing and termination costs as defined and furthermore explained to the Adherent in the application form delivered to the Adherent for the insurance which includes the application of those costs. The issuing and termination costs incurred by the Contractor are six (6) euros for the issuing costs (of which three (3) euros relates to Life element and three (3) euros relates to Non-Life element) and nine (9) euros for the termination costs (of which four and half (4.5) euros relates to Life element and four and half (4.5) euros relates to Non-Life element). </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Products with a Single Premium paid in advance by the Contractor:</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PP x ((D - t + 1) x (D – t)) / (D x (D +1)) + PT x β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r>
                    <a:rPr lang="en-GB" sz="1100" i="1">
                      <a:solidFill>
                        <a:schemeClr val="dk1"/>
                      </a:solidFill>
                      <a:effectLst/>
                      <a:latin typeface="Cambria Math" panose="02040503050406030204" pitchFamily="18" charset="0"/>
                      <a:ea typeface="+mn-ea"/>
                      <a:cs typeface="+mn-cs"/>
                    </a:rPr>
                    <m:t> </m:t>
                  </m:r>
                </m:oMath>
              </a14:m>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 ε – φ + εc + φc</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a:solidFill>
                    <a:schemeClr val="dk1"/>
                  </a:solidFill>
                  <a:effectLst/>
                  <a:latin typeface="+mn-lt"/>
                  <a:ea typeface="+mn-ea"/>
                  <a:cs typeface="+mn-cs"/>
                </a:rPr>
                <a:t>PPC = (PP + PT x β )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a:rPr lang="it-IT" sz="1100" i="1">
                          <a:solidFill>
                            <a:schemeClr val="dk1"/>
                          </a:solidFill>
                          <a:effectLst/>
                          <a:latin typeface="Cambria Math" panose="02040503050406030204" pitchFamily="18" charset="0"/>
                          <a:ea typeface="+mn-ea"/>
                          <a:cs typeface="+mn-cs"/>
                        </a:rPr>
                        <m:t>𝐷</m:t>
                      </m:r>
                      <m:r>
                        <a:rPr lang="en-GB" sz="1100" i="1">
                          <a:solidFill>
                            <a:schemeClr val="dk1"/>
                          </a:solidFill>
                          <a:effectLst/>
                          <a:latin typeface="Cambria Math" panose="02040503050406030204" pitchFamily="18" charset="0"/>
                          <a:ea typeface="+mn-ea"/>
                          <a:cs typeface="+mn-cs"/>
                        </a:rPr>
                        <m:t>−</m:t>
                      </m:r>
                      <m:r>
                        <a:rPr lang="it-IT" sz="1100" i="1">
                          <a:solidFill>
                            <a:schemeClr val="dk1"/>
                          </a:solidFill>
                          <a:effectLst/>
                          <a:latin typeface="Cambria Math" panose="02040503050406030204" pitchFamily="18" charset="0"/>
                          <a:ea typeface="+mn-ea"/>
                          <a:cs typeface="+mn-cs"/>
                        </a:rPr>
                        <m:t>𝑡</m:t>
                      </m:r>
                    </m:num>
                    <m:den>
                      <m:r>
                        <a:rPr lang="it-IT" sz="1100" i="1">
                          <a:solidFill>
                            <a:schemeClr val="dk1"/>
                          </a:solidFill>
                          <a:effectLst/>
                          <a:latin typeface="Cambria Math" panose="02040503050406030204" pitchFamily="18" charset="0"/>
                          <a:ea typeface="+mn-ea"/>
                          <a:cs typeface="+mn-cs"/>
                        </a:rPr>
                        <m:t>𝐷</m:t>
                      </m:r>
                    </m:den>
                  </m:f>
                </m:oMath>
              </a14:m>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a:t>
              </a:r>
              <a:r>
                <a:rPr lang="en-GB" sz="1100" b="1">
                  <a:solidFill>
                    <a:schemeClr val="dk1"/>
                  </a:solidFill>
                  <a:effectLst/>
                  <a:latin typeface="+mn-lt"/>
                  <a:ea typeface="+mn-ea"/>
                  <a:cs typeface="+mn-cs"/>
                </a:rPr>
                <a:t> ε – φ + εc + φc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endParaRPr lang="en-GB" sz="1100"/>
            </a:p>
          </xdr:txBody>
        </xdr:sp>
      </mc:Choice>
      <mc:Fallback xmlns="">
        <xdr:sp macro="" textlink="">
          <xdr:nvSpPr>
            <xdr:cNvPr id="7" name="TextBox 6">
              <a:extLst>
                <a:ext uri="{FF2B5EF4-FFF2-40B4-BE49-F238E27FC236}">
                  <a16:creationId xmlns:a16="http://schemas.microsoft.com/office/drawing/2014/main" id="{E937EBDC-A248-4676-89DA-B98C9F50709F}"/>
                </a:ext>
              </a:extLst>
            </xdr:cNvPr>
            <xdr:cNvSpPr txBox="1"/>
          </xdr:nvSpPr>
          <xdr:spPr>
            <a:xfrm>
              <a:off x="5758142" y="341779"/>
              <a:ext cx="12272683" cy="143222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time passed at the date of the reimbursement request;</a:t>
              </a:r>
            </a:p>
            <a:p>
              <a:r>
                <a:rPr lang="en-GB" sz="1100" b="1">
                  <a:solidFill>
                    <a:schemeClr val="dk1"/>
                  </a:solidFill>
                  <a:effectLst/>
                  <a:latin typeface="+mn-lt"/>
                  <a:ea typeface="+mn-ea"/>
                  <a:cs typeface="+mn-cs"/>
                </a:rPr>
                <a:t>β</a:t>
              </a:r>
              <a:r>
                <a:rPr lang="en-GB" sz="1100">
                  <a:solidFill>
                    <a:schemeClr val="dk1"/>
                  </a:solidFill>
                  <a:effectLst/>
                  <a:latin typeface="+mn-lt"/>
                  <a:ea typeface="+mn-ea"/>
                  <a:cs typeface="+mn-cs"/>
                </a:rPr>
                <a:t> means the rate of loading for operating expenses gross of charges for compensation of the insurer’s expenses;</a:t>
              </a: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φ</a:t>
              </a:r>
              <a:r>
                <a:rPr lang="en-GB" sz="1100">
                  <a:solidFill>
                    <a:schemeClr val="dk1"/>
                  </a:solidFill>
                  <a:effectLst/>
                  <a:latin typeface="+mn-lt"/>
                  <a:ea typeface="+mn-ea"/>
                  <a:cs typeface="+mn-cs"/>
                </a:rPr>
                <a:t> means the full issuing costs in euro per type of lending. Please note that this information should be entered during the configuration phase for each version of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owing to the Contractor in euro per type of loan. Please note that this information should be entered during the configuration phase for each version of the product as it may vary from product to product and/or from version to version;</a:t>
              </a:r>
            </a:p>
            <a:p>
              <a:r>
                <a:rPr lang="en-GB" sz="1100" b="1">
                  <a:solidFill>
                    <a:schemeClr val="dk1"/>
                  </a:solidFill>
                  <a:effectLst/>
                  <a:latin typeface="+mn-lt"/>
                  <a:ea typeface="+mn-ea"/>
                  <a:cs typeface="+mn-cs"/>
                </a:rPr>
                <a:t>φc </a:t>
              </a:r>
              <a:r>
                <a:rPr lang="en-GB" sz="1100">
                  <a:solidFill>
                    <a:schemeClr val="dk1"/>
                  </a:solidFill>
                  <a:effectLst/>
                  <a:latin typeface="+mn-lt"/>
                  <a:ea typeface="+mn-ea"/>
                  <a:cs typeface="+mn-cs"/>
                </a:rPr>
                <a:t>means part of the issuing costs owing to the Contractor in euro per type of lending.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US" sz="1100" b="1">
                  <a:solidFill>
                    <a:schemeClr val="dk1"/>
                  </a:solidFill>
                  <a:effectLst/>
                  <a:latin typeface="+mn-lt"/>
                  <a:ea typeface="+mn-ea"/>
                  <a:cs typeface="+mn-cs"/>
                </a:rPr>
                <a:t>PP</a:t>
              </a:r>
              <a:r>
                <a:rPr lang="en-US" sz="1100">
                  <a:solidFill>
                    <a:schemeClr val="dk1"/>
                  </a:solidFill>
                  <a:effectLst/>
                  <a:latin typeface="+mn-lt"/>
                  <a:ea typeface="+mn-ea"/>
                  <a:cs typeface="+mn-cs"/>
                </a:rPr>
                <a:t> means the pure premium determined in accordance with the following formula: PP= PT x (1 – </a:t>
              </a:r>
              <a:r>
                <a:rPr lang="en-GB" sz="1100">
                  <a:solidFill>
                    <a:schemeClr val="dk1"/>
                  </a:solidFill>
                  <a:effectLst/>
                  <a:latin typeface="+mn-lt"/>
                  <a:ea typeface="+mn-ea"/>
                  <a:cs typeface="+mn-cs"/>
                </a:rPr>
                <a:t>β – δ);</a:t>
              </a:r>
            </a:p>
            <a:p>
              <a:r>
                <a:rPr lang="en-GB" sz="1100" b="1">
                  <a:solidFill>
                    <a:schemeClr val="dk1"/>
                  </a:solidFill>
                  <a:effectLst/>
                  <a:latin typeface="+mn-lt"/>
                  <a:ea typeface="+mn-ea"/>
                  <a:cs typeface="+mn-cs"/>
                </a:rPr>
                <a:t>LOD</a:t>
              </a:r>
              <a:r>
                <a:rPr lang="en-GB" sz="1100">
                  <a:solidFill>
                    <a:schemeClr val="dk1"/>
                  </a:solidFill>
                  <a:effectLst/>
                  <a:latin typeface="+mn-lt"/>
                  <a:ea typeface="+mn-ea"/>
                  <a:cs typeface="+mn-cs"/>
                </a:rPr>
                <a:t> means the total loadings calculated in accordance with the following formula: LOD = PT x (δ + β);</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endParaRPr lang="en-GB" sz="1100">
                <a:solidFill>
                  <a:schemeClr val="dk1"/>
                </a:solidFill>
                <a:effectLst/>
                <a:latin typeface="+mn-lt"/>
                <a:ea typeface="+mn-ea"/>
                <a:cs typeface="+mn-cs"/>
              </a:endParaRPr>
            </a:p>
            <a:p>
              <a:pPr lvl="0"/>
              <a:r>
                <a:rPr lang="en-GB" sz="1100" u="sng">
                  <a:solidFill>
                    <a:schemeClr val="dk1"/>
                  </a:solidFill>
                  <a:effectLst/>
                  <a:latin typeface="+mn-lt"/>
                  <a:ea typeface="+mn-ea"/>
                  <a:cs typeface="+mn-cs"/>
                </a:rPr>
                <a:t>Single Premium Products: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(β + δ) x </a:t>
              </a:r>
              <a:r>
                <a:rPr lang="en-GB" sz="1100" i="0">
                  <a:solidFill>
                    <a:schemeClr val="dk1"/>
                  </a:solidFill>
                  <a:effectLst/>
                  <a:latin typeface="Cambria Math" panose="02040503050406030204" pitchFamily="18" charset="0"/>
                  <a:ea typeface="+mn-ea"/>
                  <a:cs typeface="+mn-cs"/>
                </a:rPr>
                <a:t>(D−t)/D  </a:t>
              </a:r>
              <a:r>
                <a:rPr lang="en-GB" sz="1100">
                  <a:solidFill>
                    <a:schemeClr val="dk1"/>
                  </a:solidFill>
                  <a:effectLst/>
                  <a:latin typeface="+mn-lt"/>
                  <a:ea typeface="+mn-ea"/>
                  <a:cs typeface="+mn-cs"/>
                </a:rPr>
                <a:t>+ PPR – ε – φ</a:t>
              </a:r>
            </a:p>
            <a:p>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PP x ((D - t + 1) x (D – t)) / (D x (D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PR = (PP + PT x (β + δ)) x </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𝑡</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 ε – φ 	</a:t>
              </a: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 φc</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refund to the Adherent shall be made by the Companies net of the issuing and termination costs as defined and furthermore explained to the Adherent in the application form delivered to the Adherent for the insurance which includes the application of those costs. The issuing and termination costs incurred by the Contractor are six (6) euros for the issuing costs (of which three (3) euros relates to Life element and three (3) euros relates to Non-Life element) and nine (9) euros for the termination costs (of which four and half (4.5) euros relates to Life element and four and half (4.5) euros relates to Non-Life element). </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Products with a Single Premium paid in advance by the Contractor:</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PP x ((D - t + 1) x (D – t)) / (D x (D +1)) + PT x β x  </a:t>
              </a:r>
              <a:r>
                <a:rPr lang="en-GB" sz="1100" i="0">
                  <a:solidFill>
                    <a:schemeClr val="dk1"/>
                  </a:solidFill>
                  <a:effectLst/>
                  <a:latin typeface="Cambria Math" panose="02040503050406030204" pitchFamily="18" charset="0"/>
                  <a:ea typeface="+mn-ea"/>
                  <a:cs typeface="+mn-cs"/>
                </a:rPr>
                <a:t>(D−t)/D  </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 ε – φ + εc + φc</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a:solidFill>
                    <a:schemeClr val="dk1"/>
                  </a:solidFill>
                  <a:effectLst/>
                  <a:latin typeface="+mn-lt"/>
                  <a:ea typeface="+mn-ea"/>
                  <a:cs typeface="+mn-cs"/>
                </a:rPr>
                <a:t>PPC = (PP + PT x β ) x </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𝑡</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a:t>
              </a:r>
              <a:r>
                <a:rPr lang="en-GB" sz="1100" b="1">
                  <a:solidFill>
                    <a:schemeClr val="dk1"/>
                  </a:solidFill>
                  <a:effectLst/>
                  <a:latin typeface="+mn-lt"/>
                  <a:ea typeface="+mn-ea"/>
                  <a:cs typeface="+mn-cs"/>
                </a:rPr>
                <a:t> ε – φ + εc + φc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endParaRPr lang="en-GB"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1472</xdr:colOff>
      <xdr:row>1</xdr:row>
      <xdr:rowOff>11205</xdr:rowOff>
    </xdr:from>
    <xdr:to>
      <xdr:col>13</xdr:col>
      <xdr:colOff>63650</xdr:colOff>
      <xdr:row>74</xdr:row>
      <xdr:rowOff>59617</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4F6297BD-F836-4A84-863B-867542559514}"/>
                </a:ext>
              </a:extLst>
            </xdr:cNvPr>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14:m>
                <m:oMath xmlns:m="http://schemas.openxmlformats.org/officeDocument/2006/math">
                  <m:f>
                    <m:fPr>
                      <m:ctrlPr>
                        <a:rPr lang="en-GB" sz="1100" i="1">
                          <a:solidFill>
                            <a:schemeClr val="bg1">
                              <a:lumMod val="50000"/>
                            </a:schemeClr>
                          </a:solidFill>
                          <a:effectLst/>
                          <a:latin typeface="Cambria Math" panose="02040503050406030204" pitchFamily="18" charset="0"/>
                          <a:ea typeface="+mn-ea"/>
                          <a:cs typeface="+mn-cs"/>
                        </a:rPr>
                      </m:ctrlPr>
                    </m:fPr>
                    <m:num>
                      <m:r>
                        <m:rPr>
                          <m:sty m:val="p"/>
                        </m:rPr>
                        <a:rPr lang="en-GB" sz="1100">
                          <a:solidFill>
                            <a:schemeClr val="bg1">
                              <a:lumMod val="50000"/>
                            </a:schemeClr>
                          </a:solidFill>
                          <a:effectLst/>
                          <a:latin typeface="Cambria Math" panose="02040503050406030204" pitchFamily="18" charset="0"/>
                          <a:ea typeface="+mn-ea"/>
                          <a:cs typeface="+mn-cs"/>
                        </a:rPr>
                        <m:t>D</m:t>
                      </m:r>
                      <m:r>
                        <a:rPr lang="en-GB" sz="1100" i="1">
                          <a:solidFill>
                            <a:schemeClr val="bg1">
                              <a:lumMod val="50000"/>
                            </a:schemeClr>
                          </a:solidFill>
                          <a:effectLst/>
                          <a:latin typeface="Cambria Math" panose="02040503050406030204" pitchFamily="18" charset="0"/>
                          <a:ea typeface="+mn-ea"/>
                          <a:cs typeface="+mn-cs"/>
                        </a:rPr>
                        <m:t>−</m:t>
                      </m:r>
                      <m:r>
                        <m:rPr>
                          <m:sty m:val="p"/>
                        </m:rPr>
                        <a:rPr lang="en-GB" sz="1100">
                          <a:solidFill>
                            <a:schemeClr val="bg1">
                              <a:lumMod val="50000"/>
                            </a:schemeClr>
                          </a:solidFill>
                          <a:effectLst/>
                          <a:latin typeface="Cambria Math" panose="02040503050406030204" pitchFamily="18" charset="0"/>
                          <a:ea typeface="+mn-ea"/>
                          <a:cs typeface="+mn-cs"/>
                        </a:rPr>
                        <m:t>t</m:t>
                      </m:r>
                    </m:num>
                    <m:den>
                      <m:r>
                        <m:rPr>
                          <m:sty m:val="p"/>
                        </m:rPr>
                        <a:rPr lang="en-GB" sz="1100">
                          <a:solidFill>
                            <a:schemeClr val="bg1">
                              <a:lumMod val="50000"/>
                            </a:schemeClr>
                          </a:solidFill>
                          <a:effectLst/>
                          <a:latin typeface="Cambria Math" panose="02040503050406030204" pitchFamily="18" charset="0"/>
                          <a:ea typeface="+mn-ea"/>
                          <a:cs typeface="+mn-cs"/>
                        </a:rPr>
                        <m:t>D</m:t>
                      </m:r>
                    </m:den>
                  </m:f>
                </m:oMath>
              </a14:m>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Choice>
      <mc:Fallback xmlns="">
        <xdr:sp macro="" textlink="">
          <xdr:nvSpPr>
            <xdr:cNvPr id="2" name="TextBox 1">
              <a:extLst>
                <a:ext uri="{FF2B5EF4-FFF2-40B4-BE49-F238E27FC236}">
                  <a16:creationId xmlns:a16="http://schemas.microsoft.com/office/drawing/2014/main" id="{4F6297BD-F836-4A84-863B-867542559514}"/>
                </a:ext>
              </a:extLst>
            </xdr:cNvPr>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r>
                <a:rPr lang="en-GB" sz="1100" i="0">
                  <a:solidFill>
                    <a:schemeClr val="bg1">
                      <a:lumMod val="50000"/>
                    </a:schemeClr>
                  </a:solidFill>
                  <a:effectLst/>
                  <a:latin typeface="Cambria Math" panose="02040503050406030204" pitchFamily="18" charset="0"/>
                  <a:ea typeface="+mn-ea"/>
                  <a:cs typeface="+mn-cs"/>
                </a:rPr>
                <a:t>(D−t)/D</a:t>
              </a:r>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1120</xdr:colOff>
      <xdr:row>1</xdr:row>
      <xdr:rowOff>11205</xdr:rowOff>
    </xdr:from>
    <xdr:to>
      <xdr:col>13</xdr:col>
      <xdr:colOff>63648</xdr:colOff>
      <xdr:row>83</xdr:row>
      <xdr:rowOff>48412</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C7E2B04-C37A-49B5-AD67-66830A146485}"/>
                </a:ext>
              </a:extLst>
            </xdr:cNvPr>
            <xdr:cNvSpPr txBox="1"/>
          </xdr:nvSpPr>
          <xdr:spPr>
            <a:xfrm>
              <a:off x="6657414" y="717176"/>
              <a:ext cx="12246909" cy="14802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B050"/>
                  </a:solidFill>
                  <a:effectLst/>
                  <a:latin typeface="+mn-lt"/>
                  <a:ea typeface="+mn-ea"/>
                  <a:cs typeface="+mn-cs"/>
                </a:rPr>
                <a:t>PP</a:t>
              </a:r>
              <a:r>
                <a:rPr lang="en-US" sz="1100">
                  <a:solidFill>
                    <a:srgbClr val="00B050"/>
                  </a:solidFill>
                  <a:effectLst/>
                  <a:latin typeface="+mn-lt"/>
                  <a:ea typeface="+mn-ea"/>
                  <a:cs typeface="+mn-cs"/>
                </a:rPr>
                <a:t> means the pure premium determined in accordance with the following formula: PP= PT x (1 – </a:t>
              </a:r>
              <a:r>
                <a:rPr lang="en-GB" sz="1100">
                  <a:solidFill>
                    <a:srgbClr val="00B050"/>
                  </a:solidFill>
                  <a:effectLst/>
                  <a:latin typeface="+mn-lt"/>
                  <a:ea typeface="+mn-ea"/>
                  <a:cs typeface="+mn-cs"/>
                </a:rPr>
                <a:t>β – δ);</a:t>
              </a:r>
              <a:endParaRPr lang="en-GB">
                <a:solidFill>
                  <a:srgbClr val="00B05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rgbClr val="00B050"/>
                  </a:solidFill>
                  <a:effectLst/>
                  <a:latin typeface="+mn-lt"/>
                  <a:ea typeface="+mn-ea"/>
                  <a:cs typeface="+mn-cs"/>
                </a:rPr>
                <a:t>LOD</a:t>
              </a:r>
              <a:r>
                <a:rPr lang="en-GB" sz="1100">
                  <a:solidFill>
                    <a:srgbClr val="00B050"/>
                  </a:solidFill>
                  <a:effectLst/>
                  <a:latin typeface="+mn-lt"/>
                  <a:ea typeface="+mn-ea"/>
                  <a:cs typeface="+mn-cs"/>
                </a:rPr>
                <a:t> means the total loadings calculated in accordance with the following formula: LOD = PT x (δ + β);</a:t>
              </a:r>
              <a:endParaRPr lang="en-GB">
                <a:solidFill>
                  <a:srgbClr val="00B050"/>
                </a:solidFill>
                <a:effectLst/>
              </a:endParaRPr>
            </a:p>
            <a:p>
              <a:r>
                <a:rPr lang="en-GB" sz="1100" b="1">
                  <a:solidFill>
                    <a:srgbClr val="00B050"/>
                  </a:solidFill>
                  <a:effectLst/>
                  <a:latin typeface="+mn-lt"/>
                  <a:ea typeface="+mn-ea"/>
                  <a:cs typeface="+mn-cs"/>
                </a:rPr>
                <a:t>OB</a:t>
              </a:r>
              <a:r>
                <a:rPr lang="en-GB" sz="1100">
                  <a:solidFill>
                    <a:srgbClr val="00B050"/>
                  </a:solidFill>
                  <a:effectLst/>
                  <a:latin typeface="+mn-lt"/>
                  <a:ea typeface="+mn-ea"/>
                  <a:cs typeface="+mn-cs"/>
                </a:rPr>
                <a:t> = outstanding Balance as per original Loan amortisation schedule at the time of the early Termination of the policy;</a:t>
              </a:r>
            </a:p>
            <a:p>
              <a:r>
                <a:rPr lang="en-GB" sz="1100" b="1">
                  <a:solidFill>
                    <a:srgbClr val="00B050"/>
                  </a:solidFill>
                  <a:effectLst/>
                  <a:latin typeface="+mn-lt"/>
                  <a:ea typeface="+mn-ea"/>
                  <a:cs typeface="+mn-cs"/>
                </a:rPr>
                <a:t>OLA = </a:t>
              </a:r>
              <a:r>
                <a:rPr lang="en-GB" sz="1100" b="0">
                  <a:solidFill>
                    <a:srgbClr val="00B050"/>
                  </a:solidFill>
                  <a:effectLst/>
                  <a:latin typeface="+mn-lt"/>
                  <a:ea typeface="+mn-ea"/>
                  <a:cs typeface="+mn-cs"/>
                </a:rPr>
                <a:t>Original Loan amount</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a:t>
              </a:r>
              <a:r>
                <a:rPr lang="en-GB" sz="1100" b="1" u="sng">
                  <a:solidFill>
                    <a:schemeClr val="accent1">
                      <a:lumMod val="50000"/>
                    </a:schemeClr>
                  </a:solidFill>
                  <a:effectLst/>
                  <a:latin typeface="+mn-lt"/>
                  <a:ea typeface="+mn-ea"/>
                  <a:cs typeface="+mn-cs"/>
                </a:rPr>
                <a:t>NON-LEASING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CHANGED</a:t>
              </a:r>
              <a:endParaRPr lang="en-GB" b="1">
                <a:solidFill>
                  <a:srgbClr val="C00000"/>
                </a:solidFill>
                <a:effectLst/>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a:t>
              </a:r>
              <a:r>
                <a:rPr lang="en-GB" sz="1100">
                  <a:solidFill>
                    <a:srgbClr val="00B050"/>
                  </a:solidFill>
                  <a:effectLst/>
                  <a:latin typeface="+mn-lt"/>
                  <a:ea typeface="+mn-ea"/>
                  <a:cs typeface="+mn-cs"/>
                </a:rPr>
                <a:t>(β + δ)  </a:t>
              </a:r>
              <a:r>
                <a:rPr lang="en-GB" sz="1100">
                  <a:solidFill>
                    <a:schemeClr val="dk1"/>
                  </a:solidFill>
                  <a:effectLst/>
                  <a:latin typeface="+mn-lt"/>
                  <a:ea typeface="+mn-ea"/>
                  <a:cs typeface="+mn-cs"/>
                </a:rPr>
                <a:t>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a:t>
              </a:r>
              <a:r>
                <a:rPr lang="en-GB" sz="1100">
                  <a:solidFill>
                    <a:srgbClr val="00B050"/>
                  </a:solidFill>
                  <a:effectLst/>
                  <a:latin typeface="+mn-lt"/>
                  <a:ea typeface="+mn-ea"/>
                  <a:cs typeface="+mn-cs"/>
                </a:rPr>
                <a:t> PP x </a:t>
              </a:r>
              <a14:m>
                <m:oMath xmlns:m="http://schemas.openxmlformats.org/officeDocument/2006/math">
                  <m:f>
                    <m:fPr>
                      <m:ctrlPr>
                        <a:rPr lang="en-GB" sz="1100" i="1">
                          <a:solidFill>
                            <a:srgbClr val="00B050"/>
                          </a:solidFill>
                          <a:effectLst/>
                          <a:latin typeface="Cambria Math" panose="02040503050406030204" pitchFamily="18" charset="0"/>
                          <a:ea typeface="+mn-ea"/>
                          <a:cs typeface="+mn-cs"/>
                        </a:rPr>
                      </m:ctrlPr>
                    </m:fPr>
                    <m:num>
                      <m:r>
                        <m:rPr>
                          <m:sty m:val="p"/>
                        </m:rPr>
                        <a:rPr lang="en-GB" sz="1100">
                          <a:solidFill>
                            <a:srgbClr val="00B050"/>
                          </a:solidFill>
                          <a:effectLst/>
                          <a:latin typeface="Cambria Math" panose="02040503050406030204" pitchFamily="18" charset="0"/>
                          <a:ea typeface="+mn-ea"/>
                          <a:cs typeface="+mn-cs"/>
                        </a:rPr>
                        <m:t>D</m:t>
                      </m:r>
                      <m:r>
                        <a:rPr lang="en-GB" sz="1100" i="1">
                          <a:solidFill>
                            <a:srgbClr val="00B050"/>
                          </a:solidFill>
                          <a:effectLst/>
                          <a:latin typeface="Cambria Math" panose="02040503050406030204" pitchFamily="18" charset="0"/>
                          <a:ea typeface="+mn-ea"/>
                          <a:cs typeface="+mn-cs"/>
                        </a:rPr>
                        <m:t>−</m:t>
                      </m:r>
                      <m:r>
                        <m:rPr>
                          <m:sty m:val="p"/>
                        </m:rPr>
                        <a:rPr lang="en-GB" sz="1100">
                          <a:solidFill>
                            <a:srgbClr val="00B050"/>
                          </a:solidFill>
                          <a:effectLst/>
                          <a:latin typeface="Cambria Math" panose="02040503050406030204" pitchFamily="18" charset="0"/>
                          <a:ea typeface="+mn-ea"/>
                          <a:cs typeface="+mn-cs"/>
                        </a:rPr>
                        <m:t>t</m:t>
                      </m:r>
                    </m:num>
                    <m:den>
                      <m:r>
                        <m:rPr>
                          <m:sty m:val="p"/>
                        </m:rPr>
                        <a:rPr lang="en-GB" sz="1100">
                          <a:solidFill>
                            <a:srgbClr val="00B050"/>
                          </a:solidFill>
                          <a:effectLst/>
                          <a:latin typeface="Cambria Math" panose="02040503050406030204" pitchFamily="18" charset="0"/>
                          <a:ea typeface="+mn-ea"/>
                          <a:cs typeface="+mn-cs"/>
                        </a:rPr>
                        <m:t>D</m:t>
                      </m:r>
                    </m:den>
                  </m:f>
                </m:oMath>
              </a14:m>
              <a:r>
                <a:rPr lang="en-GB" sz="1100">
                  <a:solidFill>
                    <a:srgbClr val="00B050"/>
                  </a:solidFill>
                  <a:effectLst/>
                  <a:latin typeface="+mn-lt"/>
                  <a:ea typeface="+mn-ea"/>
                  <a:cs typeface="+mn-cs"/>
                </a:rPr>
                <a:t> x OB/ OLA</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Non-Life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UNCHANGED</a:t>
              </a:r>
              <a:endParaRPr lang="en-GB">
                <a:solidFill>
                  <a:srgbClr val="C00000"/>
                </a:solidFill>
                <a:effectLst/>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14:m>
                <m:oMath xmlns:m="http://schemas.openxmlformats.org/officeDocument/2006/math">
                  <m:f>
                    <m:fPr>
                      <m:ctrlPr>
                        <a:rPr lang="en-GB" sz="1100" i="1">
                          <a:solidFill>
                            <a:schemeClr val="bg1">
                              <a:lumMod val="50000"/>
                            </a:schemeClr>
                          </a:solidFill>
                          <a:effectLst/>
                          <a:latin typeface="Cambria Math" panose="02040503050406030204" pitchFamily="18" charset="0"/>
                          <a:ea typeface="+mn-ea"/>
                          <a:cs typeface="+mn-cs"/>
                        </a:rPr>
                      </m:ctrlPr>
                    </m:fPr>
                    <m:num>
                      <m:r>
                        <m:rPr>
                          <m:sty m:val="p"/>
                        </m:rPr>
                        <a:rPr lang="en-GB" sz="1100">
                          <a:solidFill>
                            <a:schemeClr val="bg1">
                              <a:lumMod val="50000"/>
                            </a:schemeClr>
                          </a:solidFill>
                          <a:effectLst/>
                          <a:latin typeface="Cambria Math" panose="02040503050406030204" pitchFamily="18" charset="0"/>
                          <a:ea typeface="+mn-ea"/>
                          <a:cs typeface="+mn-cs"/>
                        </a:rPr>
                        <m:t>D</m:t>
                      </m:r>
                      <m:r>
                        <a:rPr lang="en-GB" sz="1100" i="1">
                          <a:solidFill>
                            <a:schemeClr val="bg1">
                              <a:lumMod val="50000"/>
                            </a:schemeClr>
                          </a:solidFill>
                          <a:effectLst/>
                          <a:latin typeface="Cambria Math" panose="02040503050406030204" pitchFamily="18" charset="0"/>
                          <a:ea typeface="+mn-ea"/>
                          <a:cs typeface="+mn-cs"/>
                        </a:rPr>
                        <m:t>−</m:t>
                      </m:r>
                      <m:r>
                        <m:rPr>
                          <m:sty m:val="p"/>
                        </m:rPr>
                        <a:rPr lang="en-GB" sz="1100">
                          <a:solidFill>
                            <a:schemeClr val="bg1">
                              <a:lumMod val="50000"/>
                            </a:schemeClr>
                          </a:solidFill>
                          <a:effectLst/>
                          <a:latin typeface="Cambria Math" panose="02040503050406030204" pitchFamily="18" charset="0"/>
                          <a:ea typeface="+mn-ea"/>
                          <a:cs typeface="+mn-cs"/>
                        </a:rPr>
                        <m:t>t</m:t>
                      </m:r>
                    </m:num>
                    <m:den>
                      <m:r>
                        <m:rPr>
                          <m:sty m:val="p"/>
                        </m:rPr>
                        <a:rPr lang="en-GB" sz="1100">
                          <a:solidFill>
                            <a:schemeClr val="bg1">
                              <a:lumMod val="50000"/>
                            </a:schemeClr>
                          </a:solidFill>
                          <a:effectLst/>
                          <a:latin typeface="Cambria Math" panose="02040503050406030204" pitchFamily="18" charset="0"/>
                          <a:ea typeface="+mn-ea"/>
                          <a:cs typeface="+mn-cs"/>
                        </a:rPr>
                        <m:t>D</m:t>
                      </m:r>
                    </m:den>
                  </m:f>
                </m:oMath>
              </a14:m>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In Respect of the Commission Portion of the Refund   </a:t>
              </a:r>
              <a:r>
                <a:rPr lang="en-GB" sz="1100" b="1">
                  <a:solidFill>
                    <a:srgbClr val="C00000"/>
                  </a:solidFill>
                  <a:effectLst/>
                  <a:latin typeface="+mn-lt"/>
                  <a:ea typeface="+mn-ea"/>
                  <a:cs typeface="+mn-cs"/>
                </a:rPr>
                <a:t>UNCHANGED</a:t>
              </a:r>
              <a:endParaRPr lang="en-GB">
                <a:solidFill>
                  <a:srgbClr val="C00000"/>
                </a:solidFill>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accent1">
                      <a:lumMod val="50000"/>
                    </a:schemeClr>
                  </a:solidFill>
                  <a:effectLst/>
                  <a:latin typeface="+mn-lt"/>
                  <a:ea typeface="+mn-ea"/>
                  <a:cs typeface="+mn-cs"/>
                </a:rPr>
                <a:t>Products with a Single Premium paid in advance by the Contractor (</a:t>
              </a:r>
              <a:r>
                <a:rPr lang="en-GB" sz="1100" b="1" u="sng">
                  <a:solidFill>
                    <a:schemeClr val="accent1">
                      <a:lumMod val="50000"/>
                    </a:schemeClr>
                  </a:solidFill>
                  <a:effectLst/>
                  <a:latin typeface="+mn-lt"/>
                  <a:ea typeface="+mn-ea"/>
                  <a:cs typeface="+mn-cs"/>
                </a:rPr>
                <a:t>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b="1">
                  <a:solidFill>
                    <a:srgbClr val="C00000"/>
                  </a:solidFill>
                  <a:effectLst/>
                  <a:latin typeface="+mn-lt"/>
                  <a:ea typeface="+mn-ea"/>
                  <a:cs typeface="+mn-cs"/>
                </a:rPr>
                <a:t>UNCHANGED</a:t>
              </a:r>
              <a:endParaRPr lang="en-GB" b="1">
                <a:solidFill>
                  <a:srgbClr val="C00000"/>
                </a:solidFill>
                <a:effectLst/>
              </a:endParaRPr>
            </a:p>
            <a:p>
              <a:pPr lvl="0"/>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Choice>
      <mc:Fallback xmlns="">
        <xdr:sp macro="" textlink="">
          <xdr:nvSpPr>
            <xdr:cNvPr id="2" name="TextBox 1">
              <a:extLst>
                <a:ext uri="{FF2B5EF4-FFF2-40B4-BE49-F238E27FC236}">
                  <a16:creationId xmlns:a16="http://schemas.microsoft.com/office/drawing/2014/main" id="{5C7E2B04-C37A-49B5-AD67-66830A146485}"/>
                </a:ext>
              </a:extLst>
            </xdr:cNvPr>
            <xdr:cNvSpPr txBox="1"/>
          </xdr:nvSpPr>
          <xdr:spPr>
            <a:xfrm>
              <a:off x="6657414" y="717176"/>
              <a:ext cx="12246909" cy="14802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B050"/>
                  </a:solidFill>
                  <a:effectLst/>
                  <a:latin typeface="+mn-lt"/>
                  <a:ea typeface="+mn-ea"/>
                  <a:cs typeface="+mn-cs"/>
                </a:rPr>
                <a:t>PP</a:t>
              </a:r>
              <a:r>
                <a:rPr lang="en-US" sz="1100">
                  <a:solidFill>
                    <a:srgbClr val="00B050"/>
                  </a:solidFill>
                  <a:effectLst/>
                  <a:latin typeface="+mn-lt"/>
                  <a:ea typeface="+mn-ea"/>
                  <a:cs typeface="+mn-cs"/>
                </a:rPr>
                <a:t> means the pure premium determined in accordance with the following formula: PP= PT x (1 – </a:t>
              </a:r>
              <a:r>
                <a:rPr lang="en-GB" sz="1100">
                  <a:solidFill>
                    <a:srgbClr val="00B050"/>
                  </a:solidFill>
                  <a:effectLst/>
                  <a:latin typeface="+mn-lt"/>
                  <a:ea typeface="+mn-ea"/>
                  <a:cs typeface="+mn-cs"/>
                </a:rPr>
                <a:t>β – δ);</a:t>
              </a:r>
              <a:endParaRPr lang="en-GB">
                <a:solidFill>
                  <a:srgbClr val="00B05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rgbClr val="00B050"/>
                  </a:solidFill>
                  <a:effectLst/>
                  <a:latin typeface="+mn-lt"/>
                  <a:ea typeface="+mn-ea"/>
                  <a:cs typeface="+mn-cs"/>
                </a:rPr>
                <a:t>LOD</a:t>
              </a:r>
              <a:r>
                <a:rPr lang="en-GB" sz="1100">
                  <a:solidFill>
                    <a:srgbClr val="00B050"/>
                  </a:solidFill>
                  <a:effectLst/>
                  <a:latin typeface="+mn-lt"/>
                  <a:ea typeface="+mn-ea"/>
                  <a:cs typeface="+mn-cs"/>
                </a:rPr>
                <a:t> means the total loadings calculated in accordance with the following formula: LOD = PT x (δ + β);</a:t>
              </a:r>
              <a:endParaRPr lang="en-GB">
                <a:solidFill>
                  <a:srgbClr val="00B050"/>
                </a:solidFill>
                <a:effectLst/>
              </a:endParaRPr>
            </a:p>
            <a:p>
              <a:r>
                <a:rPr lang="en-GB" sz="1100" b="1">
                  <a:solidFill>
                    <a:srgbClr val="00B050"/>
                  </a:solidFill>
                  <a:effectLst/>
                  <a:latin typeface="+mn-lt"/>
                  <a:ea typeface="+mn-ea"/>
                  <a:cs typeface="+mn-cs"/>
                </a:rPr>
                <a:t>OB</a:t>
              </a:r>
              <a:r>
                <a:rPr lang="en-GB" sz="1100">
                  <a:solidFill>
                    <a:srgbClr val="00B050"/>
                  </a:solidFill>
                  <a:effectLst/>
                  <a:latin typeface="+mn-lt"/>
                  <a:ea typeface="+mn-ea"/>
                  <a:cs typeface="+mn-cs"/>
                </a:rPr>
                <a:t> = outstanding Balance as per original Loan amortisation schedule at the time of the early Termination of the policy;</a:t>
              </a:r>
            </a:p>
            <a:p>
              <a:r>
                <a:rPr lang="en-GB" sz="1100" b="1">
                  <a:solidFill>
                    <a:srgbClr val="00B050"/>
                  </a:solidFill>
                  <a:effectLst/>
                  <a:latin typeface="+mn-lt"/>
                  <a:ea typeface="+mn-ea"/>
                  <a:cs typeface="+mn-cs"/>
                </a:rPr>
                <a:t>OLA = </a:t>
              </a:r>
              <a:r>
                <a:rPr lang="en-GB" sz="1100" b="0">
                  <a:solidFill>
                    <a:srgbClr val="00B050"/>
                  </a:solidFill>
                  <a:effectLst/>
                  <a:latin typeface="+mn-lt"/>
                  <a:ea typeface="+mn-ea"/>
                  <a:cs typeface="+mn-cs"/>
                </a:rPr>
                <a:t>Original Loan amount</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a:t>
              </a:r>
              <a:r>
                <a:rPr lang="en-GB" sz="1100" b="1" u="sng">
                  <a:solidFill>
                    <a:schemeClr val="accent1">
                      <a:lumMod val="50000"/>
                    </a:schemeClr>
                  </a:solidFill>
                  <a:effectLst/>
                  <a:latin typeface="+mn-lt"/>
                  <a:ea typeface="+mn-ea"/>
                  <a:cs typeface="+mn-cs"/>
                </a:rPr>
                <a:t>NON-LEASING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CHANGED</a:t>
              </a:r>
              <a:endParaRPr lang="en-GB" b="1">
                <a:solidFill>
                  <a:srgbClr val="C00000"/>
                </a:solidFill>
                <a:effectLst/>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a:t>
              </a:r>
              <a:r>
                <a:rPr lang="en-GB" sz="1100">
                  <a:solidFill>
                    <a:srgbClr val="00B050"/>
                  </a:solidFill>
                  <a:effectLst/>
                  <a:latin typeface="+mn-lt"/>
                  <a:ea typeface="+mn-ea"/>
                  <a:cs typeface="+mn-cs"/>
                </a:rPr>
                <a:t>(β + δ)  </a:t>
              </a:r>
              <a:r>
                <a:rPr lang="en-GB" sz="1100">
                  <a:solidFill>
                    <a:schemeClr val="dk1"/>
                  </a:solidFill>
                  <a:effectLst/>
                  <a:latin typeface="+mn-lt"/>
                  <a:ea typeface="+mn-ea"/>
                  <a:cs typeface="+mn-cs"/>
                </a:rPr>
                <a:t>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a:t>
              </a:r>
              <a:r>
                <a:rPr lang="en-GB" sz="1100">
                  <a:solidFill>
                    <a:srgbClr val="00B050"/>
                  </a:solidFill>
                  <a:effectLst/>
                  <a:latin typeface="+mn-lt"/>
                  <a:ea typeface="+mn-ea"/>
                  <a:cs typeface="+mn-cs"/>
                </a:rPr>
                <a:t> PP x </a:t>
              </a:r>
              <a:r>
                <a:rPr lang="en-GB" sz="1100" i="0">
                  <a:solidFill>
                    <a:srgbClr val="00B050"/>
                  </a:solidFill>
                  <a:effectLst/>
                  <a:latin typeface="Cambria Math" panose="02040503050406030204" pitchFamily="18" charset="0"/>
                  <a:ea typeface="+mn-ea"/>
                  <a:cs typeface="+mn-cs"/>
                </a:rPr>
                <a:t>(D−t)/D</a:t>
              </a:r>
              <a:r>
                <a:rPr lang="en-GB" sz="1100">
                  <a:solidFill>
                    <a:srgbClr val="00B050"/>
                  </a:solidFill>
                  <a:effectLst/>
                  <a:latin typeface="+mn-lt"/>
                  <a:ea typeface="+mn-ea"/>
                  <a:cs typeface="+mn-cs"/>
                </a:rPr>
                <a:t> x OB/ OLA</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Non-Life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UNCHANGED</a:t>
              </a:r>
              <a:endParaRPr lang="en-GB">
                <a:solidFill>
                  <a:srgbClr val="C00000"/>
                </a:solidFill>
                <a:effectLst/>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r>
                <a:rPr lang="en-GB" sz="1100" i="0">
                  <a:solidFill>
                    <a:schemeClr val="bg1">
                      <a:lumMod val="50000"/>
                    </a:schemeClr>
                  </a:solidFill>
                  <a:effectLst/>
                  <a:latin typeface="Cambria Math" panose="02040503050406030204" pitchFamily="18" charset="0"/>
                  <a:ea typeface="+mn-ea"/>
                  <a:cs typeface="+mn-cs"/>
                </a:rPr>
                <a:t>(D−t)/D</a:t>
              </a:r>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In Respect of the Commission Portion of the Refund   </a:t>
              </a:r>
              <a:r>
                <a:rPr lang="en-GB" sz="1100" b="1">
                  <a:solidFill>
                    <a:srgbClr val="C00000"/>
                  </a:solidFill>
                  <a:effectLst/>
                  <a:latin typeface="+mn-lt"/>
                  <a:ea typeface="+mn-ea"/>
                  <a:cs typeface="+mn-cs"/>
                </a:rPr>
                <a:t>UNCHANGED</a:t>
              </a:r>
              <a:endParaRPr lang="en-GB">
                <a:solidFill>
                  <a:srgbClr val="C00000"/>
                </a:solidFill>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accent1">
                      <a:lumMod val="50000"/>
                    </a:schemeClr>
                  </a:solidFill>
                  <a:effectLst/>
                  <a:latin typeface="+mn-lt"/>
                  <a:ea typeface="+mn-ea"/>
                  <a:cs typeface="+mn-cs"/>
                </a:rPr>
                <a:t>Products with a Single Premium paid in advance by the Contractor (</a:t>
              </a:r>
              <a:r>
                <a:rPr lang="en-GB" sz="1100" b="1" u="sng">
                  <a:solidFill>
                    <a:schemeClr val="accent1">
                      <a:lumMod val="50000"/>
                    </a:schemeClr>
                  </a:solidFill>
                  <a:effectLst/>
                  <a:latin typeface="+mn-lt"/>
                  <a:ea typeface="+mn-ea"/>
                  <a:cs typeface="+mn-cs"/>
                </a:rPr>
                <a:t>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b="1">
                  <a:solidFill>
                    <a:srgbClr val="C00000"/>
                  </a:solidFill>
                  <a:effectLst/>
                  <a:latin typeface="+mn-lt"/>
                  <a:ea typeface="+mn-ea"/>
                  <a:cs typeface="+mn-cs"/>
                </a:rPr>
                <a:t>UNCHANGED</a:t>
              </a:r>
              <a:endParaRPr lang="en-GB" b="1">
                <a:solidFill>
                  <a:srgbClr val="C00000"/>
                </a:solidFill>
                <a:effectLst/>
              </a:endParaRPr>
            </a:p>
            <a:p>
              <a:pPr lvl="0"/>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Fallback>
    </mc:AlternateContent>
    <xdr:clientData/>
  </xdr:twoCellAnchor>
  <xdr:twoCellAnchor>
    <xdr:from>
      <xdr:col>1</xdr:col>
      <xdr:colOff>37203</xdr:colOff>
      <xdr:row>58</xdr:row>
      <xdr:rowOff>0</xdr:rowOff>
    </xdr:from>
    <xdr:to>
      <xdr:col>10</xdr:col>
      <xdr:colOff>67243</xdr:colOff>
      <xdr:row>121</xdr:row>
      <xdr:rowOff>11206</xdr:rowOff>
    </xdr:to>
    <xdr:sp macro="" textlink="">
      <xdr:nvSpPr>
        <xdr:cNvPr id="3" name="TextBox 2">
          <a:extLst>
            <a:ext uri="{FF2B5EF4-FFF2-40B4-BE49-F238E27FC236}">
              <a16:creationId xmlns:a16="http://schemas.microsoft.com/office/drawing/2014/main" id="{1E68D6EF-545C-41CB-9B6F-9757E227882A}"/>
            </a:ext>
          </a:extLst>
        </xdr:cNvPr>
        <xdr:cNvSpPr txBox="1"/>
      </xdr:nvSpPr>
      <xdr:spPr>
        <a:xfrm>
          <a:off x="89647" y="10701618"/>
          <a:ext cx="6488206" cy="1201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rgbClr val="C00000"/>
              </a:solidFill>
              <a:effectLst/>
              <a:latin typeface="+mn-lt"/>
              <a:ea typeface="+mn-ea"/>
              <a:cs typeface="+mn-cs"/>
            </a:rPr>
            <a:t>OLD Approach prior the publication of the  IVASS</a:t>
          </a:r>
          <a:r>
            <a:rPr lang="en-GB" sz="1100" b="1" u="sng" baseline="0">
              <a:solidFill>
                <a:srgbClr val="C00000"/>
              </a:solidFill>
              <a:effectLst/>
              <a:latin typeface="+mn-lt"/>
              <a:ea typeface="+mn-ea"/>
              <a:cs typeface="+mn-cs"/>
            </a:rPr>
            <a:t> Letter as of 18/12/2018 with effect from 18/02/2019:</a:t>
          </a:r>
          <a:endParaRPr lang="en-GB">
            <a:solidFill>
              <a:srgbClr val="C00000"/>
            </a:solidFill>
            <a:effectLst/>
          </a:endParaRPr>
        </a:p>
        <a:p>
          <a:r>
            <a:rPr lang="en-GB" sz="1100" b="1">
              <a:solidFill>
                <a:schemeClr val="dk1"/>
              </a:solidFill>
              <a:effectLst/>
              <a:latin typeface="+mn-lt"/>
              <a:ea typeface="+mn-ea"/>
              <a:cs typeface="+mn-cs"/>
            </a:rPr>
            <a:t>For </a:t>
          </a:r>
          <a:r>
            <a:rPr lang="en-GB" sz="1100" b="1" u="sng">
              <a:solidFill>
                <a:schemeClr val="dk1"/>
              </a:solidFill>
              <a:effectLst/>
              <a:latin typeface="+mn-lt"/>
              <a:ea typeface="+mn-ea"/>
              <a:cs typeface="+mn-cs"/>
            </a:rPr>
            <a:t>CPI business (Non-Leasing)</a:t>
          </a:r>
          <a:r>
            <a:rPr lang="en-GB" sz="1100" b="1">
              <a:solidFill>
                <a:schemeClr val="dk1"/>
              </a:solidFill>
              <a:effectLst/>
              <a:latin typeface="+mn-lt"/>
              <a:ea typeface="+mn-ea"/>
              <a:cs typeface="+mn-cs"/>
            </a:rPr>
            <a:t>:</a:t>
          </a:r>
          <a:endParaRPr lang="en-GB">
            <a:effectLst/>
          </a:endParaRPr>
        </a:p>
        <a:p>
          <a:r>
            <a:rPr lang="en-GB" sz="1100" b="1">
              <a:solidFill>
                <a:schemeClr val="dk1"/>
              </a:solidFill>
              <a:effectLst/>
              <a:latin typeface="+mn-lt"/>
              <a:ea typeface="+mn-ea"/>
              <a:cs typeface="+mn-cs"/>
            </a:rPr>
            <a:t>Non-Life </a:t>
          </a:r>
          <a:r>
            <a:rPr lang="en-GB" sz="1100">
              <a:solidFill>
                <a:schemeClr val="dk1"/>
              </a:solidFill>
              <a:effectLst/>
              <a:latin typeface="+mn-lt"/>
              <a:ea typeface="+mn-ea"/>
              <a:cs typeface="+mn-cs"/>
            </a:rPr>
            <a:t>for both Cardif &amp; CBP: </a:t>
          </a:r>
          <a:endParaRPr lang="en-GB">
            <a:effectLst/>
          </a:endParaRPr>
        </a:p>
        <a:p>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PRT x Premium paid net of tax – ET fees</a:t>
          </a:r>
          <a:endParaRPr lang="en-GB">
            <a:effectLst/>
          </a:endParaRPr>
        </a:p>
        <a:p>
          <a:r>
            <a:rPr lang="en-GB" sz="1100" b="1">
              <a:solidFill>
                <a:schemeClr val="dk1"/>
              </a:solidFill>
              <a:effectLst/>
              <a:latin typeface="+mn-lt"/>
              <a:ea typeface="+mn-ea"/>
              <a:cs typeface="+mn-cs"/>
            </a:rPr>
            <a:t>Life</a:t>
          </a:r>
          <a:r>
            <a:rPr lang="en-GB" sz="1100">
              <a:solidFill>
                <a:schemeClr val="dk1"/>
              </a:solidFill>
              <a:effectLst/>
              <a:latin typeface="+mn-lt"/>
              <a:ea typeface="+mn-ea"/>
              <a:cs typeface="+mn-cs"/>
            </a:rPr>
            <a:t>:</a:t>
          </a:r>
        </a:p>
        <a:p>
          <a:endParaRPr lang="en-GB">
            <a:effectLst/>
          </a:endParaRPr>
        </a:p>
        <a:p>
          <a:r>
            <a:rPr lang="en-GB" sz="1100" u="sng">
              <a:solidFill>
                <a:schemeClr val="dk1"/>
              </a:solidFill>
              <a:effectLst/>
              <a:latin typeface="+mn-lt"/>
              <a:ea typeface="+mn-ea"/>
              <a:cs typeface="+mn-cs"/>
            </a:rPr>
            <a:t>Cardif</a:t>
          </a:r>
          <a:r>
            <a:rPr lang="en-GB" sz="1100">
              <a:solidFill>
                <a:schemeClr val="dk1"/>
              </a:solidFill>
              <a:effectLst/>
              <a:latin typeface="+mn-lt"/>
              <a:ea typeface="+mn-ea"/>
              <a:cs typeface="+mn-cs"/>
            </a:rPr>
            <a:t>: </a:t>
          </a:r>
          <a:endParaRPr lang="en-GB">
            <a:effectLst/>
          </a:endParaRPr>
        </a:p>
        <a:p>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PP * (D-T)*(D-T+1)/(D*(D+1)) + X*(1-(T/D)) + Y*(1-(T/D)) – ET fees, where:</a:t>
          </a:r>
          <a:endParaRPr lang="en-GB">
            <a:effectLst/>
          </a:endParaRPr>
        </a:p>
        <a:p>
          <a:r>
            <a:rPr lang="en-GB" sz="1100" b="1">
              <a:solidFill>
                <a:schemeClr val="dk1"/>
              </a:solidFill>
              <a:effectLst/>
              <a:latin typeface="+mn-lt"/>
              <a:ea typeface="+mn-ea"/>
              <a:cs typeface="+mn-cs"/>
            </a:rPr>
            <a:t>PP + X + Y </a:t>
          </a:r>
          <a:r>
            <a:rPr lang="en-GB" sz="1100">
              <a:solidFill>
                <a:schemeClr val="dk1"/>
              </a:solidFill>
              <a:effectLst/>
              <a:latin typeface="+mn-lt"/>
              <a:ea typeface="+mn-ea"/>
              <a:cs typeface="+mn-cs"/>
            </a:rPr>
            <a:t>= Net of Tax Premium charged to customer </a:t>
          </a:r>
          <a:endParaRPr lang="en-GB">
            <a:effectLst/>
          </a:endParaRPr>
        </a:p>
        <a:p>
          <a:r>
            <a:rPr lang="en-GB" sz="1100" b="1">
              <a:solidFill>
                <a:schemeClr val="dk1"/>
              </a:solidFill>
              <a:effectLst/>
              <a:latin typeface="+mn-lt"/>
              <a:ea typeface="+mn-ea"/>
              <a:cs typeface="+mn-cs"/>
            </a:rPr>
            <a:t>PP </a:t>
          </a:r>
          <a:r>
            <a:rPr lang="en-GB" sz="1100">
              <a:solidFill>
                <a:schemeClr val="dk1"/>
              </a:solidFill>
              <a:effectLst/>
              <a:latin typeface="+mn-lt"/>
              <a:ea typeface="+mn-ea"/>
              <a:cs typeface="+mn-cs"/>
            </a:rPr>
            <a:t>= Pure Premium</a:t>
          </a:r>
          <a:endParaRPr lang="en-GB">
            <a:effectLst/>
          </a:endParaRPr>
        </a:p>
        <a:p>
          <a:r>
            <a:rPr lang="en-GB" sz="1100" b="1">
              <a:solidFill>
                <a:schemeClr val="dk1"/>
              </a:solidFill>
              <a:effectLst/>
              <a:latin typeface="+mn-lt"/>
              <a:ea typeface="+mn-ea"/>
              <a:cs typeface="+mn-cs"/>
            </a:rPr>
            <a:t>X</a:t>
          </a:r>
          <a:r>
            <a:rPr lang="en-GB" sz="1100">
              <a:solidFill>
                <a:schemeClr val="dk1"/>
              </a:solidFill>
              <a:effectLst/>
              <a:latin typeface="+mn-lt"/>
              <a:ea typeface="+mn-ea"/>
              <a:cs typeface="+mn-cs"/>
            </a:rPr>
            <a:t> = Loadings</a:t>
          </a:r>
          <a:endParaRPr lang="en-GB">
            <a:effectLst/>
          </a:endParaRPr>
        </a:p>
        <a:p>
          <a:r>
            <a:rPr lang="en-GB" sz="1100" b="1">
              <a:solidFill>
                <a:schemeClr val="dk1"/>
              </a:solidFill>
              <a:effectLst/>
              <a:latin typeface="+mn-lt"/>
              <a:ea typeface="+mn-ea"/>
              <a:cs typeface="+mn-cs"/>
            </a:rPr>
            <a:t>Y</a:t>
          </a:r>
          <a:r>
            <a:rPr lang="en-GB" sz="1100">
              <a:solidFill>
                <a:schemeClr val="dk1"/>
              </a:solidFill>
              <a:effectLst/>
              <a:latin typeface="+mn-lt"/>
              <a:ea typeface="+mn-ea"/>
              <a:cs typeface="+mn-cs"/>
            </a:rPr>
            <a:t> = Commission</a:t>
          </a:r>
          <a:endParaRPr lang="en-GB">
            <a:effectLst/>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 Initial Duration</a:t>
          </a:r>
          <a:endParaRPr lang="en-GB">
            <a:effectLst/>
          </a:endParaRP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 Residual Duration</a:t>
          </a:r>
          <a:endParaRPr lang="en-GB">
            <a:effectLst/>
          </a:endParaRPr>
        </a:p>
        <a:p>
          <a:r>
            <a:rPr lang="en-GB" sz="1100" b="1">
              <a:solidFill>
                <a:schemeClr val="dk1"/>
              </a:solidFill>
              <a:effectLst/>
              <a:latin typeface="+mn-lt"/>
              <a:ea typeface="+mn-ea"/>
              <a:cs typeface="+mn-cs"/>
            </a:rPr>
            <a:t>ET fees </a:t>
          </a:r>
          <a:r>
            <a:rPr lang="en-GB" sz="1100">
              <a:solidFill>
                <a:schemeClr val="dk1"/>
              </a:solidFill>
              <a:effectLst/>
              <a:latin typeface="+mn-lt"/>
              <a:ea typeface="+mn-ea"/>
              <a:cs typeface="+mn-cs"/>
            </a:rPr>
            <a:t>= a fixed fee per Life and Non-Life part of the policy</a:t>
          </a:r>
          <a:endParaRPr lang="en-GB">
            <a:effectLst/>
          </a:endParaRPr>
        </a:p>
        <a:p>
          <a:r>
            <a:rPr lang="en-GB" sz="1100">
              <a:solidFill>
                <a:schemeClr val="dk1"/>
              </a:solidFill>
              <a:effectLst/>
              <a:latin typeface="+mn-lt"/>
              <a:ea typeface="+mn-ea"/>
              <a:cs typeface="+mn-cs"/>
            </a:rPr>
            <a:t> </a:t>
          </a:r>
          <a:endParaRPr lang="en-GB">
            <a:effectLst/>
          </a:endParaRPr>
        </a:p>
        <a:p>
          <a:r>
            <a:rPr lang="en-GB" sz="1100">
              <a:solidFill>
                <a:schemeClr val="dk1"/>
              </a:solidFill>
              <a:effectLst/>
              <a:latin typeface="+mn-lt"/>
              <a:ea typeface="+mn-ea"/>
              <a:cs typeface="+mn-cs"/>
            </a:rPr>
            <a:t>Therefore:</a:t>
          </a:r>
          <a:endParaRPr lang="en-GB">
            <a:effectLst/>
          </a:endParaRPr>
        </a:p>
        <a:p>
          <a:r>
            <a:rPr lang="en-GB" sz="1100" b="1">
              <a:solidFill>
                <a:schemeClr val="dk1"/>
              </a:solidFill>
              <a:effectLst/>
              <a:latin typeface="+mn-lt"/>
              <a:ea typeface="+mn-ea"/>
              <a:cs typeface="+mn-cs"/>
            </a:rPr>
            <a:t>PP</a:t>
          </a:r>
          <a:r>
            <a:rPr lang="en-GB" sz="1100">
              <a:solidFill>
                <a:schemeClr val="dk1"/>
              </a:solidFill>
              <a:effectLst/>
              <a:latin typeface="+mn-lt"/>
              <a:ea typeface="+mn-ea"/>
              <a:cs typeface="+mn-cs"/>
            </a:rPr>
            <a:t>: Rule of 78,</a:t>
          </a:r>
          <a:endParaRPr lang="en-GB">
            <a:effectLst/>
          </a:endParaRPr>
        </a:p>
        <a:p>
          <a:r>
            <a:rPr lang="en-GB" sz="1100" b="1">
              <a:solidFill>
                <a:schemeClr val="dk1"/>
              </a:solidFill>
              <a:effectLst/>
              <a:latin typeface="+mn-lt"/>
              <a:ea typeface="+mn-ea"/>
              <a:cs typeface="+mn-cs"/>
            </a:rPr>
            <a:t>Commission: </a:t>
          </a:r>
          <a:r>
            <a:rPr lang="en-GB" sz="1100">
              <a:solidFill>
                <a:schemeClr val="dk1"/>
              </a:solidFill>
              <a:effectLst/>
              <a:latin typeface="+mn-lt"/>
              <a:ea typeface="+mn-ea"/>
              <a:cs typeface="+mn-cs"/>
            </a:rPr>
            <a:t>Rule 12</a:t>
          </a:r>
          <a:endParaRPr lang="en-GB">
            <a:effectLst/>
          </a:endParaRPr>
        </a:p>
        <a:p>
          <a:r>
            <a:rPr lang="en-GB" sz="1100" b="1" u="sng">
              <a:solidFill>
                <a:schemeClr val="dk1"/>
              </a:solidFill>
              <a:effectLst/>
              <a:latin typeface="+mn-lt"/>
              <a:ea typeface="+mn-ea"/>
              <a:cs typeface="+mn-cs"/>
            </a:rPr>
            <a:t>Loadings: </a:t>
          </a:r>
          <a:r>
            <a:rPr lang="en-GB" sz="1100" u="sng">
              <a:solidFill>
                <a:schemeClr val="dk1"/>
              </a:solidFill>
              <a:effectLst/>
              <a:latin typeface="+mn-lt"/>
              <a:ea typeface="+mn-ea"/>
              <a:cs typeface="+mn-cs"/>
            </a:rPr>
            <a:t>Rule 12</a:t>
          </a:r>
          <a:endParaRPr lang="en-GB">
            <a:effectLst/>
          </a:endParaRPr>
        </a:p>
        <a:p>
          <a:r>
            <a:rPr lang="en-GB" sz="1100" b="1">
              <a:solidFill>
                <a:schemeClr val="dk1"/>
              </a:solidFill>
              <a:effectLst/>
              <a:latin typeface="+mn-lt"/>
              <a:ea typeface="+mn-ea"/>
              <a:cs typeface="+mn-cs"/>
            </a:rPr>
            <a:t> </a:t>
          </a:r>
          <a:r>
            <a:rPr lang="en-GB" sz="1100">
              <a:solidFill>
                <a:schemeClr val="dk1"/>
              </a:solidFill>
              <a:effectLst/>
              <a:latin typeface="+mn-lt"/>
              <a:ea typeface="+mn-ea"/>
              <a:cs typeface="+mn-cs"/>
            </a:rPr>
            <a:t> </a:t>
          </a:r>
          <a:endParaRPr lang="en-GB">
            <a:effectLst/>
          </a:endParaRPr>
        </a:p>
        <a:p>
          <a:r>
            <a:rPr lang="en-GB" sz="1100" u="sng">
              <a:solidFill>
                <a:schemeClr val="dk1"/>
              </a:solidFill>
              <a:effectLst/>
              <a:latin typeface="+mn-lt"/>
              <a:ea typeface="+mn-ea"/>
              <a:cs typeface="+mn-cs"/>
            </a:rPr>
            <a:t>CBP:</a:t>
          </a:r>
          <a:endParaRPr lang="en-GB">
            <a:effectLst/>
          </a:endParaRPr>
        </a:p>
        <a:p>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 </a:t>
          </a:r>
          <a:r>
            <a:rPr lang="en-GB" sz="1100">
              <a:solidFill>
                <a:schemeClr val="dk1"/>
              </a:solidFill>
              <a:effectLst/>
              <a:latin typeface="+mn-lt"/>
              <a:ea typeface="+mn-ea"/>
              <a:cs typeface="+mn-cs"/>
            </a:rPr>
            <a:t>(PP + X) * (D-T)*(D-T+1)/(D*(D+1)) + Y*(1-(T/D)) – ET fees  </a:t>
          </a:r>
          <a:endParaRPr lang="en-GB">
            <a:effectLst/>
          </a:endParaRPr>
        </a:p>
        <a:p>
          <a:r>
            <a:rPr lang="en-GB" sz="1100">
              <a:solidFill>
                <a:schemeClr val="dk1"/>
              </a:solidFill>
              <a:effectLst/>
              <a:latin typeface="+mn-lt"/>
              <a:ea typeface="+mn-ea"/>
              <a:cs typeface="+mn-cs"/>
            </a:rPr>
            <a:t>Hence:</a:t>
          </a:r>
          <a:endParaRPr lang="en-GB">
            <a:effectLst/>
          </a:endParaRPr>
        </a:p>
        <a:p>
          <a:r>
            <a:rPr lang="en-GB" sz="1100" b="1">
              <a:solidFill>
                <a:schemeClr val="dk1"/>
              </a:solidFill>
              <a:effectLst/>
              <a:latin typeface="+mn-lt"/>
              <a:ea typeface="+mn-ea"/>
              <a:cs typeface="+mn-cs"/>
            </a:rPr>
            <a:t>PP</a:t>
          </a:r>
          <a:r>
            <a:rPr lang="en-GB" sz="1100">
              <a:solidFill>
                <a:schemeClr val="dk1"/>
              </a:solidFill>
              <a:effectLst/>
              <a:latin typeface="+mn-lt"/>
              <a:ea typeface="+mn-ea"/>
              <a:cs typeface="+mn-cs"/>
            </a:rPr>
            <a:t>: Rule of 78</a:t>
          </a:r>
          <a:endParaRPr lang="en-GB">
            <a:effectLst/>
          </a:endParaRPr>
        </a:p>
        <a:p>
          <a:r>
            <a:rPr lang="en-GB" sz="1100" b="1">
              <a:solidFill>
                <a:schemeClr val="dk1"/>
              </a:solidFill>
              <a:effectLst/>
              <a:latin typeface="+mn-lt"/>
              <a:ea typeface="+mn-ea"/>
              <a:cs typeface="+mn-cs"/>
            </a:rPr>
            <a:t>Commission</a:t>
          </a:r>
          <a:r>
            <a:rPr lang="en-GB" sz="1100">
              <a:solidFill>
                <a:schemeClr val="dk1"/>
              </a:solidFill>
              <a:effectLst/>
              <a:latin typeface="+mn-lt"/>
              <a:ea typeface="+mn-ea"/>
              <a:cs typeface="+mn-cs"/>
            </a:rPr>
            <a:t>: Rule 12</a:t>
          </a:r>
          <a:endParaRPr lang="en-GB">
            <a:effectLst/>
          </a:endParaRPr>
        </a:p>
        <a:p>
          <a:r>
            <a:rPr lang="en-GB" sz="1100" b="1" u="sng">
              <a:solidFill>
                <a:schemeClr val="dk1"/>
              </a:solidFill>
              <a:effectLst/>
              <a:latin typeface="+mn-lt"/>
              <a:ea typeface="+mn-ea"/>
              <a:cs typeface="+mn-cs"/>
            </a:rPr>
            <a:t>Loadings</a:t>
          </a:r>
          <a:r>
            <a:rPr lang="en-GB" sz="1100">
              <a:solidFill>
                <a:schemeClr val="dk1"/>
              </a:solidFill>
              <a:effectLst/>
              <a:latin typeface="+mn-lt"/>
              <a:ea typeface="+mn-ea"/>
              <a:cs typeface="+mn-cs"/>
            </a:rPr>
            <a:t> (which are already included in the Net of Tax Premium): </a:t>
          </a:r>
          <a:r>
            <a:rPr lang="en-GB" sz="1100" u="sng">
              <a:solidFill>
                <a:schemeClr val="dk1"/>
              </a:solidFill>
              <a:effectLst/>
              <a:latin typeface="+mn-lt"/>
              <a:ea typeface="+mn-ea"/>
              <a:cs typeface="+mn-cs"/>
            </a:rPr>
            <a:t>Rule of 78</a:t>
          </a:r>
          <a:endParaRPr lang="en-GB">
            <a:effectLst/>
          </a:endParaRPr>
        </a:p>
        <a:p>
          <a:r>
            <a:rPr lang="en-GB" sz="1100" b="1">
              <a:solidFill>
                <a:schemeClr val="dk1"/>
              </a:solidFill>
              <a:effectLst/>
              <a:latin typeface="+mn-lt"/>
              <a:ea typeface="+mn-ea"/>
              <a:cs typeface="+mn-cs"/>
            </a:rPr>
            <a:t> </a:t>
          </a:r>
          <a:endParaRPr lang="en-GB">
            <a:effectLst/>
          </a:endParaRPr>
        </a:p>
        <a:p>
          <a:r>
            <a:rPr lang="en-GB" sz="1100">
              <a:solidFill>
                <a:schemeClr val="dk1"/>
              </a:solidFill>
              <a:effectLst/>
              <a:latin typeface="+mn-lt"/>
              <a:ea typeface="+mn-ea"/>
              <a:cs typeface="+mn-cs"/>
            </a:rPr>
            <a:t>The CBP formula results in the life Pure Premium (incl. Loadings) being refunded based on the actuarial Rule of 78 and Commission being refunded based on Rule of 12 (Pro Rata Temporis). This approach simplified the Refund formula.</a:t>
          </a:r>
          <a:endParaRPr lang="en-GB">
            <a:effectLst/>
          </a:endParaRPr>
        </a:p>
        <a:p>
          <a:r>
            <a:rPr lang="en-GB" sz="1100" b="1">
              <a:solidFill>
                <a:schemeClr val="dk1"/>
              </a:solidFill>
              <a:effectLst/>
              <a:latin typeface="+mn-lt"/>
              <a:ea typeface="+mn-ea"/>
              <a:cs typeface="+mn-cs"/>
            </a:rPr>
            <a:t> </a:t>
          </a:r>
          <a:endParaRPr lang="en-GB">
            <a:effectLst/>
          </a:endParaRPr>
        </a:p>
        <a:p>
          <a:r>
            <a:rPr lang="en-GB" sz="1100">
              <a:solidFill>
                <a:schemeClr val="dk1"/>
              </a:solidFill>
              <a:effectLst/>
              <a:latin typeface="+mn-lt"/>
              <a:ea typeface="+mn-ea"/>
              <a:cs typeface="+mn-cs"/>
            </a:rPr>
            <a:t>For </a:t>
          </a:r>
          <a:r>
            <a:rPr lang="en-GB" sz="1100" u="sng">
              <a:solidFill>
                <a:schemeClr val="dk1"/>
              </a:solidFill>
              <a:effectLst/>
              <a:latin typeface="+mn-lt"/>
              <a:ea typeface="+mn-ea"/>
              <a:cs typeface="+mn-cs"/>
            </a:rPr>
            <a:t>Recall </a:t>
          </a:r>
          <a:endParaRPr lang="en-GB">
            <a:effectLst/>
          </a:endParaRPr>
        </a:p>
        <a:p>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PRT x Premium paid, where PRT = Pro rata temporis = Rule of 12</a:t>
          </a:r>
          <a:endParaRPr lang="en-GB">
            <a:effectLst/>
          </a:endParaRPr>
        </a:p>
        <a:p>
          <a:r>
            <a:rPr lang="en-GB" sz="1100">
              <a:solidFill>
                <a:schemeClr val="dk1"/>
              </a:solidFill>
              <a:effectLst/>
              <a:latin typeface="+mn-lt"/>
              <a:ea typeface="+mn-ea"/>
              <a:cs typeface="+mn-cs"/>
            </a:rPr>
            <a:t> </a:t>
          </a:r>
          <a:endParaRPr lang="en-GB">
            <a:effectLst/>
          </a:endParaRPr>
        </a:p>
        <a:p>
          <a:r>
            <a:rPr lang="en-GB" sz="1100">
              <a:solidFill>
                <a:schemeClr val="dk1"/>
              </a:solidFill>
              <a:effectLst/>
              <a:latin typeface="+mn-lt"/>
              <a:ea typeface="+mn-ea"/>
              <a:cs typeface="+mn-cs"/>
            </a:rPr>
            <a:t>For </a:t>
          </a:r>
          <a:r>
            <a:rPr lang="en-GB" sz="1100" u="sng">
              <a:solidFill>
                <a:schemeClr val="dk1"/>
              </a:solidFill>
              <a:effectLst/>
              <a:latin typeface="+mn-lt"/>
              <a:ea typeface="+mn-ea"/>
              <a:cs typeface="+mn-cs"/>
            </a:rPr>
            <a:t>SOS:</a:t>
          </a:r>
          <a:r>
            <a:rPr lang="en-GB" sz="1100">
              <a:solidFill>
                <a:schemeClr val="dk1"/>
              </a:solidFill>
              <a:effectLst/>
              <a:latin typeface="+mn-lt"/>
              <a:ea typeface="+mn-ea"/>
              <a:cs typeface="+mn-cs"/>
            </a:rPr>
            <a:t> The SOS business is not linked to loan hence anyway it would not make any sense to bind the refund to the loan.</a:t>
          </a:r>
        </a:p>
        <a:p>
          <a:pPr>
            <a:lnSpc>
              <a:spcPts val="1200"/>
            </a:lnSpc>
          </a:pPr>
          <a:endParaRPr lang="en-GB">
            <a:effectLst/>
          </a:endParaRPr>
        </a:p>
        <a:p>
          <a:pPr>
            <a:lnSpc>
              <a:spcPts val="1200"/>
            </a:lnSpc>
          </a:pPr>
          <a:r>
            <a:rPr lang="en-GB" sz="1100" b="1" u="sng">
              <a:solidFill>
                <a:schemeClr val="dk1"/>
              </a:solidFill>
              <a:effectLst/>
              <a:latin typeface="+mn-lt"/>
              <a:ea typeface="+mn-ea"/>
              <a:cs typeface="+mn-cs"/>
            </a:rPr>
            <a:t>NEW approach to be applied from 18/02/2019 for CPI Non-Leasing:</a:t>
          </a:r>
          <a:endParaRPr lang="en-GB">
            <a:effectLst/>
          </a:endParaRPr>
        </a:p>
        <a:p>
          <a:pPr>
            <a:lnSpc>
              <a:spcPts val="1200"/>
            </a:lnSpc>
          </a:pPr>
          <a:r>
            <a:rPr lang="en-GB" sz="1100">
              <a:solidFill>
                <a:schemeClr val="dk1"/>
              </a:solidFill>
              <a:effectLst/>
              <a:latin typeface="+mn-lt"/>
              <a:ea typeface="+mn-ea"/>
              <a:cs typeface="+mn-cs"/>
            </a:rPr>
            <a:t>applicable for Cardif &amp; CBP book of business:</a:t>
          </a:r>
          <a:endParaRPr lang="en-GB">
            <a:effectLst/>
          </a:endParaRPr>
        </a:p>
        <a:p>
          <a:r>
            <a:rPr lang="en-GB" sz="1100">
              <a:solidFill>
                <a:schemeClr val="dk1"/>
              </a:solidFill>
              <a:effectLst/>
              <a:latin typeface="+mn-lt"/>
              <a:ea typeface="+mn-ea"/>
              <a:cs typeface="+mn-cs"/>
            </a:rPr>
            <a:t>* RECALL &amp; SOS: Unchanged</a:t>
          </a:r>
          <a:endParaRPr lang="en-GB">
            <a:effectLst/>
          </a:endParaRPr>
        </a:p>
        <a:p>
          <a:pPr>
            <a:lnSpc>
              <a:spcPts val="1200"/>
            </a:lnSpc>
          </a:pPr>
          <a:r>
            <a:rPr lang="en-GB" sz="1100">
              <a:solidFill>
                <a:schemeClr val="dk1"/>
              </a:solidFill>
              <a:effectLst/>
              <a:latin typeface="+mn-lt"/>
              <a:ea typeface="+mn-ea"/>
              <a:cs typeface="+mn-cs"/>
            </a:rPr>
            <a:t>* CPI Non-Life: Unchanged</a:t>
          </a:r>
          <a:endParaRPr lang="en-GB">
            <a:effectLst/>
          </a:endParaRPr>
        </a:p>
        <a:p>
          <a:r>
            <a:rPr lang="en-GB" sz="1100">
              <a:solidFill>
                <a:schemeClr val="dk1"/>
              </a:solidFill>
              <a:effectLst/>
              <a:latin typeface="+mn-lt"/>
              <a:ea typeface="+mn-ea"/>
              <a:cs typeface="+mn-cs"/>
            </a:rPr>
            <a:t>* CPI Life:</a:t>
          </a:r>
          <a:endParaRPr lang="en-GB">
            <a:effectLst/>
          </a:endParaRPr>
        </a:p>
        <a:p>
          <a:pPr>
            <a:lnSpc>
              <a:spcPts val="1200"/>
            </a:lnSpc>
          </a:pPr>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a:t>
          </a:r>
          <a:r>
            <a:rPr lang="en-GB" sz="1100" baseline="0">
              <a:solidFill>
                <a:schemeClr val="dk1"/>
              </a:solidFill>
              <a:effectLst/>
              <a:latin typeface="+mn-lt"/>
              <a:ea typeface="+mn-ea"/>
              <a:cs typeface="+mn-cs"/>
            </a:rPr>
            <a:t>PP * (D - T)/D * OB/ OLA + </a:t>
          </a:r>
          <a:r>
            <a:rPr lang="en-GB" sz="1100">
              <a:solidFill>
                <a:schemeClr val="dk1"/>
              </a:solidFill>
              <a:effectLst/>
              <a:latin typeface="+mn-lt"/>
              <a:ea typeface="+mn-ea"/>
              <a:cs typeface="+mn-cs"/>
            </a:rPr>
            <a:t> X*(1-(T/D)) + Y*(1-(T/D)) – ET fees, where:</a:t>
          </a:r>
          <a:endParaRPr lang="en-GB">
            <a:effectLst/>
          </a:endParaRPr>
        </a:p>
        <a:p>
          <a:pPr eaLnBrk="1" fontAlgn="auto" latinLnBrk="0" hangingPunct="1">
            <a:lnSpc>
              <a:spcPts val="1200"/>
            </a:lnSpc>
          </a:pPr>
          <a:r>
            <a:rPr lang="en-GB" sz="1100" b="1">
              <a:solidFill>
                <a:schemeClr val="dk1"/>
              </a:solidFill>
              <a:effectLst/>
              <a:latin typeface="+mn-lt"/>
              <a:ea typeface="+mn-ea"/>
              <a:cs typeface="+mn-cs"/>
            </a:rPr>
            <a:t>PP + X + Y </a:t>
          </a:r>
          <a:r>
            <a:rPr lang="en-GB" sz="1100">
              <a:solidFill>
                <a:schemeClr val="dk1"/>
              </a:solidFill>
              <a:effectLst/>
              <a:latin typeface="+mn-lt"/>
              <a:ea typeface="+mn-ea"/>
              <a:cs typeface="+mn-cs"/>
            </a:rPr>
            <a:t>= Net of Tax Premium charged to customer </a:t>
          </a:r>
          <a:endParaRPr lang="en-GB">
            <a:effectLst/>
          </a:endParaRPr>
        </a:p>
        <a:p>
          <a:r>
            <a:rPr lang="en-GB" sz="1100" b="1">
              <a:solidFill>
                <a:schemeClr val="dk1"/>
              </a:solidFill>
              <a:effectLst/>
              <a:latin typeface="+mn-lt"/>
              <a:ea typeface="+mn-ea"/>
              <a:cs typeface="+mn-cs"/>
            </a:rPr>
            <a:t>PP </a:t>
          </a:r>
          <a:r>
            <a:rPr lang="en-GB" sz="1100">
              <a:solidFill>
                <a:schemeClr val="dk1"/>
              </a:solidFill>
              <a:effectLst/>
              <a:latin typeface="+mn-lt"/>
              <a:ea typeface="+mn-ea"/>
              <a:cs typeface="+mn-cs"/>
            </a:rPr>
            <a:t>= Pure Premium</a:t>
          </a:r>
          <a:endParaRPr lang="en-GB">
            <a:effectLst/>
          </a:endParaRPr>
        </a:p>
        <a:p>
          <a:pPr>
            <a:lnSpc>
              <a:spcPts val="1200"/>
            </a:lnSpc>
          </a:pPr>
          <a:r>
            <a:rPr lang="en-GB" sz="1100" b="1">
              <a:solidFill>
                <a:schemeClr val="dk1"/>
              </a:solidFill>
              <a:effectLst/>
              <a:latin typeface="+mn-lt"/>
              <a:ea typeface="+mn-ea"/>
              <a:cs typeface="+mn-cs"/>
            </a:rPr>
            <a:t>X</a:t>
          </a:r>
          <a:r>
            <a:rPr lang="en-GB" sz="1100">
              <a:solidFill>
                <a:schemeClr val="dk1"/>
              </a:solidFill>
              <a:effectLst/>
              <a:latin typeface="+mn-lt"/>
              <a:ea typeface="+mn-ea"/>
              <a:cs typeface="+mn-cs"/>
            </a:rPr>
            <a:t> = Loadings</a:t>
          </a:r>
          <a:endParaRPr lang="en-GB">
            <a:effectLst/>
          </a:endParaRPr>
        </a:p>
        <a:p>
          <a:pPr>
            <a:lnSpc>
              <a:spcPts val="1200"/>
            </a:lnSpc>
          </a:pPr>
          <a:r>
            <a:rPr lang="en-GB" sz="1100" b="1">
              <a:solidFill>
                <a:schemeClr val="dk1"/>
              </a:solidFill>
              <a:effectLst/>
              <a:latin typeface="+mn-lt"/>
              <a:ea typeface="+mn-ea"/>
              <a:cs typeface="+mn-cs"/>
            </a:rPr>
            <a:t>Y</a:t>
          </a:r>
          <a:r>
            <a:rPr lang="en-GB" sz="1100">
              <a:solidFill>
                <a:schemeClr val="dk1"/>
              </a:solidFill>
              <a:effectLst/>
              <a:latin typeface="+mn-lt"/>
              <a:ea typeface="+mn-ea"/>
              <a:cs typeface="+mn-cs"/>
            </a:rPr>
            <a:t> = Commission</a:t>
          </a:r>
          <a:endParaRPr lang="en-GB">
            <a:effectLst/>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 Initial Duration</a:t>
          </a:r>
          <a:endParaRPr lang="en-GB">
            <a:effectLst/>
          </a:endParaRPr>
        </a:p>
        <a:p>
          <a:pPr>
            <a:lnSpc>
              <a:spcPts val="1200"/>
            </a:lnSpc>
          </a:pPr>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 Residual Duration</a:t>
          </a:r>
          <a:endParaRPr lang="en-GB">
            <a:effectLst/>
          </a:endParaRPr>
        </a:p>
        <a:p>
          <a:pPr>
            <a:lnSpc>
              <a:spcPts val="1200"/>
            </a:lnSpc>
          </a:pPr>
          <a:r>
            <a:rPr lang="en-GB" sz="1100" b="1">
              <a:solidFill>
                <a:schemeClr val="dk1"/>
              </a:solidFill>
              <a:effectLst/>
              <a:latin typeface="+mn-lt"/>
              <a:ea typeface="+mn-ea"/>
              <a:cs typeface="+mn-cs"/>
            </a:rPr>
            <a:t>ET fees </a:t>
          </a:r>
          <a:r>
            <a:rPr lang="en-GB" sz="1100">
              <a:solidFill>
                <a:schemeClr val="dk1"/>
              </a:solidFill>
              <a:effectLst/>
              <a:latin typeface="+mn-lt"/>
              <a:ea typeface="+mn-ea"/>
              <a:cs typeface="+mn-cs"/>
            </a:rPr>
            <a:t>= a fixed fee per Life and Non-Life part of the policy</a:t>
          </a:r>
          <a:endParaRPr lang="en-GB">
            <a:effectLst/>
          </a:endParaRPr>
        </a:p>
        <a:p>
          <a:r>
            <a:rPr lang="en-GB" sz="1100" b="1">
              <a:solidFill>
                <a:schemeClr val="dk1"/>
              </a:solidFill>
              <a:effectLst/>
              <a:latin typeface="+mn-lt"/>
              <a:ea typeface="+mn-ea"/>
              <a:cs typeface="+mn-cs"/>
            </a:rPr>
            <a:t>OB </a:t>
          </a:r>
          <a:r>
            <a:rPr lang="en-GB" sz="1100">
              <a:solidFill>
                <a:schemeClr val="dk1"/>
              </a:solidFill>
              <a:effectLst/>
              <a:latin typeface="+mn-lt"/>
              <a:ea typeface="+mn-ea"/>
              <a:cs typeface="+mn-cs"/>
            </a:rPr>
            <a:t>= Outstanding Balance</a:t>
          </a:r>
          <a:r>
            <a:rPr lang="en-GB" sz="1100" baseline="0">
              <a:solidFill>
                <a:schemeClr val="dk1"/>
              </a:solidFill>
              <a:effectLst/>
              <a:latin typeface="+mn-lt"/>
              <a:ea typeface="+mn-ea"/>
              <a:cs typeface="+mn-cs"/>
            </a:rPr>
            <a:t> on the Loan at time of Early Termination</a:t>
          </a:r>
          <a:endParaRPr lang="en-GB">
            <a:effectLst/>
          </a:endParaRPr>
        </a:p>
        <a:p>
          <a:pPr>
            <a:lnSpc>
              <a:spcPts val="1200"/>
            </a:lnSpc>
          </a:pPr>
          <a:r>
            <a:rPr lang="en-GB" sz="1100" b="1" baseline="0">
              <a:solidFill>
                <a:schemeClr val="dk1"/>
              </a:solidFill>
              <a:effectLst/>
              <a:latin typeface="+mn-lt"/>
              <a:ea typeface="+mn-ea"/>
              <a:cs typeface="+mn-cs"/>
            </a:rPr>
            <a:t>OLA</a:t>
          </a:r>
          <a:r>
            <a:rPr lang="en-GB" sz="1100" baseline="0">
              <a:solidFill>
                <a:schemeClr val="dk1"/>
              </a:solidFill>
              <a:effectLst/>
              <a:latin typeface="+mn-lt"/>
              <a:ea typeface="+mn-ea"/>
              <a:cs typeface="+mn-cs"/>
            </a:rPr>
            <a:t> = Original Loam Amount requested by the customer (which constitutes for CPI Non-Leasing base for Premium calculation)</a:t>
          </a:r>
          <a:endParaRPr lang="en-GB">
            <a:effectLst/>
          </a:endParaRPr>
        </a:p>
        <a:p>
          <a:r>
            <a:rPr lang="en-GB" sz="1100" b="1" baseline="0">
              <a:solidFill>
                <a:schemeClr val="dk1"/>
              </a:solidFill>
              <a:effectLst/>
              <a:latin typeface="+mn-lt"/>
              <a:ea typeface="+mn-ea"/>
              <a:cs typeface="+mn-cs"/>
            </a:rPr>
            <a:t>(1-(T/D))</a:t>
          </a:r>
          <a:r>
            <a:rPr lang="en-GB" sz="1100" baseline="0">
              <a:solidFill>
                <a:schemeClr val="dk1"/>
              </a:solidFill>
              <a:effectLst/>
              <a:latin typeface="+mn-lt"/>
              <a:ea typeface="+mn-ea"/>
              <a:cs typeface="+mn-cs"/>
            </a:rPr>
            <a:t> = (D-T)/D</a:t>
          </a:r>
          <a:endParaRPr lang="en-GB">
            <a:effectLst/>
          </a:endParaRPr>
        </a:p>
        <a:p>
          <a:pPr>
            <a:lnSpc>
              <a:spcPts val="1200"/>
            </a:lnSpc>
          </a:pPr>
          <a:r>
            <a:rPr lang="en-GB" sz="1100">
              <a:solidFill>
                <a:schemeClr val="dk1"/>
              </a:solidFill>
              <a:effectLst/>
              <a:latin typeface="+mn-lt"/>
              <a:ea typeface="+mn-ea"/>
              <a:cs typeface="+mn-cs"/>
            </a:rPr>
            <a:t>Therefore:</a:t>
          </a:r>
          <a:endParaRPr lang="en-GB">
            <a:effectLst/>
          </a:endParaRPr>
        </a:p>
        <a:p>
          <a:pPr>
            <a:lnSpc>
              <a:spcPts val="1200"/>
            </a:lnSpc>
          </a:pPr>
          <a:r>
            <a:rPr lang="en-GB" sz="1100" b="1">
              <a:solidFill>
                <a:schemeClr val="dk1"/>
              </a:solidFill>
              <a:effectLst/>
              <a:latin typeface="+mn-lt"/>
              <a:ea typeface="+mn-ea"/>
              <a:cs typeface="+mn-cs"/>
            </a:rPr>
            <a:t>PP</a:t>
          </a:r>
          <a:r>
            <a:rPr lang="en-GB" sz="1100">
              <a:solidFill>
                <a:schemeClr val="dk1"/>
              </a:solidFill>
              <a:effectLst/>
              <a:latin typeface="+mn-lt"/>
              <a:ea typeface="+mn-ea"/>
              <a:cs typeface="+mn-cs"/>
            </a:rPr>
            <a:t>:  Rule of 12 *</a:t>
          </a:r>
          <a:r>
            <a:rPr lang="en-GB" sz="1100" baseline="0">
              <a:solidFill>
                <a:schemeClr val="dk1"/>
              </a:solidFill>
              <a:effectLst/>
              <a:latin typeface="+mn-lt"/>
              <a:ea typeface="+mn-ea"/>
              <a:cs typeface="+mn-cs"/>
            </a:rPr>
            <a:t> OB/OLA</a:t>
          </a:r>
          <a:endParaRPr lang="en-GB">
            <a:effectLst/>
          </a:endParaRPr>
        </a:p>
        <a:p>
          <a:r>
            <a:rPr lang="en-GB" sz="1100" b="1">
              <a:solidFill>
                <a:schemeClr val="dk1"/>
              </a:solidFill>
              <a:effectLst/>
              <a:latin typeface="+mn-lt"/>
              <a:ea typeface="+mn-ea"/>
              <a:cs typeface="+mn-cs"/>
            </a:rPr>
            <a:t>Commission:</a:t>
          </a:r>
          <a:r>
            <a:rPr lang="en-GB" sz="1100">
              <a:solidFill>
                <a:schemeClr val="dk1"/>
              </a:solidFill>
              <a:effectLst/>
              <a:latin typeface="+mn-lt"/>
              <a:ea typeface="+mn-ea"/>
              <a:cs typeface="+mn-cs"/>
            </a:rPr>
            <a:t>  Rule of 12</a:t>
          </a:r>
          <a:endParaRPr lang="en-GB">
            <a:effectLst/>
          </a:endParaRPr>
        </a:p>
        <a:p>
          <a:pPr eaLnBrk="1" fontAlgn="auto" latinLnBrk="0" hangingPunct="1">
            <a:lnSpc>
              <a:spcPts val="1200"/>
            </a:lnSpc>
          </a:pPr>
          <a:r>
            <a:rPr lang="en-GB" sz="1100" b="1">
              <a:solidFill>
                <a:schemeClr val="dk1"/>
              </a:solidFill>
              <a:effectLst/>
              <a:latin typeface="+mn-lt"/>
              <a:ea typeface="+mn-ea"/>
              <a:cs typeface="+mn-cs"/>
            </a:rPr>
            <a:t>Loadings </a:t>
          </a:r>
          <a:r>
            <a:rPr lang="en-GB" sz="1100" b="0">
              <a:solidFill>
                <a:schemeClr val="dk1"/>
              </a:solidFill>
              <a:effectLst/>
              <a:latin typeface="+mn-lt"/>
              <a:ea typeface="+mn-ea"/>
              <a:cs typeface="+mn-cs"/>
            </a:rPr>
            <a:t>(excluded from the Pure Premium): </a:t>
          </a:r>
          <a:r>
            <a:rPr lang="en-GB" sz="1100">
              <a:solidFill>
                <a:schemeClr val="dk1"/>
              </a:solidFill>
              <a:effectLst/>
              <a:latin typeface="+mn-lt"/>
              <a:ea typeface="+mn-ea"/>
              <a:cs typeface="+mn-cs"/>
            </a:rPr>
            <a:t>Rule of 12</a:t>
          </a:r>
        </a:p>
        <a:p>
          <a:pPr eaLnBrk="1" fontAlgn="auto" latinLnBrk="0" hangingPunct="1">
            <a:lnSpc>
              <a:spcPts val="1200"/>
            </a:lnSpc>
          </a:pPr>
          <a:endParaRPr lang="en-GB" sz="1100">
            <a:solidFill>
              <a:schemeClr val="dk1"/>
            </a:solidFill>
            <a:effectLst/>
            <a:latin typeface="+mn-lt"/>
            <a:ea typeface="+mn-ea"/>
            <a:cs typeface="+mn-cs"/>
          </a:endParaRPr>
        </a:p>
        <a:p>
          <a:pPr eaLnBrk="1" fontAlgn="auto" latinLnBrk="0" hangingPunct="1"/>
          <a:r>
            <a:rPr lang="en-GB" sz="1100">
              <a:solidFill>
                <a:schemeClr val="dk1"/>
              </a:solidFill>
              <a:effectLst/>
              <a:latin typeface="+mn-lt"/>
              <a:ea typeface="+mn-ea"/>
              <a:cs typeface="+mn-cs"/>
            </a:rPr>
            <a:t>UNCHANGED:</a:t>
          </a:r>
        </a:p>
        <a:p>
          <a:pPr marL="0" marR="0" lvl="0" indent="0" defTabSz="914400" eaLnBrk="1" fontAlgn="auto" latinLnBrk="0" hangingPunct="1">
            <a:lnSpc>
              <a:spcPts val="1200"/>
            </a:lnSpc>
            <a:spcBef>
              <a:spcPts val="0"/>
            </a:spcBef>
            <a:spcAft>
              <a:spcPts val="0"/>
            </a:spcAft>
            <a:buClrTx/>
            <a:buSzTx/>
            <a:buFontTx/>
            <a:buNone/>
            <a:tabLst/>
            <a:defRPr/>
          </a:pPr>
          <a:r>
            <a:rPr lang="en-GB" sz="1100" b="1">
              <a:solidFill>
                <a:schemeClr val="dk1"/>
              </a:solidFill>
              <a:effectLst/>
              <a:latin typeface="+mn-lt"/>
              <a:ea typeface="+mn-ea"/>
              <a:cs typeface="+mn-cs"/>
            </a:rPr>
            <a:t>ET Refund (Non-Life)</a:t>
          </a:r>
          <a:r>
            <a:rPr lang="en-GB" sz="1100">
              <a:solidFill>
                <a:schemeClr val="dk1"/>
              </a:solidFill>
              <a:effectLst/>
              <a:latin typeface="+mn-lt"/>
              <a:ea typeface="+mn-ea"/>
              <a:cs typeface="+mn-cs"/>
            </a:rPr>
            <a:t> = PRT x Premium paid net of tax – ET fees</a:t>
          </a:r>
          <a:endParaRPr lang="en-GB">
            <a:effectLst/>
          </a:endParaRPr>
        </a:p>
        <a:p>
          <a:pPr eaLnBrk="1" fontAlgn="auto" latinLnBrk="0" hangingPunct="1"/>
          <a:endParaRPr lang="en-GB" sz="1100">
            <a:solidFill>
              <a:schemeClr val="dk1"/>
            </a:solidFill>
            <a:effectLst/>
            <a:latin typeface="+mn-lt"/>
            <a:ea typeface="+mn-ea"/>
            <a:cs typeface="+mn-cs"/>
          </a:endParaRPr>
        </a:p>
        <a:p>
          <a:pPr eaLnBrk="1" fontAlgn="auto" latinLnBrk="0" hangingPunct="1">
            <a:lnSpc>
              <a:spcPts val="1100"/>
            </a:lnSpc>
          </a:pPr>
          <a:endParaRPr lang="en-GB">
            <a:effectLst/>
          </a:endParaRPr>
        </a:p>
        <a:p>
          <a:pPr>
            <a:lnSpc>
              <a:spcPts val="1200"/>
            </a:lnSpc>
          </a:pPr>
          <a:r>
            <a:rPr lang="en-GB" sz="1100">
              <a:solidFill>
                <a:schemeClr val="dk1"/>
              </a:solidFill>
              <a:effectLst/>
              <a:latin typeface="+mn-lt"/>
              <a:ea typeface="+mn-ea"/>
              <a:cs typeface="+mn-cs"/>
            </a:rPr>
            <a:t>The above is in line with the IVASS</a:t>
          </a:r>
          <a:r>
            <a:rPr lang="en-GB" sz="1100" baseline="0">
              <a:solidFill>
                <a:schemeClr val="dk1"/>
              </a:solidFill>
              <a:effectLst/>
              <a:latin typeface="+mn-lt"/>
              <a:ea typeface="+mn-ea"/>
              <a:cs typeface="+mn-cs"/>
            </a:rPr>
            <a:t> Letetr:</a:t>
          </a:r>
          <a:endParaRPr lang="en-GB">
            <a:effectLst/>
          </a:endParaRPr>
        </a:p>
        <a:p>
          <a:pPr>
            <a:lnSpc>
              <a:spcPts val="1100"/>
            </a:lnSpc>
          </a:pPr>
          <a:r>
            <a:rPr lang="en-GB" sz="1100">
              <a:solidFill>
                <a:schemeClr val="dk1"/>
              </a:solidFill>
              <a:effectLst/>
              <a:latin typeface="+mn-lt"/>
              <a:ea typeface="+mn-ea"/>
              <a:cs typeface="+mn-cs"/>
            </a:rPr>
            <a:t>a) For the </a:t>
          </a:r>
          <a:r>
            <a:rPr lang="en-GB" sz="1100" b="1">
              <a:solidFill>
                <a:schemeClr val="dk1"/>
              </a:solidFill>
              <a:effectLst/>
              <a:latin typeface="+mn-lt"/>
              <a:ea typeface="+mn-ea"/>
              <a:cs typeface="+mn-cs"/>
            </a:rPr>
            <a:t>pure premium</a:t>
          </a:r>
          <a:r>
            <a:rPr lang="en-GB" sz="1100">
              <a:solidFill>
                <a:schemeClr val="dk1"/>
              </a:solidFill>
              <a:effectLst/>
              <a:latin typeface="+mn-lt"/>
              <a:ea typeface="+mn-ea"/>
              <a:cs typeface="+mn-cs"/>
            </a:rPr>
            <a:t>, according to the years and parts of years remaining until the end of the coverage in addition to the residual insured amount (according to the formula </a:t>
          </a:r>
          <a:r>
            <a:rPr lang="en-GB" sz="1100" b="1" i="1">
              <a:solidFill>
                <a:schemeClr val="dk1"/>
              </a:solidFill>
              <a:effectLst/>
              <a:latin typeface="+mn-lt"/>
              <a:ea typeface="+mn-ea"/>
              <a:cs typeface="+mn-cs"/>
            </a:rPr>
            <a:t>Pr   </a:t>
          </a:r>
          <a:r>
            <a:rPr lang="en-GB" sz="1100" b="1" i="1" u="sng">
              <a:solidFill>
                <a:schemeClr val="dk1"/>
              </a:solidFill>
              <a:effectLst/>
              <a:latin typeface="+mn-lt"/>
              <a:ea typeface="+mn-ea"/>
              <a:cs typeface="+mn-cs"/>
            </a:rPr>
            <a:t>n-t/n  *d r/do</a:t>
          </a:r>
          <a:r>
            <a:rPr lang="en-GB" sz="1100" b="1">
              <a:solidFill>
                <a:schemeClr val="dk1"/>
              </a:solidFill>
              <a:effectLst/>
              <a:latin typeface="+mn-lt"/>
              <a:ea typeface="+mn-ea"/>
              <a:cs typeface="+mn-cs"/>
            </a:rPr>
            <a:t> </a:t>
          </a:r>
          <a:r>
            <a:rPr lang="en-GB" sz="1100">
              <a:solidFill>
                <a:schemeClr val="dk1"/>
              </a:solidFill>
              <a:effectLst/>
              <a:latin typeface="+mn-lt"/>
              <a:ea typeface="+mn-ea"/>
              <a:cs typeface="+mn-cs"/>
            </a:rPr>
            <a:t>where </a:t>
          </a:r>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 Pure premium, </a:t>
          </a:r>
          <a:r>
            <a:rPr lang="en-GB" sz="1100" b="1">
              <a:solidFill>
                <a:schemeClr val="dk1"/>
              </a:solidFill>
              <a:effectLst/>
              <a:latin typeface="+mn-lt"/>
              <a:ea typeface="+mn-ea"/>
              <a:cs typeface="+mn-cs"/>
            </a:rPr>
            <a:t>n</a:t>
          </a:r>
          <a:r>
            <a:rPr lang="en-GB" sz="1100">
              <a:solidFill>
                <a:schemeClr val="dk1"/>
              </a:solidFill>
              <a:effectLst/>
              <a:latin typeface="+mn-lt"/>
              <a:ea typeface="+mn-ea"/>
              <a:cs typeface="+mn-cs"/>
            </a:rPr>
            <a:t> = the duration of the insurance coverage, </a:t>
          </a:r>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 Lapsed</a:t>
          </a:r>
          <a:r>
            <a:rPr lang="en-GB" sz="1100" baseline="0">
              <a:solidFill>
                <a:schemeClr val="dk1"/>
              </a:solidFill>
              <a:effectLst/>
              <a:latin typeface="+mn-lt"/>
              <a:ea typeface="+mn-ea"/>
              <a:cs typeface="+mn-cs"/>
            </a:rPr>
            <a:t> time</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dr</a:t>
          </a:r>
          <a:r>
            <a:rPr lang="en-GB" sz="1100">
              <a:solidFill>
                <a:schemeClr val="dk1"/>
              </a:solidFill>
              <a:effectLst/>
              <a:latin typeface="+mn-lt"/>
              <a:ea typeface="+mn-ea"/>
              <a:cs typeface="+mn-cs"/>
            </a:rPr>
            <a:t> = the outstanding debt, </a:t>
          </a:r>
          <a:r>
            <a:rPr lang="en-GB" sz="1100" b="1">
              <a:solidFill>
                <a:schemeClr val="dk1"/>
              </a:solidFill>
              <a:effectLst/>
              <a:latin typeface="+mn-lt"/>
              <a:ea typeface="+mn-ea"/>
              <a:cs typeface="+mn-cs"/>
            </a:rPr>
            <a:t>Do</a:t>
          </a:r>
          <a:r>
            <a:rPr lang="en-GB" sz="1100">
              <a:solidFill>
                <a:schemeClr val="dk1"/>
              </a:solidFill>
              <a:effectLst/>
              <a:latin typeface="+mn-lt"/>
              <a:ea typeface="+mn-ea"/>
              <a:cs typeface="+mn-cs"/>
            </a:rPr>
            <a:t> = the initial debt. See the footnote on page 2 of the letter for the proper mathematical formula. </a:t>
          </a:r>
          <a:endParaRPr lang="en-GB">
            <a:effectLst/>
          </a:endParaRPr>
        </a:p>
        <a:p>
          <a:r>
            <a:rPr lang="en-GB" sz="1100">
              <a:solidFill>
                <a:schemeClr val="dk1"/>
              </a:solidFill>
              <a:effectLst/>
              <a:latin typeface="+mn-lt"/>
              <a:ea typeface="+mn-ea"/>
              <a:cs typeface="+mn-cs"/>
            </a:rPr>
            <a:t>b) For the</a:t>
          </a:r>
          <a:r>
            <a:rPr lang="en-GB" sz="1100" b="1">
              <a:solidFill>
                <a:schemeClr val="dk1"/>
              </a:solidFill>
              <a:effectLst/>
              <a:latin typeface="+mn-lt"/>
              <a:ea typeface="+mn-ea"/>
              <a:cs typeface="+mn-cs"/>
            </a:rPr>
            <a:t> loadings</a:t>
          </a:r>
          <a:r>
            <a:rPr lang="en-GB" sz="1100">
              <a:solidFill>
                <a:schemeClr val="dk1"/>
              </a:solidFill>
              <a:effectLst/>
              <a:latin typeface="+mn-lt"/>
              <a:ea typeface="+mn-ea"/>
              <a:cs typeface="+mn-cs"/>
            </a:rPr>
            <a:t>, in proportion to the years and parts of years remaining until the end of the coverage. </a:t>
          </a:r>
          <a:endParaRPr lang="en-GB">
            <a:effectLst/>
          </a:endParaRPr>
        </a:p>
        <a:p>
          <a:pPr>
            <a:lnSpc>
              <a:spcPts val="1000"/>
            </a:lnSpc>
          </a:pP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1</xdr:row>
      <xdr:rowOff>154305</xdr:rowOff>
    </xdr:from>
    <xdr:to>
      <xdr:col>18</xdr:col>
      <xdr:colOff>0</xdr:colOff>
      <xdr:row>7</xdr:row>
      <xdr:rowOff>28545</xdr:rowOff>
    </xdr:to>
    <xdr:sp macro="" textlink="">
      <xdr:nvSpPr>
        <xdr:cNvPr id="2" name="TextBox 1">
          <a:extLst>
            <a:ext uri="{FF2B5EF4-FFF2-40B4-BE49-F238E27FC236}">
              <a16:creationId xmlns:a16="http://schemas.microsoft.com/office/drawing/2014/main" id="{663DAAD6-1F99-4263-845A-02E705779437}"/>
            </a:ext>
          </a:extLst>
        </xdr:cNvPr>
        <xdr:cNvSpPr txBox="1"/>
      </xdr:nvSpPr>
      <xdr:spPr>
        <a:xfrm>
          <a:off x="666750" y="352425"/>
          <a:ext cx="10306050"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Utnil</a:t>
          </a:r>
          <a:r>
            <a:rPr lang="en-GB" sz="1100" baseline="0"/>
            <a:t> 17/02/2019 CARDIF were incorrectly using the Reinsurer's (Cardif's) Loadings instead of the Insurer's (CNPSI's) Loadings.</a:t>
          </a:r>
        </a:p>
        <a:p>
          <a:endParaRPr lang="en-GB" sz="1100" baseline="0"/>
        </a:p>
        <a:p>
          <a:r>
            <a:rPr lang="en-GB" sz="1100" b="1" u="sng" baseline="0"/>
            <a:t>From 18/02/2019 the Early Termination Refunds shall be based on the correct Insurer's Loadings.</a:t>
          </a:r>
          <a:endParaRPr lang="en-GB" sz="1100" b="1" u="sng"/>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449580</xdr:colOff>
      <xdr:row>6</xdr:row>
      <xdr:rowOff>99060</xdr:rowOff>
    </xdr:from>
    <xdr:to>
      <xdr:col>10</xdr:col>
      <xdr:colOff>6949440</xdr:colOff>
      <xdr:row>24</xdr:row>
      <xdr:rowOff>7620</xdr:rowOff>
    </xdr:to>
    <xdr:graphicFrame macro="">
      <xdr:nvGraphicFramePr>
        <xdr:cNvPr id="1527543" name="Chart 3">
          <a:extLst>
            <a:ext uri="{FF2B5EF4-FFF2-40B4-BE49-F238E27FC236}">
              <a16:creationId xmlns:a16="http://schemas.microsoft.com/office/drawing/2014/main" id="{73F1651B-788D-4D4C-BC57-239B80356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6</xdr:row>
      <xdr:rowOff>106680</xdr:rowOff>
    </xdr:from>
    <xdr:to>
      <xdr:col>9</xdr:col>
      <xdr:colOff>22860</xdr:colOff>
      <xdr:row>24</xdr:row>
      <xdr:rowOff>53340</xdr:rowOff>
    </xdr:to>
    <xdr:graphicFrame macro="">
      <xdr:nvGraphicFramePr>
        <xdr:cNvPr id="1527544" name="Chart 4">
          <a:extLst>
            <a:ext uri="{FF2B5EF4-FFF2-40B4-BE49-F238E27FC236}">
              <a16:creationId xmlns:a16="http://schemas.microsoft.com/office/drawing/2014/main" id="{A7A2DC01-380F-4891-9ED0-91687FC43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2606040</xdr:colOff>
      <xdr:row>7</xdr:row>
      <xdr:rowOff>7620</xdr:rowOff>
    </xdr:from>
    <xdr:to>
      <xdr:col>8</xdr:col>
      <xdr:colOff>3200400</xdr:colOff>
      <xdr:row>24</xdr:row>
      <xdr:rowOff>106680</xdr:rowOff>
    </xdr:to>
    <xdr:graphicFrame macro="">
      <xdr:nvGraphicFramePr>
        <xdr:cNvPr id="1527545" name="Chart 5">
          <a:extLst>
            <a:ext uri="{FF2B5EF4-FFF2-40B4-BE49-F238E27FC236}">
              <a16:creationId xmlns:a16="http://schemas.microsoft.com/office/drawing/2014/main" id="{1E953A3A-027A-4B4D-B44E-E5462EA29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6</xdr:row>
      <xdr:rowOff>129540</xdr:rowOff>
    </xdr:from>
    <xdr:to>
      <xdr:col>10</xdr:col>
      <xdr:colOff>91440</xdr:colOff>
      <xdr:row>24</xdr:row>
      <xdr:rowOff>45720</xdr:rowOff>
    </xdr:to>
    <xdr:graphicFrame macro="">
      <xdr:nvGraphicFramePr>
        <xdr:cNvPr id="1527546" name="Chart 6">
          <a:extLst>
            <a:ext uri="{FF2B5EF4-FFF2-40B4-BE49-F238E27FC236}">
              <a16:creationId xmlns:a16="http://schemas.microsoft.com/office/drawing/2014/main" id="{3F4C6F29-B0D8-431C-AF5A-8AF617D54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122464</xdr:colOff>
      <xdr:row>128</xdr:row>
      <xdr:rowOff>5987</xdr:rowOff>
    </xdr:from>
    <xdr:to>
      <xdr:col>5</xdr:col>
      <xdr:colOff>443047</xdr:colOff>
      <xdr:row>138</xdr:row>
      <xdr:rowOff>101237</xdr:rowOff>
    </xdr:to>
    <xdr:sp macro="" textlink="">
      <xdr:nvSpPr>
        <xdr:cNvPr id="2" name="TextBox 1">
          <a:extLst>
            <a:ext uri="{FF2B5EF4-FFF2-40B4-BE49-F238E27FC236}">
              <a16:creationId xmlns:a16="http://schemas.microsoft.com/office/drawing/2014/main" id="{AA026746-ED13-4F55-AC9C-30567E091531}"/>
            </a:ext>
          </a:extLst>
        </xdr:cNvPr>
        <xdr:cNvSpPr txBox="1"/>
      </xdr:nvSpPr>
      <xdr:spPr>
        <a:xfrm>
          <a:off x="557893" y="10191750"/>
          <a:ext cx="8626928"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Treatment of the negative ET Refund amounts:</a:t>
          </a:r>
        </a:p>
        <a:p>
          <a:endParaRPr lang="en-GB" sz="1100" b="1"/>
        </a:p>
        <a:p>
          <a:r>
            <a:rPr lang="en-GB" sz="1100" b="1"/>
            <a:t>Sample below:</a:t>
          </a:r>
        </a:p>
        <a:p>
          <a:r>
            <a:rPr lang="en-GB" sz="1100" b="1"/>
            <a:t>·        Calculated Premium to be reimbursed (Life): € 182.72</a:t>
          </a:r>
        </a:p>
        <a:p>
          <a:r>
            <a:rPr lang="en-GB" sz="1100" b="1"/>
            <a:t>·        Calculated Premium to be reimbursed (Non-Life): € -12.17</a:t>
          </a:r>
        </a:p>
        <a:p>
          <a:endParaRPr lang="en-GB" sz="1100" b="1"/>
        </a:p>
        <a:p>
          <a:r>
            <a:rPr lang="en-GB" sz="1100" b="1"/>
            <a:t>The Total to be reimbursed to the customer should be €170.56 (=€182.72 - €12.17)</a:t>
          </a:r>
        </a:p>
        <a:p>
          <a:r>
            <a:rPr lang="en-GB" sz="1100" b="1"/>
            <a:t>Clawback of the Base Commission from SCB:  €46.59</a:t>
          </a:r>
        </a:p>
        <a:p>
          <a:endParaRPr lang="en-GB" sz="1100" b="1"/>
        </a:p>
        <a:p>
          <a:r>
            <a:rPr lang="en-GB" sz="1100" b="1" u="sng"/>
            <a:t>In</a:t>
          </a:r>
          <a:r>
            <a:rPr lang="en-GB" sz="1100" b="1" u="sng" baseline="0"/>
            <a:t> IP:</a:t>
          </a:r>
        </a:p>
        <a:p>
          <a:r>
            <a:rPr lang="en-GB" sz="1100" b="1"/>
            <a:t>we would like to see  €170.56 as the cancellation Refund in LIFE and €0 in Non-Life.</a:t>
          </a:r>
        </a:p>
      </xdr:txBody>
    </xdr:sp>
    <xdr:clientData/>
  </xdr:twoCellAnchor>
  <xdr:twoCellAnchor>
    <xdr:from>
      <xdr:col>1</xdr:col>
      <xdr:colOff>144780</xdr:colOff>
      <xdr:row>142</xdr:row>
      <xdr:rowOff>76200</xdr:rowOff>
    </xdr:from>
    <xdr:to>
      <xdr:col>2</xdr:col>
      <xdr:colOff>952500</xdr:colOff>
      <xdr:row>172</xdr:row>
      <xdr:rowOff>152400</xdr:rowOff>
    </xdr:to>
    <xdr:pic>
      <xdr:nvPicPr>
        <xdr:cNvPr id="1527548" name="Picture 7" descr="cid:image003.png@01D3A63E.E737BFD0">
          <a:extLst>
            <a:ext uri="{FF2B5EF4-FFF2-40B4-BE49-F238E27FC236}">
              <a16:creationId xmlns:a16="http://schemas.microsoft.com/office/drawing/2014/main" id="{09BDB9B8-113C-44C1-B8DB-86973521FDEA}"/>
            </a:ext>
          </a:extLst>
        </xdr:cNvPr>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1379220" y="27325320"/>
          <a:ext cx="9151620" cy="556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929640</xdr:colOff>
      <xdr:row>10</xdr:row>
      <xdr:rowOff>129540</xdr:rowOff>
    </xdr:from>
    <xdr:to>
      <xdr:col>7</xdr:col>
      <xdr:colOff>3589020</xdr:colOff>
      <xdr:row>22</xdr:row>
      <xdr:rowOff>83820</xdr:rowOff>
    </xdr:to>
    <xdr:graphicFrame macro="">
      <xdr:nvGraphicFramePr>
        <xdr:cNvPr id="18412" name="Chart 1">
          <a:extLst>
            <a:ext uri="{FF2B5EF4-FFF2-40B4-BE49-F238E27FC236}">
              <a16:creationId xmlns:a16="http://schemas.microsoft.com/office/drawing/2014/main" id="{ED12C9FF-03C4-4F50-8CB3-87946E072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3931920</xdr:colOff>
      <xdr:row>10</xdr:row>
      <xdr:rowOff>144780</xdr:rowOff>
    </xdr:from>
    <xdr:to>
      <xdr:col>8</xdr:col>
      <xdr:colOff>3939540</xdr:colOff>
      <xdr:row>22</xdr:row>
      <xdr:rowOff>106680</xdr:rowOff>
    </xdr:to>
    <xdr:graphicFrame macro="">
      <xdr:nvGraphicFramePr>
        <xdr:cNvPr id="18413" name="Chart 2">
          <a:extLst>
            <a:ext uri="{FF2B5EF4-FFF2-40B4-BE49-F238E27FC236}">
              <a16:creationId xmlns:a16="http://schemas.microsoft.com/office/drawing/2014/main" id="{A4D8FACD-39A4-45A5-B529-2B6916C1C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129540</xdr:colOff>
      <xdr:row>11</xdr:row>
      <xdr:rowOff>22860</xdr:rowOff>
    </xdr:from>
    <xdr:to>
      <xdr:col>9</xdr:col>
      <xdr:colOff>3848100</xdr:colOff>
      <xdr:row>22</xdr:row>
      <xdr:rowOff>99060</xdr:rowOff>
    </xdr:to>
    <xdr:graphicFrame macro="">
      <xdr:nvGraphicFramePr>
        <xdr:cNvPr id="18414" name="Chart 3">
          <a:extLst>
            <a:ext uri="{FF2B5EF4-FFF2-40B4-BE49-F238E27FC236}">
              <a16:creationId xmlns:a16="http://schemas.microsoft.com/office/drawing/2014/main" id="{ECDE9896-D6BE-4CF9-AD65-51851576F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xdr:colOff>
      <xdr:row>11</xdr:row>
      <xdr:rowOff>38100</xdr:rowOff>
    </xdr:from>
    <xdr:to>
      <xdr:col>11</xdr:col>
      <xdr:colOff>906780</xdr:colOff>
      <xdr:row>22</xdr:row>
      <xdr:rowOff>83820</xdr:rowOff>
    </xdr:to>
    <xdr:graphicFrame macro="">
      <xdr:nvGraphicFramePr>
        <xdr:cNvPr id="18415" name="Chart 4">
          <a:extLst>
            <a:ext uri="{FF2B5EF4-FFF2-40B4-BE49-F238E27FC236}">
              <a16:creationId xmlns:a16="http://schemas.microsoft.com/office/drawing/2014/main" id="{7FFEE3C8-5F07-4FA4-8069-20BAE0490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106680</xdr:colOff>
      <xdr:row>9</xdr:row>
      <xdr:rowOff>152400</xdr:rowOff>
    </xdr:from>
    <xdr:to>
      <xdr:col>16</xdr:col>
      <xdr:colOff>388620</xdr:colOff>
      <xdr:row>25</xdr:row>
      <xdr:rowOff>106680</xdr:rowOff>
    </xdr:to>
    <xdr:graphicFrame macro="">
      <xdr:nvGraphicFramePr>
        <xdr:cNvPr id="483461" name="Chart 1">
          <a:extLst>
            <a:ext uri="{FF2B5EF4-FFF2-40B4-BE49-F238E27FC236}">
              <a16:creationId xmlns:a16="http://schemas.microsoft.com/office/drawing/2014/main" id="{EF967068-9E64-4D65-98C5-5BF36922D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68"/>
  <sheetViews>
    <sheetView zoomScale="70" zoomScaleNormal="70" workbookViewId="0">
      <selection activeCell="F44" sqref="F44"/>
    </sheetView>
  </sheetViews>
  <sheetFormatPr defaultColWidth="9.109375" defaultRowHeight="14.4" x14ac:dyDescent="0.3"/>
  <cols>
    <col min="1" max="1" width="0.6640625" style="332" customWidth="1"/>
    <col min="2" max="9" width="9.109375" style="332"/>
    <col min="10" max="10" width="9.109375" style="332" customWidth="1"/>
    <col min="11" max="11" width="4.44140625" style="332" customWidth="1"/>
    <col min="12" max="12" width="173.88671875" style="350" customWidth="1"/>
    <col min="13" max="16384" width="9.109375" style="332"/>
  </cols>
  <sheetData>
    <row r="1" spans="2:17" ht="3.75" customHeight="1" thickBot="1" x14ac:dyDescent="0.35"/>
    <row r="2" spans="2:17" ht="18" x14ac:dyDescent="0.35">
      <c r="B2" s="1850" t="s">
        <v>644</v>
      </c>
      <c r="C2" s="1851"/>
      <c r="D2" s="1851"/>
      <c r="E2" s="1851"/>
      <c r="F2" s="1851"/>
      <c r="G2" s="1851"/>
      <c r="H2" s="1851"/>
      <c r="I2" s="1851"/>
      <c r="J2" s="1852"/>
      <c r="L2" s="1782" t="s">
        <v>645</v>
      </c>
      <c r="M2"/>
      <c r="N2"/>
      <c r="O2"/>
      <c r="P2"/>
      <c r="Q2"/>
    </row>
    <row r="3" spans="2:17" ht="18.600000000000001" thickBot="1" x14ac:dyDescent="0.35">
      <c r="B3" s="1853" t="s">
        <v>5</v>
      </c>
      <c r="C3" s="1854"/>
      <c r="D3" s="1854"/>
      <c r="E3" s="1854"/>
      <c r="F3" s="1854"/>
      <c r="G3" s="1854"/>
      <c r="H3" s="1854"/>
      <c r="I3" s="1854"/>
      <c r="J3" s="1855"/>
      <c r="L3" s="1782" t="s">
        <v>646</v>
      </c>
      <c r="M3"/>
      <c r="N3"/>
      <c r="O3"/>
      <c r="P3"/>
      <c r="Q3"/>
    </row>
    <row r="4" spans="2:17" s="335" customFormat="1" ht="12" customHeight="1" thickBot="1" x14ac:dyDescent="0.35">
      <c r="B4" s="2"/>
      <c r="C4" s="3"/>
      <c r="D4" s="3"/>
      <c r="E4" s="3"/>
      <c r="F4" s="3"/>
      <c r="G4" s="3"/>
      <c r="H4" s="3"/>
      <c r="I4" s="3"/>
      <c r="J4" s="3"/>
      <c r="L4" s="1782" t="s">
        <v>647</v>
      </c>
      <c r="M4"/>
      <c r="N4"/>
      <c r="O4"/>
      <c r="P4"/>
      <c r="Q4"/>
    </row>
    <row r="5" spans="2:17" x14ac:dyDescent="0.3">
      <c r="B5" s="1844" t="s">
        <v>6</v>
      </c>
      <c r="C5" s="1845"/>
      <c r="D5" s="1845"/>
      <c r="E5" s="1845"/>
      <c r="F5" s="1845"/>
      <c r="G5" s="1845"/>
      <c r="H5" s="1845"/>
      <c r="I5" s="1845"/>
      <c r="J5" s="1846"/>
      <c r="L5" s="1782" t="s">
        <v>648</v>
      </c>
      <c r="M5"/>
      <c r="N5"/>
      <c r="O5"/>
      <c r="P5"/>
      <c r="Q5"/>
    </row>
    <row r="6" spans="2:17" x14ac:dyDescent="0.3">
      <c r="B6" s="1856" t="s">
        <v>649</v>
      </c>
      <c r="C6" s="1857"/>
      <c r="D6" s="1857"/>
      <c r="E6" s="1857"/>
      <c r="F6" s="1857"/>
      <c r="G6" s="1857"/>
      <c r="H6" s="1857"/>
      <c r="I6" s="1857"/>
      <c r="J6" s="1858"/>
      <c r="K6" s="338"/>
      <c r="L6" s="1782" t="s">
        <v>650</v>
      </c>
      <c r="M6"/>
      <c r="N6"/>
      <c r="O6"/>
      <c r="P6"/>
      <c r="Q6"/>
    </row>
    <row r="7" spans="2:17" x14ac:dyDescent="0.3">
      <c r="B7" s="1838" t="s">
        <v>651</v>
      </c>
      <c r="C7" s="1839"/>
      <c r="D7" s="1839"/>
      <c r="E7" s="1839"/>
      <c r="F7" s="1839"/>
      <c r="G7" s="1839"/>
      <c r="H7" s="1839"/>
      <c r="I7" s="1839"/>
      <c r="J7" s="1840"/>
      <c r="L7" s="1782" t="s">
        <v>652</v>
      </c>
      <c r="M7"/>
      <c r="N7"/>
      <c r="O7"/>
      <c r="P7"/>
      <c r="Q7"/>
    </row>
    <row r="8" spans="2:17" x14ac:dyDescent="0.3">
      <c r="B8" s="1838" t="s">
        <v>653</v>
      </c>
      <c r="C8" s="1839"/>
      <c r="D8" s="1839"/>
      <c r="E8" s="1839"/>
      <c r="F8" s="1839"/>
      <c r="G8" s="1839"/>
      <c r="H8" s="1839"/>
      <c r="I8" s="1839"/>
      <c r="J8" s="1840"/>
      <c r="L8" s="1782" t="s">
        <v>654</v>
      </c>
      <c r="M8"/>
      <c r="N8"/>
      <c r="O8"/>
      <c r="P8"/>
      <c r="Q8"/>
    </row>
    <row r="9" spans="2:17" x14ac:dyDescent="0.3">
      <c r="B9" s="1838" t="s">
        <v>655</v>
      </c>
      <c r="C9" s="1839"/>
      <c r="D9" s="1839"/>
      <c r="E9" s="1839"/>
      <c r="F9" s="1839"/>
      <c r="G9" s="1839"/>
      <c r="H9" s="1839"/>
      <c r="I9" s="1839"/>
      <c r="J9" s="1840"/>
      <c r="L9" s="1782" t="s">
        <v>656</v>
      </c>
      <c r="M9"/>
      <c r="N9"/>
      <c r="O9"/>
      <c r="P9"/>
      <c r="Q9"/>
    </row>
    <row r="10" spans="2:17" ht="30" customHeight="1" x14ac:dyDescent="0.3">
      <c r="B10" s="1838" t="s">
        <v>657</v>
      </c>
      <c r="C10" s="1839"/>
      <c r="D10" s="1839"/>
      <c r="E10" s="1839"/>
      <c r="F10" s="1839"/>
      <c r="G10" s="1839"/>
      <c r="H10" s="1839"/>
      <c r="I10" s="1839"/>
      <c r="J10" s="1840"/>
      <c r="L10" s="1782" t="s">
        <v>658</v>
      </c>
      <c r="M10"/>
      <c r="N10"/>
      <c r="O10"/>
      <c r="P10"/>
      <c r="Q10"/>
    </row>
    <row r="11" spans="2:17" ht="30" customHeight="1" x14ac:dyDescent="0.3">
      <c r="B11" s="1838" t="s">
        <v>659</v>
      </c>
      <c r="C11" s="1839"/>
      <c r="D11" s="1839"/>
      <c r="E11" s="1839"/>
      <c r="F11" s="1839"/>
      <c r="G11" s="1839"/>
      <c r="H11" s="1839"/>
      <c r="I11" s="1839"/>
      <c r="J11" s="1840"/>
      <c r="L11" s="1782" t="s">
        <v>660</v>
      </c>
      <c r="M11"/>
      <c r="N11"/>
      <c r="O11"/>
      <c r="P11"/>
      <c r="Q11"/>
    </row>
    <row r="12" spans="2:17" x14ac:dyDescent="0.3">
      <c r="B12" s="1838" t="s">
        <v>661</v>
      </c>
      <c r="C12" s="1839"/>
      <c r="D12" s="1839"/>
      <c r="E12" s="1839"/>
      <c r="F12" s="1839"/>
      <c r="G12" s="1839"/>
      <c r="H12" s="1839"/>
      <c r="I12" s="1839"/>
      <c r="J12" s="1840"/>
      <c r="L12" s="1783" t="s">
        <v>662</v>
      </c>
      <c r="M12"/>
      <c r="N12"/>
      <c r="O12"/>
      <c r="P12"/>
      <c r="Q12"/>
    </row>
    <row r="13" spans="2:17" x14ac:dyDescent="0.3">
      <c r="B13" s="1838" t="s">
        <v>663</v>
      </c>
      <c r="C13" s="1839"/>
      <c r="D13" s="1839"/>
      <c r="E13" s="1839"/>
      <c r="F13" s="1839"/>
      <c r="G13" s="1839"/>
      <c r="H13" s="1839"/>
      <c r="I13" s="1839"/>
      <c r="J13" s="1840"/>
      <c r="L13" s="1782" t="s">
        <v>664</v>
      </c>
      <c r="M13"/>
      <c r="N13"/>
      <c r="O13"/>
      <c r="P13"/>
      <c r="Q13"/>
    </row>
    <row r="14" spans="2:17" x14ac:dyDescent="0.3">
      <c r="B14" s="1838" t="s">
        <v>665</v>
      </c>
      <c r="C14" s="1839"/>
      <c r="D14" s="1839"/>
      <c r="E14" s="1839"/>
      <c r="F14" s="1839"/>
      <c r="G14" s="1839"/>
      <c r="H14" s="1839"/>
      <c r="I14" s="1839"/>
      <c r="J14" s="1840"/>
      <c r="L14" s="1782" t="s">
        <v>666</v>
      </c>
      <c r="M14"/>
      <c r="N14"/>
      <c r="O14"/>
      <c r="P14"/>
      <c r="Q14"/>
    </row>
    <row r="15" spans="2:17" x14ac:dyDescent="0.3">
      <c r="B15" s="1838" t="s">
        <v>667</v>
      </c>
      <c r="C15" s="1839"/>
      <c r="D15" s="1839"/>
      <c r="E15" s="1839"/>
      <c r="F15" s="1839"/>
      <c r="G15" s="1839"/>
      <c r="H15" s="1839"/>
      <c r="I15" s="1839"/>
      <c r="J15" s="1840"/>
      <c r="L15" s="1782" t="s">
        <v>668</v>
      </c>
      <c r="M15"/>
      <c r="N15"/>
      <c r="O15"/>
      <c r="P15"/>
      <c r="Q15"/>
    </row>
    <row r="16" spans="2:17" x14ac:dyDescent="0.3">
      <c r="B16" s="1838" t="s">
        <v>669</v>
      </c>
      <c r="C16" s="1839"/>
      <c r="D16" s="1839"/>
      <c r="E16" s="1839"/>
      <c r="F16" s="1839"/>
      <c r="G16" s="1839"/>
      <c r="H16" s="1839"/>
      <c r="I16" s="1839"/>
      <c r="J16" s="1840"/>
      <c r="L16" s="1782" t="s">
        <v>670</v>
      </c>
      <c r="M16"/>
      <c r="N16"/>
      <c r="O16"/>
      <c r="P16"/>
      <c r="Q16"/>
    </row>
    <row r="17" spans="2:17" ht="15" thickBot="1" x14ac:dyDescent="0.35">
      <c r="B17" s="1847" t="s">
        <v>671</v>
      </c>
      <c r="C17" s="1848"/>
      <c r="D17" s="1848"/>
      <c r="E17" s="1848"/>
      <c r="F17" s="1848"/>
      <c r="G17" s="1848"/>
      <c r="H17" s="1848"/>
      <c r="I17" s="1848"/>
      <c r="J17" s="1849"/>
      <c r="L17" s="1782" t="s">
        <v>672</v>
      </c>
      <c r="M17"/>
      <c r="N17"/>
      <c r="O17"/>
      <c r="P17"/>
      <c r="Q17"/>
    </row>
    <row r="18" spans="2:17" ht="12.75" customHeight="1" thickBot="1" x14ac:dyDescent="0.35">
      <c r="B18" s="345"/>
      <c r="C18" s="1"/>
      <c r="D18" s="1"/>
      <c r="E18" s="1"/>
      <c r="F18" s="1"/>
      <c r="G18" s="1"/>
      <c r="H18" s="1"/>
      <c r="I18" s="1"/>
      <c r="J18" s="1"/>
      <c r="L18" s="1784" t="s">
        <v>673</v>
      </c>
      <c r="M18"/>
      <c r="N18"/>
      <c r="O18"/>
      <c r="P18"/>
      <c r="Q18"/>
    </row>
    <row r="19" spans="2:17" ht="60" customHeight="1" x14ac:dyDescent="0.3">
      <c r="B19" s="1844" t="s">
        <v>674</v>
      </c>
      <c r="C19" s="1845"/>
      <c r="D19" s="1845"/>
      <c r="E19" s="1845"/>
      <c r="F19" s="1845"/>
      <c r="G19" s="1845"/>
      <c r="H19" s="1845"/>
      <c r="I19" s="1845"/>
      <c r="J19" s="1846"/>
      <c r="L19" s="1785" t="s">
        <v>675</v>
      </c>
      <c r="M19"/>
      <c r="N19"/>
      <c r="O19"/>
      <c r="P19"/>
      <c r="Q19"/>
    </row>
    <row r="20" spans="2:17" ht="15" thickBot="1" x14ac:dyDescent="0.35">
      <c r="B20" s="1835" t="s">
        <v>676</v>
      </c>
      <c r="C20" s="1836"/>
      <c r="D20" s="1836"/>
      <c r="E20" s="1836"/>
      <c r="F20" s="1836"/>
      <c r="G20" s="1836"/>
      <c r="H20" s="1836"/>
      <c r="I20" s="1836"/>
      <c r="J20" s="1837"/>
      <c r="L20" s="1785" t="s">
        <v>15</v>
      </c>
      <c r="M20"/>
      <c r="N20"/>
      <c r="O20"/>
      <c r="P20"/>
      <c r="Q20"/>
    </row>
    <row r="21" spans="2:17" ht="13.5" customHeight="1" thickBot="1" x14ac:dyDescent="0.35">
      <c r="B21" s="1"/>
      <c r="L21" s="1785" t="s">
        <v>677</v>
      </c>
      <c r="M21"/>
      <c r="N21"/>
      <c r="O21"/>
      <c r="P21"/>
      <c r="Q21"/>
    </row>
    <row r="22" spans="2:17" x14ac:dyDescent="0.3">
      <c r="B22" s="1844" t="s">
        <v>678</v>
      </c>
      <c r="C22" s="1845"/>
      <c r="D22" s="1845"/>
      <c r="E22" s="1845"/>
      <c r="F22" s="1845"/>
      <c r="G22" s="1845"/>
      <c r="H22" s="1845"/>
      <c r="I22" s="1845"/>
      <c r="J22" s="1846"/>
      <c r="L22" s="1784" t="s">
        <v>679</v>
      </c>
      <c r="M22"/>
      <c r="N22"/>
      <c r="O22"/>
      <c r="P22"/>
      <c r="Q22"/>
    </row>
    <row r="23" spans="2:17" x14ac:dyDescent="0.3">
      <c r="B23" s="1838" t="s">
        <v>680</v>
      </c>
      <c r="C23" s="1839"/>
      <c r="D23" s="1839"/>
      <c r="E23" s="1839"/>
      <c r="F23" s="1839"/>
      <c r="G23" s="1839"/>
      <c r="H23" s="1839"/>
      <c r="I23" s="1839"/>
      <c r="J23" s="1840"/>
      <c r="L23" s="1785" t="s">
        <v>681</v>
      </c>
      <c r="M23"/>
      <c r="N23"/>
      <c r="O23"/>
      <c r="P23"/>
      <c r="Q23"/>
    </row>
    <row r="24" spans="2:17" ht="22.8" x14ac:dyDescent="0.3">
      <c r="B24" s="1841" t="s">
        <v>7</v>
      </c>
      <c r="C24" s="1842"/>
      <c r="D24" s="1842"/>
      <c r="E24" s="1842"/>
      <c r="F24" s="1842"/>
      <c r="G24" s="1842"/>
      <c r="H24" s="1842"/>
      <c r="I24" s="1842"/>
      <c r="J24" s="1843"/>
      <c r="L24" s="1785" t="s">
        <v>682</v>
      </c>
      <c r="M24"/>
      <c r="N24"/>
      <c r="O24"/>
      <c r="P24"/>
      <c r="Q24"/>
    </row>
    <row r="25" spans="2:17" x14ac:dyDescent="0.3">
      <c r="B25" s="1838" t="s">
        <v>683</v>
      </c>
      <c r="C25" s="1839"/>
      <c r="D25" s="1839"/>
      <c r="E25" s="1839"/>
      <c r="F25" s="1839"/>
      <c r="G25" s="1839"/>
      <c r="H25" s="1839"/>
      <c r="I25" s="1839"/>
      <c r="J25" s="1840"/>
      <c r="L25" s="1785"/>
      <c r="M25"/>
      <c r="N25"/>
      <c r="O25"/>
      <c r="P25"/>
      <c r="Q25"/>
    </row>
    <row r="26" spans="2:17" x14ac:dyDescent="0.3">
      <c r="B26" s="1841" t="s">
        <v>7</v>
      </c>
      <c r="C26" s="1842"/>
      <c r="D26" s="1842"/>
      <c r="E26" s="1842"/>
      <c r="F26" s="1842"/>
      <c r="G26" s="1842"/>
      <c r="H26" s="1842"/>
      <c r="I26" s="1842"/>
      <c r="J26" s="1843"/>
      <c r="L26" s="1785" t="s">
        <v>684</v>
      </c>
      <c r="M26"/>
      <c r="N26"/>
      <c r="O26"/>
      <c r="P26"/>
      <c r="Q26"/>
    </row>
    <row r="27" spans="2:17" ht="15" thickBot="1" x14ac:dyDescent="0.35">
      <c r="B27" s="1835" t="s">
        <v>685</v>
      </c>
      <c r="C27" s="1836"/>
      <c r="D27" s="1836"/>
      <c r="E27" s="1836"/>
      <c r="F27" s="1836"/>
      <c r="G27" s="1836"/>
      <c r="H27" s="1836"/>
      <c r="I27" s="1836"/>
      <c r="J27" s="1837"/>
      <c r="L27" s="1785"/>
      <c r="M27"/>
      <c r="N27"/>
      <c r="O27"/>
      <c r="P27"/>
      <c r="Q27"/>
    </row>
    <row r="28" spans="2:17" ht="12.75" customHeight="1" thickBot="1" x14ac:dyDescent="0.35">
      <c r="B28" s="345"/>
      <c r="C28" s="1"/>
      <c r="D28" s="1"/>
      <c r="E28" s="1"/>
      <c r="F28" s="1"/>
      <c r="G28" s="1"/>
      <c r="H28" s="1"/>
      <c r="I28" s="1"/>
      <c r="J28" s="1"/>
      <c r="L28" s="1786" t="s">
        <v>686</v>
      </c>
      <c r="M28"/>
      <c r="N28"/>
      <c r="O28"/>
      <c r="P28"/>
      <c r="Q28"/>
    </row>
    <row r="29" spans="2:17" x14ac:dyDescent="0.3">
      <c r="B29" s="1844" t="s">
        <v>687</v>
      </c>
      <c r="C29" s="1845"/>
      <c r="D29" s="1845"/>
      <c r="E29" s="1845"/>
      <c r="F29" s="1845"/>
      <c r="G29" s="1845"/>
      <c r="H29" s="1845"/>
      <c r="I29" s="1845"/>
      <c r="J29" s="1846"/>
      <c r="L29" s="1785" t="s">
        <v>688</v>
      </c>
      <c r="M29"/>
      <c r="N29"/>
      <c r="O29"/>
      <c r="P29"/>
      <c r="Q29"/>
    </row>
    <row r="30" spans="2:17" ht="15" thickBot="1" x14ac:dyDescent="0.35">
      <c r="B30" s="1835" t="s">
        <v>689</v>
      </c>
      <c r="C30" s="1836"/>
      <c r="D30" s="1836"/>
      <c r="E30" s="1836"/>
      <c r="F30" s="1836"/>
      <c r="G30" s="1836"/>
      <c r="H30" s="1836"/>
      <c r="I30" s="1836"/>
      <c r="J30" s="1837"/>
      <c r="L30" s="1785" t="s">
        <v>690</v>
      </c>
      <c r="M30"/>
      <c r="N30"/>
      <c r="O30"/>
      <c r="P30"/>
      <c r="Q30"/>
    </row>
    <row r="31" spans="2:17" x14ac:dyDescent="0.3">
      <c r="L31" s="1785" t="s">
        <v>691</v>
      </c>
      <c r="M31"/>
      <c r="N31"/>
      <c r="O31"/>
      <c r="P31"/>
      <c r="Q31"/>
    </row>
    <row r="32" spans="2:17" x14ac:dyDescent="0.3">
      <c r="L32" s="1785" t="s">
        <v>8</v>
      </c>
      <c r="M32"/>
      <c r="N32"/>
      <c r="O32"/>
      <c r="P32"/>
      <c r="Q32"/>
    </row>
    <row r="33" spans="12:17" x14ac:dyDescent="0.3">
      <c r="L33" s="1785" t="s">
        <v>692</v>
      </c>
      <c r="M33"/>
      <c r="N33"/>
      <c r="O33"/>
      <c r="P33"/>
      <c r="Q33"/>
    </row>
    <row r="34" spans="12:17" x14ac:dyDescent="0.3">
      <c r="L34" s="1786" t="s">
        <v>693</v>
      </c>
      <c r="M34"/>
      <c r="N34"/>
      <c r="O34"/>
      <c r="P34"/>
      <c r="Q34"/>
    </row>
    <row r="35" spans="12:17" x14ac:dyDescent="0.3">
      <c r="L35" s="1785" t="s">
        <v>694</v>
      </c>
      <c r="M35"/>
      <c r="N35"/>
      <c r="O35"/>
      <c r="P35"/>
      <c r="Q35"/>
    </row>
    <row r="36" spans="12:17" x14ac:dyDescent="0.3">
      <c r="L36" s="1785" t="s">
        <v>695</v>
      </c>
      <c r="M36"/>
      <c r="N36"/>
      <c r="O36"/>
      <c r="P36"/>
      <c r="Q36" s="37" t="s">
        <v>19</v>
      </c>
    </row>
    <row r="37" spans="12:17" x14ac:dyDescent="0.3">
      <c r="L37" s="1785" t="s">
        <v>696</v>
      </c>
      <c r="M37"/>
      <c r="N37"/>
      <c r="O37"/>
      <c r="P37"/>
      <c r="Q37"/>
    </row>
    <row r="38" spans="12:17" x14ac:dyDescent="0.3">
      <c r="L38" s="1785" t="s">
        <v>697</v>
      </c>
      <c r="M38"/>
      <c r="N38" s="37" t="s">
        <v>20</v>
      </c>
      <c r="O38"/>
      <c r="P38"/>
      <c r="Q38"/>
    </row>
    <row r="39" spans="12:17" x14ac:dyDescent="0.3">
      <c r="L39" s="1786" t="s">
        <v>698</v>
      </c>
      <c r="M39"/>
      <c r="N39"/>
      <c r="O39"/>
      <c r="P39"/>
      <c r="Q39"/>
    </row>
    <row r="40" spans="12:17" x14ac:dyDescent="0.3">
      <c r="L40" s="1785" t="s">
        <v>699</v>
      </c>
      <c r="M40"/>
      <c r="N40"/>
      <c r="O40"/>
      <c r="P40"/>
      <c r="Q40"/>
    </row>
    <row r="41" spans="12:17" x14ac:dyDescent="0.3">
      <c r="L41" s="1785" t="s">
        <v>700</v>
      </c>
      <c r="M41"/>
      <c r="N41"/>
      <c r="O41"/>
      <c r="P41"/>
      <c r="Q41"/>
    </row>
    <row r="42" spans="12:17" x14ac:dyDescent="0.3">
      <c r="L42" s="1787" t="s">
        <v>701</v>
      </c>
      <c r="M42"/>
      <c r="N42"/>
      <c r="O42"/>
      <c r="P42"/>
      <c r="Q42"/>
    </row>
    <row r="43" spans="12:17" x14ac:dyDescent="0.3">
      <c r="L43" s="1785"/>
      <c r="M43"/>
      <c r="N43"/>
      <c r="O43"/>
      <c r="P43"/>
      <c r="Q43"/>
    </row>
    <row r="44" spans="12:17" ht="22.8" x14ac:dyDescent="0.3">
      <c r="L44" s="1785" t="s">
        <v>702</v>
      </c>
      <c r="M44"/>
      <c r="N44"/>
      <c r="O44"/>
      <c r="P44"/>
      <c r="Q44"/>
    </row>
    <row r="45" spans="12:17" x14ac:dyDescent="0.3">
      <c r="L45" s="1785"/>
      <c r="M45"/>
      <c r="N45"/>
      <c r="O45"/>
      <c r="P45"/>
      <c r="Q45"/>
    </row>
    <row r="46" spans="12:17" x14ac:dyDescent="0.3">
      <c r="L46" s="1785" t="s">
        <v>703</v>
      </c>
      <c r="M46"/>
      <c r="N46"/>
      <c r="O46"/>
      <c r="P46"/>
      <c r="Q46"/>
    </row>
    <row r="47" spans="12:17" ht="22.8" x14ac:dyDescent="0.3">
      <c r="L47" s="1785" t="s">
        <v>704</v>
      </c>
      <c r="M47"/>
      <c r="N47"/>
      <c r="O47"/>
      <c r="P47"/>
      <c r="Q47"/>
    </row>
    <row r="48" spans="12:17" x14ac:dyDescent="0.3">
      <c r="L48" s="1785"/>
      <c r="M48"/>
      <c r="N48"/>
      <c r="O48"/>
      <c r="P48"/>
      <c r="Q48"/>
    </row>
    <row r="49" spans="12:17" x14ac:dyDescent="0.3">
      <c r="L49" s="1785" t="s">
        <v>705</v>
      </c>
      <c r="M49"/>
      <c r="N49"/>
      <c r="O49"/>
      <c r="P49"/>
      <c r="Q49"/>
    </row>
    <row r="50" spans="12:17" x14ac:dyDescent="0.3">
      <c r="L50" s="1785"/>
      <c r="M50"/>
      <c r="N50"/>
      <c r="O50"/>
      <c r="P50"/>
      <c r="Q50"/>
    </row>
    <row r="51" spans="12:17" x14ac:dyDescent="0.3">
      <c r="L51" s="1786" t="s">
        <v>686</v>
      </c>
      <c r="M51"/>
      <c r="N51"/>
      <c r="O51"/>
      <c r="P51"/>
      <c r="Q51"/>
    </row>
    <row r="52" spans="12:17" x14ac:dyDescent="0.3">
      <c r="L52" s="1785" t="s">
        <v>688</v>
      </c>
      <c r="M52"/>
      <c r="N52"/>
      <c r="O52"/>
      <c r="P52"/>
      <c r="Q52"/>
    </row>
    <row r="53" spans="12:17" x14ac:dyDescent="0.3">
      <c r="L53" s="1785"/>
      <c r="M53"/>
      <c r="N53"/>
      <c r="O53"/>
      <c r="P53"/>
      <c r="Q53"/>
    </row>
    <row r="54" spans="12:17" x14ac:dyDescent="0.3">
      <c r="L54" s="1785" t="s">
        <v>706</v>
      </c>
      <c r="M54"/>
      <c r="N54"/>
      <c r="O54"/>
      <c r="P54"/>
      <c r="Q54"/>
    </row>
    <row r="55" spans="12:17" x14ac:dyDescent="0.3">
      <c r="L55" s="1785"/>
      <c r="M55"/>
      <c r="N55"/>
      <c r="O55"/>
      <c r="P55"/>
      <c r="Q55"/>
    </row>
    <row r="56" spans="12:17" x14ac:dyDescent="0.3">
      <c r="L56" s="1786" t="s">
        <v>693</v>
      </c>
      <c r="M56"/>
      <c r="N56"/>
      <c r="O56"/>
      <c r="P56"/>
      <c r="Q56"/>
    </row>
    <row r="57" spans="12:17" x14ac:dyDescent="0.3">
      <c r="L57" s="1785" t="s">
        <v>694</v>
      </c>
      <c r="M57"/>
      <c r="N57"/>
      <c r="O57"/>
      <c r="P57"/>
      <c r="Q57"/>
    </row>
    <row r="58" spans="12:17" x14ac:dyDescent="0.3">
      <c r="L58" s="1785" t="s">
        <v>707</v>
      </c>
      <c r="M58"/>
      <c r="N58"/>
      <c r="O58"/>
      <c r="P58"/>
      <c r="Q58" s="37" t="s">
        <v>19</v>
      </c>
    </row>
    <row r="59" spans="12:17" x14ac:dyDescent="0.3">
      <c r="L59" s="1785" t="s">
        <v>708</v>
      </c>
      <c r="M59"/>
      <c r="N59"/>
      <c r="O59"/>
      <c r="P59"/>
      <c r="Q59"/>
    </row>
    <row r="60" spans="12:17" x14ac:dyDescent="0.3">
      <c r="L60" s="1785" t="s">
        <v>15</v>
      </c>
      <c r="M60" s="37" t="s">
        <v>15</v>
      </c>
      <c r="N60"/>
      <c r="O60" s="37" t="s">
        <v>20</v>
      </c>
      <c r="P60"/>
      <c r="Q60"/>
    </row>
    <row r="61" spans="12:17" x14ac:dyDescent="0.3">
      <c r="L61" s="1785"/>
      <c r="M61"/>
      <c r="N61"/>
      <c r="O61"/>
      <c r="P61"/>
      <c r="Q61"/>
    </row>
    <row r="62" spans="12:17" x14ac:dyDescent="0.3">
      <c r="L62" s="1785" t="s">
        <v>709</v>
      </c>
      <c r="M62"/>
      <c r="N62"/>
      <c r="O62"/>
      <c r="P62"/>
      <c r="Q62"/>
    </row>
    <row r="63" spans="12:17" x14ac:dyDescent="0.3">
      <c r="L63" s="1785"/>
      <c r="M63"/>
      <c r="N63"/>
      <c r="O63"/>
      <c r="P63"/>
      <c r="Q63"/>
    </row>
    <row r="64" spans="12:17" x14ac:dyDescent="0.3">
      <c r="L64" s="1785" t="s">
        <v>710</v>
      </c>
      <c r="M64"/>
      <c r="N64"/>
      <c r="O64"/>
      <c r="P64"/>
      <c r="Q64"/>
    </row>
    <row r="65" spans="12:17" x14ac:dyDescent="0.3">
      <c r="L65" s="1785"/>
      <c r="M65"/>
      <c r="N65"/>
      <c r="O65"/>
      <c r="P65"/>
      <c r="Q65"/>
    </row>
    <row r="66" spans="12:17" x14ac:dyDescent="0.3">
      <c r="L66" s="1785" t="s">
        <v>711</v>
      </c>
      <c r="M66"/>
      <c r="N66"/>
      <c r="O66"/>
      <c r="P66"/>
      <c r="Q66"/>
    </row>
    <row r="67" spans="12:17" x14ac:dyDescent="0.3">
      <c r="L67" s="1785"/>
      <c r="M67"/>
      <c r="N67"/>
      <c r="O67"/>
      <c r="P67"/>
      <c r="Q67"/>
    </row>
    <row r="68" spans="12:17" ht="22.8" x14ac:dyDescent="0.3">
      <c r="L68" s="1785" t="s">
        <v>712</v>
      </c>
      <c r="M68"/>
      <c r="N68"/>
      <c r="O68"/>
      <c r="P68"/>
      <c r="Q68"/>
    </row>
  </sheetData>
  <mergeCells count="25">
    <mergeCell ref="B8:J8"/>
    <mergeCell ref="B2:J2"/>
    <mergeCell ref="B3:J3"/>
    <mergeCell ref="B5:J5"/>
    <mergeCell ref="B6:J6"/>
    <mergeCell ref="B7:J7"/>
    <mergeCell ref="B22:J22"/>
    <mergeCell ref="B9:J9"/>
    <mergeCell ref="B10:J10"/>
    <mergeCell ref="B11:J11"/>
    <mergeCell ref="B12:J12"/>
    <mergeCell ref="B13:J13"/>
    <mergeCell ref="B14:J14"/>
    <mergeCell ref="B15:J15"/>
    <mergeCell ref="B16:J16"/>
    <mergeCell ref="B17:J17"/>
    <mergeCell ref="B19:J19"/>
    <mergeCell ref="B20:J20"/>
    <mergeCell ref="B30:J30"/>
    <mergeCell ref="B23:J23"/>
    <mergeCell ref="B24:J24"/>
    <mergeCell ref="B25:J25"/>
    <mergeCell ref="B26:J26"/>
    <mergeCell ref="B27:J27"/>
    <mergeCell ref="B29:J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68"/>
  <sheetViews>
    <sheetView zoomScale="70" zoomScaleNormal="70" workbookViewId="0">
      <selection activeCell="G60" sqref="G60"/>
    </sheetView>
  </sheetViews>
  <sheetFormatPr defaultColWidth="9.109375" defaultRowHeight="14.4" x14ac:dyDescent="0.3"/>
  <cols>
    <col min="1" max="1" width="0.6640625" style="332" customWidth="1"/>
    <col min="2" max="9" width="9.109375" style="332"/>
    <col min="10" max="10" width="24.44140625" style="332" customWidth="1"/>
    <col min="11" max="11" width="2.109375" style="332" customWidth="1"/>
    <col min="12" max="12" width="173.88671875" style="350" customWidth="1"/>
    <col min="13" max="16384" width="9.109375" style="332"/>
  </cols>
  <sheetData>
    <row r="1" spans="2:17" ht="3.75" customHeight="1" thickBot="1" x14ac:dyDescent="0.35">
      <c r="L1" s="333"/>
    </row>
    <row r="2" spans="2:17" ht="18.600000000000001" thickBot="1" x14ac:dyDescent="0.35">
      <c r="B2" s="1875" t="s">
        <v>5</v>
      </c>
      <c r="C2" s="1876"/>
      <c r="D2" s="1876"/>
      <c r="E2" s="1876"/>
      <c r="F2" s="1876"/>
      <c r="G2" s="1876"/>
      <c r="H2" s="1876"/>
      <c r="I2" s="1876"/>
      <c r="J2" s="1877"/>
      <c r="L2" s="334"/>
      <c r="M2"/>
      <c r="N2"/>
      <c r="O2"/>
      <c r="P2"/>
      <c r="Q2"/>
    </row>
    <row r="3" spans="2:17" s="335" customFormat="1" ht="5.25" customHeight="1" thickBot="1" x14ac:dyDescent="0.35">
      <c r="B3" s="2"/>
      <c r="C3" s="3"/>
      <c r="D3" s="3"/>
      <c r="E3" s="3"/>
      <c r="F3" s="3"/>
      <c r="G3" s="3"/>
      <c r="H3" s="3"/>
      <c r="I3" s="3"/>
      <c r="J3" s="3"/>
      <c r="L3" s="336"/>
      <c r="M3" s="337"/>
      <c r="N3" s="337"/>
      <c r="O3" s="337"/>
      <c r="P3" s="337"/>
      <c r="Q3" s="337"/>
    </row>
    <row r="4" spans="2:17" ht="18.600000000000001" thickBot="1" x14ac:dyDescent="0.4">
      <c r="B4" s="1869" t="s">
        <v>262</v>
      </c>
      <c r="C4" s="1870"/>
      <c r="D4" s="1870"/>
      <c r="E4" s="1870"/>
      <c r="F4" s="1870"/>
      <c r="G4" s="1870"/>
      <c r="H4" s="1870"/>
      <c r="I4" s="1870"/>
      <c r="J4" s="1871"/>
      <c r="L4" s="334"/>
      <c r="M4"/>
      <c r="N4"/>
      <c r="O4"/>
      <c r="P4"/>
      <c r="Q4"/>
    </row>
    <row r="5" spans="2:17" s="335" customFormat="1" ht="3.75" customHeight="1" thickBot="1" x14ac:dyDescent="0.35">
      <c r="B5" s="2"/>
      <c r="C5" s="3"/>
      <c r="D5" s="3"/>
      <c r="E5" s="3"/>
      <c r="F5" s="3"/>
      <c r="G5" s="3"/>
      <c r="H5" s="3"/>
      <c r="I5" s="3"/>
      <c r="J5" s="3"/>
      <c r="L5" s="334"/>
      <c r="M5"/>
      <c r="N5"/>
      <c r="O5"/>
      <c r="P5"/>
      <c r="Q5"/>
    </row>
    <row r="6" spans="2:17" x14ac:dyDescent="0.3">
      <c r="B6" s="1844" t="s">
        <v>6</v>
      </c>
      <c r="C6" s="1845"/>
      <c r="D6" s="1845"/>
      <c r="E6" s="1845"/>
      <c r="F6" s="1845"/>
      <c r="G6" s="1845"/>
      <c r="H6" s="1845"/>
      <c r="I6" s="1845"/>
      <c r="J6" s="1846"/>
      <c r="L6" s="334"/>
      <c r="M6"/>
      <c r="N6"/>
      <c r="O6"/>
      <c r="P6"/>
      <c r="Q6"/>
    </row>
    <row r="7" spans="2:17" x14ac:dyDescent="0.3">
      <c r="B7" s="1856" t="s">
        <v>269</v>
      </c>
      <c r="C7" s="1857"/>
      <c r="D7" s="1857"/>
      <c r="E7" s="1857"/>
      <c r="F7" s="1857"/>
      <c r="G7" s="1857"/>
      <c r="H7" s="1857"/>
      <c r="I7" s="1857"/>
      <c r="J7" s="1858"/>
      <c r="K7" s="338"/>
      <c r="L7" s="334"/>
      <c r="M7"/>
      <c r="N7"/>
      <c r="O7"/>
      <c r="P7"/>
      <c r="Q7"/>
    </row>
    <row r="8" spans="2:17" x14ac:dyDescent="0.3">
      <c r="B8" s="1838" t="s">
        <v>270</v>
      </c>
      <c r="C8" s="1839"/>
      <c r="D8" s="1839"/>
      <c r="E8" s="1839"/>
      <c r="F8" s="1839"/>
      <c r="G8" s="1839"/>
      <c r="H8" s="1839"/>
      <c r="I8" s="1839"/>
      <c r="J8" s="1840"/>
      <c r="L8" s="334"/>
      <c r="M8"/>
      <c r="N8"/>
      <c r="O8"/>
      <c r="P8"/>
      <c r="Q8"/>
    </row>
    <row r="9" spans="2:17" x14ac:dyDescent="0.3">
      <c r="B9" s="1838" t="s">
        <v>271</v>
      </c>
      <c r="C9" s="1839"/>
      <c r="D9" s="1839"/>
      <c r="E9" s="1839"/>
      <c r="F9" s="1839"/>
      <c r="G9" s="1839"/>
      <c r="H9" s="1839"/>
      <c r="I9" s="1839"/>
      <c r="J9" s="1840"/>
      <c r="L9" s="334"/>
      <c r="M9"/>
      <c r="N9"/>
      <c r="O9"/>
      <c r="P9"/>
      <c r="Q9"/>
    </row>
    <row r="10" spans="2:17" x14ac:dyDescent="0.3">
      <c r="B10" s="1856"/>
      <c r="C10" s="1857"/>
      <c r="D10" s="1857"/>
      <c r="E10" s="1857"/>
      <c r="F10" s="1857"/>
      <c r="G10" s="1857"/>
      <c r="H10" s="1857"/>
      <c r="I10" s="1857"/>
      <c r="J10" s="1858"/>
      <c r="L10" s="334"/>
      <c r="M10"/>
      <c r="N10"/>
      <c r="O10"/>
      <c r="P10"/>
      <c r="Q10"/>
    </row>
    <row r="11" spans="2:17" ht="15" customHeight="1" x14ac:dyDescent="0.3">
      <c r="B11" s="1838" t="s">
        <v>272</v>
      </c>
      <c r="C11" s="1839"/>
      <c r="D11" s="1839"/>
      <c r="E11" s="1839"/>
      <c r="F11" s="1839"/>
      <c r="G11" s="1839"/>
      <c r="H11" s="1839"/>
      <c r="I11" s="1839"/>
      <c r="J11" s="1840"/>
      <c r="L11" s="334"/>
      <c r="M11"/>
      <c r="N11"/>
      <c r="O11"/>
      <c r="P11"/>
      <c r="Q11"/>
    </row>
    <row r="12" spans="2:17" ht="15" customHeight="1" x14ac:dyDescent="0.3">
      <c r="B12" s="1872" t="s">
        <v>713</v>
      </c>
      <c r="C12" s="1873"/>
      <c r="D12" s="1873"/>
      <c r="E12" s="1873"/>
      <c r="F12" s="1873"/>
      <c r="G12" s="1873"/>
      <c r="H12" s="1873"/>
      <c r="I12" s="1873"/>
      <c r="J12" s="1874"/>
      <c r="L12" s="334"/>
      <c r="M12"/>
      <c r="N12"/>
      <c r="O12"/>
      <c r="P12"/>
      <c r="Q12"/>
    </row>
    <row r="13" spans="2:17" ht="15" customHeight="1" x14ac:dyDescent="0.3">
      <c r="B13" s="339" t="s">
        <v>274</v>
      </c>
      <c r="C13" s="670" t="s">
        <v>714</v>
      </c>
      <c r="D13" s="670"/>
      <c r="E13" s="670"/>
      <c r="F13" s="670"/>
      <c r="G13" s="670"/>
      <c r="H13" s="670"/>
      <c r="I13" s="670"/>
      <c r="J13" s="671"/>
      <c r="L13" s="334"/>
      <c r="M13"/>
      <c r="N13"/>
      <c r="O13"/>
      <c r="P13"/>
      <c r="Q13"/>
    </row>
    <row r="14" spans="2:17" ht="15" customHeight="1" x14ac:dyDescent="0.3">
      <c r="B14" s="341" t="s">
        <v>274</v>
      </c>
      <c r="C14" s="342" t="s">
        <v>276</v>
      </c>
      <c r="D14" s="342"/>
      <c r="E14" s="342"/>
      <c r="F14" s="342"/>
      <c r="G14" s="342"/>
      <c r="H14" s="342"/>
      <c r="I14" s="342"/>
      <c r="J14" s="343"/>
      <c r="L14" s="344"/>
      <c r="M14"/>
      <c r="N14"/>
      <c r="O14"/>
      <c r="P14"/>
      <c r="Q14"/>
    </row>
    <row r="15" spans="2:17" ht="15" customHeight="1" x14ac:dyDescent="0.3">
      <c r="B15" s="1868" t="s">
        <v>277</v>
      </c>
      <c r="C15" s="1866"/>
      <c r="D15" s="1866"/>
      <c r="E15" s="1866"/>
      <c r="F15" s="1866"/>
      <c r="G15" s="1866"/>
      <c r="H15" s="1866"/>
      <c r="I15" s="1866"/>
      <c r="J15" s="1867"/>
      <c r="L15" s="334"/>
      <c r="M15"/>
      <c r="N15"/>
      <c r="O15"/>
      <c r="P15"/>
      <c r="Q15"/>
    </row>
    <row r="16" spans="2:17" ht="15" customHeight="1" x14ac:dyDescent="0.3">
      <c r="B16" s="1838" t="s">
        <v>278</v>
      </c>
      <c r="C16" s="1839"/>
      <c r="D16" s="1839"/>
      <c r="E16" s="1839"/>
      <c r="F16" s="1839"/>
      <c r="G16" s="1839"/>
      <c r="H16" s="1839"/>
      <c r="I16" s="1839"/>
      <c r="J16" s="1840"/>
      <c r="L16" s="334"/>
      <c r="M16"/>
      <c r="N16"/>
      <c r="O16"/>
      <c r="P16"/>
      <c r="Q16"/>
    </row>
    <row r="17" spans="2:17" ht="15" customHeight="1" x14ac:dyDescent="0.3">
      <c r="B17" s="1838" t="s">
        <v>279</v>
      </c>
      <c r="C17" s="1839"/>
      <c r="D17" s="1839"/>
      <c r="E17" s="1839"/>
      <c r="F17" s="1839"/>
      <c r="G17" s="1839"/>
      <c r="H17" s="1839"/>
      <c r="I17" s="1839"/>
      <c r="J17" s="1840"/>
      <c r="L17" s="334"/>
      <c r="M17"/>
      <c r="N17"/>
      <c r="O17"/>
      <c r="P17"/>
      <c r="Q17"/>
    </row>
    <row r="18" spans="2:17" ht="15" customHeight="1" thickBot="1" x14ac:dyDescent="0.35">
      <c r="B18" s="1847" t="s">
        <v>280</v>
      </c>
      <c r="C18" s="1848"/>
      <c r="D18" s="1848"/>
      <c r="E18" s="1848"/>
      <c r="F18" s="1848"/>
      <c r="G18" s="1848"/>
      <c r="H18" s="1848"/>
      <c r="I18" s="1848"/>
      <c r="J18" s="1849"/>
      <c r="L18" s="334"/>
      <c r="M18"/>
      <c r="N18"/>
      <c r="O18"/>
      <c r="P18"/>
      <c r="Q18"/>
    </row>
    <row r="19" spans="2:17" ht="5.25" customHeight="1" thickBot="1" x14ac:dyDescent="0.35">
      <c r="B19" s="345"/>
      <c r="C19" s="1"/>
      <c r="D19" s="1"/>
      <c r="E19" s="1"/>
      <c r="F19" s="1"/>
      <c r="G19" s="1"/>
      <c r="H19" s="1"/>
      <c r="I19" s="1"/>
      <c r="J19" s="1"/>
      <c r="L19" s="334"/>
      <c r="M19"/>
      <c r="N19"/>
      <c r="O19"/>
      <c r="P19"/>
      <c r="Q19"/>
    </row>
    <row r="20" spans="2:17" ht="12.75" customHeight="1" x14ac:dyDescent="0.3">
      <c r="B20" s="1844" t="s">
        <v>281</v>
      </c>
      <c r="C20" s="1845"/>
      <c r="D20" s="1845"/>
      <c r="E20" s="1845"/>
      <c r="F20" s="1845"/>
      <c r="G20" s="1845"/>
      <c r="H20" s="1845"/>
      <c r="I20" s="1845"/>
      <c r="J20" s="1846"/>
      <c r="L20" s="346"/>
      <c r="M20"/>
      <c r="N20"/>
      <c r="O20"/>
      <c r="P20"/>
      <c r="Q20"/>
    </row>
    <row r="21" spans="2:17" ht="24" customHeight="1" thickBot="1" x14ac:dyDescent="0.35">
      <c r="B21" s="1862" t="s">
        <v>282</v>
      </c>
      <c r="C21" s="1863"/>
      <c r="D21" s="1863"/>
      <c r="E21" s="1863"/>
      <c r="F21" s="1863"/>
      <c r="G21" s="1863"/>
      <c r="H21" s="1863"/>
      <c r="I21" s="1863"/>
      <c r="J21" s="1864"/>
      <c r="L21" s="347"/>
      <c r="M21"/>
      <c r="N21"/>
      <c r="O21"/>
      <c r="P21"/>
      <c r="Q21"/>
    </row>
    <row r="22" spans="2:17" ht="5.25" customHeight="1" thickBot="1" x14ac:dyDescent="0.35">
      <c r="B22" s="1"/>
      <c r="L22" s="347"/>
      <c r="M22"/>
      <c r="N22"/>
      <c r="O22"/>
      <c r="P22"/>
      <c r="Q22"/>
    </row>
    <row r="23" spans="2:17" ht="13.5" customHeight="1" x14ac:dyDescent="0.3">
      <c r="B23" s="1844" t="s">
        <v>283</v>
      </c>
      <c r="C23" s="1845"/>
      <c r="D23" s="1845"/>
      <c r="E23" s="1845"/>
      <c r="F23" s="1845"/>
      <c r="G23" s="1845"/>
      <c r="H23" s="1845"/>
      <c r="I23" s="1845"/>
      <c r="J23" s="1846"/>
      <c r="L23" s="347"/>
      <c r="M23"/>
      <c r="N23"/>
      <c r="O23"/>
      <c r="P23"/>
      <c r="Q23"/>
    </row>
    <row r="24" spans="2:17" ht="20.25" customHeight="1" x14ac:dyDescent="0.3">
      <c r="B24" s="1865" t="s">
        <v>284</v>
      </c>
      <c r="C24" s="1866"/>
      <c r="D24" s="1866"/>
      <c r="E24" s="1866"/>
      <c r="F24" s="1866"/>
      <c r="G24" s="1866"/>
      <c r="H24" s="1866"/>
      <c r="I24" s="1866"/>
      <c r="J24" s="1867"/>
      <c r="L24" s="346"/>
      <c r="M24"/>
      <c r="N24"/>
      <c r="O24"/>
      <c r="P24"/>
      <c r="Q24"/>
    </row>
    <row r="25" spans="2:17" x14ac:dyDescent="0.3">
      <c r="B25" s="1841" t="s">
        <v>7</v>
      </c>
      <c r="C25" s="1842"/>
      <c r="D25" s="1842"/>
      <c r="E25" s="1842"/>
      <c r="F25" s="1842"/>
      <c r="G25" s="1842"/>
      <c r="H25" s="1842"/>
      <c r="I25" s="1842"/>
      <c r="J25" s="1843"/>
      <c r="L25" s="347"/>
      <c r="M25"/>
      <c r="N25"/>
      <c r="O25"/>
      <c r="P25"/>
      <c r="Q25"/>
    </row>
    <row r="26" spans="2:17" x14ac:dyDescent="0.3">
      <c r="B26" s="1865" t="s">
        <v>285</v>
      </c>
      <c r="C26" s="1866"/>
      <c r="D26" s="1866"/>
      <c r="E26" s="1866"/>
      <c r="F26" s="1866"/>
      <c r="G26" s="1866"/>
      <c r="H26" s="1866"/>
      <c r="I26" s="1866"/>
      <c r="J26" s="1867"/>
      <c r="L26" s="347"/>
      <c r="M26"/>
      <c r="N26"/>
      <c r="O26"/>
      <c r="P26"/>
      <c r="Q26"/>
    </row>
    <row r="27" spans="2:17" ht="15" thickBot="1" x14ac:dyDescent="0.35">
      <c r="B27" s="1835"/>
      <c r="C27" s="1836"/>
      <c r="D27" s="1836"/>
      <c r="E27" s="1836"/>
      <c r="F27" s="1836"/>
      <c r="G27" s="1836"/>
      <c r="H27" s="1836"/>
      <c r="I27" s="1836"/>
      <c r="J27" s="1837"/>
      <c r="L27" s="347"/>
      <c r="M27"/>
      <c r="N27"/>
      <c r="O27"/>
      <c r="P27"/>
      <c r="Q27"/>
    </row>
    <row r="28" spans="2:17" ht="2.25" customHeight="1" thickBot="1" x14ac:dyDescent="0.35">
      <c r="B28" s="345"/>
      <c r="C28" s="1"/>
      <c r="D28" s="1"/>
      <c r="E28" s="1"/>
      <c r="F28" s="1"/>
      <c r="G28" s="1"/>
      <c r="H28" s="1"/>
      <c r="I28" s="1"/>
      <c r="J28" s="1"/>
      <c r="L28" s="347"/>
      <c r="M28"/>
      <c r="N28"/>
      <c r="O28"/>
      <c r="P28"/>
      <c r="Q28"/>
    </row>
    <row r="29" spans="2:17" ht="12.75" customHeight="1" x14ac:dyDescent="0.3">
      <c r="B29" s="1844" t="s">
        <v>286</v>
      </c>
      <c r="C29" s="1845"/>
      <c r="D29" s="1845"/>
      <c r="E29" s="1845"/>
      <c r="F29" s="1845"/>
      <c r="G29" s="1845"/>
      <c r="H29" s="1845"/>
      <c r="I29" s="1845"/>
      <c r="J29" s="1846"/>
      <c r="L29" s="348"/>
      <c r="M29"/>
      <c r="N29"/>
      <c r="O29"/>
      <c r="P29"/>
      <c r="Q29"/>
    </row>
    <row r="30" spans="2:17" ht="15" thickBot="1" x14ac:dyDescent="0.35">
      <c r="B30" s="1835" t="s">
        <v>287</v>
      </c>
      <c r="C30" s="1836"/>
      <c r="D30" s="1836"/>
      <c r="E30" s="1836"/>
      <c r="F30" s="1836"/>
      <c r="G30" s="1836"/>
      <c r="H30" s="1836"/>
      <c r="I30" s="1836"/>
      <c r="J30" s="1837"/>
      <c r="L30" s="347"/>
      <c r="M30"/>
      <c r="N30"/>
      <c r="O30"/>
      <c r="P30"/>
      <c r="Q30"/>
    </row>
    <row r="31" spans="2:17" ht="15" thickBot="1" x14ac:dyDescent="0.35">
      <c r="L31" s="347"/>
      <c r="M31"/>
      <c r="N31"/>
      <c r="O31"/>
      <c r="P31"/>
      <c r="Q31"/>
    </row>
    <row r="32" spans="2:17" ht="18.600000000000001" thickBot="1" x14ac:dyDescent="0.4">
      <c r="B32" s="1869" t="s">
        <v>11</v>
      </c>
      <c r="C32" s="1870"/>
      <c r="D32" s="1870"/>
      <c r="E32" s="1870"/>
      <c r="F32" s="1870"/>
      <c r="G32" s="1870"/>
      <c r="H32" s="1870"/>
      <c r="I32" s="1870"/>
      <c r="J32" s="1871"/>
      <c r="L32" s="347"/>
      <c r="M32"/>
      <c r="N32"/>
      <c r="O32"/>
      <c r="P32"/>
      <c r="Q32"/>
    </row>
    <row r="33" spans="2:17" ht="4.5" customHeight="1" thickBot="1" x14ac:dyDescent="0.35">
      <c r="B33" s="2"/>
      <c r="C33" s="3"/>
      <c r="D33" s="3"/>
      <c r="E33" s="3"/>
      <c r="F33" s="3"/>
      <c r="G33" s="3"/>
      <c r="H33" s="3"/>
      <c r="I33" s="3"/>
      <c r="J33" s="3"/>
      <c r="L33" s="347"/>
      <c r="M33"/>
      <c r="N33"/>
      <c r="O33"/>
      <c r="P33"/>
      <c r="Q33"/>
    </row>
    <row r="34" spans="2:17" x14ac:dyDescent="0.3">
      <c r="B34" s="1844" t="s">
        <v>6</v>
      </c>
      <c r="C34" s="1845"/>
      <c r="D34" s="1845"/>
      <c r="E34" s="1845"/>
      <c r="F34" s="1845"/>
      <c r="G34" s="1845"/>
      <c r="H34" s="1845"/>
      <c r="I34" s="1845"/>
      <c r="J34" s="1846"/>
      <c r="L34" s="347"/>
      <c r="M34"/>
      <c r="N34"/>
      <c r="O34"/>
      <c r="P34"/>
      <c r="Q34"/>
    </row>
    <row r="35" spans="2:17" x14ac:dyDescent="0.3">
      <c r="B35" s="1856" t="s">
        <v>269</v>
      </c>
      <c r="C35" s="1857"/>
      <c r="D35" s="1857"/>
      <c r="E35" s="1857"/>
      <c r="F35" s="1857"/>
      <c r="G35" s="1857"/>
      <c r="H35" s="1857"/>
      <c r="I35" s="1857"/>
      <c r="J35" s="1858"/>
      <c r="L35" s="348"/>
      <c r="M35"/>
      <c r="N35"/>
      <c r="O35"/>
      <c r="P35"/>
      <c r="Q35"/>
    </row>
    <row r="36" spans="2:17" x14ac:dyDescent="0.3">
      <c r="B36" s="1838" t="s">
        <v>270</v>
      </c>
      <c r="C36" s="1839"/>
      <c r="D36" s="1839"/>
      <c r="E36" s="1839"/>
      <c r="F36" s="1839"/>
      <c r="G36" s="1839"/>
      <c r="H36" s="1839"/>
      <c r="I36" s="1839"/>
      <c r="J36" s="1840"/>
      <c r="L36" s="347"/>
      <c r="M36"/>
      <c r="N36"/>
      <c r="O36"/>
      <c r="P36"/>
      <c r="Q36"/>
    </row>
    <row r="37" spans="2:17" x14ac:dyDescent="0.3">
      <c r="B37" s="1838" t="s">
        <v>271</v>
      </c>
      <c r="C37" s="1839"/>
      <c r="D37" s="1839"/>
      <c r="E37" s="1839"/>
      <c r="F37" s="1839"/>
      <c r="G37" s="1839"/>
      <c r="H37" s="1839"/>
      <c r="I37" s="1839"/>
      <c r="J37" s="1840"/>
      <c r="L37" s="347"/>
      <c r="M37"/>
      <c r="N37"/>
      <c r="O37"/>
      <c r="P37"/>
      <c r="Q37" s="37" t="s">
        <v>19</v>
      </c>
    </row>
    <row r="38" spans="2:17" x14ac:dyDescent="0.3">
      <c r="B38" s="1856"/>
      <c r="C38" s="1857"/>
      <c r="D38" s="1857"/>
      <c r="E38" s="1857"/>
      <c r="F38" s="1857"/>
      <c r="G38" s="1857"/>
      <c r="H38" s="1857"/>
      <c r="I38" s="1857"/>
      <c r="J38" s="1858"/>
      <c r="L38" s="347"/>
      <c r="M38"/>
      <c r="N38"/>
      <c r="O38"/>
      <c r="P38"/>
      <c r="Q38"/>
    </row>
    <row r="39" spans="2:17" x14ac:dyDescent="0.3">
      <c r="B39" s="1838" t="s">
        <v>272</v>
      </c>
      <c r="C39" s="1839"/>
      <c r="D39" s="1839"/>
      <c r="E39" s="1839"/>
      <c r="F39" s="1839"/>
      <c r="G39" s="1839"/>
      <c r="H39" s="1839"/>
      <c r="I39" s="1839"/>
      <c r="J39" s="1840"/>
      <c r="L39" s="347"/>
      <c r="M39"/>
      <c r="N39" s="37" t="s">
        <v>20</v>
      </c>
      <c r="O39"/>
      <c r="P39"/>
      <c r="Q39"/>
    </row>
    <row r="40" spans="2:17" ht="15.6" x14ac:dyDescent="0.3">
      <c r="B40" s="1838" t="s">
        <v>288</v>
      </c>
      <c r="C40" s="1839"/>
      <c r="D40" s="1839"/>
      <c r="E40" s="1839"/>
      <c r="F40" s="1839"/>
      <c r="G40" s="1839"/>
      <c r="H40" s="1839"/>
      <c r="I40" s="1839"/>
      <c r="J40" s="1840"/>
      <c r="L40" s="348"/>
      <c r="M40"/>
      <c r="N40"/>
      <c r="O40"/>
      <c r="P40"/>
      <c r="Q40"/>
    </row>
    <row r="41" spans="2:17" x14ac:dyDescent="0.3">
      <c r="B41" s="1838"/>
      <c r="C41" s="1839"/>
      <c r="D41" s="1839"/>
      <c r="E41" s="1839"/>
      <c r="F41" s="1839"/>
      <c r="G41" s="1839"/>
      <c r="H41" s="1839"/>
      <c r="I41" s="1839"/>
      <c r="J41" s="1840"/>
      <c r="L41" s="347"/>
      <c r="M41"/>
      <c r="N41"/>
      <c r="O41"/>
      <c r="P41"/>
      <c r="Q41"/>
    </row>
    <row r="42" spans="2:17" x14ac:dyDescent="0.3">
      <c r="B42" s="1868" t="s">
        <v>277</v>
      </c>
      <c r="C42" s="1866"/>
      <c r="D42" s="1866"/>
      <c r="E42" s="1866"/>
      <c r="F42" s="1866"/>
      <c r="G42" s="1866"/>
      <c r="H42" s="1866"/>
      <c r="I42" s="1866"/>
      <c r="J42" s="1867"/>
      <c r="L42" s="347"/>
      <c r="M42"/>
      <c r="N42"/>
      <c r="O42"/>
      <c r="P42"/>
      <c r="Q42"/>
    </row>
    <row r="43" spans="2:17" x14ac:dyDescent="0.3">
      <c r="B43" s="1838" t="s">
        <v>278</v>
      </c>
      <c r="C43" s="1839"/>
      <c r="D43" s="1839"/>
      <c r="E43" s="1839"/>
      <c r="F43" s="1839"/>
      <c r="G43" s="1839"/>
      <c r="H43" s="1839"/>
      <c r="I43" s="1839"/>
      <c r="J43" s="1840"/>
      <c r="L43" s="349"/>
      <c r="M43"/>
      <c r="N43"/>
      <c r="O43"/>
      <c r="P43"/>
      <c r="Q43"/>
    </row>
    <row r="44" spans="2:17" x14ac:dyDescent="0.3">
      <c r="B44" s="1838" t="s">
        <v>279</v>
      </c>
      <c r="C44" s="1839"/>
      <c r="D44" s="1839"/>
      <c r="E44" s="1839"/>
      <c r="F44" s="1839"/>
      <c r="G44" s="1839"/>
      <c r="H44" s="1839"/>
      <c r="I44" s="1839"/>
      <c r="J44" s="1840"/>
      <c r="L44" s="347"/>
      <c r="M44"/>
      <c r="N44"/>
      <c r="O44"/>
      <c r="P44"/>
      <c r="Q44"/>
    </row>
    <row r="45" spans="2:17" x14ac:dyDescent="0.3">
      <c r="B45" s="1841" t="s">
        <v>280</v>
      </c>
      <c r="C45" s="1842"/>
      <c r="D45" s="1842"/>
      <c r="E45" s="1842"/>
      <c r="F45" s="1842"/>
      <c r="G45" s="1842"/>
      <c r="H45" s="1842"/>
      <c r="I45" s="1842"/>
      <c r="J45" s="1843"/>
      <c r="L45" s="347"/>
      <c r="M45"/>
      <c r="N45"/>
      <c r="O45"/>
      <c r="P45"/>
      <c r="Q45"/>
    </row>
    <row r="46" spans="2:17" ht="15" thickBot="1" x14ac:dyDescent="0.35">
      <c r="B46" s="1847" t="s">
        <v>289</v>
      </c>
      <c r="C46" s="1848"/>
      <c r="D46" s="1848"/>
      <c r="E46" s="1848"/>
      <c r="F46" s="1848"/>
      <c r="G46" s="1848"/>
      <c r="H46" s="1848"/>
      <c r="I46" s="1848"/>
      <c r="J46" s="1849"/>
      <c r="L46" s="347"/>
      <c r="M46"/>
      <c r="N46"/>
      <c r="O46"/>
      <c r="P46"/>
      <c r="Q46"/>
    </row>
    <row r="47" spans="2:17" ht="4.5" customHeight="1" thickBot="1" x14ac:dyDescent="0.35">
      <c r="B47" s="345"/>
      <c r="C47" s="1"/>
      <c r="D47" s="1"/>
      <c r="E47" s="1"/>
      <c r="F47" s="1"/>
      <c r="G47" s="1"/>
      <c r="H47" s="1"/>
      <c r="I47" s="1"/>
      <c r="J47" s="1"/>
      <c r="L47" s="347"/>
      <c r="M47"/>
      <c r="N47"/>
      <c r="O47"/>
      <c r="P47"/>
      <c r="Q47"/>
    </row>
    <row r="48" spans="2:17" x14ac:dyDescent="0.3">
      <c r="B48" s="1844" t="s">
        <v>290</v>
      </c>
      <c r="C48" s="1845"/>
      <c r="D48" s="1845"/>
      <c r="E48" s="1845"/>
      <c r="F48" s="1845"/>
      <c r="G48" s="1845"/>
      <c r="H48" s="1845"/>
      <c r="I48" s="1845"/>
      <c r="J48" s="1846"/>
      <c r="L48" s="347"/>
      <c r="M48"/>
      <c r="N48"/>
      <c r="O48"/>
      <c r="P48"/>
      <c r="Q48"/>
    </row>
    <row r="49" spans="2:17" ht="15" thickBot="1" x14ac:dyDescent="0.35">
      <c r="B49" s="1862" t="s">
        <v>291</v>
      </c>
      <c r="C49" s="1863"/>
      <c r="D49" s="1863"/>
      <c r="E49" s="1863"/>
      <c r="F49" s="1863"/>
      <c r="G49" s="1863"/>
      <c r="H49" s="1863"/>
      <c r="I49" s="1863"/>
      <c r="J49" s="1864"/>
      <c r="L49" s="347"/>
      <c r="M49"/>
      <c r="N49"/>
      <c r="O49"/>
      <c r="P49"/>
      <c r="Q49"/>
    </row>
    <row r="50" spans="2:17" ht="4.5" customHeight="1" thickBot="1" x14ac:dyDescent="0.35">
      <c r="B50" s="1"/>
      <c r="L50" s="347"/>
      <c r="M50"/>
      <c r="N50"/>
      <c r="O50"/>
      <c r="P50"/>
      <c r="Q50"/>
    </row>
    <row r="51" spans="2:17" x14ac:dyDescent="0.3">
      <c r="B51" s="1844" t="s">
        <v>292</v>
      </c>
      <c r="C51" s="1845"/>
      <c r="D51" s="1845"/>
      <c r="E51" s="1845"/>
      <c r="F51" s="1845"/>
      <c r="G51" s="1845"/>
      <c r="H51" s="1845"/>
      <c r="I51" s="1845"/>
      <c r="J51" s="1846"/>
      <c r="L51" s="347"/>
      <c r="M51"/>
      <c r="N51"/>
      <c r="O51"/>
      <c r="P51"/>
      <c r="Q51"/>
    </row>
    <row r="52" spans="2:17" x14ac:dyDescent="0.3">
      <c r="B52" s="1865" t="s">
        <v>293</v>
      </c>
      <c r="C52" s="1866"/>
      <c r="D52" s="1866"/>
      <c r="E52" s="1866"/>
      <c r="F52" s="1866"/>
      <c r="G52" s="1866"/>
      <c r="H52" s="1866"/>
      <c r="I52" s="1866"/>
      <c r="J52" s="1867"/>
      <c r="L52" s="347"/>
      <c r="M52"/>
      <c r="N52"/>
      <c r="O52"/>
      <c r="P52"/>
      <c r="Q52"/>
    </row>
    <row r="53" spans="2:17" ht="15" thickBot="1" x14ac:dyDescent="0.35">
      <c r="B53" s="1835"/>
      <c r="C53" s="1836"/>
      <c r="D53" s="1836"/>
      <c r="E53" s="1836"/>
      <c r="F53" s="1836"/>
      <c r="G53" s="1836"/>
      <c r="H53" s="1836"/>
      <c r="I53" s="1836"/>
      <c r="J53" s="1837"/>
      <c r="L53" s="347"/>
      <c r="M53"/>
      <c r="N53"/>
      <c r="O53"/>
      <c r="P53"/>
      <c r="Q53"/>
    </row>
    <row r="54" spans="2:17" ht="4.5" customHeight="1" thickBot="1" x14ac:dyDescent="0.35">
      <c r="B54" s="345"/>
      <c r="C54" s="1"/>
      <c r="D54" s="1"/>
      <c r="E54" s="1"/>
      <c r="F54" s="1"/>
      <c r="G54" s="1"/>
      <c r="H54" s="1"/>
      <c r="I54" s="1"/>
      <c r="J54" s="1"/>
      <c r="L54" s="347"/>
      <c r="M54"/>
      <c r="N54"/>
      <c r="O54"/>
      <c r="P54"/>
      <c r="Q54"/>
    </row>
    <row r="55" spans="2:17" x14ac:dyDescent="0.3">
      <c r="B55" s="1844" t="s">
        <v>286</v>
      </c>
      <c r="C55" s="1845"/>
      <c r="D55" s="1845"/>
      <c r="E55" s="1845"/>
      <c r="F55" s="1845"/>
      <c r="G55" s="1845"/>
      <c r="H55" s="1845"/>
      <c r="I55" s="1845"/>
      <c r="J55" s="1846"/>
      <c r="L55" s="347"/>
      <c r="M55"/>
      <c r="N55"/>
      <c r="O55"/>
      <c r="P55"/>
      <c r="Q55"/>
    </row>
    <row r="56" spans="2:17" ht="15" thickBot="1" x14ac:dyDescent="0.35">
      <c r="B56" s="1859" t="s">
        <v>287</v>
      </c>
      <c r="C56" s="1860"/>
      <c r="D56" s="1860"/>
      <c r="E56" s="1860"/>
      <c r="F56" s="1860"/>
      <c r="G56" s="1860"/>
      <c r="H56" s="1860"/>
      <c r="I56" s="1860"/>
      <c r="J56" s="1861"/>
      <c r="L56" s="348"/>
      <c r="M56"/>
      <c r="N56"/>
      <c r="O56"/>
      <c r="P56"/>
      <c r="Q56"/>
    </row>
    <row r="57" spans="2:17" x14ac:dyDescent="0.3">
      <c r="L57" s="347"/>
      <c r="M57"/>
      <c r="N57"/>
      <c r="O57"/>
      <c r="P57"/>
      <c r="Q57"/>
    </row>
    <row r="58" spans="2:17" x14ac:dyDescent="0.3">
      <c r="L58" s="347"/>
      <c r="M58"/>
      <c r="N58"/>
      <c r="O58"/>
      <c r="P58"/>
      <c r="Q58" s="37" t="s">
        <v>19</v>
      </c>
    </row>
    <row r="59" spans="2:17" x14ac:dyDescent="0.3">
      <c r="L59" s="347"/>
      <c r="M59"/>
      <c r="N59"/>
      <c r="O59"/>
      <c r="P59"/>
      <c r="Q59"/>
    </row>
    <row r="60" spans="2:17" x14ac:dyDescent="0.3">
      <c r="L60" s="347"/>
      <c r="M60" s="37" t="s">
        <v>15</v>
      </c>
      <c r="N60"/>
      <c r="O60" s="37" t="s">
        <v>20</v>
      </c>
      <c r="P60"/>
      <c r="Q60"/>
    </row>
    <row r="61" spans="2:17" x14ac:dyDescent="0.3">
      <c r="L61" s="347"/>
      <c r="M61"/>
      <c r="N61"/>
      <c r="O61"/>
      <c r="P61"/>
      <c r="Q61"/>
    </row>
    <row r="62" spans="2:17" x14ac:dyDescent="0.3">
      <c r="L62" s="347"/>
      <c r="M62"/>
      <c r="N62"/>
      <c r="O62"/>
      <c r="P62"/>
      <c r="Q62"/>
    </row>
    <row r="63" spans="2:17" x14ac:dyDescent="0.3">
      <c r="L63" s="347"/>
      <c r="M63"/>
      <c r="N63"/>
      <c r="O63"/>
      <c r="P63"/>
      <c r="Q63"/>
    </row>
    <row r="64" spans="2:17" x14ac:dyDescent="0.3">
      <c r="L64" s="347"/>
      <c r="M64"/>
      <c r="N64"/>
      <c r="O64"/>
      <c r="P64"/>
      <c r="Q64"/>
    </row>
    <row r="65" spans="12:17" x14ac:dyDescent="0.3">
      <c r="L65" s="347"/>
      <c r="M65"/>
      <c r="N65"/>
      <c r="O65"/>
      <c r="P65"/>
      <c r="Q65"/>
    </row>
    <row r="66" spans="12:17" x14ac:dyDescent="0.3">
      <c r="L66" s="347"/>
      <c r="M66"/>
      <c r="N66"/>
      <c r="O66"/>
      <c r="P66"/>
      <c r="Q66"/>
    </row>
    <row r="67" spans="12:17" x14ac:dyDescent="0.3">
      <c r="L67" s="347"/>
      <c r="M67"/>
      <c r="N67"/>
      <c r="O67"/>
      <c r="P67"/>
      <c r="Q67"/>
    </row>
    <row r="68" spans="12:17" x14ac:dyDescent="0.3">
      <c r="L68" s="347"/>
      <c r="M68"/>
      <c r="N68"/>
      <c r="O68"/>
      <c r="P68"/>
      <c r="Q68"/>
    </row>
  </sheetData>
  <mergeCells count="43">
    <mergeCell ref="B17:J17"/>
    <mergeCell ref="B2:J2"/>
    <mergeCell ref="B4:J4"/>
    <mergeCell ref="B6:J6"/>
    <mergeCell ref="B7:J7"/>
    <mergeCell ref="B8:J8"/>
    <mergeCell ref="B9:J9"/>
    <mergeCell ref="B10:J10"/>
    <mergeCell ref="B11:J11"/>
    <mergeCell ref="B12:J12"/>
    <mergeCell ref="B15:J15"/>
    <mergeCell ref="B16:J16"/>
    <mergeCell ref="B34:J34"/>
    <mergeCell ref="B18:J18"/>
    <mergeCell ref="B20:J20"/>
    <mergeCell ref="B21:J21"/>
    <mergeCell ref="B23:J23"/>
    <mergeCell ref="B24:J24"/>
    <mergeCell ref="B25:J25"/>
    <mergeCell ref="B26:J26"/>
    <mergeCell ref="B27:J27"/>
    <mergeCell ref="B29:J29"/>
    <mergeCell ref="B30:J30"/>
    <mergeCell ref="B32:J32"/>
    <mergeCell ref="B46:J46"/>
    <mergeCell ref="B35:J35"/>
    <mergeCell ref="B36:J36"/>
    <mergeCell ref="B37:J37"/>
    <mergeCell ref="B38:J38"/>
    <mergeCell ref="B39:J39"/>
    <mergeCell ref="B40:J40"/>
    <mergeCell ref="B41:J41"/>
    <mergeCell ref="B42:J42"/>
    <mergeCell ref="B43:J43"/>
    <mergeCell ref="B44:J44"/>
    <mergeCell ref="B45:J45"/>
    <mergeCell ref="B56:J56"/>
    <mergeCell ref="B48:J48"/>
    <mergeCell ref="B49:J49"/>
    <mergeCell ref="B51:J51"/>
    <mergeCell ref="B52:J52"/>
    <mergeCell ref="B53:J53"/>
    <mergeCell ref="B55:J5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B1:R68"/>
  <sheetViews>
    <sheetView showGridLines="0" topLeftCell="A43" zoomScale="80" zoomScaleNormal="80" workbookViewId="0">
      <selection activeCell="L95" sqref="L95"/>
    </sheetView>
  </sheetViews>
  <sheetFormatPr defaultColWidth="9.109375" defaultRowHeight="14.4" x14ac:dyDescent="0.3"/>
  <cols>
    <col min="1" max="1" width="0.6640625" style="332" customWidth="1"/>
    <col min="2" max="9" width="9.109375" style="332"/>
    <col min="10" max="10" width="24.44140625" style="332" customWidth="1"/>
    <col min="11" max="11" width="2.109375" style="332" customWidth="1"/>
    <col min="12" max="12" width="173.88671875" style="350" customWidth="1"/>
    <col min="13" max="16384" width="9.109375" style="332"/>
  </cols>
  <sheetData>
    <row r="1" spans="2:17" ht="55.5" customHeight="1" thickBot="1" x14ac:dyDescent="0.35">
      <c r="B1" s="1878" t="s">
        <v>715</v>
      </c>
      <c r="C1" s="1878"/>
      <c r="D1" s="1878"/>
      <c r="E1" s="1878"/>
      <c r="F1" s="1878"/>
      <c r="G1" s="1878"/>
      <c r="H1" s="1878"/>
      <c r="I1" s="1878"/>
      <c r="J1" s="1878"/>
      <c r="K1" s="1878"/>
      <c r="L1" s="1878"/>
    </row>
    <row r="2" spans="2:17" ht="18.600000000000001" thickBot="1" x14ac:dyDescent="0.35">
      <c r="B2" s="1875" t="s">
        <v>5</v>
      </c>
      <c r="C2" s="1876"/>
      <c r="D2" s="1876"/>
      <c r="E2" s="1876"/>
      <c r="F2" s="1876"/>
      <c r="G2" s="1876"/>
      <c r="H2" s="1876"/>
      <c r="I2" s="1876"/>
      <c r="J2" s="1877"/>
      <c r="L2" s="334"/>
      <c r="M2"/>
      <c r="N2"/>
      <c r="O2"/>
      <c r="P2"/>
      <c r="Q2"/>
    </row>
    <row r="3" spans="2:17" s="335" customFormat="1" ht="5.25" customHeight="1" thickBot="1" x14ac:dyDescent="0.35">
      <c r="B3" s="2"/>
      <c r="C3" s="3"/>
      <c r="D3" s="3"/>
      <c r="E3" s="3"/>
      <c r="F3" s="3"/>
      <c r="G3" s="3"/>
      <c r="H3" s="3"/>
      <c r="I3" s="3"/>
      <c r="J3" s="3"/>
      <c r="L3" s="336"/>
      <c r="M3" s="337"/>
      <c r="N3" s="337"/>
      <c r="O3" s="337"/>
      <c r="P3" s="337"/>
      <c r="Q3" s="337"/>
    </row>
    <row r="4" spans="2:17" ht="18.600000000000001" thickBot="1" x14ac:dyDescent="0.4">
      <c r="B4" s="1869" t="s">
        <v>262</v>
      </c>
      <c r="C4" s="1870"/>
      <c r="D4" s="1870"/>
      <c r="E4" s="1870"/>
      <c r="F4" s="1870"/>
      <c r="G4" s="1870"/>
      <c r="H4" s="1870"/>
      <c r="I4" s="1870"/>
      <c r="J4" s="1871"/>
      <c r="L4" s="334"/>
      <c r="M4"/>
      <c r="N4"/>
      <c r="O4"/>
      <c r="P4"/>
      <c r="Q4"/>
    </row>
    <row r="5" spans="2:17" s="335" customFormat="1" ht="3.75" customHeight="1" thickBot="1" x14ac:dyDescent="0.35">
      <c r="B5" s="2"/>
      <c r="C5" s="3"/>
      <c r="D5" s="3"/>
      <c r="E5" s="3"/>
      <c r="F5" s="3"/>
      <c r="G5" s="3"/>
      <c r="H5" s="3"/>
      <c r="I5" s="3"/>
      <c r="J5" s="3"/>
      <c r="L5" s="334"/>
      <c r="M5"/>
      <c r="N5"/>
      <c r="O5"/>
      <c r="P5"/>
      <c r="Q5"/>
    </row>
    <row r="6" spans="2:17" x14ac:dyDescent="0.3">
      <c r="B6" s="1844" t="s">
        <v>6</v>
      </c>
      <c r="C6" s="1845"/>
      <c r="D6" s="1845"/>
      <c r="E6" s="1845"/>
      <c r="F6" s="1845"/>
      <c r="G6" s="1845"/>
      <c r="H6" s="1845"/>
      <c r="I6" s="1845"/>
      <c r="J6" s="1846"/>
      <c r="L6" s="334"/>
      <c r="M6"/>
      <c r="N6"/>
      <c r="O6"/>
      <c r="P6"/>
      <c r="Q6"/>
    </row>
    <row r="7" spans="2:17" x14ac:dyDescent="0.3">
      <c r="B7" s="1856" t="s">
        <v>269</v>
      </c>
      <c r="C7" s="1857"/>
      <c r="D7" s="1857"/>
      <c r="E7" s="1857"/>
      <c r="F7" s="1857"/>
      <c r="G7" s="1857"/>
      <c r="H7" s="1857"/>
      <c r="I7" s="1857"/>
      <c r="J7" s="1858"/>
      <c r="K7" s="338"/>
      <c r="L7" s="334"/>
      <c r="M7"/>
      <c r="N7"/>
      <c r="O7"/>
      <c r="P7"/>
      <c r="Q7"/>
    </row>
    <row r="8" spans="2:17" x14ac:dyDescent="0.3">
      <c r="B8" s="1838" t="s">
        <v>270</v>
      </c>
      <c r="C8" s="1839"/>
      <c r="D8" s="1839"/>
      <c r="E8" s="1839"/>
      <c r="F8" s="1839"/>
      <c r="G8" s="1839"/>
      <c r="H8" s="1839"/>
      <c r="I8" s="1839"/>
      <c r="J8" s="1840"/>
      <c r="L8" s="334"/>
      <c r="M8"/>
      <c r="N8"/>
      <c r="O8"/>
      <c r="P8"/>
      <c r="Q8"/>
    </row>
    <row r="9" spans="2:17" x14ac:dyDescent="0.3">
      <c r="B9" s="1838" t="s">
        <v>271</v>
      </c>
      <c r="C9" s="1839"/>
      <c r="D9" s="1839"/>
      <c r="E9" s="1839"/>
      <c r="F9" s="1839"/>
      <c r="G9" s="1839"/>
      <c r="H9" s="1839"/>
      <c r="I9" s="1839"/>
      <c r="J9" s="1840"/>
      <c r="L9" s="334"/>
      <c r="M9"/>
      <c r="N9"/>
      <c r="O9"/>
      <c r="P9"/>
      <c r="Q9"/>
    </row>
    <row r="10" spans="2:17" x14ac:dyDescent="0.3">
      <c r="B10" s="1856"/>
      <c r="C10" s="1857"/>
      <c r="D10" s="1857"/>
      <c r="E10" s="1857"/>
      <c r="F10" s="1857"/>
      <c r="G10" s="1857"/>
      <c r="H10" s="1857"/>
      <c r="I10" s="1857"/>
      <c r="J10" s="1858"/>
      <c r="L10" s="334"/>
      <c r="M10"/>
      <c r="N10"/>
      <c r="O10"/>
      <c r="P10"/>
      <c r="Q10"/>
    </row>
    <row r="11" spans="2:17" ht="15" customHeight="1" x14ac:dyDescent="0.3">
      <c r="B11" s="1838" t="s">
        <v>272</v>
      </c>
      <c r="C11" s="1839"/>
      <c r="D11" s="1839"/>
      <c r="E11" s="1839"/>
      <c r="F11" s="1839"/>
      <c r="G11" s="1839"/>
      <c r="H11" s="1839"/>
      <c r="I11" s="1839"/>
      <c r="J11" s="1840"/>
      <c r="L11" s="334"/>
      <c r="M11"/>
      <c r="N11"/>
      <c r="O11"/>
      <c r="P11"/>
      <c r="Q11"/>
    </row>
    <row r="12" spans="2:17" ht="15" customHeight="1" x14ac:dyDescent="0.3">
      <c r="B12" s="1872" t="s">
        <v>273</v>
      </c>
      <c r="C12" s="1873"/>
      <c r="D12" s="1873"/>
      <c r="E12" s="1873"/>
      <c r="F12" s="1873"/>
      <c r="G12" s="1873"/>
      <c r="H12" s="1873"/>
      <c r="I12" s="1873"/>
      <c r="J12" s="1874"/>
      <c r="L12" s="334"/>
      <c r="M12"/>
      <c r="N12"/>
      <c r="O12"/>
      <c r="P12"/>
      <c r="Q12"/>
    </row>
    <row r="13" spans="2:17" ht="15" customHeight="1" x14ac:dyDescent="0.3">
      <c r="B13" s="339" t="s">
        <v>274</v>
      </c>
      <c r="C13" s="40" t="s">
        <v>275</v>
      </c>
      <c r="D13" s="40"/>
      <c r="E13" s="40"/>
      <c r="F13" s="40"/>
      <c r="G13" s="40"/>
      <c r="H13" s="40"/>
      <c r="I13" s="40"/>
      <c r="J13" s="340"/>
      <c r="L13" s="334"/>
      <c r="M13"/>
      <c r="N13"/>
      <c r="O13"/>
      <c r="P13"/>
      <c r="Q13"/>
    </row>
    <row r="14" spans="2:17" ht="15" customHeight="1" x14ac:dyDescent="0.3">
      <c r="B14" s="341" t="s">
        <v>274</v>
      </c>
      <c r="C14" s="342" t="s">
        <v>276</v>
      </c>
      <c r="D14" s="342"/>
      <c r="E14" s="342"/>
      <c r="F14" s="342"/>
      <c r="G14" s="342"/>
      <c r="H14" s="342"/>
      <c r="I14" s="342"/>
      <c r="J14" s="343"/>
      <c r="L14" s="344"/>
      <c r="M14"/>
      <c r="N14"/>
      <c r="O14"/>
      <c r="P14"/>
      <c r="Q14"/>
    </row>
    <row r="15" spans="2:17" ht="15" customHeight="1" x14ac:dyDescent="0.3">
      <c r="B15" s="1868" t="s">
        <v>277</v>
      </c>
      <c r="C15" s="1866"/>
      <c r="D15" s="1866"/>
      <c r="E15" s="1866"/>
      <c r="F15" s="1866"/>
      <c r="G15" s="1866"/>
      <c r="H15" s="1866"/>
      <c r="I15" s="1866"/>
      <c r="J15" s="1867"/>
      <c r="L15" s="334"/>
      <c r="M15"/>
      <c r="N15"/>
      <c r="O15"/>
      <c r="P15"/>
      <c r="Q15"/>
    </row>
    <row r="16" spans="2:17" ht="15" customHeight="1" x14ac:dyDescent="0.3">
      <c r="B16" s="1838" t="s">
        <v>278</v>
      </c>
      <c r="C16" s="1839"/>
      <c r="D16" s="1839"/>
      <c r="E16" s="1839"/>
      <c r="F16" s="1839"/>
      <c r="G16" s="1839"/>
      <c r="H16" s="1839"/>
      <c r="I16" s="1839"/>
      <c r="J16" s="1840"/>
      <c r="L16" s="334"/>
      <c r="M16"/>
      <c r="N16"/>
      <c r="O16"/>
      <c r="P16"/>
      <c r="Q16"/>
    </row>
    <row r="17" spans="2:18" ht="15" customHeight="1" x14ac:dyDescent="0.3">
      <c r="B17" s="1838" t="s">
        <v>279</v>
      </c>
      <c r="C17" s="1839"/>
      <c r="D17" s="1839"/>
      <c r="E17" s="1839"/>
      <c r="F17" s="1839"/>
      <c r="G17" s="1839"/>
      <c r="H17" s="1839"/>
      <c r="I17" s="1839"/>
      <c r="J17" s="1840"/>
      <c r="L17" s="334"/>
      <c r="M17"/>
      <c r="N17"/>
      <c r="O17"/>
      <c r="P17"/>
      <c r="Q17"/>
    </row>
    <row r="18" spans="2:18" ht="15" customHeight="1" thickBot="1" x14ac:dyDescent="0.35">
      <c r="B18" s="1847" t="s">
        <v>280</v>
      </c>
      <c r="C18" s="1848"/>
      <c r="D18" s="1848"/>
      <c r="E18" s="1848"/>
      <c r="F18" s="1848"/>
      <c r="G18" s="1848"/>
      <c r="H18" s="1848"/>
      <c r="I18" s="1848"/>
      <c r="J18" s="1849"/>
      <c r="L18" s="334"/>
      <c r="M18"/>
      <c r="N18"/>
      <c r="O18"/>
      <c r="P18"/>
      <c r="Q18"/>
    </row>
    <row r="19" spans="2:18" ht="5.25" customHeight="1" thickBot="1" x14ac:dyDescent="0.35">
      <c r="B19" s="345"/>
      <c r="C19" s="1"/>
      <c r="D19" s="1"/>
      <c r="E19" s="1"/>
      <c r="F19" s="1"/>
      <c r="G19" s="1"/>
      <c r="H19" s="1"/>
      <c r="I19" s="1"/>
      <c r="J19" s="1"/>
      <c r="L19" s="334"/>
      <c r="M19"/>
      <c r="N19"/>
      <c r="O19"/>
      <c r="P19"/>
      <c r="Q19"/>
    </row>
    <row r="20" spans="2:18" ht="12.75" customHeight="1" x14ac:dyDescent="0.3">
      <c r="B20" s="1844" t="s">
        <v>719</v>
      </c>
      <c r="C20" s="1845"/>
      <c r="D20" s="1845"/>
      <c r="E20" s="1845"/>
      <c r="F20" s="1845"/>
      <c r="G20" s="1845"/>
      <c r="H20" s="1845"/>
      <c r="I20" s="1845"/>
      <c r="J20" s="1846"/>
      <c r="L20" s="346"/>
      <c r="M20"/>
      <c r="N20"/>
      <c r="O20"/>
      <c r="P20"/>
      <c r="Q20"/>
    </row>
    <row r="21" spans="2:18" ht="24" customHeight="1" thickBot="1" x14ac:dyDescent="0.35">
      <c r="B21" s="1862" t="s">
        <v>282</v>
      </c>
      <c r="C21" s="1863"/>
      <c r="D21" s="1863"/>
      <c r="E21" s="1863"/>
      <c r="F21" s="1863"/>
      <c r="G21" s="1863"/>
      <c r="H21" s="1863"/>
      <c r="I21" s="1863"/>
      <c r="J21" s="1864"/>
      <c r="L21" s="347"/>
      <c r="M21"/>
      <c r="N21"/>
      <c r="O21"/>
      <c r="P21"/>
      <c r="Q21"/>
    </row>
    <row r="22" spans="2:18" ht="5.25" customHeight="1" thickBot="1" x14ac:dyDescent="0.35">
      <c r="B22" s="1"/>
      <c r="L22" s="347"/>
      <c r="M22"/>
      <c r="N22"/>
      <c r="O22"/>
      <c r="P22"/>
      <c r="Q22"/>
    </row>
    <row r="23" spans="2:18" ht="13.5" customHeight="1" x14ac:dyDescent="0.3">
      <c r="B23" s="1844" t="s">
        <v>720</v>
      </c>
      <c r="C23" s="1845"/>
      <c r="D23" s="1845"/>
      <c r="E23" s="1845"/>
      <c r="F23" s="1845"/>
      <c r="G23" s="1845"/>
      <c r="H23" s="1845"/>
      <c r="I23" s="1845"/>
      <c r="J23" s="1846"/>
      <c r="L23" s="347"/>
      <c r="M23"/>
      <c r="N23"/>
      <c r="O23"/>
      <c r="P23"/>
      <c r="Q23"/>
    </row>
    <row r="24" spans="2:18" ht="20.25" customHeight="1" x14ac:dyDescent="0.3">
      <c r="B24" s="1879" t="s">
        <v>716</v>
      </c>
      <c r="C24" s="1880"/>
      <c r="D24" s="1880"/>
      <c r="E24" s="1880"/>
      <c r="F24" s="1880"/>
      <c r="G24" s="1880"/>
      <c r="H24" s="1880"/>
      <c r="I24" s="1880"/>
      <c r="J24" s="1881"/>
      <c r="L24" s="346"/>
      <c r="M24"/>
      <c r="N24"/>
      <c r="O24"/>
      <c r="P24"/>
      <c r="Q24"/>
    </row>
    <row r="25" spans="2:18" x14ac:dyDescent="0.3">
      <c r="B25" s="1841" t="s">
        <v>7</v>
      </c>
      <c r="C25" s="1842"/>
      <c r="D25" s="1842"/>
      <c r="E25" s="1842"/>
      <c r="F25" s="1842"/>
      <c r="G25" s="1842"/>
      <c r="H25" s="1842"/>
      <c r="I25" s="1842"/>
      <c r="J25" s="1843"/>
      <c r="L25" s="347"/>
      <c r="M25"/>
      <c r="N25"/>
      <c r="O25"/>
      <c r="P25"/>
      <c r="Q25"/>
    </row>
    <row r="26" spans="2:18" x14ac:dyDescent="0.3">
      <c r="B26" s="1879" t="s">
        <v>717</v>
      </c>
      <c r="C26" s="1880"/>
      <c r="D26" s="1880"/>
      <c r="E26" s="1880"/>
      <c r="F26" s="1880"/>
      <c r="G26" s="1880"/>
      <c r="H26" s="1880"/>
      <c r="I26" s="1880"/>
      <c r="J26" s="1881"/>
      <c r="L26" s="347"/>
      <c r="M26"/>
      <c r="N26" s="630"/>
      <c r="O26" s="630"/>
      <c r="P26" s="630"/>
      <c r="Q26" s="630"/>
      <c r="R26" s="631"/>
    </row>
    <row r="27" spans="2:18" ht="15" thickBot="1" x14ac:dyDescent="0.35">
      <c r="B27" s="1835"/>
      <c r="C27" s="1836"/>
      <c r="D27" s="1836"/>
      <c r="E27" s="1836"/>
      <c r="F27" s="1836"/>
      <c r="G27" s="1836"/>
      <c r="H27" s="1836"/>
      <c r="I27" s="1836"/>
      <c r="J27" s="1837"/>
      <c r="L27" s="347"/>
      <c r="M27"/>
      <c r="N27" s="630"/>
      <c r="O27" s="630"/>
      <c r="P27" s="630"/>
      <c r="Q27" s="630"/>
      <c r="R27" s="631"/>
    </row>
    <row r="28" spans="2:18" ht="2.25" customHeight="1" thickBot="1" x14ac:dyDescent="0.35">
      <c r="B28" s="345"/>
      <c r="C28" s="1"/>
      <c r="D28" s="1"/>
      <c r="E28" s="1"/>
      <c r="F28" s="1"/>
      <c r="G28" s="1"/>
      <c r="H28" s="1"/>
      <c r="I28" s="1"/>
      <c r="J28" s="1"/>
      <c r="L28" s="347"/>
      <c r="M28"/>
      <c r="N28" s="630"/>
      <c r="O28" s="630"/>
      <c r="P28" s="630"/>
      <c r="Q28" s="630"/>
      <c r="R28" s="631"/>
    </row>
    <row r="29" spans="2:18" ht="12.75" customHeight="1" x14ac:dyDescent="0.3">
      <c r="B29" s="1844" t="s">
        <v>718</v>
      </c>
      <c r="C29" s="1845"/>
      <c r="D29" s="1845"/>
      <c r="E29" s="1845"/>
      <c r="F29" s="1845"/>
      <c r="G29" s="1845"/>
      <c r="H29" s="1845"/>
      <c r="I29" s="1845"/>
      <c r="J29" s="1846"/>
      <c r="L29" s="348"/>
      <c r="M29"/>
      <c r="N29" s="630"/>
      <c r="O29" s="630"/>
      <c r="P29" s="630"/>
      <c r="Q29" s="630"/>
      <c r="R29" s="631"/>
    </row>
    <row r="30" spans="2:18" ht="15" thickBot="1" x14ac:dyDescent="0.35">
      <c r="B30" s="1835" t="s">
        <v>287</v>
      </c>
      <c r="C30" s="1836"/>
      <c r="D30" s="1836"/>
      <c r="E30" s="1836"/>
      <c r="F30" s="1836"/>
      <c r="G30" s="1836"/>
      <c r="H30" s="1836"/>
      <c r="I30" s="1836"/>
      <c r="J30" s="1837"/>
      <c r="L30" s="347"/>
      <c r="M30"/>
      <c r="N30" s="630"/>
      <c r="O30" s="630"/>
      <c r="P30" s="630"/>
      <c r="Q30" s="630"/>
      <c r="R30" s="631"/>
    </row>
    <row r="31" spans="2:18" ht="15" thickBot="1" x14ac:dyDescent="0.35">
      <c r="L31" s="347"/>
      <c r="M31"/>
      <c r="N31" s="630"/>
      <c r="O31" s="630"/>
      <c r="P31" s="630"/>
      <c r="Q31" s="630"/>
      <c r="R31" s="631"/>
    </row>
    <row r="32" spans="2:18" ht="18.600000000000001" thickBot="1" x14ac:dyDescent="0.4">
      <c r="B32" s="1869" t="s">
        <v>721</v>
      </c>
      <c r="C32" s="1870"/>
      <c r="D32" s="1870"/>
      <c r="E32" s="1870"/>
      <c r="F32" s="1870"/>
      <c r="G32" s="1870"/>
      <c r="H32" s="1870"/>
      <c r="I32" s="1870"/>
      <c r="J32" s="1871"/>
      <c r="L32" s="347"/>
      <c r="M32"/>
      <c r="N32" s="630"/>
      <c r="O32" s="630"/>
      <c r="P32" s="630"/>
      <c r="Q32" s="630"/>
      <c r="R32" s="631"/>
    </row>
    <row r="33" spans="2:18" ht="4.5" customHeight="1" thickBot="1" x14ac:dyDescent="0.35">
      <c r="B33" s="2"/>
      <c r="C33" s="3"/>
      <c r="D33" s="3"/>
      <c r="E33" s="3"/>
      <c r="F33" s="3"/>
      <c r="G33" s="3"/>
      <c r="H33" s="3"/>
      <c r="I33" s="3"/>
      <c r="J33" s="3"/>
      <c r="L33" s="347"/>
      <c r="M33"/>
      <c r="N33" s="630"/>
      <c r="O33" s="630"/>
      <c r="P33" s="630"/>
      <c r="Q33" s="630"/>
      <c r="R33" s="631"/>
    </row>
    <row r="34" spans="2:18" x14ac:dyDescent="0.3">
      <c r="B34" s="1844" t="s">
        <v>6</v>
      </c>
      <c r="C34" s="1845"/>
      <c r="D34" s="1845"/>
      <c r="E34" s="1845"/>
      <c r="F34" s="1845"/>
      <c r="G34" s="1845"/>
      <c r="H34" s="1845"/>
      <c r="I34" s="1845"/>
      <c r="J34" s="1846"/>
      <c r="L34" s="347"/>
      <c r="M34"/>
      <c r="N34" s="630"/>
      <c r="O34" s="630"/>
      <c r="P34" s="630"/>
      <c r="Q34" s="630"/>
      <c r="R34" s="631"/>
    </row>
    <row r="35" spans="2:18" x14ac:dyDescent="0.3">
      <c r="B35" s="1856" t="s">
        <v>269</v>
      </c>
      <c r="C35" s="1857"/>
      <c r="D35" s="1857"/>
      <c r="E35" s="1857"/>
      <c r="F35" s="1857"/>
      <c r="G35" s="1857"/>
      <c r="H35" s="1857"/>
      <c r="I35" s="1857"/>
      <c r="J35" s="1858"/>
      <c r="L35" s="348"/>
      <c r="M35"/>
      <c r="N35" s="630"/>
      <c r="O35" s="630"/>
      <c r="P35" s="630"/>
      <c r="Q35" s="630"/>
      <c r="R35" s="631"/>
    </row>
    <row r="36" spans="2:18" x14ac:dyDescent="0.3">
      <c r="B36" s="1838" t="s">
        <v>270</v>
      </c>
      <c r="C36" s="1839"/>
      <c r="D36" s="1839"/>
      <c r="E36" s="1839"/>
      <c r="F36" s="1839"/>
      <c r="G36" s="1839"/>
      <c r="H36" s="1839"/>
      <c r="I36" s="1839"/>
      <c r="J36" s="1840"/>
      <c r="L36" s="347"/>
      <c r="M36"/>
      <c r="N36" s="630"/>
      <c r="O36" s="630"/>
      <c r="P36" s="630"/>
      <c r="Q36" s="630"/>
      <c r="R36" s="631"/>
    </row>
    <row r="37" spans="2:18" x14ac:dyDescent="0.3">
      <c r="B37" s="1838" t="s">
        <v>271</v>
      </c>
      <c r="C37" s="1839"/>
      <c r="D37" s="1839"/>
      <c r="E37" s="1839"/>
      <c r="F37" s="1839"/>
      <c r="G37" s="1839"/>
      <c r="H37" s="1839"/>
      <c r="I37" s="1839"/>
      <c r="J37" s="1840"/>
      <c r="L37" s="347"/>
      <c r="M37"/>
      <c r="N37" s="630"/>
      <c r="O37" s="628" t="s">
        <v>19</v>
      </c>
      <c r="P37" s="630"/>
      <c r="Q37" s="631"/>
      <c r="R37" s="631"/>
    </row>
    <row r="38" spans="2:18" x14ac:dyDescent="0.3">
      <c r="B38" s="1856"/>
      <c r="C38" s="1857"/>
      <c r="D38" s="1857"/>
      <c r="E38" s="1857"/>
      <c r="F38" s="1857"/>
      <c r="G38" s="1857"/>
      <c r="H38" s="1857"/>
      <c r="I38" s="1857"/>
      <c r="J38" s="1858"/>
      <c r="L38" s="347"/>
      <c r="M38"/>
      <c r="N38" s="630"/>
      <c r="O38" s="630"/>
      <c r="P38" s="630"/>
      <c r="Q38" s="630"/>
      <c r="R38" s="631"/>
    </row>
    <row r="39" spans="2:18" x14ac:dyDescent="0.3">
      <c r="B39" s="1838" t="s">
        <v>272</v>
      </c>
      <c r="C39" s="1839"/>
      <c r="D39" s="1839"/>
      <c r="E39" s="1839"/>
      <c r="F39" s="1839"/>
      <c r="G39" s="1839"/>
      <c r="H39" s="1839"/>
      <c r="I39" s="1839"/>
      <c r="J39" s="1840"/>
      <c r="L39" s="347"/>
      <c r="M39"/>
      <c r="N39" s="629" t="s">
        <v>20</v>
      </c>
      <c r="O39" s="630"/>
      <c r="P39" s="630"/>
      <c r="Q39" s="630"/>
      <c r="R39" s="631"/>
    </row>
    <row r="40" spans="2:18" ht="15.6" x14ac:dyDescent="0.3">
      <c r="B40" s="1838" t="s">
        <v>288</v>
      </c>
      <c r="C40" s="1839"/>
      <c r="D40" s="1839"/>
      <c r="E40" s="1839"/>
      <c r="F40" s="1839"/>
      <c r="G40" s="1839"/>
      <c r="H40" s="1839"/>
      <c r="I40" s="1839"/>
      <c r="J40" s="1840"/>
      <c r="L40" s="348"/>
      <c r="M40"/>
      <c r="N40" s="630"/>
      <c r="O40" s="630"/>
      <c r="P40" s="630"/>
      <c r="Q40" s="630"/>
      <c r="R40" s="631"/>
    </row>
    <row r="41" spans="2:18" x14ac:dyDescent="0.3">
      <c r="B41" s="1838"/>
      <c r="C41" s="1839"/>
      <c r="D41" s="1839"/>
      <c r="E41" s="1839"/>
      <c r="F41" s="1839"/>
      <c r="G41" s="1839"/>
      <c r="H41" s="1839"/>
      <c r="I41" s="1839"/>
      <c r="J41" s="1840"/>
      <c r="L41" s="347"/>
      <c r="M41"/>
      <c r="N41" s="630"/>
      <c r="O41" s="630"/>
      <c r="P41" s="630"/>
      <c r="Q41" s="630"/>
      <c r="R41" s="631"/>
    </row>
    <row r="42" spans="2:18" x14ac:dyDescent="0.3">
      <c r="B42" s="1868" t="s">
        <v>277</v>
      </c>
      <c r="C42" s="1866"/>
      <c r="D42" s="1866"/>
      <c r="E42" s="1866"/>
      <c r="F42" s="1866"/>
      <c r="G42" s="1866"/>
      <c r="H42" s="1866"/>
      <c r="I42" s="1866"/>
      <c r="J42" s="1867"/>
      <c r="L42" s="347"/>
      <c r="M42"/>
      <c r="N42" s="630"/>
      <c r="O42" s="630"/>
      <c r="P42" s="630"/>
      <c r="Q42" s="630"/>
      <c r="R42" s="631"/>
    </row>
    <row r="43" spans="2:18" x14ac:dyDescent="0.3">
      <c r="B43" s="1838" t="s">
        <v>278</v>
      </c>
      <c r="C43" s="1839"/>
      <c r="D43" s="1839"/>
      <c r="E43" s="1839"/>
      <c r="F43" s="1839"/>
      <c r="G43" s="1839"/>
      <c r="H43" s="1839"/>
      <c r="I43" s="1839"/>
      <c r="J43" s="1840"/>
      <c r="L43" s="349"/>
      <c r="M43"/>
      <c r="N43" s="630"/>
      <c r="O43" s="630"/>
      <c r="P43" s="630"/>
      <c r="Q43" s="630"/>
      <c r="R43" s="631"/>
    </row>
    <row r="44" spans="2:18" x14ac:dyDescent="0.3">
      <c r="B44" s="1838" t="s">
        <v>279</v>
      </c>
      <c r="C44" s="1839"/>
      <c r="D44" s="1839"/>
      <c r="E44" s="1839"/>
      <c r="F44" s="1839"/>
      <c r="G44" s="1839"/>
      <c r="H44" s="1839"/>
      <c r="I44" s="1839"/>
      <c r="J44" s="1840"/>
      <c r="L44" s="347"/>
      <c r="M44"/>
      <c r="N44" s="630"/>
      <c r="O44" s="630"/>
      <c r="P44" s="630"/>
      <c r="Q44" s="630"/>
      <c r="R44" s="631"/>
    </row>
    <row r="45" spans="2:18" x14ac:dyDescent="0.3">
      <c r="B45" s="1841" t="s">
        <v>280</v>
      </c>
      <c r="C45" s="1842"/>
      <c r="D45" s="1842"/>
      <c r="E45" s="1842"/>
      <c r="F45" s="1842"/>
      <c r="G45" s="1842"/>
      <c r="H45" s="1842"/>
      <c r="I45" s="1842"/>
      <c r="J45" s="1843"/>
      <c r="L45" s="347"/>
      <c r="M45"/>
      <c r="N45" s="630"/>
      <c r="O45" s="630"/>
      <c r="P45" s="630"/>
      <c r="Q45" s="630"/>
      <c r="R45" s="631"/>
    </row>
    <row r="46" spans="2:18" ht="15" thickBot="1" x14ac:dyDescent="0.35">
      <c r="B46" s="1847" t="s">
        <v>289</v>
      </c>
      <c r="C46" s="1848"/>
      <c r="D46" s="1848"/>
      <c r="E46" s="1848"/>
      <c r="F46" s="1848"/>
      <c r="G46" s="1848"/>
      <c r="H46" s="1848"/>
      <c r="I46" s="1848"/>
      <c r="J46" s="1849"/>
      <c r="L46" s="347"/>
      <c r="M46"/>
      <c r="N46" s="630"/>
      <c r="O46" s="630"/>
      <c r="P46" s="630"/>
      <c r="Q46" s="630"/>
      <c r="R46" s="631"/>
    </row>
    <row r="47" spans="2:18" ht="4.5" customHeight="1" thickBot="1" x14ac:dyDescent="0.35">
      <c r="B47" s="345"/>
      <c r="C47" s="1"/>
      <c r="D47" s="1"/>
      <c r="E47" s="1"/>
      <c r="F47" s="1"/>
      <c r="G47" s="1"/>
      <c r="H47" s="1"/>
      <c r="I47" s="1"/>
      <c r="J47" s="1"/>
      <c r="L47" s="347"/>
      <c r="M47"/>
      <c r="N47" s="630"/>
      <c r="O47" s="630"/>
      <c r="P47" s="630"/>
      <c r="Q47" s="630"/>
      <c r="R47" s="631"/>
    </row>
    <row r="48" spans="2:18" x14ac:dyDescent="0.3">
      <c r="B48" s="1844" t="s">
        <v>290</v>
      </c>
      <c r="C48" s="1845"/>
      <c r="D48" s="1845"/>
      <c r="E48" s="1845"/>
      <c r="F48" s="1845"/>
      <c r="G48" s="1845"/>
      <c r="H48" s="1845"/>
      <c r="I48" s="1845"/>
      <c r="J48" s="1846"/>
      <c r="L48" s="347"/>
      <c r="M48"/>
      <c r="N48" s="630"/>
      <c r="O48" s="630"/>
      <c r="P48" s="630"/>
      <c r="Q48" s="630"/>
      <c r="R48" s="631"/>
    </row>
    <row r="49" spans="2:18" ht="15" thickBot="1" x14ac:dyDescent="0.35">
      <c r="B49" s="1862" t="s">
        <v>291</v>
      </c>
      <c r="C49" s="1863"/>
      <c r="D49" s="1863"/>
      <c r="E49" s="1863"/>
      <c r="F49" s="1863"/>
      <c r="G49" s="1863"/>
      <c r="H49" s="1863"/>
      <c r="I49" s="1863"/>
      <c r="J49" s="1864"/>
      <c r="L49" s="347"/>
      <c r="M49"/>
      <c r="N49" s="630"/>
      <c r="O49" s="630"/>
      <c r="P49" s="630"/>
      <c r="Q49" s="630"/>
      <c r="R49" s="631"/>
    </row>
    <row r="50" spans="2:18" ht="4.5" customHeight="1" thickBot="1" x14ac:dyDescent="0.35">
      <c r="B50" s="1"/>
      <c r="L50" s="347"/>
      <c r="M50"/>
      <c r="N50" s="630"/>
      <c r="O50" s="630"/>
      <c r="P50" s="630"/>
      <c r="Q50" s="630"/>
      <c r="R50" s="631"/>
    </row>
    <row r="51" spans="2:18" x14ac:dyDescent="0.3">
      <c r="B51" s="1844" t="s">
        <v>292</v>
      </c>
      <c r="C51" s="1845"/>
      <c r="D51" s="1845"/>
      <c r="E51" s="1845"/>
      <c r="F51" s="1845"/>
      <c r="G51" s="1845"/>
      <c r="H51" s="1845"/>
      <c r="I51" s="1845"/>
      <c r="J51" s="1846"/>
      <c r="L51" s="347"/>
      <c r="M51"/>
      <c r="N51"/>
      <c r="O51"/>
      <c r="P51"/>
      <c r="Q51"/>
    </row>
    <row r="52" spans="2:18" x14ac:dyDescent="0.3">
      <c r="B52" s="1865" t="s">
        <v>293</v>
      </c>
      <c r="C52" s="1866"/>
      <c r="D52" s="1866"/>
      <c r="E52" s="1866"/>
      <c r="F52" s="1866"/>
      <c r="G52" s="1866"/>
      <c r="H52" s="1866"/>
      <c r="I52" s="1866"/>
      <c r="J52" s="1867"/>
      <c r="L52" s="347"/>
      <c r="M52"/>
      <c r="N52"/>
      <c r="O52"/>
      <c r="P52"/>
      <c r="Q52"/>
    </row>
    <row r="53" spans="2:18" ht="15" thickBot="1" x14ac:dyDescent="0.35">
      <c r="B53" s="1835"/>
      <c r="C53" s="1836"/>
      <c r="D53" s="1836"/>
      <c r="E53" s="1836"/>
      <c r="F53" s="1836"/>
      <c r="G53" s="1836"/>
      <c r="H53" s="1836"/>
      <c r="I53" s="1836"/>
      <c r="J53" s="1837"/>
      <c r="L53" s="347"/>
      <c r="M53"/>
      <c r="N53"/>
      <c r="O53"/>
      <c r="P53"/>
      <c r="Q53"/>
    </row>
    <row r="54" spans="2:18" ht="4.5" customHeight="1" thickBot="1" x14ac:dyDescent="0.35">
      <c r="B54" s="345"/>
      <c r="C54" s="1"/>
      <c r="D54" s="1"/>
      <c r="E54" s="1"/>
      <c r="F54" s="1"/>
      <c r="G54" s="1"/>
      <c r="H54" s="1"/>
      <c r="I54" s="1"/>
      <c r="J54" s="1"/>
      <c r="L54" s="347"/>
      <c r="M54"/>
      <c r="N54"/>
      <c r="O54"/>
      <c r="P54"/>
      <c r="Q54"/>
    </row>
    <row r="55" spans="2:18" x14ac:dyDescent="0.3">
      <c r="B55" s="1844" t="s">
        <v>286</v>
      </c>
      <c r="C55" s="1845"/>
      <c r="D55" s="1845"/>
      <c r="E55" s="1845"/>
      <c r="F55" s="1845"/>
      <c r="G55" s="1845"/>
      <c r="H55" s="1845"/>
      <c r="I55" s="1845"/>
      <c r="J55" s="1846"/>
      <c r="L55" s="347"/>
      <c r="M55"/>
      <c r="N55"/>
      <c r="O55"/>
      <c r="P55"/>
      <c r="Q55"/>
    </row>
    <row r="56" spans="2:18" ht="15" thickBot="1" x14ac:dyDescent="0.35">
      <c r="B56" s="1859" t="s">
        <v>294</v>
      </c>
      <c r="C56" s="1860"/>
      <c r="D56" s="1860"/>
      <c r="E56" s="1860"/>
      <c r="F56" s="1860"/>
      <c r="G56" s="1860"/>
      <c r="H56" s="1860"/>
      <c r="I56" s="1860"/>
      <c r="J56" s="1861"/>
      <c r="L56" s="348"/>
      <c r="M56"/>
      <c r="N56"/>
      <c r="O56"/>
      <c r="P56"/>
      <c r="Q56"/>
    </row>
    <row r="57" spans="2:18" x14ac:dyDescent="0.3">
      <c r="L57" s="347"/>
      <c r="M57"/>
      <c r="N57"/>
      <c r="O57"/>
      <c r="P57"/>
      <c r="Q57"/>
    </row>
    <row r="58" spans="2:18" x14ac:dyDescent="0.3">
      <c r="L58" s="347"/>
      <c r="M58"/>
      <c r="N58"/>
      <c r="O58"/>
      <c r="P58"/>
      <c r="Q58" s="37" t="s">
        <v>19</v>
      </c>
    </row>
    <row r="59" spans="2:18" x14ac:dyDescent="0.3">
      <c r="L59" s="347"/>
      <c r="M59"/>
      <c r="N59"/>
      <c r="O59"/>
      <c r="P59"/>
      <c r="Q59"/>
    </row>
    <row r="60" spans="2:18" x14ac:dyDescent="0.3">
      <c r="L60" s="347"/>
      <c r="M60" s="37" t="s">
        <v>15</v>
      </c>
      <c r="N60"/>
      <c r="O60" s="37" t="s">
        <v>20</v>
      </c>
      <c r="P60"/>
      <c r="Q60"/>
    </row>
    <row r="61" spans="2:18" x14ac:dyDescent="0.3">
      <c r="L61" s="347"/>
      <c r="M61"/>
      <c r="N61"/>
      <c r="O61"/>
      <c r="P61"/>
      <c r="Q61"/>
    </row>
    <row r="62" spans="2:18" x14ac:dyDescent="0.3">
      <c r="L62" s="347"/>
      <c r="M62"/>
      <c r="N62"/>
      <c r="O62"/>
      <c r="P62"/>
      <c r="Q62"/>
    </row>
    <row r="63" spans="2:18" x14ac:dyDescent="0.3">
      <c r="L63" s="347"/>
      <c r="M63"/>
      <c r="N63"/>
      <c r="O63"/>
      <c r="P63"/>
      <c r="Q63"/>
    </row>
    <row r="64" spans="2:18" x14ac:dyDescent="0.3">
      <c r="L64" s="347"/>
      <c r="M64"/>
      <c r="N64"/>
      <c r="O64"/>
      <c r="P64"/>
      <c r="Q64"/>
    </row>
    <row r="65" spans="12:17" x14ac:dyDescent="0.3">
      <c r="L65" s="347"/>
      <c r="M65"/>
      <c r="N65"/>
      <c r="O65"/>
      <c r="P65"/>
      <c r="Q65"/>
    </row>
    <row r="66" spans="12:17" x14ac:dyDescent="0.3">
      <c r="L66" s="347"/>
      <c r="M66"/>
      <c r="N66"/>
      <c r="O66"/>
      <c r="P66"/>
      <c r="Q66"/>
    </row>
    <row r="67" spans="12:17" x14ac:dyDescent="0.3">
      <c r="L67" s="347"/>
      <c r="M67"/>
      <c r="N67"/>
      <c r="O67"/>
      <c r="P67"/>
      <c r="Q67"/>
    </row>
    <row r="68" spans="12:17" x14ac:dyDescent="0.3">
      <c r="L68" s="347"/>
      <c r="M68"/>
      <c r="N68"/>
      <c r="O68"/>
      <c r="P68"/>
      <c r="Q68"/>
    </row>
  </sheetData>
  <mergeCells count="44">
    <mergeCell ref="B9:J9"/>
    <mergeCell ref="B2:J2"/>
    <mergeCell ref="B4:J4"/>
    <mergeCell ref="B6:J6"/>
    <mergeCell ref="B7:J7"/>
    <mergeCell ref="B8:J8"/>
    <mergeCell ref="B25:J25"/>
    <mergeCell ref="B10:J10"/>
    <mergeCell ref="B11:J11"/>
    <mergeCell ref="B12:J12"/>
    <mergeCell ref="B15:J15"/>
    <mergeCell ref="B16:J16"/>
    <mergeCell ref="B17:J17"/>
    <mergeCell ref="B18:J18"/>
    <mergeCell ref="B20:J20"/>
    <mergeCell ref="B21:J21"/>
    <mergeCell ref="B23:J23"/>
    <mergeCell ref="B24:J24"/>
    <mergeCell ref="B37:J37"/>
    <mergeCell ref="B38:J38"/>
    <mergeCell ref="B39:J39"/>
    <mergeCell ref="B40:J40"/>
    <mergeCell ref="B26:J26"/>
    <mergeCell ref="B27:J27"/>
    <mergeCell ref="B29:J29"/>
    <mergeCell ref="B30:J30"/>
    <mergeCell ref="B32:J32"/>
    <mergeCell ref="B34:J34"/>
    <mergeCell ref="B1:L1"/>
    <mergeCell ref="B56:J56"/>
    <mergeCell ref="B48:J48"/>
    <mergeCell ref="B49:J49"/>
    <mergeCell ref="B51:J51"/>
    <mergeCell ref="B52:J52"/>
    <mergeCell ref="B53:J53"/>
    <mergeCell ref="B55:J55"/>
    <mergeCell ref="B41:J41"/>
    <mergeCell ref="B42:J42"/>
    <mergeCell ref="B43:J43"/>
    <mergeCell ref="B44:J44"/>
    <mergeCell ref="B45:J45"/>
    <mergeCell ref="B46:J46"/>
    <mergeCell ref="B35:J35"/>
    <mergeCell ref="B36:J36"/>
  </mergeCells>
  <pageMargins left="0.7" right="0.7" top="0.75" bottom="0.75" header="0.3" footer="0.3"/>
  <pageSetup paperSize="9" scale="28"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
  <sheetViews>
    <sheetView workbookViewId="0">
      <selection activeCell="L14" sqref="L14"/>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I357"/>
  <sheetViews>
    <sheetView tabSelected="1" topLeftCell="A84" zoomScale="50" zoomScaleNormal="50" workbookViewId="0">
      <selection activeCell="D89" sqref="D89"/>
    </sheetView>
  </sheetViews>
  <sheetFormatPr defaultColWidth="17.44140625" defaultRowHeight="14.4" outlineLevelCol="1" x14ac:dyDescent="0.3"/>
  <cols>
    <col min="1" max="1" width="27.44140625" style="693" customWidth="1"/>
    <col min="2" max="2" width="21.6640625" style="692" customWidth="1"/>
    <col min="3" max="3" width="21.88671875" customWidth="1"/>
    <col min="4" max="4" width="24.6640625" customWidth="1"/>
    <col min="5" max="5" width="31.44140625" customWidth="1"/>
    <col min="6" max="6" width="24.6640625" customWidth="1"/>
    <col min="7" max="7" width="26.88671875" hidden="1" customWidth="1"/>
    <col min="8" max="9" width="13.6640625" hidden="1" customWidth="1"/>
    <col min="10" max="10" width="12.6640625" hidden="1" customWidth="1"/>
    <col min="11" max="11" width="15.44140625" hidden="1" customWidth="1"/>
    <col min="12" max="12" width="16" hidden="1" customWidth="1"/>
    <col min="13" max="13" width="15.5546875" hidden="1" customWidth="1"/>
    <col min="14" max="14" width="17.44140625" hidden="1" customWidth="1"/>
    <col min="15" max="15" width="27.6640625" hidden="1" customWidth="1"/>
    <col min="16" max="16" width="18.88671875" hidden="1" customWidth="1"/>
    <col min="17" max="17" width="21" hidden="1" customWidth="1"/>
    <col min="18" max="18" width="31" hidden="1" customWidth="1"/>
    <col min="19" max="19" width="30.88671875" hidden="1" customWidth="1"/>
    <col min="20" max="20" width="14.44140625" style="693" hidden="1" customWidth="1"/>
    <col min="21" max="21" width="27.44140625" hidden="1" customWidth="1"/>
    <col min="22" max="22" width="26.44140625" hidden="1" customWidth="1"/>
    <col min="23" max="23" width="21.88671875" hidden="1" customWidth="1"/>
    <col min="24" max="24" width="12.33203125" hidden="1" customWidth="1"/>
    <col min="25" max="25" width="13.109375" hidden="1" customWidth="1"/>
    <col min="26" max="26" width="14.88671875" hidden="1" customWidth="1"/>
    <col min="27" max="27" width="13.88671875" hidden="1" customWidth="1"/>
    <col min="28" max="28" width="19.33203125" hidden="1" customWidth="1"/>
    <col min="29" max="29" width="17.44140625" hidden="1" customWidth="1"/>
    <col min="30" max="30" width="16.88671875" hidden="1" customWidth="1"/>
    <col min="31" max="35" width="19.6640625" hidden="1" customWidth="1"/>
    <col min="36" max="36" width="13.33203125" hidden="1" customWidth="1" outlineLevel="1"/>
    <col min="37" max="37" width="12.44140625" hidden="1" customWidth="1" outlineLevel="1"/>
    <col min="38" max="38" width="13.109375" hidden="1" customWidth="1" outlineLevel="1"/>
    <col min="39" max="39" width="12.6640625" hidden="1" customWidth="1" outlineLevel="1"/>
    <col min="40" max="40" width="12.44140625" hidden="1" customWidth="1" outlineLevel="1"/>
    <col min="41" max="41" width="13.6640625" hidden="1" customWidth="1" outlineLevel="1"/>
    <col min="42" max="42" width="12.33203125" hidden="1" customWidth="1" outlineLevel="1"/>
    <col min="43" max="43" width="33" hidden="1" customWidth="1" outlineLevel="1"/>
    <col min="44" max="44" width="13.33203125" hidden="1" customWidth="1" outlineLevel="1"/>
    <col min="45" max="45" width="10.33203125" hidden="1" customWidth="1" outlineLevel="1"/>
    <col min="46" max="46" width="11.33203125" hidden="1" customWidth="1" outlineLevel="1"/>
    <col min="47" max="47" width="24.88671875" hidden="1" customWidth="1" outlineLevel="1"/>
    <col min="48" max="48" width="14.5546875" hidden="1" customWidth="1" outlineLevel="1"/>
    <col min="49" max="49" width="14.88671875" hidden="1" customWidth="1" outlineLevel="1"/>
    <col min="50" max="50" width="81.44140625" customWidth="1" collapsed="1"/>
    <col min="51" max="51" width="30" customWidth="1"/>
    <col min="52" max="53" width="24.33203125" customWidth="1"/>
    <col min="54" max="54" width="17.109375" style="694" customWidth="1"/>
    <col min="55" max="55" width="24" customWidth="1"/>
    <col min="56" max="56" width="19.6640625" customWidth="1"/>
    <col min="57" max="57" width="22.88671875" customWidth="1"/>
    <col min="58" max="58" width="22.44140625" customWidth="1"/>
    <col min="59" max="59" width="20.5546875" customWidth="1"/>
    <col min="60" max="60" width="22.44140625" customWidth="1"/>
    <col min="61" max="61" width="18" customWidth="1"/>
    <col min="62" max="62" width="18.5546875" customWidth="1"/>
    <col min="63" max="63" width="20.44140625" customWidth="1"/>
    <col min="64" max="65" width="16" customWidth="1"/>
    <col min="66" max="66" width="13" customWidth="1"/>
    <col min="67" max="67" width="21.6640625" customWidth="1"/>
    <col min="68" max="68" width="19.88671875" customWidth="1"/>
    <col min="69" max="69" width="16.33203125" customWidth="1"/>
    <col min="70" max="70" width="15.88671875" customWidth="1"/>
    <col min="71" max="71" width="18.6640625" customWidth="1"/>
    <col min="72" max="72" width="14.88671875" customWidth="1"/>
    <col min="73" max="73" width="20.33203125" customWidth="1"/>
    <col min="74" max="74" width="15.33203125" customWidth="1"/>
    <col min="75" max="75" width="22.88671875" customWidth="1"/>
    <col min="76" max="77" width="23" customWidth="1"/>
    <col min="78" max="83" width="9.109375" customWidth="1"/>
    <col min="84" max="84" width="24.109375" customWidth="1"/>
    <col min="85" max="87" width="9.109375" customWidth="1"/>
    <col min="88" max="88" width="17.33203125" customWidth="1"/>
    <col min="89" max="220" width="9.109375" customWidth="1"/>
    <col min="221" max="221" width="2" customWidth="1"/>
    <col min="222" max="222" width="21.88671875" customWidth="1"/>
    <col min="223" max="223" width="16.109375" customWidth="1"/>
    <col min="224" max="224" width="34.88671875" customWidth="1"/>
    <col min="225" max="226" width="24.6640625" customWidth="1"/>
    <col min="227" max="227" width="31.44140625" customWidth="1"/>
    <col min="228" max="228" width="24.6640625" customWidth="1"/>
    <col min="229" max="229" width="26.88671875" customWidth="1"/>
    <col min="230" max="232" width="13.6640625" customWidth="1"/>
    <col min="233" max="233" width="12.6640625" customWidth="1"/>
    <col min="234" max="234" width="15.44140625" customWidth="1"/>
    <col min="235" max="235" width="16" customWidth="1"/>
    <col min="236" max="236" width="15.5546875" customWidth="1"/>
  </cols>
  <sheetData>
    <row r="1" spans="1:87" ht="43.5" customHeight="1" thickBot="1" x14ac:dyDescent="0.65">
      <c r="A1" s="1567" t="s">
        <v>634</v>
      </c>
      <c r="C1" s="43" t="s">
        <v>23</v>
      </c>
      <c r="F1" s="899"/>
      <c r="J1" s="899"/>
      <c r="K1" s="899"/>
      <c r="L1" s="899"/>
      <c r="M1" s="899"/>
      <c r="N1" s="899"/>
      <c r="P1" s="899"/>
      <c r="Q1" s="694"/>
      <c r="R1" s="694"/>
      <c r="AC1" s="899"/>
      <c r="AF1" s="899"/>
      <c r="AJ1" s="694"/>
      <c r="AK1" s="694"/>
      <c r="AL1" s="694"/>
      <c r="AM1" s="694"/>
      <c r="AN1" s="694"/>
      <c r="AO1" s="694"/>
      <c r="AP1" s="900"/>
      <c r="AQ1" s="694"/>
      <c r="AR1" s="694"/>
      <c r="AS1" s="694"/>
      <c r="AT1" s="694"/>
      <c r="AU1" s="694"/>
      <c r="AV1" s="694"/>
      <c r="AW1" s="694"/>
      <c r="AX1" s="899"/>
      <c r="AY1" s="899"/>
      <c r="AZ1" s="694"/>
      <c r="BA1" s="694"/>
      <c r="BB1" s="672"/>
      <c r="BC1" s="694"/>
      <c r="BD1" s="694"/>
      <c r="BE1" s="694"/>
    </row>
    <row r="2" spans="1:87" ht="26.4" thickBot="1" x14ac:dyDescent="0.55000000000000004">
      <c r="C2" s="44" t="s">
        <v>24</v>
      </c>
      <c r="AJ2" s="45" t="s">
        <v>25</v>
      </c>
      <c r="BB2" s="672"/>
      <c r="BC2" s="1936" t="s">
        <v>600</v>
      </c>
      <c r="BD2" s="1936"/>
      <c r="BE2" s="1936"/>
      <c r="BF2" s="1936"/>
      <c r="BG2" s="1936"/>
      <c r="BH2" s="1936"/>
      <c r="BI2" s="1936"/>
      <c r="BJ2" s="1936"/>
      <c r="BK2" s="1936"/>
      <c r="BL2" s="1936"/>
      <c r="BM2" s="1936"/>
      <c r="BN2" s="1936"/>
      <c r="BO2" s="1937" t="s">
        <v>601</v>
      </c>
      <c r="BP2" s="1937"/>
      <c r="BQ2" s="1937"/>
      <c r="BR2" s="1937"/>
      <c r="BS2" s="1938" t="s">
        <v>602</v>
      </c>
      <c r="BT2" s="1938"/>
      <c r="BU2" s="1938"/>
      <c r="BV2" s="1938"/>
    </row>
    <row r="3" spans="1:87" ht="45.75" customHeight="1" thickBot="1" x14ac:dyDescent="0.35">
      <c r="A3" s="719"/>
      <c r="B3" s="1230"/>
      <c r="C3" s="46"/>
      <c r="G3" s="46"/>
      <c r="H3" s="47"/>
      <c r="I3" s="47"/>
      <c r="J3" s="632"/>
      <c r="K3" s="632"/>
      <c r="L3" s="632"/>
      <c r="M3" s="46"/>
      <c r="N3" s="46"/>
      <c r="O3" s="46"/>
      <c r="P3" s="46"/>
      <c r="Q3" s="46"/>
      <c r="R3" s="46"/>
      <c r="S3" s="46"/>
      <c r="T3" s="1561"/>
      <c r="U3" s="46"/>
      <c r="V3" s="46"/>
      <c r="W3" s="46"/>
      <c r="X3" s="46"/>
      <c r="Y3" s="46" t="s">
        <v>400</v>
      </c>
      <c r="Z3" s="46"/>
      <c r="AA3" s="46"/>
      <c r="AB3" s="46"/>
      <c r="AC3" s="46"/>
      <c r="AD3" s="46"/>
      <c r="AE3" s="46"/>
      <c r="AF3" s="46"/>
      <c r="AG3" s="46"/>
      <c r="AH3" s="46"/>
      <c r="AI3" s="46"/>
      <c r="AJ3" s="1922" t="s">
        <v>26</v>
      </c>
      <c r="AK3" s="1923"/>
      <c r="AL3" s="1923"/>
      <c r="AM3" s="1923"/>
      <c r="AN3" s="1923"/>
      <c r="AO3" s="1923"/>
      <c r="AP3" s="1923"/>
      <c r="AQ3" s="1923"/>
      <c r="AR3" s="1923"/>
      <c r="AS3" s="1923"/>
      <c r="AT3" s="1923"/>
      <c r="AU3" s="1923"/>
      <c r="AV3" s="1923"/>
      <c r="AW3" s="1924"/>
      <c r="AX3" s="251"/>
      <c r="AY3" s="47"/>
      <c r="AZ3" s="47"/>
      <c r="BA3" s="47"/>
      <c r="BB3" s="1201"/>
      <c r="BC3" s="1919" t="s">
        <v>591</v>
      </c>
      <c r="BD3" s="1920"/>
      <c r="BE3" s="1920"/>
      <c r="BF3" s="1921"/>
      <c r="BG3" s="1943" t="s">
        <v>592</v>
      </c>
      <c r="BH3" s="1944"/>
      <c r="BI3" s="1944"/>
      <c r="BJ3" s="1945"/>
      <c r="BK3" s="1946" t="s">
        <v>593</v>
      </c>
      <c r="BL3" s="1947"/>
      <c r="BM3" s="1947"/>
      <c r="BN3" s="1948"/>
      <c r="BO3" s="1949" t="s">
        <v>594</v>
      </c>
      <c r="BP3" s="1950"/>
      <c r="BQ3" s="1950"/>
      <c r="BR3" s="1951"/>
      <c r="BS3" s="1952" t="s">
        <v>596</v>
      </c>
      <c r="BT3" s="1952"/>
      <c r="BU3" s="1952"/>
      <c r="BV3" s="1953"/>
      <c r="BW3" s="957"/>
    </row>
    <row r="4" spans="1:87" s="25" customFormat="1" ht="108.75" customHeight="1" thickBot="1" x14ac:dyDescent="0.35">
      <c r="A4" s="718" t="s">
        <v>446</v>
      </c>
      <c r="B4" s="918" t="s">
        <v>447</v>
      </c>
      <c r="C4" s="720" t="s">
        <v>27</v>
      </c>
      <c r="D4" s="807" t="s">
        <v>460</v>
      </c>
      <c r="E4" s="807" t="s">
        <v>28</v>
      </c>
      <c r="F4" s="808" t="s">
        <v>459</v>
      </c>
      <c r="G4" s="720" t="s">
        <v>29</v>
      </c>
      <c r="H4" s="48" t="s">
        <v>30</v>
      </c>
      <c r="I4" s="48" t="s">
        <v>31</v>
      </c>
      <c r="J4" s="812" t="s">
        <v>32</v>
      </c>
      <c r="K4" s="723" t="s">
        <v>33</v>
      </c>
      <c r="L4" s="723" t="s">
        <v>34</v>
      </c>
      <c r="M4" s="723" t="s">
        <v>35</v>
      </c>
      <c r="N4" s="723" t="s">
        <v>36</v>
      </c>
      <c r="O4" s="723" t="s">
        <v>37</v>
      </c>
      <c r="P4" s="723" t="s">
        <v>38</v>
      </c>
      <c r="Q4" s="723" t="s">
        <v>39</v>
      </c>
      <c r="R4" s="723" t="s">
        <v>40</v>
      </c>
      <c r="S4" s="723" t="s">
        <v>41</v>
      </c>
      <c r="T4" s="1562" t="s">
        <v>42</v>
      </c>
      <c r="U4" s="723" t="s">
        <v>43</v>
      </c>
      <c r="V4" s="723" t="s">
        <v>44</v>
      </c>
      <c r="W4" s="723" t="s">
        <v>45</v>
      </c>
      <c r="X4" s="723" t="s">
        <v>46</v>
      </c>
      <c r="Y4" s="723" t="s">
        <v>47</v>
      </c>
      <c r="Z4" s="723" t="s">
        <v>48</v>
      </c>
      <c r="AA4" s="723" t="s">
        <v>49</v>
      </c>
      <c r="AB4" s="723" t="s">
        <v>50</v>
      </c>
      <c r="AC4" s="809" t="s">
        <v>51</v>
      </c>
      <c r="AD4" s="810" t="s">
        <v>52</v>
      </c>
      <c r="AE4" s="811" t="s">
        <v>53</v>
      </c>
      <c r="AF4" s="812" t="s">
        <v>54</v>
      </c>
      <c r="AG4" s="811" t="s">
        <v>55</v>
      </c>
      <c r="AH4" s="812" t="s">
        <v>56</v>
      </c>
      <c r="AI4" s="860" t="s">
        <v>57</v>
      </c>
      <c r="AJ4" s="862" t="s">
        <v>58</v>
      </c>
      <c r="AK4" s="862" t="s">
        <v>59</v>
      </c>
      <c r="AL4" s="862" t="s">
        <v>60</v>
      </c>
      <c r="AM4" s="863" t="s">
        <v>61</v>
      </c>
      <c r="AN4" s="864" t="s">
        <v>62</v>
      </c>
      <c r="AO4" s="862" t="s">
        <v>63</v>
      </c>
      <c r="AP4" s="862" t="s">
        <v>64</v>
      </c>
      <c r="AQ4" s="862" t="s">
        <v>588</v>
      </c>
      <c r="AR4" s="863" t="s">
        <v>65</v>
      </c>
      <c r="AS4" s="865" t="s">
        <v>66</v>
      </c>
      <c r="AT4" s="865" t="s">
        <v>67</v>
      </c>
      <c r="AU4" s="865" t="s">
        <v>589</v>
      </c>
      <c r="AV4" s="866" t="s">
        <v>68</v>
      </c>
      <c r="AW4" s="861" t="s">
        <v>69</v>
      </c>
      <c r="AX4" s="1200" t="s">
        <v>243</v>
      </c>
      <c r="AY4" s="1559" t="s">
        <v>619</v>
      </c>
      <c r="AZ4" s="1560" t="s">
        <v>621</v>
      </c>
      <c r="BA4" s="1560" t="s">
        <v>626</v>
      </c>
      <c r="BB4" s="1185"/>
      <c r="BC4" s="812" t="s">
        <v>597</v>
      </c>
      <c r="BD4" s="982" t="s">
        <v>598</v>
      </c>
      <c r="BE4" s="983" t="s">
        <v>599</v>
      </c>
      <c r="BF4" s="965" t="s">
        <v>595</v>
      </c>
      <c r="BG4" s="812" t="s">
        <v>615</v>
      </c>
      <c r="BH4" s="982" t="s">
        <v>616</v>
      </c>
      <c r="BI4" s="983" t="s">
        <v>617</v>
      </c>
      <c r="BJ4" s="965" t="s">
        <v>595</v>
      </c>
      <c r="BK4" s="812" t="s">
        <v>618</v>
      </c>
      <c r="BL4" s="982" t="s">
        <v>616</v>
      </c>
      <c r="BM4" s="983" t="s">
        <v>617</v>
      </c>
      <c r="BN4" s="965" t="s">
        <v>595</v>
      </c>
      <c r="BO4" s="812" t="s">
        <v>615</v>
      </c>
      <c r="BP4" s="982" t="s">
        <v>616</v>
      </c>
      <c r="BQ4" s="983" t="s">
        <v>617</v>
      </c>
      <c r="BR4" s="920" t="s">
        <v>595</v>
      </c>
      <c r="BS4" s="1046" t="s">
        <v>618</v>
      </c>
      <c r="BT4" s="982" t="s">
        <v>616</v>
      </c>
      <c r="BU4" s="983" t="s">
        <v>617</v>
      </c>
      <c r="BV4" s="919" t="s">
        <v>595</v>
      </c>
    </row>
    <row r="5" spans="1:87" s="689" customFormat="1" ht="32.25" customHeight="1" thickBot="1" x14ac:dyDescent="0.35">
      <c r="A5" s="1255"/>
      <c r="B5" s="1255"/>
      <c r="C5" s="695"/>
      <c r="D5" s="695"/>
      <c r="E5" s="695"/>
      <c r="F5" s="1256"/>
      <c r="G5" s="695"/>
      <c r="H5" s="695"/>
      <c r="I5" s="695"/>
      <c r="J5" s="695"/>
      <c r="K5" s="695"/>
      <c r="L5" s="695"/>
      <c r="M5" s="695"/>
      <c r="N5" s="695"/>
      <c r="O5" s="695"/>
      <c r="P5" s="695"/>
      <c r="Q5" s="695"/>
      <c r="R5" s="695"/>
      <c r="S5" s="695"/>
      <c r="T5" s="1255"/>
      <c r="U5" s="695"/>
      <c r="V5" s="695"/>
      <c r="W5" s="695"/>
      <c r="X5" s="695"/>
      <c r="Y5" s="695"/>
      <c r="Z5" s="695"/>
      <c r="AA5" s="695"/>
      <c r="AB5" s="695"/>
      <c r="AC5" s="704"/>
      <c r="AD5" s="705"/>
      <c r="AE5" s="695"/>
      <c r="AF5" s="695"/>
      <c r="AG5" s="695"/>
      <c r="AH5" s="695"/>
      <c r="AI5" s="695"/>
      <c r="AJ5" s="1250"/>
      <c r="AK5" s="1250"/>
      <c r="AL5" s="1250"/>
      <c r="AM5" s="1250"/>
      <c r="AN5" s="1250"/>
      <c r="AO5" s="1250"/>
      <c r="AP5" s="1250"/>
      <c r="AQ5" s="1250"/>
      <c r="AR5" s="1250"/>
      <c r="AS5" s="1250"/>
      <c r="AT5" s="1250"/>
      <c r="AU5" s="1250"/>
      <c r="AV5" s="1250"/>
      <c r="AW5" s="712"/>
      <c r="AX5" s="1742"/>
      <c r="AY5" s="1743" t="s">
        <v>595</v>
      </c>
      <c r="AZ5" s="1558" t="s">
        <v>622</v>
      </c>
      <c r="BA5" s="1251" t="s">
        <v>623</v>
      </c>
      <c r="BB5" s="1186"/>
      <c r="BC5" s="1252" t="s">
        <v>614</v>
      </c>
      <c r="BD5" s="1039" t="s">
        <v>612</v>
      </c>
      <c r="BE5" s="1039" t="s">
        <v>613</v>
      </c>
      <c r="BF5" s="1253" t="s">
        <v>595</v>
      </c>
      <c r="BG5" s="695"/>
      <c r="BH5" s="1039"/>
      <c r="BI5" s="1040"/>
      <c r="BJ5" s="1253"/>
      <c r="BK5" s="695"/>
      <c r="BL5" s="1039"/>
      <c r="BM5" s="1040"/>
      <c r="BN5" s="1253"/>
      <c r="BO5" s="695"/>
      <c r="BP5" s="1039"/>
      <c r="BQ5" s="1040"/>
      <c r="BR5" s="714"/>
      <c r="BS5" s="1254"/>
      <c r="BT5" s="1039"/>
      <c r="BU5" s="1040"/>
      <c r="BV5" s="714"/>
    </row>
    <row r="6" spans="1:87" s="25" customFormat="1" ht="108.75" customHeight="1" x14ac:dyDescent="0.3">
      <c r="A6" s="717" t="s">
        <v>635</v>
      </c>
      <c r="B6" s="1216" t="s">
        <v>448</v>
      </c>
      <c r="C6" s="1925" t="s">
        <v>70</v>
      </c>
      <c r="D6" s="1215" t="s">
        <v>452</v>
      </c>
      <c r="E6" s="1536" t="s">
        <v>455</v>
      </c>
      <c r="F6" s="1532" t="s">
        <v>452</v>
      </c>
      <c r="G6" s="803" t="s">
        <v>309</v>
      </c>
      <c r="H6" s="804" t="s">
        <v>496</v>
      </c>
      <c r="I6" s="804" t="s">
        <v>497</v>
      </c>
      <c r="J6" s="1571">
        <v>4.4999999999999998E-2</v>
      </c>
      <c r="K6" s="1571">
        <v>3.0911000000000001E-2</v>
      </c>
      <c r="L6" s="1571">
        <v>1.4089000000000001E-2</v>
      </c>
      <c r="M6" s="843">
        <v>0</v>
      </c>
      <c r="N6" s="843">
        <v>2.5000000000000001E-2</v>
      </c>
      <c r="O6" s="729" t="s">
        <v>461</v>
      </c>
      <c r="P6" s="805">
        <v>0.5</v>
      </c>
      <c r="Q6" s="806">
        <v>0.15</v>
      </c>
      <c r="R6" s="831" t="s">
        <v>96</v>
      </c>
      <c r="S6" s="815" t="s">
        <v>511</v>
      </c>
      <c r="T6" s="1353">
        <v>120</v>
      </c>
      <c r="U6" s="815" t="s">
        <v>505</v>
      </c>
      <c r="V6" s="815" t="s">
        <v>85</v>
      </c>
      <c r="W6" s="815" t="s">
        <v>97</v>
      </c>
      <c r="X6" s="1353">
        <v>18</v>
      </c>
      <c r="Y6" s="1353" t="s">
        <v>501</v>
      </c>
      <c r="Z6" s="1353" t="s">
        <v>503</v>
      </c>
      <c r="AA6" s="1354">
        <v>100000</v>
      </c>
      <c r="AB6" s="815" t="s">
        <v>519</v>
      </c>
      <c r="AC6" s="867">
        <v>25</v>
      </c>
      <c r="AD6" s="867">
        <v>25</v>
      </c>
      <c r="AE6" s="1302">
        <v>50</v>
      </c>
      <c r="AF6" s="1297">
        <v>7.5</v>
      </c>
      <c r="AG6" s="1351">
        <v>17.5</v>
      </c>
      <c r="AH6" s="1352">
        <v>7.5</v>
      </c>
      <c r="AI6" s="868">
        <v>17.5</v>
      </c>
      <c r="AJ6" s="1266">
        <v>2.677</v>
      </c>
      <c r="AK6" s="1266">
        <v>0.41399999999999998</v>
      </c>
      <c r="AL6" s="1266">
        <v>0</v>
      </c>
      <c r="AM6" s="1278">
        <v>3.0910000000000002</v>
      </c>
      <c r="AN6" s="1257">
        <v>3.0910000000000002</v>
      </c>
      <c r="AO6" s="1266">
        <v>0.20743229268292684</v>
      </c>
      <c r="AP6" s="1266">
        <v>1.1672018536585367</v>
      </c>
      <c r="AQ6" s="1266">
        <v>0</v>
      </c>
      <c r="AR6" s="1278">
        <v>1.3746341463414635</v>
      </c>
      <c r="AS6" s="1266">
        <v>0.2126181</v>
      </c>
      <c r="AT6" s="1266">
        <v>1.1963819</v>
      </c>
      <c r="AU6" s="1266">
        <v>0</v>
      </c>
      <c r="AV6" s="1287">
        <v>1.409</v>
      </c>
      <c r="AW6" s="1257">
        <v>4.5</v>
      </c>
      <c r="AX6" s="1744" t="s">
        <v>571</v>
      </c>
      <c r="AY6" s="1745">
        <v>8.4999999999999992E-2</v>
      </c>
      <c r="AZ6" s="1172">
        <v>7.7000000000000041E-2</v>
      </c>
      <c r="BA6" s="1172">
        <v>7.1399999999999991E-2</v>
      </c>
      <c r="BB6" s="1187"/>
      <c r="BC6" s="922">
        <v>7.7000000000000041E-2</v>
      </c>
      <c r="BD6" s="984">
        <v>0.03</v>
      </c>
      <c r="BE6" s="984">
        <v>4.4000000000000067E-2</v>
      </c>
      <c r="BF6" s="939">
        <v>8.4999999999999992E-2</v>
      </c>
      <c r="BG6" s="922">
        <v>7.1399999999999991E-2</v>
      </c>
      <c r="BH6" s="984">
        <v>0.02</v>
      </c>
      <c r="BI6" s="984">
        <v>4.2799999999999998E-2</v>
      </c>
      <c r="BJ6" s="939">
        <v>8.4999999999999992E-2</v>
      </c>
      <c r="BK6" s="922">
        <v>7.1399999999999991E-2</v>
      </c>
      <c r="BL6" s="984">
        <v>0.02</v>
      </c>
      <c r="BM6" s="984">
        <v>4.2799999999999998E-2</v>
      </c>
      <c r="BN6" s="939">
        <v>8.4999999999999992E-2</v>
      </c>
      <c r="BO6" s="922">
        <v>7.1389999999999995E-2</v>
      </c>
      <c r="BP6" s="984">
        <v>3.3333333333333333E-2</v>
      </c>
      <c r="BQ6" s="984">
        <v>7.1300000000000002E-2</v>
      </c>
      <c r="BR6" s="921">
        <v>8.4999999999999992E-2</v>
      </c>
      <c r="BS6" s="938">
        <v>7.1399999999999991E-2</v>
      </c>
      <c r="BT6" s="984">
        <v>0.04</v>
      </c>
      <c r="BU6" s="984">
        <v>8.5599999999999996E-2</v>
      </c>
      <c r="BV6" s="906">
        <v>8.4999999999999992E-2</v>
      </c>
      <c r="BW6" s="977">
        <f>(BI6+BH6)*50%+4%</f>
        <v>7.1399999999999991E-2</v>
      </c>
      <c r="BX6" s="977"/>
      <c r="BY6" s="977"/>
      <c r="BZ6" s="977"/>
      <c r="CA6" s="977">
        <f t="shared" ref="CA6:CA21" si="0">(BM6+BL6)*50%+4%</f>
        <v>7.1399999999999991E-2</v>
      </c>
      <c r="CB6" s="977"/>
      <c r="CC6" s="977"/>
      <c r="CD6" s="977"/>
      <c r="CE6" s="978">
        <f>(BQ6+BP6)*30%+4%</f>
        <v>7.1389999999999995E-2</v>
      </c>
      <c r="CF6" s="978"/>
      <c r="CG6" s="978"/>
      <c r="CH6" s="978"/>
      <c r="CI6" s="978">
        <f>(BU6+BT6)*25%+4%</f>
        <v>7.1399999999999991E-2</v>
      </c>
    </row>
    <row r="7" spans="1:87" s="25" customFormat="1" ht="108.75" customHeight="1" x14ac:dyDescent="0.3">
      <c r="A7" s="715" t="s">
        <v>635</v>
      </c>
      <c r="B7" s="1217" t="s">
        <v>448</v>
      </c>
      <c r="C7" s="1925"/>
      <c r="D7" s="1110" t="s">
        <v>453</v>
      </c>
      <c r="E7" s="1537" t="s">
        <v>455</v>
      </c>
      <c r="F7" s="1533" t="s">
        <v>453</v>
      </c>
      <c r="G7" s="727" t="s">
        <v>309</v>
      </c>
      <c r="H7" s="728" t="s">
        <v>496</v>
      </c>
      <c r="I7" s="728" t="s">
        <v>497</v>
      </c>
      <c r="J7" s="1572">
        <v>4.4999999999999998E-2</v>
      </c>
      <c r="K7" s="1572">
        <v>3.0911000000000001E-2</v>
      </c>
      <c r="L7" s="1572">
        <v>1.4089000000000001E-2</v>
      </c>
      <c r="M7" s="845">
        <v>0</v>
      </c>
      <c r="N7" s="845">
        <v>2.5000000000000001E-2</v>
      </c>
      <c r="O7" s="731" t="s">
        <v>461</v>
      </c>
      <c r="P7" s="730">
        <v>0.5</v>
      </c>
      <c r="Q7" s="730">
        <v>0.15</v>
      </c>
      <c r="R7" s="831" t="s">
        <v>96</v>
      </c>
      <c r="S7" s="816" t="s">
        <v>511</v>
      </c>
      <c r="T7" s="1355">
        <v>120</v>
      </c>
      <c r="U7" s="816" t="s">
        <v>505</v>
      </c>
      <c r="V7" s="816" t="s">
        <v>85</v>
      </c>
      <c r="W7" s="816" t="s">
        <v>97</v>
      </c>
      <c r="X7" s="1355">
        <v>18</v>
      </c>
      <c r="Y7" s="1355" t="s">
        <v>501</v>
      </c>
      <c r="Z7" s="1355" t="s">
        <v>503</v>
      </c>
      <c r="AA7" s="1356">
        <v>100000</v>
      </c>
      <c r="AB7" s="816" t="s">
        <v>519</v>
      </c>
      <c r="AC7" s="869">
        <v>25</v>
      </c>
      <c r="AD7" s="869">
        <v>25</v>
      </c>
      <c r="AE7" s="1303">
        <v>50</v>
      </c>
      <c r="AF7" s="1298">
        <v>7.5</v>
      </c>
      <c r="AG7" s="1347">
        <v>17.5</v>
      </c>
      <c r="AH7" s="1348">
        <v>7.5</v>
      </c>
      <c r="AI7" s="870">
        <v>17.5</v>
      </c>
      <c r="AJ7" s="1267">
        <v>2.677</v>
      </c>
      <c r="AK7" s="1267">
        <v>0.41399999999999998</v>
      </c>
      <c r="AL7" s="1267">
        <v>0</v>
      </c>
      <c r="AM7" s="1279">
        <v>3.0910000000000002</v>
      </c>
      <c r="AN7" s="1258">
        <v>3.0910000000000002</v>
      </c>
      <c r="AO7" s="1267">
        <v>0.20743229268292684</v>
      </c>
      <c r="AP7" s="1267">
        <v>1.1672018536585367</v>
      </c>
      <c r="AQ7" s="1267">
        <v>0</v>
      </c>
      <c r="AR7" s="1279">
        <v>1.3746341463414635</v>
      </c>
      <c r="AS7" s="1267">
        <v>0.2126181</v>
      </c>
      <c r="AT7" s="1267">
        <v>1.1963819</v>
      </c>
      <c r="AU7" s="1267">
        <v>0</v>
      </c>
      <c r="AV7" s="1288">
        <v>1.409</v>
      </c>
      <c r="AW7" s="1258">
        <v>4.5</v>
      </c>
      <c r="AX7" s="1747" t="s">
        <v>571</v>
      </c>
      <c r="AY7" s="1746">
        <v>8.4999999999999992E-2</v>
      </c>
      <c r="AZ7" s="1172">
        <v>7.7000000000000041E-2</v>
      </c>
      <c r="BA7" s="1172">
        <v>7.1399999999999991E-2</v>
      </c>
      <c r="BB7" s="1187"/>
      <c r="BC7" s="922">
        <v>7.7000000000000041E-2</v>
      </c>
      <c r="BD7" s="984">
        <v>0.03</v>
      </c>
      <c r="BE7" s="984">
        <v>4.4000000000000067E-2</v>
      </c>
      <c r="BF7" s="939">
        <v>8.4999999999999992E-2</v>
      </c>
      <c r="BG7" s="922">
        <v>7.1399999999999991E-2</v>
      </c>
      <c r="BH7" s="984">
        <v>0.02</v>
      </c>
      <c r="BI7" s="984">
        <v>4.2799999999999998E-2</v>
      </c>
      <c r="BJ7" s="939">
        <v>8.4999999999999992E-2</v>
      </c>
      <c r="BK7" s="922">
        <v>7.1399999999999991E-2</v>
      </c>
      <c r="BL7" s="984">
        <v>0.02</v>
      </c>
      <c r="BM7" s="984">
        <v>4.2799999999999998E-2</v>
      </c>
      <c r="BN7" s="939">
        <v>8.4999999999999992E-2</v>
      </c>
      <c r="BO7" s="922">
        <v>7.1389999999999995E-2</v>
      </c>
      <c r="BP7" s="984">
        <v>3.3333333333333333E-2</v>
      </c>
      <c r="BQ7" s="984">
        <v>7.1300000000000002E-2</v>
      </c>
      <c r="BR7" s="940">
        <v>8.4999999999999992E-2</v>
      </c>
      <c r="BS7" s="922">
        <v>7.1399999999999991E-2</v>
      </c>
      <c r="BT7" s="984">
        <v>0.04</v>
      </c>
      <c r="BU7" s="984">
        <v>8.5599999999999996E-2</v>
      </c>
      <c r="BV7" s="906">
        <v>8.4999999999999992E-2</v>
      </c>
      <c r="BW7" s="977">
        <f t="shared" ref="BW7:BW25" si="1">(BI7+BH7)*50%+4%</f>
        <v>7.1399999999999991E-2</v>
      </c>
      <c r="BX7" s="977"/>
      <c r="BY7" s="977"/>
      <c r="BZ7" s="977"/>
      <c r="CA7" s="977">
        <f t="shared" si="0"/>
        <v>7.1399999999999991E-2</v>
      </c>
      <c r="CB7" s="977"/>
      <c r="CC7" s="977"/>
      <c r="CD7" s="977"/>
      <c r="CE7" s="978">
        <f t="shared" ref="CE7:CE25" si="2">(BQ7+BP7)*30%+4%</f>
        <v>7.1389999999999995E-2</v>
      </c>
      <c r="CF7" s="979"/>
      <c r="CG7" s="979"/>
      <c r="CH7" s="979"/>
      <c r="CI7" s="978">
        <f t="shared" ref="CI7:CI25" si="3">(BU7+BT7)*25%+4%</f>
        <v>7.1399999999999991E-2</v>
      </c>
    </row>
    <row r="8" spans="1:87" s="25" customFormat="1" ht="108.75" customHeight="1" x14ac:dyDescent="0.3">
      <c r="A8" s="715" t="s">
        <v>635</v>
      </c>
      <c r="B8" s="1218" t="s">
        <v>448</v>
      </c>
      <c r="C8" s="1925"/>
      <c r="D8" s="1110" t="s">
        <v>454</v>
      </c>
      <c r="E8" s="1537" t="s">
        <v>455</v>
      </c>
      <c r="F8" s="1533" t="s">
        <v>454</v>
      </c>
      <c r="G8" s="727" t="s">
        <v>309</v>
      </c>
      <c r="H8" s="728" t="s">
        <v>496</v>
      </c>
      <c r="I8" s="728" t="s">
        <v>497</v>
      </c>
      <c r="J8" s="1572">
        <v>4.4999999999999998E-2</v>
      </c>
      <c r="K8" s="1572">
        <v>3.0911000000000001E-2</v>
      </c>
      <c r="L8" s="1572">
        <v>1.4089000000000001E-2</v>
      </c>
      <c r="M8" s="845">
        <v>0</v>
      </c>
      <c r="N8" s="845">
        <v>2.5000000000000001E-2</v>
      </c>
      <c r="O8" s="732" t="s">
        <v>461</v>
      </c>
      <c r="P8" s="730">
        <v>0.5</v>
      </c>
      <c r="Q8" s="730">
        <v>0.15</v>
      </c>
      <c r="R8" s="831" t="s">
        <v>96</v>
      </c>
      <c r="S8" s="816" t="s">
        <v>511</v>
      </c>
      <c r="T8" s="1355">
        <v>120</v>
      </c>
      <c r="U8" s="816" t="s">
        <v>505</v>
      </c>
      <c r="V8" s="816" t="s">
        <v>85</v>
      </c>
      <c r="W8" s="816" t="s">
        <v>97</v>
      </c>
      <c r="X8" s="1355">
        <v>18</v>
      </c>
      <c r="Y8" s="1355" t="s">
        <v>501</v>
      </c>
      <c r="Z8" s="1355" t="s">
        <v>503</v>
      </c>
      <c r="AA8" s="1356">
        <v>100000</v>
      </c>
      <c r="AB8" s="816" t="s">
        <v>519</v>
      </c>
      <c r="AC8" s="869">
        <v>25</v>
      </c>
      <c r="AD8" s="869">
        <v>25</v>
      </c>
      <c r="AE8" s="1303">
        <v>50</v>
      </c>
      <c r="AF8" s="1298">
        <v>7.5</v>
      </c>
      <c r="AG8" s="1303">
        <v>17.5</v>
      </c>
      <c r="AH8" s="1298">
        <v>7.5</v>
      </c>
      <c r="AI8" s="870">
        <v>17.5</v>
      </c>
      <c r="AJ8" s="1267">
        <v>2.677</v>
      </c>
      <c r="AK8" s="1267">
        <v>0.41399999999999998</v>
      </c>
      <c r="AL8" s="1267">
        <v>0</v>
      </c>
      <c r="AM8" s="1279">
        <v>3.0910000000000002</v>
      </c>
      <c r="AN8" s="1258">
        <v>3.0910000000000002</v>
      </c>
      <c r="AO8" s="1267">
        <v>0.20743229268292684</v>
      </c>
      <c r="AP8" s="1267">
        <v>1.1672018536585367</v>
      </c>
      <c r="AQ8" s="1267">
        <v>0</v>
      </c>
      <c r="AR8" s="1279">
        <v>1.3746341463414635</v>
      </c>
      <c r="AS8" s="1267">
        <v>0.2126181</v>
      </c>
      <c r="AT8" s="1267">
        <v>1.1963819</v>
      </c>
      <c r="AU8" s="1267">
        <v>0</v>
      </c>
      <c r="AV8" s="1288">
        <v>1.409</v>
      </c>
      <c r="AW8" s="1258">
        <v>4.5</v>
      </c>
      <c r="AX8" s="1748" t="s">
        <v>571</v>
      </c>
      <c r="AY8" s="1749">
        <v>8.4999999999999992E-2</v>
      </c>
      <c r="AZ8" s="1172">
        <v>7.7000000000000041E-2</v>
      </c>
      <c r="BA8" s="1172">
        <v>7.1399999999999991E-2</v>
      </c>
      <c r="BB8" s="1187"/>
      <c r="BC8" s="922">
        <v>7.7000000000000041E-2</v>
      </c>
      <c r="BD8" s="984">
        <v>0.03</v>
      </c>
      <c r="BE8" s="984">
        <v>4.4000000000000067E-2</v>
      </c>
      <c r="BF8" s="939">
        <v>8.4999999999999992E-2</v>
      </c>
      <c r="BG8" s="922">
        <v>7.1399999999999991E-2</v>
      </c>
      <c r="BH8" s="984">
        <v>0.02</v>
      </c>
      <c r="BI8" s="984">
        <v>4.2799999999999998E-2</v>
      </c>
      <c r="BJ8" s="939">
        <v>8.4999999999999992E-2</v>
      </c>
      <c r="BK8" s="922">
        <v>7.1399999999999991E-2</v>
      </c>
      <c r="BL8" s="984">
        <v>0.02</v>
      </c>
      <c r="BM8" s="984">
        <v>4.2799999999999998E-2</v>
      </c>
      <c r="BN8" s="939">
        <v>8.4999999999999992E-2</v>
      </c>
      <c r="BO8" s="922">
        <v>7.1389999999999995E-2</v>
      </c>
      <c r="BP8" s="984">
        <v>3.3333333333333333E-2</v>
      </c>
      <c r="BQ8" s="984">
        <v>7.1300000000000002E-2</v>
      </c>
      <c r="BR8" s="939">
        <v>8.4999999999999992E-2</v>
      </c>
      <c r="BS8" s="922">
        <v>7.1399999999999991E-2</v>
      </c>
      <c r="BT8" s="984">
        <v>0.04</v>
      </c>
      <c r="BU8" s="984">
        <v>8.5599999999999996E-2</v>
      </c>
      <c r="BV8" s="906">
        <v>8.4999999999999992E-2</v>
      </c>
      <c r="BW8" s="977">
        <f t="shared" si="1"/>
        <v>7.1399999999999991E-2</v>
      </c>
      <c r="BX8" s="977"/>
      <c r="BY8" s="977"/>
      <c r="BZ8" s="977"/>
      <c r="CA8" s="977">
        <f t="shared" si="0"/>
        <v>7.1399999999999991E-2</v>
      </c>
      <c r="CB8" s="977"/>
      <c r="CC8" s="977"/>
      <c r="CD8" s="977"/>
      <c r="CE8" s="978">
        <f t="shared" si="2"/>
        <v>7.1389999999999995E-2</v>
      </c>
      <c r="CF8" s="979"/>
      <c r="CG8" s="979"/>
      <c r="CH8" s="979"/>
      <c r="CI8" s="978">
        <f t="shared" si="3"/>
        <v>7.1399999999999991E-2</v>
      </c>
    </row>
    <row r="9" spans="1:87" s="25" customFormat="1" ht="108.75" customHeight="1" x14ac:dyDescent="0.3">
      <c r="A9" s="715" t="s">
        <v>635</v>
      </c>
      <c r="B9" s="1218" t="s">
        <v>448</v>
      </c>
      <c r="C9" s="1925"/>
      <c r="D9" s="733" t="s">
        <v>449</v>
      </c>
      <c r="E9" s="1538" t="s">
        <v>456</v>
      </c>
      <c r="F9" s="1534" t="s">
        <v>449</v>
      </c>
      <c r="G9" s="727" t="s">
        <v>309</v>
      </c>
      <c r="H9" s="728" t="s">
        <v>496</v>
      </c>
      <c r="I9" s="728" t="s">
        <v>497</v>
      </c>
      <c r="J9" s="1572">
        <v>0.06</v>
      </c>
      <c r="K9" s="1572">
        <v>4.1216000000000003E-2</v>
      </c>
      <c r="L9" s="1572">
        <v>1.8783999999999999E-2</v>
      </c>
      <c r="M9" s="845">
        <v>0</v>
      </c>
      <c r="N9" s="845">
        <v>2.5000000000000001E-2</v>
      </c>
      <c r="O9" s="734" t="s">
        <v>461</v>
      </c>
      <c r="P9" s="730">
        <v>0.5</v>
      </c>
      <c r="Q9" s="730">
        <v>0.15</v>
      </c>
      <c r="R9" s="831" t="s">
        <v>96</v>
      </c>
      <c r="S9" s="816" t="s">
        <v>512</v>
      </c>
      <c r="T9" s="1355">
        <v>120</v>
      </c>
      <c r="U9" s="816" t="s">
        <v>505</v>
      </c>
      <c r="V9" s="816" t="s">
        <v>85</v>
      </c>
      <c r="W9" s="816" t="s">
        <v>97</v>
      </c>
      <c r="X9" s="1355">
        <v>18</v>
      </c>
      <c r="Y9" s="1355" t="s">
        <v>501</v>
      </c>
      <c r="Z9" s="1355" t="s">
        <v>503</v>
      </c>
      <c r="AA9" s="1356">
        <v>100000</v>
      </c>
      <c r="AB9" s="816" t="s">
        <v>519</v>
      </c>
      <c r="AC9" s="869">
        <v>25</v>
      </c>
      <c r="AD9" s="869">
        <v>25</v>
      </c>
      <c r="AE9" s="1303">
        <v>50</v>
      </c>
      <c r="AF9" s="1298">
        <v>7.5</v>
      </c>
      <c r="AG9" s="1347">
        <v>17.5</v>
      </c>
      <c r="AH9" s="1348">
        <v>7.5</v>
      </c>
      <c r="AI9" s="870">
        <v>17.5</v>
      </c>
      <c r="AJ9" s="1267">
        <v>3.57</v>
      </c>
      <c r="AK9" s="1267">
        <v>0.55200000000000005</v>
      </c>
      <c r="AL9" s="1267">
        <v>0</v>
      </c>
      <c r="AM9" s="1279">
        <v>4.1219999999999999</v>
      </c>
      <c r="AN9" s="1258">
        <v>4.1219999999999999</v>
      </c>
      <c r="AO9" s="1267">
        <v>0.27629502439024389</v>
      </c>
      <c r="AP9" s="1267">
        <v>1.5559000975609756</v>
      </c>
      <c r="AQ9" s="1267">
        <v>0</v>
      </c>
      <c r="AR9" s="1279">
        <v>1.8321951219512194</v>
      </c>
      <c r="AS9" s="1267">
        <v>0.28320239999999997</v>
      </c>
      <c r="AT9" s="1267">
        <v>1.5947975999999999</v>
      </c>
      <c r="AU9" s="1267">
        <v>0</v>
      </c>
      <c r="AV9" s="1288">
        <v>1.8779999999999999</v>
      </c>
      <c r="AW9" s="1258">
        <v>6</v>
      </c>
      <c r="AX9" s="1748" t="s">
        <v>578</v>
      </c>
      <c r="AY9" s="1749">
        <v>7.3700000000000002E-2</v>
      </c>
      <c r="AZ9" s="1173">
        <v>6.5700000000000064E-2</v>
      </c>
      <c r="BA9" s="1173">
        <v>6.0100000000000001E-2</v>
      </c>
      <c r="BB9" s="1188"/>
      <c r="BC9" s="923">
        <v>6.5700000000000064E-2</v>
      </c>
      <c r="BD9" s="985">
        <v>0.03</v>
      </c>
      <c r="BE9" s="985">
        <v>2.1400000000000113E-2</v>
      </c>
      <c r="BF9" s="940">
        <v>7.3700000000000002E-2</v>
      </c>
      <c r="BG9" s="923">
        <v>6.0100000000000001E-2</v>
      </c>
      <c r="BH9" s="985">
        <v>0.02</v>
      </c>
      <c r="BI9" s="984">
        <v>2.0199999999999999E-2</v>
      </c>
      <c r="BJ9" s="940">
        <v>7.3700000000000002E-2</v>
      </c>
      <c r="BK9" s="923">
        <v>6.0100000000000001E-2</v>
      </c>
      <c r="BL9" s="985">
        <v>0.02</v>
      </c>
      <c r="BM9" s="985">
        <v>2.0199999999999999E-2</v>
      </c>
      <c r="BN9" s="940">
        <v>7.3700000000000002E-2</v>
      </c>
      <c r="BO9" s="923">
        <v>6.0109999999999997E-2</v>
      </c>
      <c r="BP9" s="985">
        <v>3.3333333333333333E-2</v>
      </c>
      <c r="BQ9" s="985">
        <v>3.3700000000000001E-2</v>
      </c>
      <c r="BR9" s="940">
        <v>7.3700000000000002E-2</v>
      </c>
      <c r="BS9" s="923">
        <v>6.0100000000000001E-2</v>
      </c>
      <c r="BT9" s="985">
        <v>0.04</v>
      </c>
      <c r="BU9" s="985">
        <v>4.0399999999999998E-2</v>
      </c>
      <c r="BV9" s="844">
        <v>7.3700000000000002E-2</v>
      </c>
      <c r="BW9" s="977">
        <f t="shared" si="1"/>
        <v>6.0100000000000001E-2</v>
      </c>
      <c r="BX9" s="977"/>
      <c r="BY9" s="977"/>
      <c r="BZ9" s="977"/>
      <c r="CA9" s="977">
        <f t="shared" si="0"/>
        <v>6.0100000000000001E-2</v>
      </c>
      <c r="CB9" s="977"/>
      <c r="CC9" s="977"/>
      <c r="CD9" s="977"/>
      <c r="CE9" s="978">
        <f t="shared" si="2"/>
        <v>6.0109999999999997E-2</v>
      </c>
      <c r="CF9" s="979"/>
      <c r="CG9" s="979"/>
      <c r="CH9" s="979"/>
      <c r="CI9" s="978">
        <f t="shared" si="3"/>
        <v>6.0100000000000001E-2</v>
      </c>
    </row>
    <row r="10" spans="1:87" s="25" customFormat="1" ht="108.75" customHeight="1" x14ac:dyDescent="0.3">
      <c r="A10" s="715" t="s">
        <v>635</v>
      </c>
      <c r="B10" s="1218" t="s">
        <v>448</v>
      </c>
      <c r="C10" s="1925"/>
      <c r="D10" s="735" t="s">
        <v>450</v>
      </c>
      <c r="E10" s="1539" t="s">
        <v>457</v>
      </c>
      <c r="F10" s="1534" t="s">
        <v>450</v>
      </c>
      <c r="G10" s="727" t="s">
        <v>309</v>
      </c>
      <c r="H10" s="728" t="s">
        <v>496</v>
      </c>
      <c r="I10" s="728" t="s">
        <v>497</v>
      </c>
      <c r="J10" s="1572">
        <v>0.08</v>
      </c>
      <c r="K10" s="1572">
        <v>5.4954999999999997E-2</v>
      </c>
      <c r="L10" s="1572">
        <v>2.5045000000000001E-2</v>
      </c>
      <c r="M10" s="845">
        <v>0</v>
      </c>
      <c r="N10" s="845">
        <v>2.5000000000000001E-2</v>
      </c>
      <c r="O10" s="736" t="s">
        <v>461</v>
      </c>
      <c r="P10" s="730">
        <v>0.5</v>
      </c>
      <c r="Q10" s="730">
        <v>0.15</v>
      </c>
      <c r="R10" s="831" t="s">
        <v>96</v>
      </c>
      <c r="S10" s="816" t="s">
        <v>513</v>
      </c>
      <c r="T10" s="1355">
        <v>120</v>
      </c>
      <c r="U10" s="816" t="s">
        <v>505</v>
      </c>
      <c r="V10" s="816" t="s">
        <v>85</v>
      </c>
      <c r="W10" s="816" t="s">
        <v>97</v>
      </c>
      <c r="X10" s="1355">
        <v>18</v>
      </c>
      <c r="Y10" s="1355" t="s">
        <v>501</v>
      </c>
      <c r="Z10" s="1355" t="s">
        <v>503</v>
      </c>
      <c r="AA10" s="1356">
        <v>100000</v>
      </c>
      <c r="AB10" s="816" t="s">
        <v>519</v>
      </c>
      <c r="AC10" s="869">
        <v>25</v>
      </c>
      <c r="AD10" s="869">
        <v>25</v>
      </c>
      <c r="AE10" s="1303">
        <v>50</v>
      </c>
      <c r="AF10" s="1298">
        <v>7.5</v>
      </c>
      <c r="AG10" s="1347">
        <v>17.5</v>
      </c>
      <c r="AH10" s="1348">
        <v>7.5</v>
      </c>
      <c r="AI10" s="870">
        <v>17.5</v>
      </c>
      <c r="AJ10" s="1267">
        <v>4.7591339155749637</v>
      </c>
      <c r="AK10" s="1267">
        <v>0.73599999999999999</v>
      </c>
      <c r="AL10" s="1267">
        <v>0</v>
      </c>
      <c r="AM10" s="1279">
        <v>5.4950000000000001</v>
      </c>
      <c r="AN10" s="1258">
        <v>5.4950000000000001</v>
      </c>
      <c r="AO10" s="1267">
        <v>0.36854048780487803</v>
      </c>
      <c r="AP10" s="1267">
        <v>2.0753619512195121</v>
      </c>
      <c r="AQ10" s="1267">
        <v>0</v>
      </c>
      <c r="AR10" s="1279">
        <v>2.4439024390243902</v>
      </c>
      <c r="AS10" s="1267">
        <v>0.37775399999999998</v>
      </c>
      <c r="AT10" s="1267">
        <v>2.127246</v>
      </c>
      <c r="AU10" s="1267">
        <v>0</v>
      </c>
      <c r="AV10" s="1288">
        <v>2.5049999999999999</v>
      </c>
      <c r="AW10" s="1258">
        <v>8</v>
      </c>
      <c r="AX10" s="1748" t="s">
        <v>579</v>
      </c>
      <c r="AY10" s="1749">
        <v>6.6000000000000003E-2</v>
      </c>
      <c r="AZ10" s="1173">
        <v>5.8000000000000017E-2</v>
      </c>
      <c r="BA10" s="1173">
        <v>5.2400000000000002E-2</v>
      </c>
      <c r="BB10" s="1188"/>
      <c r="BC10" s="923">
        <v>5.8000000000000017E-2</v>
      </c>
      <c r="BD10" s="985">
        <v>0.03</v>
      </c>
      <c r="BE10" s="985">
        <v>6.0000000000000331E-3</v>
      </c>
      <c r="BF10" s="940">
        <v>6.6000000000000003E-2</v>
      </c>
      <c r="BG10" s="923">
        <v>5.2400000000000002E-2</v>
      </c>
      <c r="BH10" s="985">
        <v>0.02</v>
      </c>
      <c r="BI10" s="984">
        <v>4.7999999999999996E-3</v>
      </c>
      <c r="BJ10" s="940">
        <v>6.6000000000000003E-2</v>
      </c>
      <c r="BK10" s="923">
        <v>5.2400000000000002E-2</v>
      </c>
      <c r="BL10" s="985">
        <v>0.02</v>
      </c>
      <c r="BM10" s="985">
        <v>4.7999999999999996E-3</v>
      </c>
      <c r="BN10" s="940">
        <v>6.6000000000000003E-2</v>
      </c>
      <c r="BO10" s="923">
        <v>5.2400000000000002E-2</v>
      </c>
      <c r="BP10" s="985">
        <v>3.3333333333333333E-2</v>
      </c>
      <c r="BQ10" s="985">
        <v>8.0000000000000002E-3</v>
      </c>
      <c r="BR10" s="940">
        <v>6.6000000000000003E-2</v>
      </c>
      <c r="BS10" s="923">
        <v>5.2400000000000002E-2</v>
      </c>
      <c r="BT10" s="985">
        <v>0.04</v>
      </c>
      <c r="BU10" s="985">
        <v>9.5999999999999992E-3</v>
      </c>
      <c r="BV10" s="844">
        <v>6.6000000000000003E-2</v>
      </c>
      <c r="BW10" s="977">
        <f t="shared" si="1"/>
        <v>5.2400000000000002E-2</v>
      </c>
      <c r="BX10" s="977"/>
      <c r="BY10" s="977"/>
      <c r="BZ10" s="977"/>
      <c r="CA10" s="977">
        <f t="shared" si="0"/>
        <v>5.2400000000000002E-2</v>
      </c>
      <c r="CB10" s="977"/>
      <c r="CC10" s="977"/>
      <c r="CD10" s="977"/>
      <c r="CE10" s="978">
        <f t="shared" si="2"/>
        <v>5.2400000000000002E-2</v>
      </c>
      <c r="CF10" s="979"/>
      <c r="CG10" s="979"/>
      <c r="CH10" s="979"/>
      <c r="CI10" s="978">
        <f t="shared" si="3"/>
        <v>5.2400000000000002E-2</v>
      </c>
    </row>
    <row r="11" spans="1:87" s="25" customFormat="1" ht="108.75" customHeight="1" thickBot="1" x14ac:dyDescent="0.35">
      <c r="A11" s="715" t="s">
        <v>635</v>
      </c>
      <c r="B11" s="1218" t="s">
        <v>448</v>
      </c>
      <c r="C11" s="1926"/>
      <c r="D11" s="737" t="s">
        <v>451</v>
      </c>
      <c r="E11" s="1540" t="s">
        <v>458</v>
      </c>
      <c r="F11" s="1535" t="s">
        <v>451</v>
      </c>
      <c r="G11" s="738" t="s">
        <v>309</v>
      </c>
      <c r="H11" s="739" t="s">
        <v>496</v>
      </c>
      <c r="I11" s="739" t="s">
        <v>497</v>
      </c>
      <c r="J11" s="1573">
        <v>0.1</v>
      </c>
      <c r="K11" s="1573">
        <v>6.5839999999999996E-2</v>
      </c>
      <c r="L11" s="1573">
        <v>3.4160000000000003E-2</v>
      </c>
      <c r="M11" s="846">
        <v>0</v>
      </c>
      <c r="N11" s="846">
        <v>2.5000000000000001E-2</v>
      </c>
      <c r="O11" s="740" t="s">
        <v>461</v>
      </c>
      <c r="P11" s="741">
        <v>0.5</v>
      </c>
      <c r="Q11" s="741">
        <v>0.15</v>
      </c>
      <c r="R11" s="832" t="s">
        <v>96</v>
      </c>
      <c r="S11" s="817" t="s">
        <v>514</v>
      </c>
      <c r="T11" s="1357">
        <v>120</v>
      </c>
      <c r="U11" s="817" t="s">
        <v>505</v>
      </c>
      <c r="V11" s="817" t="s">
        <v>85</v>
      </c>
      <c r="W11" s="817" t="s">
        <v>97</v>
      </c>
      <c r="X11" s="1357">
        <v>18</v>
      </c>
      <c r="Y11" s="1357" t="s">
        <v>501</v>
      </c>
      <c r="Z11" s="1357" t="s">
        <v>503</v>
      </c>
      <c r="AA11" s="1358">
        <v>100000</v>
      </c>
      <c r="AB11" s="817" t="s">
        <v>519</v>
      </c>
      <c r="AC11" s="871">
        <v>25</v>
      </c>
      <c r="AD11" s="871">
        <v>25</v>
      </c>
      <c r="AE11" s="1304">
        <v>50</v>
      </c>
      <c r="AF11" s="1299">
        <v>7.5</v>
      </c>
      <c r="AG11" s="1349">
        <v>17.5</v>
      </c>
      <c r="AH11" s="1350">
        <v>7.5</v>
      </c>
      <c r="AI11" s="872">
        <v>17.5</v>
      </c>
      <c r="AJ11" s="1268">
        <v>5.7010855999999999</v>
      </c>
      <c r="AK11" s="1268">
        <v>0.88291439999999988</v>
      </c>
      <c r="AL11" s="1268">
        <v>0</v>
      </c>
      <c r="AM11" s="1280">
        <v>6.5839999999999996</v>
      </c>
      <c r="AN11" s="1259">
        <v>7.4669143999999994</v>
      </c>
      <c r="AO11" s="1268">
        <v>0.31327379999999999</v>
      </c>
      <c r="AP11" s="1268">
        <v>3.0194261999999998</v>
      </c>
      <c r="AQ11" s="1268">
        <v>0</v>
      </c>
      <c r="AR11" s="1280">
        <v>3.3327</v>
      </c>
      <c r="AS11" s="1268">
        <v>0.321104</v>
      </c>
      <c r="AT11" s="1268">
        <v>3.0948960000000003</v>
      </c>
      <c r="AU11" s="1268">
        <v>0</v>
      </c>
      <c r="AV11" s="1289">
        <v>3.4160000000000004</v>
      </c>
      <c r="AW11" s="1259">
        <v>10</v>
      </c>
      <c r="AX11" s="1750" t="s">
        <v>580</v>
      </c>
      <c r="AY11" s="1751">
        <v>6.6000000000000003E-2</v>
      </c>
      <c r="AZ11" s="1174">
        <v>5.8000000000000017E-2</v>
      </c>
      <c r="BA11" s="1174">
        <v>5.2400000000000002E-2</v>
      </c>
      <c r="BB11" s="1189"/>
      <c r="BC11" s="966">
        <v>5.8000000000000017E-2</v>
      </c>
      <c r="BD11" s="1000">
        <v>0.03</v>
      </c>
      <c r="BE11" s="986">
        <v>6.0000000000000331E-3</v>
      </c>
      <c r="BF11" s="941">
        <v>6.6000000000000003E-2</v>
      </c>
      <c r="BG11" s="924">
        <v>5.2400000000000002E-2</v>
      </c>
      <c r="BH11" s="986">
        <v>0.02</v>
      </c>
      <c r="BI11" s="1000">
        <v>4.7999999999999996E-3</v>
      </c>
      <c r="BJ11" s="941">
        <v>6.6000000000000003E-2</v>
      </c>
      <c r="BK11" s="924">
        <v>5.2400000000000002E-2</v>
      </c>
      <c r="BL11" s="986">
        <v>0.02</v>
      </c>
      <c r="BM11" s="986">
        <v>4.7999999999999996E-3</v>
      </c>
      <c r="BN11" s="941">
        <v>6.6000000000000003E-2</v>
      </c>
      <c r="BO11" s="924">
        <v>5.2400000000000002E-2</v>
      </c>
      <c r="BP11" s="986">
        <v>3.3333333333333333E-2</v>
      </c>
      <c r="BQ11" s="986">
        <v>8.0000000000000002E-3</v>
      </c>
      <c r="BR11" s="941">
        <v>6.6000000000000003E-2</v>
      </c>
      <c r="BS11" s="924">
        <v>5.2400000000000002E-2</v>
      </c>
      <c r="BT11" s="986">
        <v>0.04</v>
      </c>
      <c r="BU11" s="986">
        <v>9.5999999999999992E-3</v>
      </c>
      <c r="BV11" s="917">
        <v>6.6000000000000003E-2</v>
      </c>
      <c r="BW11" s="977">
        <f t="shared" si="1"/>
        <v>5.2400000000000002E-2</v>
      </c>
      <c r="BX11" s="977"/>
      <c r="BY11" s="977"/>
      <c r="BZ11" s="977"/>
      <c r="CA11" s="977">
        <f t="shared" si="0"/>
        <v>5.2400000000000002E-2</v>
      </c>
      <c r="CB11" s="977"/>
      <c r="CC11" s="977"/>
      <c r="CD11" s="977"/>
      <c r="CE11" s="978">
        <f t="shared" si="2"/>
        <v>5.2400000000000002E-2</v>
      </c>
      <c r="CF11" s="979"/>
      <c r="CG11" s="979"/>
      <c r="CH11" s="979"/>
      <c r="CI11" s="978">
        <f t="shared" si="3"/>
        <v>5.2400000000000002E-2</v>
      </c>
    </row>
    <row r="12" spans="1:87" s="25" customFormat="1" ht="108.75" customHeight="1" x14ac:dyDescent="0.3">
      <c r="A12" s="715" t="s">
        <v>635</v>
      </c>
      <c r="B12" s="1218" t="s">
        <v>448</v>
      </c>
      <c r="C12" s="1927" t="s">
        <v>135</v>
      </c>
      <c r="D12" s="1528" t="s">
        <v>462</v>
      </c>
      <c r="E12" s="1529" t="s">
        <v>466</v>
      </c>
      <c r="F12" s="1525" t="s">
        <v>462</v>
      </c>
      <c r="G12" s="756" t="s">
        <v>309</v>
      </c>
      <c r="H12" s="757" t="s">
        <v>496</v>
      </c>
      <c r="I12" s="757" t="s">
        <v>497</v>
      </c>
      <c r="J12" s="1574">
        <v>3.5000000000000003E-2</v>
      </c>
      <c r="K12" s="1574">
        <v>2.1826999999999999E-2</v>
      </c>
      <c r="L12" s="1574">
        <v>1.3173000000000001E-2</v>
      </c>
      <c r="M12" s="847">
        <v>0</v>
      </c>
      <c r="N12" s="847">
        <v>2.5000000000000001E-2</v>
      </c>
      <c r="O12" s="758" t="s">
        <v>461</v>
      </c>
      <c r="P12" s="759">
        <v>0.5</v>
      </c>
      <c r="Q12" s="759">
        <v>0.15</v>
      </c>
      <c r="R12" s="833" t="s">
        <v>96</v>
      </c>
      <c r="S12" s="784" t="s">
        <v>506</v>
      </c>
      <c r="T12" s="1359">
        <v>120</v>
      </c>
      <c r="U12" s="784" t="s">
        <v>505</v>
      </c>
      <c r="V12" s="784" t="s">
        <v>85</v>
      </c>
      <c r="W12" s="784" t="s">
        <v>97</v>
      </c>
      <c r="X12" s="1359">
        <v>18</v>
      </c>
      <c r="Y12" s="1359" t="s">
        <v>501</v>
      </c>
      <c r="Z12" s="1359" t="s">
        <v>502</v>
      </c>
      <c r="AA12" s="1360">
        <v>100000</v>
      </c>
      <c r="AB12" s="784" t="s">
        <v>519</v>
      </c>
      <c r="AC12" s="873">
        <v>25</v>
      </c>
      <c r="AD12" s="873">
        <v>25</v>
      </c>
      <c r="AE12" s="1305">
        <v>50</v>
      </c>
      <c r="AF12" s="1300">
        <v>7.5</v>
      </c>
      <c r="AG12" s="1343">
        <v>17.5</v>
      </c>
      <c r="AH12" s="1344">
        <v>7.5</v>
      </c>
      <c r="AI12" s="874">
        <v>17.5</v>
      </c>
      <c r="AJ12" s="1266">
        <v>1.891</v>
      </c>
      <c r="AK12" s="1266">
        <v>0.29199999999999998</v>
      </c>
      <c r="AL12" s="1266">
        <v>0</v>
      </c>
      <c r="AM12" s="1278">
        <v>2.1829999999999998</v>
      </c>
      <c r="AN12" s="1257">
        <v>2.1829999999999998</v>
      </c>
      <c r="AO12" s="1266">
        <v>0.12617502439024389</v>
      </c>
      <c r="AP12" s="1266">
        <v>1.1587030243902441</v>
      </c>
      <c r="AQ12" s="1266">
        <v>0</v>
      </c>
      <c r="AR12" s="1278">
        <v>1.2848780487804881</v>
      </c>
      <c r="AS12" s="1266">
        <v>0.12932939999999998</v>
      </c>
      <c r="AT12" s="1266">
        <v>1.1876705999999999</v>
      </c>
      <c r="AU12" s="1266">
        <v>0</v>
      </c>
      <c r="AV12" s="1287">
        <v>1.3169999999999999</v>
      </c>
      <c r="AW12" s="1257">
        <v>3.5</v>
      </c>
      <c r="AX12" s="1755" t="s">
        <v>581</v>
      </c>
      <c r="AY12" s="1752">
        <v>9.5000000000000001E-2</v>
      </c>
      <c r="AZ12" s="1175">
        <v>8.700000000000005E-2</v>
      </c>
      <c r="BA12" s="1175">
        <v>8.14E-2</v>
      </c>
      <c r="BB12" s="1187"/>
      <c r="BC12" s="925">
        <v>8.700000000000005E-2</v>
      </c>
      <c r="BD12" s="987">
        <v>0.03</v>
      </c>
      <c r="BE12" s="987">
        <v>6.4000000000000085E-2</v>
      </c>
      <c r="BF12" s="942">
        <v>9.5000000000000001E-2</v>
      </c>
      <c r="BG12" s="925">
        <v>8.14E-2</v>
      </c>
      <c r="BH12" s="987">
        <v>0.02</v>
      </c>
      <c r="BI12" s="987">
        <v>6.2799999999999995E-2</v>
      </c>
      <c r="BJ12" s="942">
        <v>9.5000000000000001E-2</v>
      </c>
      <c r="BK12" s="925">
        <v>8.14E-2</v>
      </c>
      <c r="BL12" s="987">
        <v>0.02</v>
      </c>
      <c r="BM12" s="987">
        <v>6.2799999999999995E-2</v>
      </c>
      <c r="BN12" s="942">
        <v>9.5000000000000001E-2</v>
      </c>
      <c r="BO12" s="925">
        <v>8.141000000000001E-2</v>
      </c>
      <c r="BP12" s="987">
        <v>3.3333333333333333E-2</v>
      </c>
      <c r="BQ12" s="987">
        <v>0.1047</v>
      </c>
      <c r="BR12" s="942">
        <v>9.5000000000000001E-2</v>
      </c>
      <c r="BS12" s="925">
        <v>8.14E-2</v>
      </c>
      <c r="BT12" s="987">
        <v>0.04</v>
      </c>
      <c r="BU12" s="987">
        <v>0.12559999999999999</v>
      </c>
      <c r="BV12" s="907">
        <v>9.5000000000000001E-2</v>
      </c>
      <c r="BW12" s="977">
        <f t="shared" si="1"/>
        <v>8.14E-2</v>
      </c>
      <c r="BX12" s="977"/>
      <c r="BY12" s="977"/>
      <c r="BZ12" s="977"/>
      <c r="CA12" s="977">
        <f t="shared" si="0"/>
        <v>8.14E-2</v>
      </c>
      <c r="CB12" s="977"/>
      <c r="CC12" s="977"/>
      <c r="CD12" s="977"/>
      <c r="CE12" s="978">
        <f t="shared" si="2"/>
        <v>8.141000000000001E-2</v>
      </c>
      <c r="CF12" s="979"/>
      <c r="CG12" s="979"/>
      <c r="CH12" s="979"/>
      <c r="CI12" s="978">
        <f t="shared" si="3"/>
        <v>8.14E-2</v>
      </c>
    </row>
    <row r="13" spans="1:87" s="25" customFormat="1" ht="108.75" customHeight="1" x14ac:dyDescent="0.3">
      <c r="A13" s="715" t="s">
        <v>635</v>
      </c>
      <c r="B13" s="1218" t="s">
        <v>448</v>
      </c>
      <c r="C13" s="1928"/>
      <c r="D13" s="755" t="s">
        <v>463</v>
      </c>
      <c r="E13" s="1530" t="s">
        <v>467</v>
      </c>
      <c r="F13" s="1526" t="s">
        <v>463</v>
      </c>
      <c r="G13" s="760" t="s">
        <v>309</v>
      </c>
      <c r="H13" s="761" t="s">
        <v>496</v>
      </c>
      <c r="I13" s="761" t="s">
        <v>497</v>
      </c>
      <c r="J13" s="1575">
        <v>4.4999999999999998E-2</v>
      </c>
      <c r="K13" s="1575">
        <v>2.8063000000000001E-2</v>
      </c>
      <c r="L13" s="1575">
        <v>1.6937000000000001E-2</v>
      </c>
      <c r="M13" s="848">
        <v>0</v>
      </c>
      <c r="N13" s="848">
        <v>2.5000000000000001E-2</v>
      </c>
      <c r="O13" s="762" t="s">
        <v>461</v>
      </c>
      <c r="P13" s="763">
        <v>0.5</v>
      </c>
      <c r="Q13" s="763">
        <v>0.15</v>
      </c>
      <c r="R13" s="833" t="s">
        <v>96</v>
      </c>
      <c r="S13" s="818" t="s">
        <v>507</v>
      </c>
      <c r="T13" s="1361">
        <v>120</v>
      </c>
      <c r="U13" s="818" t="s">
        <v>505</v>
      </c>
      <c r="V13" s="818" t="s">
        <v>85</v>
      </c>
      <c r="W13" s="818" t="s">
        <v>97</v>
      </c>
      <c r="X13" s="1361">
        <v>18</v>
      </c>
      <c r="Y13" s="1361" t="s">
        <v>501</v>
      </c>
      <c r="Z13" s="1361" t="s">
        <v>502</v>
      </c>
      <c r="AA13" s="1362">
        <v>100000</v>
      </c>
      <c r="AB13" s="818" t="s">
        <v>519</v>
      </c>
      <c r="AC13" s="875">
        <v>25</v>
      </c>
      <c r="AD13" s="875">
        <v>25</v>
      </c>
      <c r="AE13" s="1306">
        <v>50</v>
      </c>
      <c r="AF13" s="1301">
        <v>7.5</v>
      </c>
      <c r="AG13" s="1306">
        <v>17.5</v>
      </c>
      <c r="AH13" s="1301">
        <v>7.5</v>
      </c>
      <c r="AI13" s="876">
        <v>17.5</v>
      </c>
      <c r="AJ13" s="1267">
        <v>2.4300000000000002</v>
      </c>
      <c r="AK13" s="1267">
        <v>0.376</v>
      </c>
      <c r="AL13" s="1267">
        <v>0</v>
      </c>
      <c r="AM13" s="1279">
        <v>2.806</v>
      </c>
      <c r="AN13" s="1258">
        <v>2.806</v>
      </c>
      <c r="AO13" s="1267">
        <v>0.16229346341463416</v>
      </c>
      <c r="AP13" s="1267">
        <v>1.4903894634146344</v>
      </c>
      <c r="AQ13" s="1267">
        <v>0</v>
      </c>
      <c r="AR13" s="1279">
        <v>1.6526829268292687</v>
      </c>
      <c r="AS13" s="1267">
        <v>0.16635079999999999</v>
      </c>
      <c r="AT13" s="1267">
        <v>1.5276491999999999</v>
      </c>
      <c r="AU13" s="1267">
        <v>0</v>
      </c>
      <c r="AV13" s="1288">
        <v>1.694</v>
      </c>
      <c r="AW13" s="1258">
        <v>4.5</v>
      </c>
      <c r="AX13" s="1756" t="s">
        <v>582</v>
      </c>
      <c r="AY13" s="1753">
        <v>7.2999999999999995E-2</v>
      </c>
      <c r="AZ13" s="1176">
        <v>6.500000000000003E-2</v>
      </c>
      <c r="BA13" s="1176">
        <v>5.9400000000000001E-2</v>
      </c>
      <c r="BB13" s="1188"/>
      <c r="BC13" s="926">
        <v>6.500000000000003E-2</v>
      </c>
      <c r="BD13" s="988">
        <v>0.03</v>
      </c>
      <c r="BE13" s="988">
        <v>2.0000000000000046E-2</v>
      </c>
      <c r="BF13" s="943">
        <v>7.2999999999999995E-2</v>
      </c>
      <c r="BG13" s="926">
        <v>5.9400000000000001E-2</v>
      </c>
      <c r="BH13" s="988">
        <v>0.02</v>
      </c>
      <c r="BI13" s="988">
        <v>1.8800000000000001E-2</v>
      </c>
      <c r="BJ13" s="943">
        <v>7.2999999999999995E-2</v>
      </c>
      <c r="BK13" s="926">
        <v>5.9400000000000001E-2</v>
      </c>
      <c r="BL13" s="988">
        <v>0.02</v>
      </c>
      <c r="BM13" s="988">
        <v>1.8800000000000001E-2</v>
      </c>
      <c r="BN13" s="943">
        <v>7.2999999999999995E-2</v>
      </c>
      <c r="BO13" s="926">
        <v>5.9389999999999998E-2</v>
      </c>
      <c r="BP13" s="988">
        <v>3.3333333333333333E-2</v>
      </c>
      <c r="BQ13" s="988">
        <v>3.1300000000000001E-2</v>
      </c>
      <c r="BR13" s="943">
        <v>7.2999999999999995E-2</v>
      </c>
      <c r="BS13" s="926">
        <v>5.9400000000000001E-2</v>
      </c>
      <c r="BT13" s="988">
        <v>0.04</v>
      </c>
      <c r="BU13" s="988">
        <v>3.7600000000000001E-2</v>
      </c>
      <c r="BV13" s="908">
        <v>7.2999999999999995E-2</v>
      </c>
      <c r="BW13" s="977">
        <f t="shared" si="1"/>
        <v>5.9400000000000001E-2</v>
      </c>
      <c r="BX13" s="977"/>
      <c r="BY13" s="977"/>
      <c r="BZ13" s="977"/>
      <c r="CA13" s="977">
        <f t="shared" si="0"/>
        <v>5.9400000000000001E-2</v>
      </c>
      <c r="CB13" s="977"/>
      <c r="CC13" s="977"/>
      <c r="CD13" s="977"/>
      <c r="CE13" s="978">
        <f t="shared" si="2"/>
        <v>5.9389999999999998E-2</v>
      </c>
      <c r="CF13" s="979"/>
      <c r="CG13" s="979"/>
      <c r="CH13" s="979"/>
      <c r="CI13" s="978">
        <f t="shared" si="3"/>
        <v>5.9400000000000001E-2</v>
      </c>
    </row>
    <row r="14" spans="1:87" s="25" customFormat="1" ht="108.75" customHeight="1" x14ac:dyDescent="0.3">
      <c r="A14" s="715" t="s">
        <v>635</v>
      </c>
      <c r="B14" s="1218" t="s">
        <v>448</v>
      </c>
      <c r="C14" s="1928"/>
      <c r="D14" s="755" t="s">
        <v>464</v>
      </c>
      <c r="E14" s="1530" t="s">
        <v>468</v>
      </c>
      <c r="F14" s="1526" t="s">
        <v>464</v>
      </c>
      <c r="G14" s="760" t="s">
        <v>309</v>
      </c>
      <c r="H14" s="761" t="s">
        <v>496</v>
      </c>
      <c r="I14" s="761" t="s">
        <v>497</v>
      </c>
      <c r="J14" s="1575">
        <v>0.06</v>
      </c>
      <c r="K14" s="1575">
        <v>3.7416999999999999E-2</v>
      </c>
      <c r="L14" s="1575">
        <v>2.2582999999999999E-2</v>
      </c>
      <c r="M14" s="848">
        <v>0</v>
      </c>
      <c r="N14" s="848">
        <v>2.5000000000000001E-2</v>
      </c>
      <c r="O14" s="764" t="s">
        <v>461</v>
      </c>
      <c r="P14" s="763">
        <v>0.5</v>
      </c>
      <c r="Q14" s="763">
        <v>0.15</v>
      </c>
      <c r="R14" s="833" t="s">
        <v>96</v>
      </c>
      <c r="S14" s="818" t="s">
        <v>508</v>
      </c>
      <c r="T14" s="1361">
        <v>120</v>
      </c>
      <c r="U14" s="818" t="s">
        <v>505</v>
      </c>
      <c r="V14" s="818" t="s">
        <v>85</v>
      </c>
      <c r="W14" s="818" t="s">
        <v>97</v>
      </c>
      <c r="X14" s="1361">
        <v>18</v>
      </c>
      <c r="Y14" s="1361" t="s">
        <v>501</v>
      </c>
      <c r="Z14" s="1361" t="s">
        <v>502</v>
      </c>
      <c r="AA14" s="1362">
        <v>100000</v>
      </c>
      <c r="AB14" s="818" t="s">
        <v>519</v>
      </c>
      <c r="AC14" s="875">
        <v>25</v>
      </c>
      <c r="AD14" s="875">
        <v>25</v>
      </c>
      <c r="AE14" s="1306">
        <v>50</v>
      </c>
      <c r="AF14" s="1301">
        <v>7.5</v>
      </c>
      <c r="AG14" s="1345">
        <v>17.5</v>
      </c>
      <c r="AH14" s="1346">
        <v>7.5</v>
      </c>
      <c r="AI14" s="876">
        <v>17.5</v>
      </c>
      <c r="AJ14" s="1267">
        <v>3.2410000000000001</v>
      </c>
      <c r="AK14" s="1267">
        <v>0.501</v>
      </c>
      <c r="AL14" s="1267">
        <v>0</v>
      </c>
      <c r="AM14" s="1279">
        <v>3.742</v>
      </c>
      <c r="AN14" s="1258">
        <v>3.742</v>
      </c>
      <c r="AO14" s="1267">
        <v>0.21632741463414634</v>
      </c>
      <c r="AP14" s="1267">
        <v>1.9865994146341466</v>
      </c>
      <c r="AQ14" s="1267">
        <v>0</v>
      </c>
      <c r="AR14" s="1279">
        <v>2.2029268292682929</v>
      </c>
      <c r="AS14" s="1267">
        <v>0.22173559999999998</v>
      </c>
      <c r="AT14" s="1267">
        <v>2.0362644000000003</v>
      </c>
      <c r="AU14" s="1267">
        <v>0</v>
      </c>
      <c r="AV14" s="1288">
        <v>2.258</v>
      </c>
      <c r="AW14" s="1258">
        <v>6</v>
      </c>
      <c r="AX14" s="1756" t="s">
        <v>583</v>
      </c>
      <c r="AY14" s="1753">
        <v>6.5000000000000002E-2</v>
      </c>
      <c r="AZ14" s="1176">
        <v>5.7000000000000016E-2</v>
      </c>
      <c r="BA14" s="1176">
        <v>5.1400000000000001E-2</v>
      </c>
      <c r="BB14" s="1188"/>
      <c r="BC14" s="926">
        <v>5.7000000000000016E-2</v>
      </c>
      <c r="BD14" s="988">
        <v>0.03</v>
      </c>
      <c r="BE14" s="988">
        <v>4.0000000000000313E-3</v>
      </c>
      <c r="BF14" s="943">
        <v>6.5000000000000002E-2</v>
      </c>
      <c r="BG14" s="926">
        <v>5.1400000000000001E-2</v>
      </c>
      <c r="BH14" s="988">
        <v>0.02</v>
      </c>
      <c r="BI14" s="988">
        <v>2.8E-3</v>
      </c>
      <c r="BJ14" s="943">
        <v>6.5000000000000002E-2</v>
      </c>
      <c r="BK14" s="926">
        <v>5.1400000000000001E-2</v>
      </c>
      <c r="BL14" s="988">
        <v>0.02</v>
      </c>
      <c r="BM14" s="988">
        <v>2.8E-3</v>
      </c>
      <c r="BN14" s="943">
        <v>6.5000000000000002E-2</v>
      </c>
      <c r="BO14" s="926">
        <v>5.1409999999999997E-2</v>
      </c>
      <c r="BP14" s="988">
        <v>3.3333333333333333E-2</v>
      </c>
      <c r="BQ14" s="988">
        <v>4.7000000000000002E-3</v>
      </c>
      <c r="BR14" s="943">
        <v>6.5000000000000002E-2</v>
      </c>
      <c r="BS14" s="926">
        <v>5.1400000000000001E-2</v>
      </c>
      <c r="BT14" s="988">
        <v>0.04</v>
      </c>
      <c r="BU14" s="988">
        <v>5.5999999999999999E-3</v>
      </c>
      <c r="BV14" s="908">
        <v>6.5000000000000002E-2</v>
      </c>
      <c r="BW14" s="977">
        <f t="shared" si="1"/>
        <v>5.1400000000000001E-2</v>
      </c>
      <c r="BX14" s="977"/>
      <c r="BY14" s="977"/>
      <c r="BZ14" s="977"/>
      <c r="CA14" s="977">
        <f t="shared" si="0"/>
        <v>5.1400000000000001E-2</v>
      </c>
      <c r="CB14" s="977"/>
      <c r="CC14" s="977"/>
      <c r="CD14" s="977"/>
      <c r="CE14" s="978">
        <f t="shared" si="2"/>
        <v>5.1409999999999997E-2</v>
      </c>
      <c r="CF14" s="979"/>
      <c r="CG14" s="979"/>
      <c r="CH14" s="979"/>
      <c r="CI14" s="978">
        <f t="shared" si="3"/>
        <v>5.1400000000000001E-2</v>
      </c>
    </row>
    <row r="15" spans="1:87" s="25" customFormat="1" ht="108.75" customHeight="1" thickBot="1" x14ac:dyDescent="0.35">
      <c r="A15" s="715" t="s">
        <v>635</v>
      </c>
      <c r="B15" s="1218" t="s">
        <v>448</v>
      </c>
      <c r="C15" s="1929"/>
      <c r="D15" s="765" t="s">
        <v>465</v>
      </c>
      <c r="E15" s="1531" t="s">
        <v>469</v>
      </c>
      <c r="F15" s="1527" t="s">
        <v>465</v>
      </c>
      <c r="G15" s="766" t="s">
        <v>309</v>
      </c>
      <c r="H15" s="767" t="s">
        <v>496</v>
      </c>
      <c r="I15" s="767" t="s">
        <v>497</v>
      </c>
      <c r="J15" s="1576">
        <v>0.08</v>
      </c>
      <c r="K15" s="1576">
        <v>4.9889000000000003E-2</v>
      </c>
      <c r="L15" s="1576">
        <v>3.0110999999999999E-2</v>
      </c>
      <c r="M15" s="849">
        <v>0</v>
      </c>
      <c r="N15" s="849">
        <v>2.5000000000000001E-2</v>
      </c>
      <c r="O15" s="768" t="s">
        <v>461</v>
      </c>
      <c r="P15" s="769">
        <v>0.5</v>
      </c>
      <c r="Q15" s="769">
        <v>0.15</v>
      </c>
      <c r="R15" s="834" t="s">
        <v>96</v>
      </c>
      <c r="S15" s="785" t="s">
        <v>509</v>
      </c>
      <c r="T15" s="1363">
        <v>120</v>
      </c>
      <c r="U15" s="785" t="s">
        <v>505</v>
      </c>
      <c r="V15" s="785" t="s">
        <v>85</v>
      </c>
      <c r="W15" s="785" t="s">
        <v>97</v>
      </c>
      <c r="X15" s="1363">
        <v>18</v>
      </c>
      <c r="Y15" s="1363" t="s">
        <v>501</v>
      </c>
      <c r="Z15" s="1363" t="s">
        <v>502</v>
      </c>
      <c r="AA15" s="1364">
        <v>100000</v>
      </c>
      <c r="AB15" s="785" t="s">
        <v>519</v>
      </c>
      <c r="AC15" s="877">
        <v>25</v>
      </c>
      <c r="AD15" s="877">
        <v>25</v>
      </c>
      <c r="AE15" s="1312">
        <v>50</v>
      </c>
      <c r="AF15" s="1307">
        <v>7.5</v>
      </c>
      <c r="AG15" s="1312">
        <v>17.5</v>
      </c>
      <c r="AH15" s="1307">
        <v>7.5</v>
      </c>
      <c r="AI15" s="878">
        <v>17.5</v>
      </c>
      <c r="AJ15" s="1268">
        <v>4.3209999999999997</v>
      </c>
      <c r="AK15" s="1268">
        <v>0.66800000000000004</v>
      </c>
      <c r="AL15" s="1268">
        <v>0</v>
      </c>
      <c r="AM15" s="1280">
        <v>4.9889999999999999</v>
      </c>
      <c r="AN15" s="1259">
        <v>4.9889999999999999</v>
      </c>
      <c r="AO15" s="1268">
        <v>0.28846848780487805</v>
      </c>
      <c r="AP15" s="1268">
        <v>2.6490924878048787</v>
      </c>
      <c r="AQ15" s="1268">
        <v>0</v>
      </c>
      <c r="AR15" s="1280">
        <v>2.9375609756097569</v>
      </c>
      <c r="AS15" s="1268">
        <v>0.2956802</v>
      </c>
      <c r="AT15" s="1268">
        <v>2.7153198000000001</v>
      </c>
      <c r="AU15" s="1268">
        <v>0</v>
      </c>
      <c r="AV15" s="1289">
        <v>3.0110000000000001</v>
      </c>
      <c r="AW15" s="1259">
        <v>8</v>
      </c>
      <c r="AX15" s="1757" t="s">
        <v>584</v>
      </c>
      <c r="AY15" s="1754">
        <v>6.5000000000000002E-2</v>
      </c>
      <c r="AZ15" s="1177">
        <v>5.7000000000000016E-2</v>
      </c>
      <c r="BA15" s="1177">
        <v>5.1400000000000001E-2</v>
      </c>
      <c r="BB15" s="1189"/>
      <c r="BC15" s="927">
        <v>5.7000000000000016E-2</v>
      </c>
      <c r="BD15" s="989">
        <v>0.03</v>
      </c>
      <c r="BE15" s="989">
        <v>4.0000000000000313E-3</v>
      </c>
      <c r="BF15" s="944">
        <v>6.5000000000000002E-2</v>
      </c>
      <c r="BG15" s="927">
        <v>5.1400000000000001E-2</v>
      </c>
      <c r="BH15" s="989">
        <v>0.02</v>
      </c>
      <c r="BI15" s="989">
        <v>2.8E-3</v>
      </c>
      <c r="BJ15" s="944">
        <v>6.5000000000000002E-2</v>
      </c>
      <c r="BK15" s="927">
        <v>5.1400000000000001E-2</v>
      </c>
      <c r="BL15" s="989">
        <v>0.02</v>
      </c>
      <c r="BM15" s="989">
        <v>2.8E-3</v>
      </c>
      <c r="BN15" s="944">
        <v>6.5000000000000002E-2</v>
      </c>
      <c r="BO15" s="927">
        <v>5.1409999999999997E-2</v>
      </c>
      <c r="BP15" s="989">
        <v>3.3333333333333333E-2</v>
      </c>
      <c r="BQ15" s="989">
        <v>4.7000000000000002E-3</v>
      </c>
      <c r="BR15" s="944">
        <v>6.5000000000000002E-2</v>
      </c>
      <c r="BS15" s="927">
        <v>5.1400000000000001E-2</v>
      </c>
      <c r="BT15" s="989">
        <v>0.04</v>
      </c>
      <c r="BU15" s="989">
        <v>5.5999999999999999E-3</v>
      </c>
      <c r="BV15" s="909">
        <v>6.5000000000000002E-2</v>
      </c>
      <c r="BW15" s="1694">
        <f t="shared" si="1"/>
        <v>5.1400000000000001E-2</v>
      </c>
      <c r="BX15" s="977"/>
      <c r="BY15" s="977"/>
      <c r="BZ15" s="977"/>
      <c r="CA15" s="977">
        <f t="shared" si="0"/>
        <v>5.1400000000000001E-2</v>
      </c>
      <c r="CB15" s="977"/>
      <c r="CC15" s="977"/>
      <c r="CD15" s="977"/>
      <c r="CE15" s="978">
        <f t="shared" si="2"/>
        <v>5.1409999999999997E-2</v>
      </c>
      <c r="CF15" s="979"/>
      <c r="CG15" s="979"/>
      <c r="CH15" s="979"/>
      <c r="CI15" s="978">
        <f t="shared" si="3"/>
        <v>5.1400000000000001E-2</v>
      </c>
    </row>
    <row r="16" spans="1:87" s="25" customFormat="1" ht="108.75" customHeight="1" x14ac:dyDescent="0.3">
      <c r="A16" s="715" t="s">
        <v>635</v>
      </c>
      <c r="B16" s="1218" t="s">
        <v>448</v>
      </c>
      <c r="C16" s="1933" t="s">
        <v>476</v>
      </c>
      <c r="D16" s="1111" t="s">
        <v>477</v>
      </c>
      <c r="E16" s="1522" t="s">
        <v>480</v>
      </c>
      <c r="F16" s="1519" t="s">
        <v>477</v>
      </c>
      <c r="G16" s="743"/>
      <c r="H16" s="744" t="s">
        <v>494</v>
      </c>
      <c r="I16" s="744" t="s">
        <v>495</v>
      </c>
      <c r="J16" s="1577">
        <v>6.9000000000000006E-2</v>
      </c>
      <c r="K16" s="1577">
        <v>4.4179999999999997E-2</v>
      </c>
      <c r="L16" s="1577">
        <v>2.4819999999999998E-2</v>
      </c>
      <c r="M16" s="850">
        <v>0</v>
      </c>
      <c r="N16" s="850">
        <v>2.5000000000000001E-2</v>
      </c>
      <c r="O16" s="750" t="s">
        <v>461</v>
      </c>
      <c r="P16" s="745">
        <v>0.5</v>
      </c>
      <c r="Q16" s="745">
        <v>0.15</v>
      </c>
      <c r="R16" s="835" t="s">
        <v>96</v>
      </c>
      <c r="S16" s="819" t="s">
        <v>515</v>
      </c>
      <c r="T16" s="1365">
        <v>120</v>
      </c>
      <c r="U16" s="819" t="s">
        <v>505</v>
      </c>
      <c r="V16" s="819" t="s">
        <v>85</v>
      </c>
      <c r="W16" s="819" t="s">
        <v>97</v>
      </c>
      <c r="X16" s="1365">
        <v>18</v>
      </c>
      <c r="Y16" s="1365" t="s">
        <v>501</v>
      </c>
      <c r="Z16" s="1365" t="s">
        <v>504</v>
      </c>
      <c r="AA16" s="1366">
        <v>100000</v>
      </c>
      <c r="AB16" s="819" t="s">
        <v>521</v>
      </c>
      <c r="AC16" s="879">
        <v>25</v>
      </c>
      <c r="AD16" s="879">
        <v>25</v>
      </c>
      <c r="AE16" s="1313">
        <v>50</v>
      </c>
      <c r="AF16" s="1308">
        <v>7.5</v>
      </c>
      <c r="AG16" s="1341">
        <v>17.5</v>
      </c>
      <c r="AH16" s="1342">
        <v>7.5</v>
      </c>
      <c r="AI16" s="880">
        <v>17.5</v>
      </c>
      <c r="AJ16" s="1269">
        <v>3.8079000000000002E-2</v>
      </c>
      <c r="AK16" s="1269">
        <v>6.1009999999999997E-3</v>
      </c>
      <c r="AL16" s="1270">
        <v>0</v>
      </c>
      <c r="AM16" s="1281">
        <v>4.4180000000000004E-2</v>
      </c>
      <c r="AN16" s="1260">
        <v>4.4180000000000004E-2</v>
      </c>
      <c r="AO16" s="1269">
        <v>1.5014634146341464E-3</v>
      </c>
      <c r="AP16" s="1269">
        <v>2.0741463414634148E-2</v>
      </c>
      <c r="AQ16" s="1269">
        <v>1.9717073170731707E-3</v>
      </c>
      <c r="AR16" s="1281">
        <v>2.4214634146341465E-2</v>
      </c>
      <c r="AS16" s="1269">
        <v>1.539E-3</v>
      </c>
      <c r="AT16" s="1269">
        <v>2.1260000000000001E-2</v>
      </c>
      <c r="AU16" s="901">
        <v>2.0209999999999998E-3</v>
      </c>
      <c r="AV16" s="1290">
        <v>2.4819999999999998E-2</v>
      </c>
      <c r="AW16" s="1260">
        <v>6.9000000000000006E-2</v>
      </c>
      <c r="AX16" s="1761" t="s">
        <v>585</v>
      </c>
      <c r="AY16" s="1758">
        <v>5.7999999999999996E-2</v>
      </c>
      <c r="AZ16" s="1636">
        <v>0</v>
      </c>
      <c r="BA16" s="1681">
        <f>IF('Refund calculator (Other) - NEW'!$C$10&gt;=DATE(2015,11,1),'Product Map'!BO16,IF('Refund calculator (Other) - NEW'!$C$10&gt;=DATE(2015,4,1),'Product Map'!BK16,0%))</f>
        <v>7.7999999999999986E-2</v>
      </c>
      <c r="BB16" s="1187"/>
      <c r="BC16" s="967"/>
      <c r="BD16" s="1004"/>
      <c r="BE16" s="1001"/>
      <c r="BF16" s="945"/>
      <c r="BG16" s="928"/>
      <c r="BH16" s="1001"/>
      <c r="BI16" s="1001"/>
      <c r="BJ16" s="945"/>
      <c r="BK16" s="1687">
        <v>7.9666666666666663E-2</v>
      </c>
      <c r="BL16" s="990">
        <v>3.3333333333333333E-2</v>
      </c>
      <c r="BM16" s="990">
        <v>4.5999999999999999E-2</v>
      </c>
      <c r="BN16" s="961">
        <v>5.7999999999999996E-2</v>
      </c>
      <c r="BO16" s="958">
        <v>7.7999999999999986E-2</v>
      </c>
      <c r="BP16" s="990">
        <v>3.3333333333333333E-2</v>
      </c>
      <c r="BQ16" s="990">
        <v>9.3333333333333324E-2</v>
      </c>
      <c r="BR16" s="961">
        <v>5.7999999999999996E-2</v>
      </c>
      <c r="BS16" s="958">
        <v>7.8E-2</v>
      </c>
      <c r="BT16" s="990">
        <v>0.04</v>
      </c>
      <c r="BU16" s="990">
        <v>0.11199999999999999</v>
      </c>
      <c r="BV16" s="954">
        <v>5.7999999999999996E-2</v>
      </c>
      <c r="BW16" s="1694">
        <f t="shared" si="1"/>
        <v>0.04</v>
      </c>
      <c r="BX16" s="977"/>
      <c r="BY16" s="977"/>
      <c r="BZ16" s="977"/>
      <c r="CA16" s="977">
        <f t="shared" si="0"/>
        <v>7.9666666666666663E-2</v>
      </c>
      <c r="CB16" s="977"/>
      <c r="CC16" s="977"/>
      <c r="CD16" s="977"/>
      <c r="CE16" s="978">
        <f t="shared" si="2"/>
        <v>7.7999999999999986E-2</v>
      </c>
      <c r="CF16" s="979"/>
      <c r="CG16" s="979"/>
      <c r="CH16" s="979"/>
      <c r="CI16" s="978">
        <f t="shared" si="3"/>
        <v>7.8E-2</v>
      </c>
    </row>
    <row r="17" spans="1:87" s="25" customFormat="1" ht="108.75" customHeight="1" x14ac:dyDescent="0.3">
      <c r="A17" s="715" t="s">
        <v>635</v>
      </c>
      <c r="B17" s="1218" t="s">
        <v>448</v>
      </c>
      <c r="C17" s="1934"/>
      <c r="D17" s="742" t="s">
        <v>478</v>
      </c>
      <c r="E17" s="1523" t="s">
        <v>481</v>
      </c>
      <c r="F17" s="1520" t="s">
        <v>478</v>
      </c>
      <c r="G17" s="746"/>
      <c r="H17" s="747" t="s">
        <v>494</v>
      </c>
      <c r="I17" s="747" t="s">
        <v>495</v>
      </c>
      <c r="J17" s="1578">
        <v>7.9000000000000001E-2</v>
      </c>
      <c r="K17" s="1578">
        <v>5.6980000000000003E-2</v>
      </c>
      <c r="L17" s="1578">
        <v>2.2020000000000001E-2</v>
      </c>
      <c r="M17" s="851">
        <v>0</v>
      </c>
      <c r="N17" s="851">
        <v>2.5000000000000001E-2</v>
      </c>
      <c r="O17" s="748" t="s">
        <v>461</v>
      </c>
      <c r="P17" s="749">
        <v>0.5</v>
      </c>
      <c r="Q17" s="749">
        <v>0.15</v>
      </c>
      <c r="R17" s="835" t="s">
        <v>96</v>
      </c>
      <c r="S17" s="820" t="s">
        <v>516</v>
      </c>
      <c r="T17" s="1367">
        <v>120</v>
      </c>
      <c r="U17" s="820" t="s">
        <v>505</v>
      </c>
      <c r="V17" s="820" t="s">
        <v>85</v>
      </c>
      <c r="W17" s="820" t="s">
        <v>97</v>
      </c>
      <c r="X17" s="1367">
        <v>18</v>
      </c>
      <c r="Y17" s="1367" t="s">
        <v>501</v>
      </c>
      <c r="Z17" s="1367" t="s">
        <v>504</v>
      </c>
      <c r="AA17" s="1368">
        <v>100000</v>
      </c>
      <c r="AB17" s="820" t="s">
        <v>521</v>
      </c>
      <c r="AC17" s="881">
        <v>25</v>
      </c>
      <c r="AD17" s="881">
        <v>25</v>
      </c>
      <c r="AE17" s="1314">
        <v>50</v>
      </c>
      <c r="AF17" s="1309">
        <v>7.5</v>
      </c>
      <c r="AG17" s="1314">
        <v>17.5</v>
      </c>
      <c r="AH17" s="1309">
        <v>7.5</v>
      </c>
      <c r="AI17" s="882">
        <v>17.5</v>
      </c>
      <c r="AJ17" s="1271">
        <v>4.9111000000000002E-2</v>
      </c>
      <c r="AK17" s="1271">
        <v>7.8689999999999993E-3</v>
      </c>
      <c r="AL17" s="1272">
        <v>0</v>
      </c>
      <c r="AM17" s="1282">
        <v>5.6980000000000003E-2</v>
      </c>
      <c r="AN17" s="1261">
        <v>5.6980000000000003E-2</v>
      </c>
      <c r="AO17" s="1269">
        <v>1.1804878048780488E-3</v>
      </c>
      <c r="AP17" s="1269">
        <v>1.7521951219512198E-2</v>
      </c>
      <c r="AQ17" s="1269">
        <v>2.7804878048780491E-3</v>
      </c>
      <c r="AR17" s="1281">
        <v>2.1482926829268296E-2</v>
      </c>
      <c r="AS17" s="1271">
        <v>1.2099999999999999E-3</v>
      </c>
      <c r="AT17" s="1271">
        <v>1.796E-2</v>
      </c>
      <c r="AU17" s="902">
        <v>2.8500000000000001E-3</v>
      </c>
      <c r="AV17" s="1291">
        <v>2.2019999999999998E-2</v>
      </c>
      <c r="AW17" s="1261">
        <v>7.9000000000000001E-2</v>
      </c>
      <c r="AX17" s="1762" t="s">
        <v>586</v>
      </c>
      <c r="AY17" s="1759">
        <v>5.7999999999999996E-2</v>
      </c>
      <c r="AZ17" s="1637">
        <v>0</v>
      </c>
      <c r="BA17" s="1682">
        <f>IF('Refund calculator (Other) - NEW'!$C$10&gt;=DATE(2015,11,1),'Product Map'!BO17,IF('Refund calculator (Other) - NEW'!$C$10&gt;=DATE(2015,4,1),'Product Map'!BK17,0%))</f>
        <v>7.7999999999999986E-2</v>
      </c>
      <c r="BB17" s="1188"/>
      <c r="BC17" s="968"/>
      <c r="BD17" s="1005"/>
      <c r="BE17" s="1002"/>
      <c r="BF17" s="946"/>
      <c r="BG17" s="929"/>
      <c r="BH17" s="1002"/>
      <c r="BI17" s="1002"/>
      <c r="BJ17" s="946"/>
      <c r="BK17" s="1688">
        <v>7.9666666666666663E-2</v>
      </c>
      <c r="BL17" s="991">
        <v>3.3333333333333333E-2</v>
      </c>
      <c r="BM17" s="991">
        <v>4.5999999999999999E-2</v>
      </c>
      <c r="BN17" s="962">
        <v>5.7999999999999996E-2</v>
      </c>
      <c r="BO17" s="959">
        <v>7.7999999999999986E-2</v>
      </c>
      <c r="BP17" s="991">
        <v>3.3333333333333333E-2</v>
      </c>
      <c r="BQ17" s="991">
        <v>9.3333333333333324E-2</v>
      </c>
      <c r="BR17" s="962">
        <v>5.7999999999999996E-2</v>
      </c>
      <c r="BS17" s="959">
        <v>7.8E-2</v>
      </c>
      <c r="BT17" s="991">
        <v>0.04</v>
      </c>
      <c r="BU17" s="991">
        <v>0.11199999999999999</v>
      </c>
      <c r="BV17" s="955">
        <v>5.7999999999999996E-2</v>
      </c>
      <c r="BW17" s="1694">
        <f t="shared" si="1"/>
        <v>0.04</v>
      </c>
      <c r="BX17" s="977"/>
      <c r="BY17" s="977"/>
      <c r="BZ17" s="977"/>
      <c r="CA17" s="977">
        <f t="shared" si="0"/>
        <v>7.9666666666666663E-2</v>
      </c>
      <c r="CB17" s="977"/>
      <c r="CC17" s="977"/>
      <c r="CD17" s="977"/>
      <c r="CE17" s="978">
        <f t="shared" si="2"/>
        <v>7.7999999999999986E-2</v>
      </c>
      <c r="CF17" s="979"/>
      <c r="CG17" s="979"/>
      <c r="CH17" s="979"/>
      <c r="CI17" s="978">
        <f t="shared" si="3"/>
        <v>7.8E-2</v>
      </c>
    </row>
    <row r="18" spans="1:87" s="25" customFormat="1" ht="108.75" customHeight="1" thickBot="1" x14ac:dyDescent="0.35">
      <c r="A18" s="715" t="s">
        <v>635</v>
      </c>
      <c r="B18" s="1218" t="s">
        <v>448</v>
      </c>
      <c r="C18" s="1935"/>
      <c r="D18" s="770" t="s">
        <v>479</v>
      </c>
      <c r="E18" s="1524" t="s">
        <v>482</v>
      </c>
      <c r="F18" s="1521" t="s">
        <v>479</v>
      </c>
      <c r="G18" s="751"/>
      <c r="H18" s="752" t="s">
        <v>494</v>
      </c>
      <c r="I18" s="752" t="s">
        <v>495</v>
      </c>
      <c r="J18" s="1579">
        <v>8.8999999999999996E-2</v>
      </c>
      <c r="K18" s="1579">
        <v>6.812E-2</v>
      </c>
      <c r="L18" s="1579">
        <v>2.0879999999999999E-2</v>
      </c>
      <c r="M18" s="852">
        <v>0</v>
      </c>
      <c r="N18" s="852">
        <v>2.5000000000000001E-2</v>
      </c>
      <c r="O18" s="753" t="s">
        <v>461</v>
      </c>
      <c r="P18" s="754">
        <v>0.5</v>
      </c>
      <c r="Q18" s="754">
        <v>0.15</v>
      </c>
      <c r="R18" s="836" t="s">
        <v>96</v>
      </c>
      <c r="S18" s="821" t="s">
        <v>517</v>
      </c>
      <c r="T18" s="1369">
        <v>120</v>
      </c>
      <c r="U18" s="821" t="s">
        <v>505</v>
      </c>
      <c r="V18" s="821" t="s">
        <v>85</v>
      </c>
      <c r="W18" s="821" t="s">
        <v>97</v>
      </c>
      <c r="X18" s="1369">
        <v>18</v>
      </c>
      <c r="Y18" s="1369" t="s">
        <v>501</v>
      </c>
      <c r="Z18" s="1369" t="s">
        <v>504</v>
      </c>
      <c r="AA18" s="1370">
        <v>100000</v>
      </c>
      <c r="AB18" s="821" t="s">
        <v>521</v>
      </c>
      <c r="AC18" s="883">
        <v>25</v>
      </c>
      <c r="AD18" s="883">
        <v>25</v>
      </c>
      <c r="AE18" s="1315">
        <v>50</v>
      </c>
      <c r="AF18" s="1310">
        <v>7.5</v>
      </c>
      <c r="AG18" s="1339">
        <v>17.5</v>
      </c>
      <c r="AH18" s="1340">
        <v>7.5</v>
      </c>
      <c r="AI18" s="884">
        <v>17.5</v>
      </c>
      <c r="AJ18" s="1273">
        <v>5.8712E-2</v>
      </c>
      <c r="AK18" s="1273">
        <v>9.4079999999999997E-3</v>
      </c>
      <c r="AL18" s="1274">
        <v>0</v>
      </c>
      <c r="AM18" s="1283">
        <v>6.812E-2</v>
      </c>
      <c r="AN18" s="1262">
        <v>6.812E-2</v>
      </c>
      <c r="AO18" s="1273">
        <v>1.0731707317073172E-3</v>
      </c>
      <c r="AP18" s="1273">
        <v>1.5853658536585366E-2</v>
      </c>
      <c r="AQ18" s="1273">
        <v>3.4439024390243906E-3</v>
      </c>
      <c r="AR18" s="1283">
        <v>2.0370731707317076E-2</v>
      </c>
      <c r="AS18" s="1273">
        <v>1.1000000000000001E-3</v>
      </c>
      <c r="AT18" s="1273">
        <v>1.6250000000000001E-2</v>
      </c>
      <c r="AU18" s="903">
        <v>3.5300000000000002E-3</v>
      </c>
      <c r="AV18" s="1292">
        <v>2.0880000000000003E-2</v>
      </c>
      <c r="AW18" s="1262">
        <v>8.8999999999999996E-2</v>
      </c>
      <c r="AX18" s="1763" t="s">
        <v>587</v>
      </c>
      <c r="AY18" s="1760">
        <v>5.7999999999999996E-2</v>
      </c>
      <c r="AZ18" s="1638">
        <v>0</v>
      </c>
      <c r="BA18" s="1683">
        <f>IF('Refund calculator (Other) - NEW'!$C$10&gt;=DATE(2015,11,1),'Product Map'!BO18,IF('Refund calculator (Other) - NEW'!$C$10&gt;=DATE(2015,4,1),'Product Map'!BK18,0%))</f>
        <v>7.7999999999999986E-2</v>
      </c>
      <c r="BB18" s="1189"/>
      <c r="BC18" s="969"/>
      <c r="BD18" s="1006"/>
      <c r="BE18" s="1003"/>
      <c r="BF18" s="947"/>
      <c r="BG18" s="930"/>
      <c r="BH18" s="1003"/>
      <c r="BI18" s="1003"/>
      <c r="BJ18" s="947"/>
      <c r="BK18" s="1689">
        <v>7.9666666666666663E-2</v>
      </c>
      <c r="BL18" s="992">
        <v>3.3333333333333333E-2</v>
      </c>
      <c r="BM18" s="992">
        <v>4.5999999999999999E-2</v>
      </c>
      <c r="BN18" s="963">
        <v>5.7999999999999996E-2</v>
      </c>
      <c r="BO18" s="960">
        <v>7.7999999999999986E-2</v>
      </c>
      <c r="BP18" s="992">
        <v>3.3333333333333333E-2</v>
      </c>
      <c r="BQ18" s="992">
        <v>9.3333333333333324E-2</v>
      </c>
      <c r="BR18" s="963">
        <v>5.7999999999999996E-2</v>
      </c>
      <c r="BS18" s="960">
        <v>7.8E-2</v>
      </c>
      <c r="BT18" s="992">
        <v>0.04</v>
      </c>
      <c r="BU18" s="992">
        <v>0.11199999999999999</v>
      </c>
      <c r="BV18" s="956">
        <v>5.7999999999999996E-2</v>
      </c>
      <c r="BW18" s="1694">
        <f t="shared" si="1"/>
        <v>0.04</v>
      </c>
      <c r="BX18" s="977"/>
      <c r="BY18" s="977"/>
      <c r="BZ18" s="977"/>
      <c r="CA18" s="977">
        <f t="shared" si="0"/>
        <v>7.9666666666666663E-2</v>
      </c>
      <c r="CB18" s="977"/>
      <c r="CC18" s="977"/>
      <c r="CD18" s="977"/>
      <c r="CE18" s="978">
        <f t="shared" si="2"/>
        <v>7.7999999999999986E-2</v>
      </c>
      <c r="CF18" s="979"/>
      <c r="CG18" s="979"/>
      <c r="CH18" s="979"/>
      <c r="CI18" s="978">
        <f t="shared" si="3"/>
        <v>7.8E-2</v>
      </c>
    </row>
    <row r="19" spans="1:87" s="25" customFormat="1" ht="108.75" customHeight="1" x14ac:dyDescent="0.3">
      <c r="A19" s="715" t="s">
        <v>635</v>
      </c>
      <c r="B19" s="1218" t="s">
        <v>448</v>
      </c>
      <c r="C19" s="1930" t="s">
        <v>172</v>
      </c>
      <c r="D19" s="1515" t="s">
        <v>473</v>
      </c>
      <c r="E19" s="1516" t="s">
        <v>470</v>
      </c>
      <c r="F19" s="1512" t="s">
        <v>473</v>
      </c>
      <c r="G19" s="771" t="s">
        <v>309</v>
      </c>
      <c r="H19" s="772" t="s">
        <v>496</v>
      </c>
      <c r="I19" s="772" t="s">
        <v>497</v>
      </c>
      <c r="J19" s="1580">
        <v>3.5000000000000003E-2</v>
      </c>
      <c r="K19" s="1580">
        <v>1.7623E-2</v>
      </c>
      <c r="L19" s="1580">
        <v>1.7377E-2</v>
      </c>
      <c r="M19" s="853">
        <v>0</v>
      </c>
      <c r="N19" s="853">
        <v>2.5000000000000001E-2</v>
      </c>
      <c r="O19" s="773" t="s">
        <v>461</v>
      </c>
      <c r="P19" s="774">
        <v>0.5</v>
      </c>
      <c r="Q19" s="774">
        <v>0.15</v>
      </c>
      <c r="R19" s="837" t="s">
        <v>96</v>
      </c>
      <c r="S19" s="822" t="s">
        <v>82</v>
      </c>
      <c r="T19" s="1371" t="s">
        <v>247</v>
      </c>
      <c r="U19" s="822" t="s">
        <v>505</v>
      </c>
      <c r="V19" s="822" t="s">
        <v>85</v>
      </c>
      <c r="W19" s="822" t="s">
        <v>97</v>
      </c>
      <c r="X19" s="1371">
        <v>18</v>
      </c>
      <c r="Y19" s="1371" t="s">
        <v>501</v>
      </c>
      <c r="Z19" s="1371" t="s">
        <v>502</v>
      </c>
      <c r="AA19" s="1372">
        <v>100000</v>
      </c>
      <c r="AB19" s="822" t="s">
        <v>519</v>
      </c>
      <c r="AC19" s="889">
        <v>17.5</v>
      </c>
      <c r="AD19" s="889">
        <v>17.5</v>
      </c>
      <c r="AE19" s="1316">
        <v>35</v>
      </c>
      <c r="AF19" s="1311">
        <v>7.5</v>
      </c>
      <c r="AG19" s="1337">
        <v>10</v>
      </c>
      <c r="AH19" s="1338">
        <v>7.5</v>
      </c>
      <c r="AI19" s="890">
        <v>10</v>
      </c>
      <c r="AJ19" s="1275">
        <v>1.526</v>
      </c>
      <c r="AK19" s="1275">
        <v>0.23599999999999999</v>
      </c>
      <c r="AL19" s="1275">
        <v>0</v>
      </c>
      <c r="AM19" s="1284">
        <v>1.762</v>
      </c>
      <c r="AN19" s="1263">
        <v>1.762</v>
      </c>
      <c r="AO19" s="1275">
        <v>0.41644175609756107</v>
      </c>
      <c r="AP19" s="1275">
        <v>1.2791680000000001</v>
      </c>
      <c r="AQ19" s="1275">
        <v>0</v>
      </c>
      <c r="AR19" s="1284">
        <v>1.6956097560975611</v>
      </c>
      <c r="AS19" s="1275">
        <v>0.42685280000000003</v>
      </c>
      <c r="AT19" s="1275">
        <v>1.3111472</v>
      </c>
      <c r="AU19" s="1275">
        <v>0</v>
      </c>
      <c r="AV19" s="1293">
        <v>1.738</v>
      </c>
      <c r="AW19" s="1263">
        <v>3.5</v>
      </c>
      <c r="AX19" s="1767" t="s">
        <v>577</v>
      </c>
      <c r="AY19" s="1764">
        <v>9.5000000000000001E-2</v>
      </c>
      <c r="AZ19" s="1178">
        <v>8.700000000000005E-2</v>
      </c>
      <c r="BA19" s="1178">
        <v>8.14E-2</v>
      </c>
      <c r="BB19" s="1187"/>
      <c r="BC19" s="970">
        <v>8.700000000000005E-2</v>
      </c>
      <c r="BD19" s="993">
        <v>0.03</v>
      </c>
      <c r="BE19" s="993">
        <v>6.4000000000000085E-2</v>
      </c>
      <c r="BF19" s="948">
        <v>9.5000000000000001E-2</v>
      </c>
      <c r="BG19" s="931">
        <v>8.14E-2</v>
      </c>
      <c r="BH19" s="993">
        <v>0.02</v>
      </c>
      <c r="BI19" s="993">
        <v>6.2799999999999995E-2</v>
      </c>
      <c r="BJ19" s="948">
        <v>9.5000000000000001E-2</v>
      </c>
      <c r="BK19" s="931">
        <v>8.14E-2</v>
      </c>
      <c r="BL19" s="993">
        <v>0.02</v>
      </c>
      <c r="BM19" s="993">
        <v>6.2799999999999995E-2</v>
      </c>
      <c r="BN19" s="948">
        <v>9.5000000000000001E-2</v>
      </c>
      <c r="BO19" s="931">
        <v>8.141000000000001E-2</v>
      </c>
      <c r="BP19" s="993">
        <v>3.3333333333333333E-2</v>
      </c>
      <c r="BQ19" s="993">
        <v>0.1047</v>
      </c>
      <c r="BR19" s="948">
        <v>9.5000000000000001E-2</v>
      </c>
      <c r="BS19" s="931">
        <v>8.14E-2</v>
      </c>
      <c r="BT19" s="993">
        <v>0.04</v>
      </c>
      <c r="BU19" s="993">
        <v>0.12559999999999999</v>
      </c>
      <c r="BV19" s="910">
        <v>9.5000000000000001E-2</v>
      </c>
      <c r="BW19" s="1694">
        <f t="shared" si="1"/>
        <v>8.14E-2</v>
      </c>
      <c r="BX19" s="977"/>
      <c r="BY19" s="977"/>
      <c r="BZ19" s="977"/>
      <c r="CA19" s="977">
        <f t="shared" si="0"/>
        <v>8.14E-2</v>
      </c>
      <c r="CB19" s="977"/>
      <c r="CC19" s="977"/>
      <c r="CD19" s="977"/>
      <c r="CE19" s="978">
        <f t="shared" si="2"/>
        <v>8.141000000000001E-2</v>
      </c>
      <c r="CF19" s="979"/>
      <c r="CG19" s="979"/>
      <c r="CH19" s="979"/>
      <c r="CI19" s="978">
        <f t="shared" si="3"/>
        <v>8.14E-2</v>
      </c>
    </row>
    <row r="20" spans="1:87" s="25" customFormat="1" ht="108.75" customHeight="1" x14ac:dyDescent="0.3">
      <c r="A20" s="715" t="s">
        <v>635</v>
      </c>
      <c r="B20" s="1218" t="s">
        <v>448</v>
      </c>
      <c r="C20" s="1931"/>
      <c r="D20" s="775" t="s">
        <v>474</v>
      </c>
      <c r="E20" s="1517" t="s">
        <v>471</v>
      </c>
      <c r="F20" s="1513" t="s">
        <v>474</v>
      </c>
      <c r="G20" s="776" t="s">
        <v>309</v>
      </c>
      <c r="H20" s="772" t="s">
        <v>496</v>
      </c>
      <c r="I20" s="772" t="s">
        <v>497</v>
      </c>
      <c r="J20" s="1581">
        <v>4.4999999999999998E-2</v>
      </c>
      <c r="K20" s="1581">
        <v>2.2658000000000001E-2</v>
      </c>
      <c r="L20" s="1581">
        <v>2.2342000000000001E-2</v>
      </c>
      <c r="M20" s="854">
        <v>0</v>
      </c>
      <c r="N20" s="854">
        <v>2.5000000000000001E-2</v>
      </c>
      <c r="O20" s="777" t="s">
        <v>461</v>
      </c>
      <c r="P20" s="778">
        <v>0.5</v>
      </c>
      <c r="Q20" s="778">
        <v>0.15</v>
      </c>
      <c r="R20" s="837" t="s">
        <v>96</v>
      </c>
      <c r="S20" s="823" t="s">
        <v>82</v>
      </c>
      <c r="T20" s="1373" t="s">
        <v>247</v>
      </c>
      <c r="U20" s="823" t="s">
        <v>505</v>
      </c>
      <c r="V20" s="823" t="s">
        <v>85</v>
      </c>
      <c r="W20" s="823" t="s">
        <v>97</v>
      </c>
      <c r="X20" s="1373">
        <v>18</v>
      </c>
      <c r="Y20" s="1373" t="s">
        <v>501</v>
      </c>
      <c r="Z20" s="1373" t="s">
        <v>502</v>
      </c>
      <c r="AA20" s="1374">
        <v>100000</v>
      </c>
      <c r="AB20" s="823" t="s">
        <v>519</v>
      </c>
      <c r="AC20" s="891">
        <v>17.5</v>
      </c>
      <c r="AD20" s="891">
        <v>17.5</v>
      </c>
      <c r="AE20" s="1317">
        <v>35</v>
      </c>
      <c r="AF20" s="1318">
        <v>7.5</v>
      </c>
      <c r="AG20" s="1317">
        <v>10</v>
      </c>
      <c r="AH20" s="1318">
        <v>7.5</v>
      </c>
      <c r="AI20" s="892">
        <v>10</v>
      </c>
      <c r="AJ20" s="1276">
        <v>1.9629999999999999</v>
      </c>
      <c r="AK20" s="1276">
        <v>0.30299999999999999</v>
      </c>
      <c r="AL20" s="1276">
        <v>0</v>
      </c>
      <c r="AM20" s="1285">
        <v>2.266</v>
      </c>
      <c r="AN20" s="1264">
        <v>2.266</v>
      </c>
      <c r="AO20" s="1276">
        <v>0.53507024390243907</v>
      </c>
      <c r="AP20" s="1276">
        <v>1.6444419512195123</v>
      </c>
      <c r="AQ20" s="1276">
        <v>0</v>
      </c>
      <c r="AR20" s="1285">
        <v>2.1795121951219514</v>
      </c>
      <c r="AS20" s="1276">
        <v>0.54844700000000002</v>
      </c>
      <c r="AT20" s="1276">
        <v>1.6855529999999999</v>
      </c>
      <c r="AU20" s="1276">
        <v>0</v>
      </c>
      <c r="AV20" s="1294">
        <v>2.234</v>
      </c>
      <c r="AW20" s="1264">
        <v>4.5</v>
      </c>
      <c r="AX20" s="1768" t="s">
        <v>576</v>
      </c>
      <c r="AY20" s="1765">
        <v>8.3000000000000004E-2</v>
      </c>
      <c r="AZ20" s="1179">
        <v>7.5000000000000039E-2</v>
      </c>
      <c r="BA20" s="1179">
        <v>6.9400000000000003E-2</v>
      </c>
      <c r="BB20" s="1188"/>
      <c r="BC20" s="971">
        <v>7.5000000000000039E-2</v>
      </c>
      <c r="BD20" s="994">
        <v>0.03</v>
      </c>
      <c r="BE20" s="994">
        <v>4.0000000000000063E-2</v>
      </c>
      <c r="BF20" s="949">
        <v>8.3000000000000004E-2</v>
      </c>
      <c r="BG20" s="932">
        <v>6.9400000000000003E-2</v>
      </c>
      <c r="BH20" s="994">
        <v>0.02</v>
      </c>
      <c r="BI20" s="994">
        <v>3.8800000000000001E-2</v>
      </c>
      <c r="BJ20" s="949">
        <v>8.3000000000000004E-2</v>
      </c>
      <c r="BK20" s="932">
        <v>6.9400000000000003E-2</v>
      </c>
      <c r="BL20" s="994">
        <v>0.02</v>
      </c>
      <c r="BM20" s="994">
        <v>3.8800000000000001E-2</v>
      </c>
      <c r="BN20" s="949">
        <v>8.3000000000000004E-2</v>
      </c>
      <c r="BO20" s="932">
        <v>6.9409999999999999E-2</v>
      </c>
      <c r="BP20" s="994">
        <v>3.3333333333333333E-2</v>
      </c>
      <c r="BQ20" s="994">
        <v>6.4699999999999994E-2</v>
      </c>
      <c r="BR20" s="949">
        <v>8.3000000000000004E-2</v>
      </c>
      <c r="BS20" s="932">
        <v>6.9400000000000003E-2</v>
      </c>
      <c r="BT20" s="994">
        <v>0.04</v>
      </c>
      <c r="BU20" s="994">
        <v>7.7600000000000002E-2</v>
      </c>
      <c r="BV20" s="911">
        <v>8.3000000000000004E-2</v>
      </c>
      <c r="BW20" s="977">
        <f t="shared" si="1"/>
        <v>6.9400000000000003E-2</v>
      </c>
      <c r="BX20" s="977"/>
      <c r="BY20" s="977"/>
      <c r="BZ20" s="977"/>
      <c r="CA20" s="977">
        <f t="shared" si="0"/>
        <v>6.9400000000000003E-2</v>
      </c>
      <c r="CB20" s="977"/>
      <c r="CC20" s="977"/>
      <c r="CD20" s="977"/>
      <c r="CE20" s="978">
        <f t="shared" si="2"/>
        <v>6.9409999999999999E-2</v>
      </c>
      <c r="CF20" s="979"/>
      <c r="CG20" s="979"/>
      <c r="CH20" s="979"/>
      <c r="CI20" s="978">
        <f t="shared" si="3"/>
        <v>6.9400000000000003E-2</v>
      </c>
    </row>
    <row r="21" spans="1:87" s="25" customFormat="1" ht="108.75" customHeight="1" thickBot="1" x14ac:dyDescent="0.35">
      <c r="A21" s="715" t="s">
        <v>635</v>
      </c>
      <c r="B21" s="1218" t="s">
        <v>448</v>
      </c>
      <c r="C21" s="1932"/>
      <c r="D21" s="779" t="s">
        <v>475</v>
      </c>
      <c r="E21" s="1518" t="s">
        <v>472</v>
      </c>
      <c r="F21" s="1514" t="s">
        <v>475</v>
      </c>
      <c r="G21" s="780" t="s">
        <v>309</v>
      </c>
      <c r="H21" s="781" t="s">
        <v>496</v>
      </c>
      <c r="I21" s="781" t="s">
        <v>497</v>
      </c>
      <c r="J21" s="1582">
        <v>0.06</v>
      </c>
      <c r="K21" s="1582">
        <v>3.0210000000000001E-2</v>
      </c>
      <c r="L21" s="1582">
        <v>2.9790000000000001E-2</v>
      </c>
      <c r="M21" s="855">
        <v>0</v>
      </c>
      <c r="N21" s="855">
        <v>2.5000000000000001E-2</v>
      </c>
      <c r="O21" s="782" t="s">
        <v>461</v>
      </c>
      <c r="P21" s="783">
        <v>0.5</v>
      </c>
      <c r="Q21" s="783">
        <v>0.15</v>
      </c>
      <c r="R21" s="838" t="s">
        <v>96</v>
      </c>
      <c r="S21" s="824" t="s">
        <v>82</v>
      </c>
      <c r="T21" s="1375" t="s">
        <v>247</v>
      </c>
      <c r="U21" s="824" t="s">
        <v>505</v>
      </c>
      <c r="V21" s="824" t="s">
        <v>85</v>
      </c>
      <c r="W21" s="824" t="s">
        <v>97</v>
      </c>
      <c r="X21" s="1375">
        <v>18</v>
      </c>
      <c r="Y21" s="1375" t="s">
        <v>501</v>
      </c>
      <c r="Z21" s="1375" t="s">
        <v>502</v>
      </c>
      <c r="AA21" s="1376">
        <v>100000</v>
      </c>
      <c r="AB21" s="824" t="s">
        <v>519</v>
      </c>
      <c r="AC21" s="893">
        <v>17.5</v>
      </c>
      <c r="AD21" s="893">
        <v>17.5</v>
      </c>
      <c r="AE21" s="1320">
        <v>35</v>
      </c>
      <c r="AF21" s="1319">
        <v>7.5</v>
      </c>
      <c r="AG21" s="1335">
        <v>10</v>
      </c>
      <c r="AH21" s="1336">
        <v>7.5</v>
      </c>
      <c r="AI21" s="894">
        <v>10</v>
      </c>
      <c r="AJ21" s="1277">
        <v>2.617</v>
      </c>
      <c r="AK21" s="1277">
        <v>0.40400000000000003</v>
      </c>
      <c r="AL21" s="1277">
        <v>0</v>
      </c>
      <c r="AM21" s="1286">
        <v>3.0209999999999999</v>
      </c>
      <c r="AN21" s="1265">
        <v>3.0209999999999999</v>
      </c>
      <c r="AO21" s="1277">
        <v>0.71379746341463424</v>
      </c>
      <c r="AP21" s="1277">
        <v>2.1925440000000003</v>
      </c>
      <c r="AQ21" s="1277">
        <v>0</v>
      </c>
      <c r="AR21" s="1286">
        <v>2.9063414634146345</v>
      </c>
      <c r="AS21" s="1277">
        <v>0.73164240000000003</v>
      </c>
      <c r="AT21" s="1277">
        <v>2.2473576</v>
      </c>
      <c r="AU21" s="1277">
        <v>0</v>
      </c>
      <c r="AV21" s="1295">
        <v>2.9790000000000001</v>
      </c>
      <c r="AW21" s="1265">
        <v>6</v>
      </c>
      <c r="AX21" s="1769" t="s">
        <v>575</v>
      </c>
      <c r="AY21" s="1766">
        <v>7.2999999999999995E-2</v>
      </c>
      <c r="AZ21" s="1180">
        <v>6.500000000000003E-2</v>
      </c>
      <c r="BA21" s="1180">
        <v>5.9400000000000001E-2</v>
      </c>
      <c r="BB21" s="1189"/>
      <c r="BC21" s="972">
        <v>6.500000000000003E-2</v>
      </c>
      <c r="BD21" s="995">
        <v>0.03</v>
      </c>
      <c r="BE21" s="995">
        <v>2.0000000000000046E-2</v>
      </c>
      <c r="BF21" s="950">
        <v>7.2999999999999995E-2</v>
      </c>
      <c r="BG21" s="933">
        <v>5.9400000000000001E-2</v>
      </c>
      <c r="BH21" s="995">
        <v>0.02</v>
      </c>
      <c r="BI21" s="995">
        <v>1.8800000000000001E-2</v>
      </c>
      <c r="BJ21" s="950">
        <v>7.2999999999999995E-2</v>
      </c>
      <c r="BK21" s="933">
        <v>5.9400000000000001E-2</v>
      </c>
      <c r="BL21" s="995">
        <v>0.02</v>
      </c>
      <c r="BM21" s="995">
        <v>1.8800000000000001E-2</v>
      </c>
      <c r="BN21" s="950">
        <v>7.2999999999999995E-2</v>
      </c>
      <c r="BO21" s="933">
        <v>5.9389999999999998E-2</v>
      </c>
      <c r="BP21" s="995">
        <v>3.3333333333333333E-2</v>
      </c>
      <c r="BQ21" s="995">
        <v>3.1300000000000001E-2</v>
      </c>
      <c r="BR21" s="950">
        <v>7.2999999999999995E-2</v>
      </c>
      <c r="BS21" s="933">
        <v>5.9400000000000001E-2</v>
      </c>
      <c r="BT21" s="995">
        <v>0.04</v>
      </c>
      <c r="BU21" s="995">
        <v>3.7600000000000001E-2</v>
      </c>
      <c r="BV21" s="912">
        <v>7.2999999999999995E-2</v>
      </c>
      <c r="BW21" s="977">
        <f t="shared" si="1"/>
        <v>5.9400000000000001E-2</v>
      </c>
      <c r="BX21" s="977"/>
      <c r="BY21" s="977"/>
      <c r="BZ21" s="977"/>
      <c r="CA21" s="977">
        <f t="shared" si="0"/>
        <v>5.9400000000000001E-2</v>
      </c>
      <c r="CB21" s="977"/>
      <c r="CC21" s="977"/>
      <c r="CD21" s="977"/>
      <c r="CE21" s="978">
        <f t="shared" si="2"/>
        <v>5.9389999999999998E-2</v>
      </c>
      <c r="CF21" s="979"/>
      <c r="CG21" s="979"/>
      <c r="CH21" s="979"/>
      <c r="CI21" s="978">
        <f t="shared" si="3"/>
        <v>5.9400000000000001E-2</v>
      </c>
    </row>
    <row r="22" spans="1:87" s="25" customFormat="1" ht="108.75" customHeight="1" x14ac:dyDescent="0.3">
      <c r="A22" s="715" t="s">
        <v>635</v>
      </c>
      <c r="B22" s="1218" t="s">
        <v>448</v>
      </c>
      <c r="C22" s="1941" t="s">
        <v>11</v>
      </c>
      <c r="D22" s="1509" t="s">
        <v>484</v>
      </c>
      <c r="E22" s="1510" t="s">
        <v>483</v>
      </c>
      <c r="F22" s="1507" t="s">
        <v>484</v>
      </c>
      <c r="G22" s="793" t="s">
        <v>309</v>
      </c>
      <c r="H22" s="794" t="s">
        <v>492</v>
      </c>
      <c r="I22" s="794" t="s">
        <v>493</v>
      </c>
      <c r="J22" s="1583">
        <v>4.4999999999999998E-2</v>
      </c>
      <c r="K22" s="1583">
        <v>3.8691999999999997E-2</v>
      </c>
      <c r="L22" s="1583">
        <v>6.3080000000000002E-3</v>
      </c>
      <c r="M22" s="856">
        <v>0</v>
      </c>
      <c r="N22" s="856">
        <v>2.5000000000000001E-2</v>
      </c>
      <c r="O22" s="795" t="s">
        <v>461</v>
      </c>
      <c r="P22" s="796">
        <v>0.5</v>
      </c>
      <c r="Q22" s="796">
        <v>0.15</v>
      </c>
      <c r="R22" s="839" t="s">
        <v>96</v>
      </c>
      <c r="S22" s="825" t="s">
        <v>510</v>
      </c>
      <c r="T22" s="792">
        <v>72</v>
      </c>
      <c r="U22" s="825" t="s">
        <v>505</v>
      </c>
      <c r="V22" s="825" t="s">
        <v>85</v>
      </c>
      <c r="W22" s="825" t="s">
        <v>97</v>
      </c>
      <c r="X22" s="792">
        <v>18</v>
      </c>
      <c r="Y22" s="792" t="s">
        <v>501</v>
      </c>
      <c r="Z22" s="792" t="s">
        <v>503</v>
      </c>
      <c r="AA22" s="1377">
        <v>100000</v>
      </c>
      <c r="AB22" s="825" t="s">
        <v>520</v>
      </c>
      <c r="AC22" s="895">
        <v>20.5</v>
      </c>
      <c r="AD22" s="895">
        <v>20.5</v>
      </c>
      <c r="AE22" s="1321">
        <v>41</v>
      </c>
      <c r="AF22" s="1322">
        <v>7.5</v>
      </c>
      <c r="AG22" s="1321">
        <v>13</v>
      </c>
      <c r="AH22" s="1322">
        <v>7.5</v>
      </c>
      <c r="AI22" s="896">
        <v>13</v>
      </c>
      <c r="AJ22" s="1266">
        <v>3.351</v>
      </c>
      <c r="AK22" s="1266">
        <v>0.51800000000000002</v>
      </c>
      <c r="AL22" s="1266">
        <v>0</v>
      </c>
      <c r="AM22" s="1278">
        <v>3.8690000000000002</v>
      </c>
      <c r="AN22" s="1257">
        <v>3.8690000000000002</v>
      </c>
      <c r="AO22" s="1266">
        <v>0.61560975609756108</v>
      </c>
      <c r="AP22" s="1266">
        <v>0</v>
      </c>
      <c r="AQ22" s="1266">
        <v>0</v>
      </c>
      <c r="AR22" s="1278">
        <v>0.61560975609756108</v>
      </c>
      <c r="AS22" s="1266">
        <v>0.63100000000000001</v>
      </c>
      <c r="AT22" s="1266">
        <v>0</v>
      </c>
      <c r="AU22" s="1266">
        <v>0</v>
      </c>
      <c r="AV22" s="1287">
        <v>0.63100000000000001</v>
      </c>
      <c r="AW22" s="1257">
        <v>4.5</v>
      </c>
      <c r="AX22" s="1774" t="s">
        <v>574</v>
      </c>
      <c r="AY22" s="1770">
        <v>7.2999999999999995E-2</v>
      </c>
      <c r="AZ22" s="1181">
        <v>6.5000000000000002E-2</v>
      </c>
      <c r="BA22" s="1181">
        <v>5.9400000000000001E-2</v>
      </c>
      <c r="BB22" s="1187"/>
      <c r="BC22" s="973">
        <v>6.5000000000000002E-2</v>
      </c>
      <c r="BD22" s="996">
        <v>0.03</v>
      </c>
      <c r="BE22" s="996">
        <v>2.0000000000000004E-2</v>
      </c>
      <c r="BF22" s="951">
        <v>7.2999999999999995E-2</v>
      </c>
      <c r="BG22" s="934">
        <v>5.9400000000000001E-2</v>
      </c>
      <c r="BH22" s="996">
        <v>0.02</v>
      </c>
      <c r="BI22" s="996">
        <v>1.8800000000000001E-2</v>
      </c>
      <c r="BJ22" s="951">
        <v>7.2999999999999995E-2</v>
      </c>
      <c r="BK22" s="934">
        <v>5.9400000000000001E-2</v>
      </c>
      <c r="BL22" s="996">
        <v>0.02</v>
      </c>
      <c r="BM22" s="996">
        <v>1.8800000000000001E-2</v>
      </c>
      <c r="BN22" s="951">
        <v>7.2999999999999995E-2</v>
      </c>
      <c r="BO22" s="934">
        <v>5.9389999999999998E-2</v>
      </c>
      <c r="BP22" s="996">
        <v>3.3333333333333333E-2</v>
      </c>
      <c r="BQ22" s="996">
        <v>3.1300000000000001E-2</v>
      </c>
      <c r="BR22" s="951">
        <v>7.2999999999999995E-2</v>
      </c>
      <c r="BS22" s="934">
        <v>5.9400000000000001E-2</v>
      </c>
      <c r="BT22" s="996">
        <v>0.04</v>
      </c>
      <c r="BU22" s="996">
        <v>3.7600000000000001E-2</v>
      </c>
      <c r="BV22" s="913">
        <v>7.2999999999999995E-2</v>
      </c>
      <c r="BW22" s="977">
        <f t="shared" si="1"/>
        <v>5.9400000000000001E-2</v>
      </c>
      <c r="BX22" s="977"/>
      <c r="BY22" s="977"/>
      <c r="BZ22" s="977"/>
      <c r="CA22" s="977">
        <f>(BM22+BL22)*50%+4%</f>
        <v>5.9400000000000001E-2</v>
      </c>
      <c r="CB22" s="977"/>
      <c r="CC22" s="977"/>
      <c r="CD22" s="977"/>
      <c r="CE22" s="978">
        <f t="shared" si="2"/>
        <v>5.9389999999999998E-2</v>
      </c>
      <c r="CF22" s="979"/>
      <c r="CG22" s="979"/>
      <c r="CH22" s="979"/>
      <c r="CI22" s="978">
        <f t="shared" si="3"/>
        <v>5.9400000000000001E-2</v>
      </c>
    </row>
    <row r="23" spans="1:87" s="25" customFormat="1" ht="108.75" customHeight="1" thickBot="1" x14ac:dyDescent="0.35">
      <c r="A23" s="715" t="s">
        <v>635</v>
      </c>
      <c r="B23" s="1218" t="s">
        <v>448</v>
      </c>
      <c r="C23" s="1942"/>
      <c r="D23" s="797" t="s">
        <v>485</v>
      </c>
      <c r="E23" s="1511" t="s">
        <v>483</v>
      </c>
      <c r="F23" s="1508" t="s">
        <v>485</v>
      </c>
      <c r="G23" s="799" t="s">
        <v>309</v>
      </c>
      <c r="H23" s="800" t="s">
        <v>492</v>
      </c>
      <c r="I23" s="800" t="s">
        <v>493</v>
      </c>
      <c r="J23" s="1584">
        <v>4.4999999999999998E-2</v>
      </c>
      <c r="K23" s="1584">
        <v>3.8691999999999997E-2</v>
      </c>
      <c r="L23" s="1584">
        <v>6.3080000000000002E-3</v>
      </c>
      <c r="M23" s="857">
        <v>0</v>
      </c>
      <c r="N23" s="857">
        <v>2.5000000000000001E-2</v>
      </c>
      <c r="O23" s="801" t="s">
        <v>461</v>
      </c>
      <c r="P23" s="802">
        <v>0.5</v>
      </c>
      <c r="Q23" s="802">
        <v>0.15</v>
      </c>
      <c r="R23" s="840" t="s">
        <v>96</v>
      </c>
      <c r="S23" s="826" t="s">
        <v>510</v>
      </c>
      <c r="T23" s="798">
        <v>72</v>
      </c>
      <c r="U23" s="826" t="s">
        <v>505</v>
      </c>
      <c r="V23" s="826" t="s">
        <v>85</v>
      </c>
      <c r="W23" s="826" t="s">
        <v>97</v>
      </c>
      <c r="X23" s="798">
        <v>18</v>
      </c>
      <c r="Y23" s="798" t="s">
        <v>501</v>
      </c>
      <c r="Z23" s="798" t="s">
        <v>503</v>
      </c>
      <c r="AA23" s="1378">
        <v>100000</v>
      </c>
      <c r="AB23" s="826" t="s">
        <v>520</v>
      </c>
      <c r="AC23" s="897">
        <v>20.5</v>
      </c>
      <c r="AD23" s="897">
        <v>20.5</v>
      </c>
      <c r="AE23" s="1323">
        <v>41</v>
      </c>
      <c r="AF23" s="1324">
        <v>7.5</v>
      </c>
      <c r="AG23" s="1334">
        <v>13</v>
      </c>
      <c r="AH23" s="1333">
        <v>7.5</v>
      </c>
      <c r="AI23" s="898">
        <v>13</v>
      </c>
      <c r="AJ23" s="1268">
        <v>3.351</v>
      </c>
      <c r="AK23" s="1268">
        <v>0.51800000000000002</v>
      </c>
      <c r="AL23" s="1268">
        <v>0</v>
      </c>
      <c r="AM23" s="1280">
        <v>3.8690000000000002</v>
      </c>
      <c r="AN23" s="1259">
        <v>3.8690000000000002</v>
      </c>
      <c r="AO23" s="1268">
        <v>0.61560975609756108</v>
      </c>
      <c r="AP23" s="1268">
        <v>0</v>
      </c>
      <c r="AQ23" s="1268">
        <v>0</v>
      </c>
      <c r="AR23" s="1280">
        <v>0.61560975609756108</v>
      </c>
      <c r="AS23" s="1268">
        <v>0.63100000000000001</v>
      </c>
      <c r="AT23" s="1268">
        <v>0</v>
      </c>
      <c r="AU23" s="1268">
        <v>0</v>
      </c>
      <c r="AV23" s="1289">
        <v>0.63100000000000001</v>
      </c>
      <c r="AW23" s="1259">
        <v>4.5</v>
      </c>
      <c r="AX23" s="1775" t="s">
        <v>574</v>
      </c>
      <c r="AY23" s="1771">
        <v>7.2999999999999995E-2</v>
      </c>
      <c r="AZ23" s="1182">
        <v>6.5000000000000002E-2</v>
      </c>
      <c r="BA23" s="1182">
        <v>5.9400000000000001E-2</v>
      </c>
      <c r="BB23" s="1189"/>
      <c r="BC23" s="974">
        <v>6.5000000000000002E-2</v>
      </c>
      <c r="BD23" s="997">
        <v>0.03</v>
      </c>
      <c r="BE23" s="997">
        <v>2.0000000000000004E-2</v>
      </c>
      <c r="BF23" s="952">
        <v>7.2999999999999995E-2</v>
      </c>
      <c r="BG23" s="935">
        <v>5.9400000000000001E-2</v>
      </c>
      <c r="BH23" s="997">
        <v>0.02</v>
      </c>
      <c r="BI23" s="997">
        <v>1.8800000000000001E-2</v>
      </c>
      <c r="BJ23" s="952">
        <v>7.2999999999999995E-2</v>
      </c>
      <c r="BK23" s="935">
        <v>5.9400000000000001E-2</v>
      </c>
      <c r="BL23" s="997">
        <v>0.02</v>
      </c>
      <c r="BM23" s="997">
        <v>1.8800000000000001E-2</v>
      </c>
      <c r="BN23" s="952">
        <v>7.2999999999999995E-2</v>
      </c>
      <c r="BO23" s="935">
        <v>5.9389999999999998E-2</v>
      </c>
      <c r="BP23" s="997">
        <v>3.3333333333333333E-2</v>
      </c>
      <c r="BQ23" s="997">
        <v>3.1300000000000001E-2</v>
      </c>
      <c r="BR23" s="952">
        <v>7.2999999999999995E-2</v>
      </c>
      <c r="BS23" s="935">
        <v>5.9400000000000001E-2</v>
      </c>
      <c r="BT23" s="997">
        <v>0.04</v>
      </c>
      <c r="BU23" s="997">
        <v>3.7600000000000001E-2</v>
      </c>
      <c r="BV23" s="914">
        <v>7.2999999999999995E-2</v>
      </c>
      <c r="BW23" s="977">
        <f t="shared" si="1"/>
        <v>5.9400000000000001E-2</v>
      </c>
      <c r="BX23" s="977"/>
      <c r="BY23" s="977"/>
      <c r="BZ23" s="977"/>
      <c r="CA23" s="977">
        <f>(BM23+BL23)*50%+4%</f>
        <v>5.9400000000000001E-2</v>
      </c>
      <c r="CB23" s="977"/>
      <c r="CC23" s="977"/>
      <c r="CD23" s="977"/>
      <c r="CE23" s="978">
        <f t="shared" si="2"/>
        <v>5.9389999999999998E-2</v>
      </c>
      <c r="CF23" s="979"/>
      <c r="CG23" s="979"/>
      <c r="CH23" s="979"/>
      <c r="CI23" s="978">
        <f t="shared" si="3"/>
        <v>5.9400000000000001E-2</v>
      </c>
    </row>
    <row r="24" spans="1:87" s="25" customFormat="1" ht="108.75" customHeight="1" x14ac:dyDescent="0.3">
      <c r="A24" s="715" t="s">
        <v>635</v>
      </c>
      <c r="B24" s="1218" t="s">
        <v>448</v>
      </c>
      <c r="C24" s="1939" t="s">
        <v>10</v>
      </c>
      <c r="D24" s="1504" t="s">
        <v>488</v>
      </c>
      <c r="E24" s="1505" t="s">
        <v>486</v>
      </c>
      <c r="F24" s="1502" t="s">
        <v>488</v>
      </c>
      <c r="G24" s="791" t="s">
        <v>309</v>
      </c>
      <c r="H24" s="787" t="s">
        <v>490</v>
      </c>
      <c r="I24" s="787" t="s">
        <v>491</v>
      </c>
      <c r="J24" s="1585">
        <v>0.08</v>
      </c>
      <c r="K24" s="1585">
        <v>7.5563405779431311E-2</v>
      </c>
      <c r="L24" s="1585">
        <v>4.4365942205686903E-3</v>
      </c>
      <c r="M24" s="858">
        <v>0</v>
      </c>
      <c r="N24" s="858">
        <v>2.5000000000000001E-2</v>
      </c>
      <c r="O24" s="786" t="s">
        <v>216</v>
      </c>
      <c r="P24" s="788">
        <v>0.26</v>
      </c>
      <c r="Q24" s="788">
        <v>0.15</v>
      </c>
      <c r="R24" s="841" t="s">
        <v>96</v>
      </c>
      <c r="S24" s="786" t="s">
        <v>518</v>
      </c>
      <c r="T24" s="1379">
        <v>120</v>
      </c>
      <c r="U24" s="786" t="s">
        <v>505</v>
      </c>
      <c r="V24" s="786" t="s">
        <v>85</v>
      </c>
      <c r="W24" s="786" t="s">
        <v>97</v>
      </c>
      <c r="X24" s="813" t="s">
        <v>498</v>
      </c>
      <c r="Y24" s="1379" t="s">
        <v>499</v>
      </c>
      <c r="Z24" s="1379" t="s">
        <v>500</v>
      </c>
      <c r="AA24" s="1380">
        <v>100000</v>
      </c>
      <c r="AB24" s="786" t="s">
        <v>522</v>
      </c>
      <c r="AC24" s="885">
        <v>25</v>
      </c>
      <c r="AD24" s="885">
        <v>25</v>
      </c>
      <c r="AE24" s="1326">
        <v>50</v>
      </c>
      <c r="AF24" s="1325">
        <v>7.5</v>
      </c>
      <c r="AG24" s="1331">
        <v>17.5</v>
      </c>
      <c r="AH24" s="1332">
        <v>7.5</v>
      </c>
      <c r="AI24" s="886">
        <v>17.5</v>
      </c>
      <c r="AJ24" s="1266">
        <v>7.556</v>
      </c>
      <c r="AK24" s="1266"/>
      <c r="AL24" s="1266">
        <v>0</v>
      </c>
      <c r="AM24" s="1278">
        <v>7.556</v>
      </c>
      <c r="AN24" s="1257">
        <v>7.556</v>
      </c>
      <c r="AO24" s="1266">
        <v>0</v>
      </c>
      <c r="AP24" s="1266">
        <v>0</v>
      </c>
      <c r="AQ24" s="1266">
        <v>0.43317073170731712</v>
      </c>
      <c r="AR24" s="1278">
        <v>0.43317073170731712</v>
      </c>
      <c r="AS24" s="1266">
        <v>0</v>
      </c>
      <c r="AT24" s="1266">
        <v>0</v>
      </c>
      <c r="AU24" s="1266">
        <v>0.44400000000000001</v>
      </c>
      <c r="AV24" s="1287">
        <v>0.44400000000000001</v>
      </c>
      <c r="AW24" s="1257">
        <v>8</v>
      </c>
      <c r="AX24" s="1776" t="s">
        <v>573</v>
      </c>
      <c r="AY24" s="1772">
        <v>0.08</v>
      </c>
      <c r="AZ24" s="1183">
        <v>7.2000000000000008E-2</v>
      </c>
      <c r="BA24" s="1183">
        <v>6.6400000000000001E-2</v>
      </c>
      <c r="BB24" s="1187"/>
      <c r="BC24" s="975">
        <v>7.2000000000000008E-2</v>
      </c>
      <c r="BD24" s="998">
        <v>0.03</v>
      </c>
      <c r="BE24" s="998">
        <v>3.4000000000000016E-2</v>
      </c>
      <c r="BF24" s="953">
        <v>0.08</v>
      </c>
      <c r="BG24" s="936">
        <v>6.6400000000000001E-2</v>
      </c>
      <c r="BH24" s="998">
        <v>0.02</v>
      </c>
      <c r="BI24" s="998">
        <v>3.2800000000000003E-2</v>
      </c>
      <c r="BJ24" s="953">
        <v>0.08</v>
      </c>
      <c r="BK24" s="936">
        <v>6.6400000000000001E-2</v>
      </c>
      <c r="BL24" s="998">
        <v>0.02</v>
      </c>
      <c r="BM24" s="998">
        <v>3.2800000000000003E-2</v>
      </c>
      <c r="BN24" s="953">
        <v>0.08</v>
      </c>
      <c r="BO24" s="936">
        <v>6.6409999999999997E-2</v>
      </c>
      <c r="BP24" s="998">
        <v>3.3333333333333333E-2</v>
      </c>
      <c r="BQ24" s="998">
        <v>5.4699999999999999E-2</v>
      </c>
      <c r="BR24" s="953">
        <v>0.08</v>
      </c>
      <c r="BS24" s="936">
        <v>6.6400000000000001E-2</v>
      </c>
      <c r="BT24" s="998">
        <v>0.04</v>
      </c>
      <c r="BU24" s="998">
        <v>6.5600000000000006E-2</v>
      </c>
      <c r="BV24" s="915">
        <v>0.08</v>
      </c>
      <c r="BW24" s="977">
        <f t="shared" si="1"/>
        <v>6.6400000000000001E-2</v>
      </c>
      <c r="BX24" s="977"/>
      <c r="BY24" s="977"/>
      <c r="BZ24" s="977"/>
      <c r="CA24" s="977">
        <f>(BM24+BL24)*50%+4%</f>
        <v>6.6400000000000001E-2</v>
      </c>
      <c r="CB24" s="977"/>
      <c r="CC24" s="977"/>
      <c r="CD24" s="977"/>
      <c r="CE24" s="978">
        <f t="shared" si="2"/>
        <v>6.6409999999999997E-2</v>
      </c>
      <c r="CF24" s="979"/>
      <c r="CG24" s="979"/>
      <c r="CH24" s="979"/>
      <c r="CI24" s="978">
        <f t="shared" si="3"/>
        <v>6.6400000000000001E-2</v>
      </c>
    </row>
    <row r="25" spans="1:87" s="25" customFormat="1" ht="108.75" customHeight="1" thickBot="1" x14ac:dyDescent="0.35">
      <c r="A25" s="716" t="s">
        <v>635</v>
      </c>
      <c r="B25" s="1219" t="s">
        <v>448</v>
      </c>
      <c r="C25" s="1940"/>
      <c r="D25" s="789" t="s">
        <v>489</v>
      </c>
      <c r="E25" s="1506" t="s">
        <v>487</v>
      </c>
      <c r="F25" s="1503" t="s">
        <v>489</v>
      </c>
      <c r="G25" s="724" t="s">
        <v>309</v>
      </c>
      <c r="H25" s="725" t="s">
        <v>490</v>
      </c>
      <c r="I25" s="725" t="s">
        <v>491</v>
      </c>
      <c r="J25" s="1586">
        <v>0.08</v>
      </c>
      <c r="K25" s="1586">
        <v>7.5563405779431311E-2</v>
      </c>
      <c r="L25" s="1586">
        <v>4.4365942205686903E-3</v>
      </c>
      <c r="M25" s="859">
        <v>0</v>
      </c>
      <c r="N25" s="859">
        <v>2.5000000000000001E-2</v>
      </c>
      <c r="O25" s="790" t="s">
        <v>216</v>
      </c>
      <c r="P25" s="726">
        <v>0.26</v>
      </c>
      <c r="Q25" s="726">
        <v>0.15</v>
      </c>
      <c r="R25" s="842" t="s">
        <v>96</v>
      </c>
      <c r="S25" s="790" t="s">
        <v>518</v>
      </c>
      <c r="T25" s="1381">
        <v>120</v>
      </c>
      <c r="U25" s="790" t="s">
        <v>505</v>
      </c>
      <c r="V25" s="790" t="s">
        <v>85</v>
      </c>
      <c r="W25" s="790" t="s">
        <v>97</v>
      </c>
      <c r="X25" s="814" t="s">
        <v>498</v>
      </c>
      <c r="Y25" s="1381" t="s">
        <v>499</v>
      </c>
      <c r="Z25" s="1381" t="s">
        <v>500</v>
      </c>
      <c r="AA25" s="1382">
        <v>100000</v>
      </c>
      <c r="AB25" s="790" t="s">
        <v>522</v>
      </c>
      <c r="AC25" s="887">
        <v>25</v>
      </c>
      <c r="AD25" s="887">
        <v>25</v>
      </c>
      <c r="AE25" s="1328">
        <v>50</v>
      </c>
      <c r="AF25" s="1327">
        <v>7.5</v>
      </c>
      <c r="AG25" s="1329">
        <v>17.5</v>
      </c>
      <c r="AH25" s="1330">
        <v>7.5</v>
      </c>
      <c r="AI25" s="888">
        <v>17.5</v>
      </c>
      <c r="AJ25" s="1268">
        <v>7.556</v>
      </c>
      <c r="AK25" s="1268"/>
      <c r="AL25" s="1268">
        <v>0</v>
      </c>
      <c r="AM25" s="1280">
        <v>7.556</v>
      </c>
      <c r="AN25" s="1259">
        <v>7.556</v>
      </c>
      <c r="AO25" s="1268">
        <v>0</v>
      </c>
      <c r="AP25" s="1268">
        <v>0</v>
      </c>
      <c r="AQ25" s="1268">
        <v>0.43317073170731712</v>
      </c>
      <c r="AR25" s="1280">
        <v>0.43317073170731712</v>
      </c>
      <c r="AS25" s="1268">
        <v>0</v>
      </c>
      <c r="AT25" s="1268">
        <v>0</v>
      </c>
      <c r="AU25" s="1268">
        <v>0.44400000000000001</v>
      </c>
      <c r="AV25" s="1289">
        <v>0.44400000000000001</v>
      </c>
      <c r="AW25" s="1259">
        <v>8</v>
      </c>
      <c r="AX25" s="1777" t="s">
        <v>572</v>
      </c>
      <c r="AY25" s="1773">
        <v>0.08</v>
      </c>
      <c r="AZ25" s="1184">
        <v>7.2000000000000008E-2</v>
      </c>
      <c r="BA25" s="1184">
        <v>6.6400000000000001E-2</v>
      </c>
      <c r="BB25" s="1189"/>
      <c r="BC25" s="976">
        <v>7.2000000000000008E-2</v>
      </c>
      <c r="BD25" s="999">
        <v>0.03</v>
      </c>
      <c r="BE25" s="999">
        <v>3.4000000000000016E-2</v>
      </c>
      <c r="BF25" s="964">
        <v>0.08</v>
      </c>
      <c r="BG25" s="937">
        <v>6.6400000000000001E-2</v>
      </c>
      <c r="BH25" s="999">
        <v>0.02</v>
      </c>
      <c r="BI25" s="999">
        <v>3.2800000000000003E-2</v>
      </c>
      <c r="BJ25" s="964">
        <v>0.08</v>
      </c>
      <c r="BK25" s="937">
        <v>6.6400000000000001E-2</v>
      </c>
      <c r="BL25" s="999">
        <v>0.02</v>
      </c>
      <c r="BM25" s="999">
        <v>3.2800000000000003E-2</v>
      </c>
      <c r="BN25" s="964">
        <v>0.08</v>
      </c>
      <c r="BO25" s="937">
        <v>6.6409999999999997E-2</v>
      </c>
      <c r="BP25" s="999">
        <v>3.3333333333333333E-2</v>
      </c>
      <c r="BQ25" s="999">
        <v>5.4699999999999999E-2</v>
      </c>
      <c r="BR25" s="964">
        <v>0.08</v>
      </c>
      <c r="BS25" s="937">
        <v>6.6400000000000001E-2</v>
      </c>
      <c r="BT25" s="999">
        <v>0.04</v>
      </c>
      <c r="BU25" s="999">
        <v>6.5600000000000006E-2</v>
      </c>
      <c r="BV25" s="916">
        <v>0.08</v>
      </c>
      <c r="BW25" s="1692">
        <f t="shared" si="1"/>
        <v>6.6400000000000001E-2</v>
      </c>
      <c r="BX25" s="1693"/>
      <c r="BY25" s="977"/>
      <c r="BZ25" s="977"/>
      <c r="CA25" s="977">
        <f>(BM25+BL25)*50%+4%</f>
        <v>6.6400000000000001E-2</v>
      </c>
      <c r="CB25" s="977"/>
      <c r="CC25" s="977"/>
      <c r="CD25" s="977"/>
      <c r="CE25" s="978">
        <f t="shared" si="2"/>
        <v>6.6409999999999997E-2</v>
      </c>
      <c r="CF25" s="979"/>
      <c r="CG25" s="979"/>
      <c r="CH25" s="979"/>
      <c r="CI25" s="978">
        <f t="shared" si="3"/>
        <v>6.6400000000000001E-2</v>
      </c>
    </row>
    <row r="26" spans="1:87" s="689" customFormat="1" ht="34.5" customHeight="1" thickBot="1" x14ac:dyDescent="0.35">
      <c r="A26" s="1232"/>
      <c r="B26" s="1232"/>
      <c r="C26" s="1232"/>
      <c r="D26" s="1232"/>
      <c r="E26" s="1233"/>
      <c r="F26" s="1234"/>
      <c r="G26" s="1232"/>
      <c r="H26" s="1235"/>
      <c r="I26" s="1235"/>
      <c r="J26" s="1236"/>
      <c r="K26" s="1236"/>
      <c r="L26" s="1236"/>
      <c r="M26" s="1236"/>
      <c r="N26" s="1236"/>
      <c r="O26" s="1233"/>
      <c r="P26" s="1237"/>
      <c r="Q26" s="1237"/>
      <c r="R26" s="1238"/>
      <c r="S26" s="1233"/>
      <c r="T26" s="1232"/>
      <c r="U26" s="1233"/>
      <c r="V26" s="1233"/>
      <c r="W26" s="1233"/>
      <c r="X26" s="1383"/>
      <c r="Y26" s="1232"/>
      <c r="Z26" s="1232"/>
      <c r="AA26" s="1384"/>
      <c r="AB26" s="1233"/>
      <c r="AC26" s="1239"/>
      <c r="AD26" s="1239"/>
      <c r="AE26" s="1240"/>
      <c r="AF26" s="1240"/>
      <c r="AG26" s="1240"/>
      <c r="AH26" s="1240"/>
      <c r="AI26" s="1240"/>
      <c r="AJ26" s="1241"/>
      <c r="AK26" s="1241"/>
      <c r="AL26" s="1242"/>
      <c r="AM26" s="1243"/>
      <c r="AN26" s="1241"/>
      <c r="AO26" s="1241"/>
      <c r="AP26" s="1241"/>
      <c r="AQ26" s="1296"/>
      <c r="AR26" s="1296"/>
      <c r="AS26" s="1296"/>
      <c r="AT26" s="1241"/>
      <c r="AU26" s="1241"/>
      <c r="AV26" s="1241"/>
      <c r="AW26" s="1241"/>
      <c r="AX26" s="1244"/>
      <c r="AY26" s="1236" t="s">
        <v>608</v>
      </c>
      <c r="AZ26" s="1245" t="s">
        <v>614</v>
      </c>
      <c r="BA26" s="1245"/>
      <c r="BB26" s="1190"/>
      <c r="BC26" s="1246" t="s">
        <v>605</v>
      </c>
      <c r="BD26" s="1247" t="s">
        <v>606</v>
      </c>
      <c r="BE26" s="1247" t="s">
        <v>607</v>
      </c>
      <c r="BF26" s="1248" t="s">
        <v>608</v>
      </c>
      <c r="BG26" s="1249"/>
      <c r="BH26" s="1247"/>
      <c r="BI26" s="1247"/>
      <c r="BJ26" s="1249"/>
      <c r="BK26" s="1249"/>
      <c r="BL26" s="1247"/>
      <c r="BM26" s="1247"/>
      <c r="BN26" s="1249"/>
      <c r="BO26" s="1248" t="s">
        <v>605</v>
      </c>
      <c r="BP26" s="1247" t="s">
        <v>606</v>
      </c>
      <c r="BQ26" s="1247" t="s">
        <v>607</v>
      </c>
      <c r="BR26" s="1248" t="s">
        <v>608</v>
      </c>
      <c r="BS26" s="1249"/>
      <c r="BT26" s="1247"/>
      <c r="BU26" s="1247"/>
      <c r="BV26" s="1704" t="s">
        <v>608</v>
      </c>
      <c r="BW26" s="980" t="s">
        <v>603</v>
      </c>
      <c r="BX26" s="981" t="s">
        <v>604</v>
      </c>
      <c r="BY26" s="1043"/>
      <c r="BZ26" s="1043"/>
      <c r="CA26" s="1043"/>
      <c r="CB26" s="1043"/>
      <c r="CC26" s="1043"/>
      <c r="CD26" s="1043"/>
      <c r="CE26" s="1044"/>
      <c r="CF26" s="1045"/>
      <c r="CG26" s="1045"/>
      <c r="CH26" s="1045"/>
      <c r="CI26" s="1044"/>
    </row>
    <row r="27" spans="1:87" s="25" customFormat="1" ht="108.75" customHeight="1" x14ac:dyDescent="0.3">
      <c r="A27" s="717" t="s">
        <v>635</v>
      </c>
      <c r="B27" s="1220" t="s">
        <v>398</v>
      </c>
      <c r="C27" s="1891" t="s">
        <v>70</v>
      </c>
      <c r="D27" s="1214" t="s">
        <v>71</v>
      </c>
      <c r="E27" s="1486" t="s">
        <v>72</v>
      </c>
      <c r="F27" s="1441" t="s">
        <v>73</v>
      </c>
      <c r="G27" s="721" t="s">
        <v>77</v>
      </c>
      <c r="H27" s="51" t="s">
        <v>78</v>
      </c>
      <c r="I27" s="51" t="s">
        <v>79</v>
      </c>
      <c r="J27" s="411">
        <v>4.4999999999999998E-2</v>
      </c>
      <c r="K27" s="412">
        <v>2.6999999999999996E-2</v>
      </c>
      <c r="L27" s="412">
        <v>1.7999999999999999E-2</v>
      </c>
      <c r="M27" s="413">
        <v>0</v>
      </c>
      <c r="N27" s="413">
        <v>2.5000000000000001E-2</v>
      </c>
      <c r="O27" s="412" t="s">
        <v>80</v>
      </c>
      <c r="P27" s="722">
        <v>0.43</v>
      </c>
      <c r="Q27" s="411">
        <v>0.15</v>
      </c>
      <c r="R27" s="414" t="s">
        <v>81</v>
      </c>
      <c r="S27" s="57" t="s">
        <v>82</v>
      </c>
      <c r="T27" s="1563" t="s">
        <v>83</v>
      </c>
      <c r="U27" s="57" t="s">
        <v>84</v>
      </c>
      <c r="V27" s="58" t="s">
        <v>85</v>
      </c>
      <c r="W27" s="58" t="s">
        <v>86</v>
      </c>
      <c r="X27" s="415">
        <v>18</v>
      </c>
      <c r="Y27" s="415">
        <v>65</v>
      </c>
      <c r="Z27" s="415">
        <v>70</v>
      </c>
      <c r="AA27" s="1385">
        <v>100000</v>
      </c>
      <c r="AB27" s="57" t="s">
        <v>87</v>
      </c>
      <c r="AC27" s="59">
        <v>25</v>
      </c>
      <c r="AD27" s="60">
        <v>25</v>
      </c>
      <c r="AE27" s="61">
        <v>50</v>
      </c>
      <c r="AF27" s="62">
        <v>7.5</v>
      </c>
      <c r="AG27" s="64">
        <v>17.5</v>
      </c>
      <c r="AH27" s="62">
        <v>7.5</v>
      </c>
      <c r="AI27" s="64">
        <v>17.5</v>
      </c>
      <c r="AJ27" s="472">
        <v>1.6469999999999999E-2</v>
      </c>
      <c r="AK27" s="473">
        <v>1.0529999999999999E-2</v>
      </c>
      <c r="AL27" s="474">
        <v>0</v>
      </c>
      <c r="AM27" s="471">
        <v>2.6999999999999996E-2</v>
      </c>
      <c r="AN27" s="467">
        <v>2.6999999999999996E-2</v>
      </c>
      <c r="AO27" s="472">
        <v>0</v>
      </c>
      <c r="AP27" s="473">
        <v>1.7560975609756096E-2</v>
      </c>
      <c r="AQ27" s="474">
        <v>0</v>
      </c>
      <c r="AR27" s="471">
        <v>1.7560975609756096E-2</v>
      </c>
      <c r="AS27" s="465">
        <v>0</v>
      </c>
      <c r="AT27" s="465">
        <v>1.7999999999999999E-2</v>
      </c>
      <c r="AU27" s="465">
        <v>0</v>
      </c>
      <c r="AV27" s="466">
        <v>1.7999999999999999E-2</v>
      </c>
      <c r="AW27" s="467">
        <v>4.4999999999999991E-2</v>
      </c>
      <c r="AX27" s="402" t="s">
        <v>547</v>
      </c>
      <c r="AY27" s="1141">
        <v>8.4999999999999992E-2</v>
      </c>
      <c r="AZ27" s="1158">
        <v>0</v>
      </c>
      <c r="BA27" s="1158">
        <v>6.6500000000000004E-2</v>
      </c>
      <c r="BB27" s="1191"/>
      <c r="BC27" s="1062"/>
      <c r="BD27" s="1078"/>
      <c r="BE27" s="1079"/>
      <c r="BF27" s="1705">
        <v>8.4999999999999992E-2</v>
      </c>
      <c r="BG27" s="1706"/>
      <c r="BH27" s="1062"/>
      <c r="BI27" s="1062"/>
      <c r="BJ27" s="1712"/>
      <c r="BK27" s="1062"/>
      <c r="BL27" s="1062"/>
      <c r="BM27" s="1062"/>
      <c r="BN27" s="1712"/>
      <c r="BO27" s="65">
        <v>6.6500000000000004E-2</v>
      </c>
      <c r="BP27" s="1007">
        <v>3.3333333333333333E-2</v>
      </c>
      <c r="BQ27" s="1008">
        <v>7.1333333333333318E-2</v>
      </c>
      <c r="BR27" s="1741">
        <v>8.4999999999999992E-2</v>
      </c>
      <c r="BS27" s="65">
        <v>6.6500000000000004E-2</v>
      </c>
      <c r="BT27" s="1007">
        <v>0.04</v>
      </c>
      <c r="BU27" s="1696">
        <v>8.5599999999999982E-2</v>
      </c>
      <c r="BV27" s="1606">
        <v>8.4999999999999992E-2</v>
      </c>
      <c r="BW27" s="1607">
        <v>1.7999999999999999E-2</v>
      </c>
      <c r="BX27" s="1608">
        <v>6.699999999999999E-2</v>
      </c>
    </row>
    <row r="28" spans="1:87" s="25" customFormat="1" ht="108.75" customHeight="1" x14ac:dyDescent="0.3">
      <c r="A28" s="715" t="s">
        <v>635</v>
      </c>
      <c r="B28" s="1221" t="s">
        <v>398</v>
      </c>
      <c r="C28" s="1891"/>
      <c r="D28" s="66" t="s">
        <v>88</v>
      </c>
      <c r="E28" s="1487" t="s">
        <v>89</v>
      </c>
      <c r="F28" s="1442" t="s">
        <v>90</v>
      </c>
      <c r="G28" s="68" t="s">
        <v>93</v>
      </c>
      <c r="H28" s="69" t="s">
        <v>94</v>
      </c>
      <c r="I28" s="69" t="s">
        <v>95</v>
      </c>
      <c r="J28" s="70">
        <v>4.4999999999999998E-2</v>
      </c>
      <c r="K28" s="71">
        <v>2.988E-2</v>
      </c>
      <c r="L28" s="71">
        <v>1.5120000000000003E-2</v>
      </c>
      <c r="M28" s="72">
        <v>0</v>
      </c>
      <c r="N28" s="73">
        <v>2.5000000000000001E-2</v>
      </c>
      <c r="O28" s="71" t="s">
        <v>80</v>
      </c>
      <c r="P28" s="598">
        <v>0.43</v>
      </c>
      <c r="Q28" s="70">
        <v>0.15</v>
      </c>
      <c r="R28" s="74" t="s">
        <v>96</v>
      </c>
      <c r="S28" s="75" t="s">
        <v>82</v>
      </c>
      <c r="T28" s="616" t="s">
        <v>83</v>
      </c>
      <c r="U28" s="76" t="s">
        <v>84</v>
      </c>
      <c r="V28" s="77" t="s">
        <v>85</v>
      </c>
      <c r="W28" s="77" t="s">
        <v>97</v>
      </c>
      <c r="X28" s="416">
        <v>18</v>
      </c>
      <c r="Y28" s="416">
        <v>65</v>
      </c>
      <c r="Z28" s="416">
        <v>70</v>
      </c>
      <c r="AA28" s="1386">
        <v>100000</v>
      </c>
      <c r="AB28" s="76" t="s">
        <v>98</v>
      </c>
      <c r="AC28" s="78">
        <v>25</v>
      </c>
      <c r="AD28" s="79">
        <v>25</v>
      </c>
      <c r="AE28" s="80">
        <v>50</v>
      </c>
      <c r="AF28" s="81">
        <v>7.5</v>
      </c>
      <c r="AG28" s="82">
        <v>17.5</v>
      </c>
      <c r="AH28" s="81">
        <v>7.5</v>
      </c>
      <c r="AI28" s="82">
        <v>17.5</v>
      </c>
      <c r="AJ28" s="472">
        <v>1.7330399999999999E-2</v>
      </c>
      <c r="AK28" s="473">
        <v>9.8604000000000018E-3</v>
      </c>
      <c r="AL28" s="474">
        <v>2.6892000000000001E-3</v>
      </c>
      <c r="AM28" s="471">
        <v>2.988E-2</v>
      </c>
      <c r="AN28" s="467">
        <v>2.988E-2</v>
      </c>
      <c r="AO28" s="472">
        <v>1.4751219512195126E-2</v>
      </c>
      <c r="AP28" s="473">
        <v>0</v>
      </c>
      <c r="AQ28" s="474">
        <v>0</v>
      </c>
      <c r="AR28" s="471">
        <v>1.4751219512195126E-2</v>
      </c>
      <c r="AS28" s="465">
        <v>1.5120000000000003E-2</v>
      </c>
      <c r="AT28" s="465">
        <v>0</v>
      </c>
      <c r="AU28" s="465">
        <v>0</v>
      </c>
      <c r="AV28" s="466">
        <v>1.5120000000000003E-2</v>
      </c>
      <c r="AW28" s="467">
        <v>4.5000000000000005E-2</v>
      </c>
      <c r="AX28" s="265" t="s">
        <v>548</v>
      </c>
      <c r="AY28" s="1142">
        <v>8.4999999999999992E-2</v>
      </c>
      <c r="AZ28" s="1680">
        <v>0</v>
      </c>
      <c r="BA28" s="1159">
        <v>6.6500000000000004E-2</v>
      </c>
      <c r="BB28" s="1191"/>
      <c r="BC28" s="1063"/>
      <c r="BD28" s="1080"/>
      <c r="BE28" s="1081"/>
      <c r="BF28" s="1707">
        <v>8.4999999999999992E-2</v>
      </c>
      <c r="BG28" s="1708"/>
      <c r="BH28" s="1063"/>
      <c r="BI28" s="1063"/>
      <c r="BJ28" s="1713"/>
      <c r="BK28" s="1063"/>
      <c r="BL28" s="1063"/>
      <c r="BM28" s="1063"/>
      <c r="BN28" s="1713"/>
      <c r="BO28" s="83">
        <v>6.6500000000000004E-2</v>
      </c>
      <c r="BP28" s="1009">
        <v>3.3333333333333333E-2</v>
      </c>
      <c r="BQ28" s="1010">
        <v>7.1333333333333318E-2</v>
      </c>
      <c r="BR28" s="1710">
        <v>8.4999999999999992E-2</v>
      </c>
      <c r="BS28" s="83">
        <v>6.6500000000000004E-2</v>
      </c>
      <c r="BT28" s="1009">
        <v>0.04</v>
      </c>
      <c r="BU28" s="1697">
        <v>8.5599999999999982E-2</v>
      </c>
      <c r="BV28" s="1698">
        <v>8.4999999999999992E-2</v>
      </c>
      <c r="BW28" s="1048">
        <v>1.7999999999999999E-2</v>
      </c>
      <c r="BX28" s="1699">
        <v>6.699999999999999E-2</v>
      </c>
    </row>
    <row r="29" spans="1:87" s="25" customFormat="1" ht="108.75" customHeight="1" x14ac:dyDescent="0.3">
      <c r="A29" s="715" t="s">
        <v>635</v>
      </c>
      <c r="B29" s="1221" t="s">
        <v>398</v>
      </c>
      <c r="C29" s="1891"/>
      <c r="D29" s="84" t="s">
        <v>99</v>
      </c>
      <c r="E29" s="1488" t="s">
        <v>100</v>
      </c>
      <c r="F29" s="1482" t="s">
        <v>101</v>
      </c>
      <c r="G29" s="86" t="s">
        <v>77</v>
      </c>
      <c r="H29" s="87" t="s">
        <v>78</v>
      </c>
      <c r="I29" s="87" t="s">
        <v>79</v>
      </c>
      <c r="J29" s="88">
        <v>0.06</v>
      </c>
      <c r="K29" s="89">
        <v>3.5999999999999997E-2</v>
      </c>
      <c r="L29" s="89">
        <v>2.3999999999999997E-2</v>
      </c>
      <c r="M29" s="90">
        <v>0</v>
      </c>
      <c r="N29" s="91">
        <v>2.5000000000000001E-2</v>
      </c>
      <c r="O29" s="89" t="s">
        <v>80</v>
      </c>
      <c r="P29" s="599">
        <v>0.43</v>
      </c>
      <c r="Q29" s="88">
        <v>0.15</v>
      </c>
      <c r="R29" s="92" t="s">
        <v>96</v>
      </c>
      <c r="S29" s="93" t="s">
        <v>105</v>
      </c>
      <c r="T29" s="616" t="s">
        <v>83</v>
      </c>
      <c r="U29" s="94" t="s">
        <v>84</v>
      </c>
      <c r="V29" s="95" t="s">
        <v>85</v>
      </c>
      <c r="W29" s="95" t="s">
        <v>86</v>
      </c>
      <c r="X29" s="1394">
        <v>18</v>
      </c>
      <c r="Y29" s="1394">
        <v>65</v>
      </c>
      <c r="Z29" s="1394">
        <v>70</v>
      </c>
      <c r="AA29" s="1395">
        <v>100000</v>
      </c>
      <c r="AB29" s="94" t="s">
        <v>87</v>
      </c>
      <c r="AC29" s="479">
        <v>25</v>
      </c>
      <c r="AD29" s="480">
        <v>25</v>
      </c>
      <c r="AE29" s="481">
        <v>50</v>
      </c>
      <c r="AF29" s="482">
        <v>7.5</v>
      </c>
      <c r="AG29" s="483">
        <v>17.5</v>
      </c>
      <c r="AH29" s="482">
        <v>7.5</v>
      </c>
      <c r="AI29" s="483">
        <v>17.5</v>
      </c>
      <c r="AJ29" s="472">
        <v>2.1959999999999997E-2</v>
      </c>
      <c r="AK29" s="473">
        <v>1.4039999999999999E-2</v>
      </c>
      <c r="AL29" s="474">
        <v>0</v>
      </c>
      <c r="AM29" s="471">
        <v>3.5999999999999997E-2</v>
      </c>
      <c r="AN29" s="467">
        <v>3.5999999999999997E-2</v>
      </c>
      <c r="AO29" s="472">
        <v>0</v>
      </c>
      <c r="AP29" s="473">
        <v>2.3414634146341463E-2</v>
      </c>
      <c r="AQ29" s="474">
        <v>0</v>
      </c>
      <c r="AR29" s="471">
        <v>2.3414634146341463E-2</v>
      </c>
      <c r="AS29" s="465">
        <v>0</v>
      </c>
      <c r="AT29" s="465">
        <v>2.3999999999999997E-2</v>
      </c>
      <c r="AU29" s="465">
        <v>0</v>
      </c>
      <c r="AV29" s="466">
        <v>2.3999999999999997E-2</v>
      </c>
      <c r="AW29" s="467">
        <v>0.06</v>
      </c>
      <c r="AX29" s="402" t="s">
        <v>549</v>
      </c>
      <c r="AY29" s="1141">
        <v>7.3700000000000002E-2</v>
      </c>
      <c r="AZ29" s="1678">
        <v>0</v>
      </c>
      <c r="BA29" s="1158">
        <v>5.5199999999999999E-2</v>
      </c>
      <c r="BB29" s="1191"/>
      <c r="BC29" s="1064"/>
      <c r="BD29" s="1082"/>
      <c r="BE29" s="1083"/>
      <c r="BF29" s="1709">
        <v>7.3700000000000002E-2</v>
      </c>
      <c r="BG29" s="1064"/>
      <c r="BH29" s="1064"/>
      <c r="BI29" s="1064"/>
      <c r="BJ29" s="1714"/>
      <c r="BK29" s="1064"/>
      <c r="BL29" s="1064"/>
      <c r="BM29" s="1064"/>
      <c r="BN29" s="1714"/>
      <c r="BO29" s="484">
        <v>5.5199999999999999E-2</v>
      </c>
      <c r="BP29" s="1011">
        <v>3.3333333333333333E-2</v>
      </c>
      <c r="BQ29" s="1012">
        <v>3.3666666666666664E-2</v>
      </c>
      <c r="BR29" s="1709">
        <v>7.3700000000000002E-2</v>
      </c>
      <c r="BS29" s="484">
        <v>5.5199999999999999E-2</v>
      </c>
      <c r="BT29" s="1011">
        <v>0.04</v>
      </c>
      <c r="BU29" s="1592">
        <v>4.0399999999999998E-2</v>
      </c>
      <c r="BV29" s="1700">
        <v>7.3700000000000002E-2</v>
      </c>
      <c r="BW29" s="1049">
        <v>1.7999999999999999E-2</v>
      </c>
      <c r="BX29" s="1701">
        <v>5.5700000000000006E-2</v>
      </c>
    </row>
    <row r="30" spans="1:87" s="25" customFormat="1" ht="108.75" customHeight="1" x14ac:dyDescent="0.3">
      <c r="A30" s="715" t="s">
        <v>635</v>
      </c>
      <c r="B30" s="1221" t="s">
        <v>398</v>
      </c>
      <c r="C30" s="1891"/>
      <c r="D30" s="66" t="s">
        <v>106</v>
      </c>
      <c r="E30" s="1489" t="s">
        <v>107</v>
      </c>
      <c r="F30" s="1483" t="s">
        <v>108</v>
      </c>
      <c r="G30" s="97" t="s">
        <v>93</v>
      </c>
      <c r="H30" s="69" t="s">
        <v>94</v>
      </c>
      <c r="I30" s="69" t="s">
        <v>95</v>
      </c>
      <c r="J30" s="98">
        <v>0.06</v>
      </c>
      <c r="K30" s="99">
        <v>3.984E-2</v>
      </c>
      <c r="L30" s="99">
        <v>2.0160000000000001E-2</v>
      </c>
      <c r="M30" s="100">
        <v>0</v>
      </c>
      <c r="N30" s="101">
        <v>2.5000000000000001E-2</v>
      </c>
      <c r="O30" s="99" t="s">
        <v>80</v>
      </c>
      <c r="P30" s="600">
        <v>0.43</v>
      </c>
      <c r="Q30" s="98">
        <v>0.15</v>
      </c>
      <c r="R30" s="102" t="s">
        <v>96</v>
      </c>
      <c r="S30" s="103" t="s">
        <v>105</v>
      </c>
      <c r="T30" s="616" t="s">
        <v>83</v>
      </c>
      <c r="U30" s="76" t="s">
        <v>84</v>
      </c>
      <c r="V30" s="77" t="s">
        <v>85</v>
      </c>
      <c r="W30" s="77" t="s">
        <v>97</v>
      </c>
      <c r="X30" s="416">
        <v>18</v>
      </c>
      <c r="Y30" s="416">
        <v>65</v>
      </c>
      <c r="Z30" s="416">
        <v>70</v>
      </c>
      <c r="AA30" s="1386">
        <v>100000</v>
      </c>
      <c r="AB30" s="76" t="s">
        <v>98</v>
      </c>
      <c r="AC30" s="78">
        <v>25</v>
      </c>
      <c r="AD30" s="79">
        <v>25</v>
      </c>
      <c r="AE30" s="80">
        <v>50</v>
      </c>
      <c r="AF30" s="81">
        <v>7.5</v>
      </c>
      <c r="AG30" s="82">
        <v>17.5</v>
      </c>
      <c r="AH30" s="81">
        <v>7.5</v>
      </c>
      <c r="AI30" s="82">
        <v>17.5</v>
      </c>
      <c r="AJ30" s="472">
        <v>2.3107199999999998E-2</v>
      </c>
      <c r="AK30" s="473">
        <v>1.3147200000000001E-2</v>
      </c>
      <c r="AL30" s="474">
        <v>3.5856E-3</v>
      </c>
      <c r="AM30" s="471">
        <v>3.984E-2</v>
      </c>
      <c r="AN30" s="467">
        <v>3.984E-2</v>
      </c>
      <c r="AO30" s="472">
        <v>1.966829268292683E-2</v>
      </c>
      <c r="AP30" s="473">
        <v>0</v>
      </c>
      <c r="AQ30" s="474">
        <v>0</v>
      </c>
      <c r="AR30" s="471">
        <v>1.966829268292683E-2</v>
      </c>
      <c r="AS30" s="465">
        <v>2.0160000000000001E-2</v>
      </c>
      <c r="AT30" s="465">
        <v>0</v>
      </c>
      <c r="AU30" s="465">
        <v>0</v>
      </c>
      <c r="AV30" s="466">
        <v>2.0160000000000001E-2</v>
      </c>
      <c r="AW30" s="467">
        <v>0.06</v>
      </c>
      <c r="AX30" s="265" t="s">
        <v>550</v>
      </c>
      <c r="AY30" s="1142">
        <v>7.3700000000000002E-2</v>
      </c>
      <c r="AZ30" s="1680">
        <v>0</v>
      </c>
      <c r="BA30" s="1159">
        <v>5.5199999999999999E-2</v>
      </c>
      <c r="BB30" s="1191"/>
      <c r="BC30" s="1063"/>
      <c r="BD30" s="1080"/>
      <c r="BE30" s="1081"/>
      <c r="BF30" s="1710">
        <v>7.3700000000000002E-2</v>
      </c>
      <c r="BG30" s="1063"/>
      <c r="BH30" s="1063"/>
      <c r="BI30" s="1063"/>
      <c r="BJ30" s="1713"/>
      <c r="BK30" s="1063"/>
      <c r="BL30" s="1063"/>
      <c r="BM30" s="1063"/>
      <c r="BN30" s="1713"/>
      <c r="BO30" s="83">
        <v>5.5199999999999999E-2</v>
      </c>
      <c r="BP30" s="1009">
        <v>3.3333333333333333E-2</v>
      </c>
      <c r="BQ30" s="1010">
        <v>3.3666666666666664E-2</v>
      </c>
      <c r="BR30" s="1710">
        <v>7.3700000000000002E-2</v>
      </c>
      <c r="BS30" s="83">
        <v>5.5199999999999999E-2</v>
      </c>
      <c r="BT30" s="1009">
        <v>0.04</v>
      </c>
      <c r="BU30" s="1697">
        <v>4.0399999999999998E-2</v>
      </c>
      <c r="BV30" s="1698">
        <v>7.3700000000000002E-2</v>
      </c>
      <c r="BW30" s="1048">
        <v>1.7999999999999999E-2</v>
      </c>
      <c r="BX30" s="1699">
        <v>5.5700000000000006E-2</v>
      </c>
    </row>
    <row r="31" spans="1:87" s="25" customFormat="1" ht="108.75" customHeight="1" x14ac:dyDescent="0.3">
      <c r="A31" s="715" t="s">
        <v>635</v>
      </c>
      <c r="B31" s="1221" t="s">
        <v>398</v>
      </c>
      <c r="C31" s="1891"/>
      <c r="D31" s="84" t="s">
        <v>111</v>
      </c>
      <c r="E31" s="1488" t="s">
        <v>112</v>
      </c>
      <c r="F31" s="1482" t="s">
        <v>113</v>
      </c>
      <c r="G31" s="86" t="s">
        <v>77</v>
      </c>
      <c r="H31" s="87" t="s">
        <v>78</v>
      </c>
      <c r="I31" s="87" t="s">
        <v>79</v>
      </c>
      <c r="J31" s="88">
        <v>0.08</v>
      </c>
      <c r="K31" s="89">
        <v>4.8000000000000001E-2</v>
      </c>
      <c r="L31" s="89">
        <v>3.2000000000000001E-2</v>
      </c>
      <c r="M31" s="90">
        <v>0</v>
      </c>
      <c r="N31" s="91">
        <v>2.5000000000000001E-2</v>
      </c>
      <c r="O31" s="89" t="s">
        <v>80</v>
      </c>
      <c r="P31" s="599">
        <v>0.43</v>
      </c>
      <c r="Q31" s="88">
        <v>0.15</v>
      </c>
      <c r="R31" s="92" t="s">
        <v>96</v>
      </c>
      <c r="S31" s="93" t="s">
        <v>117</v>
      </c>
      <c r="T31" s="616" t="s">
        <v>83</v>
      </c>
      <c r="U31" s="94" t="s">
        <v>84</v>
      </c>
      <c r="V31" s="95" t="s">
        <v>85</v>
      </c>
      <c r="W31" s="95" t="s">
        <v>86</v>
      </c>
      <c r="X31" s="1394">
        <v>18</v>
      </c>
      <c r="Y31" s="1394">
        <v>65</v>
      </c>
      <c r="Z31" s="1394">
        <v>70</v>
      </c>
      <c r="AA31" s="1395">
        <v>100000</v>
      </c>
      <c r="AB31" s="94" t="s">
        <v>87</v>
      </c>
      <c r="AC31" s="479">
        <v>25</v>
      </c>
      <c r="AD31" s="480">
        <v>25</v>
      </c>
      <c r="AE31" s="481">
        <v>50</v>
      </c>
      <c r="AF31" s="482">
        <v>7.5</v>
      </c>
      <c r="AG31" s="483">
        <v>17.5</v>
      </c>
      <c r="AH31" s="482">
        <v>7.5</v>
      </c>
      <c r="AI31" s="483">
        <v>17.5</v>
      </c>
      <c r="AJ31" s="472">
        <v>2.9279999999999997E-2</v>
      </c>
      <c r="AK31" s="473">
        <v>1.8720000000000001E-2</v>
      </c>
      <c r="AL31" s="474">
        <v>0</v>
      </c>
      <c r="AM31" s="471">
        <v>4.8000000000000001E-2</v>
      </c>
      <c r="AN31" s="467">
        <v>4.8000000000000001E-2</v>
      </c>
      <c r="AO31" s="472">
        <v>0</v>
      </c>
      <c r="AP31" s="473">
        <v>3.1219512195121958E-2</v>
      </c>
      <c r="AQ31" s="474">
        <v>0</v>
      </c>
      <c r="AR31" s="471">
        <v>3.1219512195121958E-2</v>
      </c>
      <c r="AS31" s="465">
        <v>0</v>
      </c>
      <c r="AT31" s="465">
        <v>3.2000000000000001E-2</v>
      </c>
      <c r="AU31" s="465">
        <v>0</v>
      </c>
      <c r="AV31" s="466">
        <v>3.2000000000000001E-2</v>
      </c>
      <c r="AW31" s="467">
        <v>8.0000000000000016E-2</v>
      </c>
      <c r="AX31" s="402" t="s">
        <v>551</v>
      </c>
      <c r="AY31" s="1141">
        <v>6.6000000000000003E-2</v>
      </c>
      <c r="AZ31" s="1678">
        <v>0</v>
      </c>
      <c r="BA31" s="1158">
        <v>4.7500000000000001E-2</v>
      </c>
      <c r="BB31" s="1191"/>
      <c r="BC31" s="1064"/>
      <c r="BD31" s="1082"/>
      <c r="BE31" s="1083"/>
      <c r="BF31" s="1709">
        <v>6.6000000000000003E-2</v>
      </c>
      <c r="BG31" s="1064"/>
      <c r="BH31" s="1064"/>
      <c r="BI31" s="1064"/>
      <c r="BJ31" s="1714"/>
      <c r="BK31" s="1064"/>
      <c r="BL31" s="1064"/>
      <c r="BM31" s="1064"/>
      <c r="BN31" s="1714"/>
      <c r="BO31" s="484">
        <v>4.7500000000000001E-2</v>
      </c>
      <c r="BP31" s="1011">
        <v>3.3333333333333333E-2</v>
      </c>
      <c r="BQ31" s="1012">
        <v>7.9999999999999932E-3</v>
      </c>
      <c r="BR31" s="1709">
        <v>6.6000000000000003E-2</v>
      </c>
      <c r="BS31" s="484">
        <v>4.7500000000000001E-2</v>
      </c>
      <c r="BT31" s="1011">
        <v>0.04</v>
      </c>
      <c r="BU31" s="1592">
        <v>9.5999999999999905E-3</v>
      </c>
      <c r="BV31" s="1700">
        <v>6.6000000000000003E-2</v>
      </c>
      <c r="BW31" s="1049">
        <v>1.7999999999999999E-2</v>
      </c>
      <c r="BX31" s="1701">
        <v>4.8000000000000001E-2</v>
      </c>
    </row>
    <row r="32" spans="1:87" s="25" customFormat="1" ht="108.75" customHeight="1" x14ac:dyDescent="0.3">
      <c r="A32" s="715" t="s">
        <v>635</v>
      </c>
      <c r="B32" s="1221" t="s">
        <v>398</v>
      </c>
      <c r="C32" s="1891"/>
      <c r="D32" s="66" t="s">
        <v>118</v>
      </c>
      <c r="E32" s="1489" t="s">
        <v>119</v>
      </c>
      <c r="F32" s="1483" t="s">
        <v>120</v>
      </c>
      <c r="G32" s="97" t="s">
        <v>93</v>
      </c>
      <c r="H32" s="69" t="s">
        <v>94</v>
      </c>
      <c r="I32" s="69" t="s">
        <v>95</v>
      </c>
      <c r="J32" s="98">
        <v>0.08</v>
      </c>
      <c r="K32" s="99">
        <v>5.3120000000000001E-2</v>
      </c>
      <c r="L32" s="99">
        <v>2.6880000000000001E-2</v>
      </c>
      <c r="M32" s="100">
        <v>0</v>
      </c>
      <c r="N32" s="101">
        <v>2.5000000000000001E-2</v>
      </c>
      <c r="O32" s="99" t="s">
        <v>80</v>
      </c>
      <c r="P32" s="600">
        <v>0.43</v>
      </c>
      <c r="Q32" s="98">
        <v>0.15</v>
      </c>
      <c r="R32" s="102" t="s">
        <v>96</v>
      </c>
      <c r="S32" s="103" t="s">
        <v>117</v>
      </c>
      <c r="T32" s="616" t="s">
        <v>83</v>
      </c>
      <c r="U32" s="76" t="s">
        <v>84</v>
      </c>
      <c r="V32" s="77" t="s">
        <v>85</v>
      </c>
      <c r="W32" s="77" t="s">
        <v>97</v>
      </c>
      <c r="X32" s="416">
        <v>18</v>
      </c>
      <c r="Y32" s="416">
        <v>65</v>
      </c>
      <c r="Z32" s="416">
        <v>70</v>
      </c>
      <c r="AA32" s="1386">
        <v>100000</v>
      </c>
      <c r="AB32" s="76" t="s">
        <v>98</v>
      </c>
      <c r="AC32" s="78">
        <v>25</v>
      </c>
      <c r="AD32" s="79">
        <v>25</v>
      </c>
      <c r="AE32" s="80">
        <v>50</v>
      </c>
      <c r="AF32" s="81">
        <v>7.5</v>
      </c>
      <c r="AG32" s="82">
        <v>17.5</v>
      </c>
      <c r="AH32" s="81">
        <v>7.5</v>
      </c>
      <c r="AI32" s="82">
        <v>17.5</v>
      </c>
      <c r="AJ32" s="472">
        <v>3.0809599999999999E-2</v>
      </c>
      <c r="AK32" s="473">
        <v>1.7529599999999999E-2</v>
      </c>
      <c r="AL32" s="474">
        <v>4.7808E-3</v>
      </c>
      <c r="AM32" s="471">
        <v>5.3120000000000001E-2</v>
      </c>
      <c r="AN32" s="467">
        <v>5.3120000000000001E-2</v>
      </c>
      <c r="AO32" s="472">
        <v>2.6224390243902444E-2</v>
      </c>
      <c r="AP32" s="473">
        <v>0</v>
      </c>
      <c r="AQ32" s="474">
        <v>0</v>
      </c>
      <c r="AR32" s="471">
        <v>2.6224390243902444E-2</v>
      </c>
      <c r="AS32" s="465">
        <v>2.6880000000000001E-2</v>
      </c>
      <c r="AT32" s="465">
        <v>0</v>
      </c>
      <c r="AU32" s="465">
        <v>0</v>
      </c>
      <c r="AV32" s="466">
        <v>2.6880000000000001E-2</v>
      </c>
      <c r="AW32" s="467">
        <v>0.08</v>
      </c>
      <c r="AX32" s="265" t="s">
        <v>552</v>
      </c>
      <c r="AY32" s="1142">
        <v>6.6000000000000003E-2</v>
      </c>
      <c r="AZ32" s="1680">
        <v>0</v>
      </c>
      <c r="BA32" s="1159">
        <v>4.7500000000000001E-2</v>
      </c>
      <c r="BB32" s="1191"/>
      <c r="BC32" s="1063"/>
      <c r="BD32" s="1080"/>
      <c r="BE32" s="1081"/>
      <c r="BF32" s="1710">
        <v>6.6000000000000003E-2</v>
      </c>
      <c r="BG32" s="1063"/>
      <c r="BH32" s="1063"/>
      <c r="BI32" s="1063"/>
      <c r="BJ32" s="1713"/>
      <c r="BK32" s="1063"/>
      <c r="BL32" s="1063"/>
      <c r="BM32" s="1063"/>
      <c r="BN32" s="1713"/>
      <c r="BO32" s="83">
        <v>4.7500000000000001E-2</v>
      </c>
      <c r="BP32" s="1009">
        <v>3.3333333333333333E-2</v>
      </c>
      <c r="BQ32" s="1010">
        <v>7.9999999999999932E-3</v>
      </c>
      <c r="BR32" s="1710">
        <v>6.6000000000000003E-2</v>
      </c>
      <c r="BS32" s="83">
        <v>4.7500000000000001E-2</v>
      </c>
      <c r="BT32" s="1009">
        <v>0.04</v>
      </c>
      <c r="BU32" s="1697">
        <v>9.5999999999999905E-3</v>
      </c>
      <c r="BV32" s="1702">
        <v>6.6000000000000003E-2</v>
      </c>
      <c r="BW32" s="1691">
        <v>1.7999999999999999E-2</v>
      </c>
      <c r="BX32" s="1703">
        <v>4.8000000000000001E-2</v>
      </c>
    </row>
    <row r="33" spans="1:76" s="25" customFormat="1" ht="108.75" customHeight="1" x14ac:dyDescent="0.3">
      <c r="A33" s="715" t="s">
        <v>635</v>
      </c>
      <c r="B33" s="1221" t="s">
        <v>398</v>
      </c>
      <c r="C33" s="1891"/>
      <c r="D33" s="84" t="s">
        <v>123</v>
      </c>
      <c r="E33" s="1488" t="s">
        <v>124</v>
      </c>
      <c r="F33" s="1482" t="s">
        <v>125</v>
      </c>
      <c r="G33" s="86" t="s">
        <v>77</v>
      </c>
      <c r="H33" s="87" t="s">
        <v>78</v>
      </c>
      <c r="I33" s="87" t="s">
        <v>79</v>
      </c>
      <c r="J33" s="88">
        <v>0.1</v>
      </c>
      <c r="K33" s="89">
        <v>6.0000000000000012E-2</v>
      </c>
      <c r="L33" s="89">
        <v>4.0000000000000008E-2</v>
      </c>
      <c r="M33" s="90">
        <v>0</v>
      </c>
      <c r="N33" s="91">
        <v>2.5000000000000001E-2</v>
      </c>
      <c r="O33" s="89" t="s">
        <v>80</v>
      </c>
      <c r="P33" s="599">
        <v>0.43</v>
      </c>
      <c r="Q33" s="88">
        <v>0.15</v>
      </c>
      <c r="R33" s="92" t="s">
        <v>96</v>
      </c>
      <c r="S33" s="93" t="s">
        <v>129</v>
      </c>
      <c r="T33" s="616" t="s">
        <v>83</v>
      </c>
      <c r="U33" s="94" t="s">
        <v>84</v>
      </c>
      <c r="V33" s="95" t="s">
        <v>85</v>
      </c>
      <c r="W33" s="95" t="s">
        <v>86</v>
      </c>
      <c r="X33" s="1394">
        <v>18</v>
      </c>
      <c r="Y33" s="1394">
        <v>65</v>
      </c>
      <c r="Z33" s="1394">
        <v>70</v>
      </c>
      <c r="AA33" s="1395">
        <v>100000</v>
      </c>
      <c r="AB33" s="94" t="s">
        <v>87</v>
      </c>
      <c r="AC33" s="479">
        <v>25</v>
      </c>
      <c r="AD33" s="480">
        <v>25</v>
      </c>
      <c r="AE33" s="481">
        <v>50</v>
      </c>
      <c r="AF33" s="482">
        <v>7.5</v>
      </c>
      <c r="AG33" s="483">
        <v>17.5</v>
      </c>
      <c r="AH33" s="482">
        <v>7.5</v>
      </c>
      <c r="AI33" s="483">
        <v>17.5</v>
      </c>
      <c r="AJ33" s="472">
        <v>3.6600000000000008E-2</v>
      </c>
      <c r="AK33" s="473">
        <v>2.3400000000000008E-2</v>
      </c>
      <c r="AL33" s="474">
        <v>0</v>
      </c>
      <c r="AM33" s="471">
        <v>6.0000000000000012E-2</v>
      </c>
      <c r="AN33" s="467">
        <v>6.0000000000000012E-2</v>
      </c>
      <c r="AO33" s="472">
        <v>0</v>
      </c>
      <c r="AP33" s="473">
        <v>3.9024390243902453E-2</v>
      </c>
      <c r="AQ33" s="474">
        <v>0</v>
      </c>
      <c r="AR33" s="471">
        <v>3.9024390243902453E-2</v>
      </c>
      <c r="AS33" s="465">
        <v>0</v>
      </c>
      <c r="AT33" s="465">
        <v>4.0000000000000008E-2</v>
      </c>
      <c r="AU33" s="465">
        <v>0</v>
      </c>
      <c r="AV33" s="466">
        <v>4.0000000000000008E-2</v>
      </c>
      <c r="AW33" s="467">
        <v>0.10000000000000002</v>
      </c>
      <c r="AX33" s="402" t="s">
        <v>553</v>
      </c>
      <c r="AY33" s="1141">
        <v>6.6000000000000003E-2</v>
      </c>
      <c r="AZ33" s="1678">
        <v>0</v>
      </c>
      <c r="BA33" s="1158">
        <v>4.7500000000000001E-2</v>
      </c>
      <c r="BB33" s="1191"/>
      <c r="BC33" s="1064"/>
      <c r="BD33" s="1082"/>
      <c r="BE33" s="1083"/>
      <c r="BF33" s="1709">
        <v>6.6000000000000003E-2</v>
      </c>
      <c r="BG33" s="1064"/>
      <c r="BH33" s="1064"/>
      <c r="BI33" s="1064"/>
      <c r="BJ33" s="1714"/>
      <c r="BK33" s="1064"/>
      <c r="BL33" s="1064"/>
      <c r="BM33" s="1064"/>
      <c r="BN33" s="1714"/>
      <c r="BO33" s="484">
        <v>4.7500000000000001E-2</v>
      </c>
      <c r="BP33" s="1011">
        <v>3.3333333333333333E-2</v>
      </c>
      <c r="BQ33" s="1012">
        <v>7.9999999999999932E-3</v>
      </c>
      <c r="BR33" s="1709">
        <v>6.6000000000000003E-2</v>
      </c>
      <c r="BS33" s="484">
        <v>4.7500000000000001E-2</v>
      </c>
      <c r="BT33" s="1011">
        <v>0.04</v>
      </c>
      <c r="BU33" s="1592">
        <v>9.5999999999999905E-3</v>
      </c>
      <c r="BV33" s="1695">
        <v>6.6000000000000003E-2</v>
      </c>
      <c r="BW33" s="1047">
        <v>1.7999999999999999E-2</v>
      </c>
      <c r="BX33" s="1690">
        <v>4.8000000000000001E-2</v>
      </c>
    </row>
    <row r="34" spans="1:76" s="25" customFormat="1" ht="108.75" customHeight="1" thickBot="1" x14ac:dyDescent="0.35">
      <c r="A34" s="715" t="s">
        <v>635</v>
      </c>
      <c r="B34" s="1221" t="s">
        <v>398</v>
      </c>
      <c r="C34" s="1892"/>
      <c r="D34" s="104" t="s">
        <v>130</v>
      </c>
      <c r="E34" s="1497" t="s">
        <v>131</v>
      </c>
      <c r="F34" s="1484" t="s">
        <v>132</v>
      </c>
      <c r="G34" s="105" t="s">
        <v>93</v>
      </c>
      <c r="H34" s="106" t="s">
        <v>94</v>
      </c>
      <c r="I34" s="107" t="s">
        <v>95</v>
      </c>
      <c r="J34" s="108">
        <v>0.1</v>
      </c>
      <c r="K34" s="109">
        <v>6.6400000000000001E-2</v>
      </c>
      <c r="L34" s="109">
        <v>3.3599999999999998E-2</v>
      </c>
      <c r="M34" s="110">
        <v>0</v>
      </c>
      <c r="N34" s="111">
        <v>2.5000000000000001E-2</v>
      </c>
      <c r="O34" s="109" t="s">
        <v>80</v>
      </c>
      <c r="P34" s="601">
        <v>0.43</v>
      </c>
      <c r="Q34" s="108">
        <v>0.15</v>
      </c>
      <c r="R34" s="112" t="s">
        <v>96</v>
      </c>
      <c r="S34" s="113" t="s">
        <v>129</v>
      </c>
      <c r="T34" s="1564" t="s">
        <v>83</v>
      </c>
      <c r="U34" s="114" t="s">
        <v>84</v>
      </c>
      <c r="V34" s="115" t="s">
        <v>85</v>
      </c>
      <c r="W34" s="115" t="s">
        <v>97</v>
      </c>
      <c r="X34" s="1396">
        <v>18</v>
      </c>
      <c r="Y34" s="1396">
        <v>65</v>
      </c>
      <c r="Z34" s="1396">
        <v>70</v>
      </c>
      <c r="AA34" s="1397">
        <v>100000</v>
      </c>
      <c r="AB34" s="114" t="s">
        <v>98</v>
      </c>
      <c r="AC34" s="485">
        <v>25</v>
      </c>
      <c r="AD34" s="486">
        <v>25</v>
      </c>
      <c r="AE34" s="487">
        <v>50</v>
      </c>
      <c r="AF34" s="488">
        <v>7.5</v>
      </c>
      <c r="AG34" s="489">
        <v>17.5</v>
      </c>
      <c r="AH34" s="488">
        <v>7.5</v>
      </c>
      <c r="AI34" s="489">
        <v>17.5</v>
      </c>
      <c r="AJ34" s="490">
        <v>3.8511999999999998E-2</v>
      </c>
      <c r="AK34" s="491">
        <v>2.1912000000000001E-2</v>
      </c>
      <c r="AL34" s="492">
        <v>5.9759999999999995E-3</v>
      </c>
      <c r="AM34" s="493">
        <v>6.6400000000000001E-2</v>
      </c>
      <c r="AN34" s="494">
        <v>6.6400000000000001E-2</v>
      </c>
      <c r="AO34" s="490">
        <v>3.278048780487805E-2</v>
      </c>
      <c r="AP34" s="491">
        <v>0</v>
      </c>
      <c r="AQ34" s="492">
        <v>0</v>
      </c>
      <c r="AR34" s="493">
        <v>3.278048780487805E-2</v>
      </c>
      <c r="AS34" s="495">
        <v>3.3599999999999998E-2</v>
      </c>
      <c r="AT34" s="495">
        <v>0</v>
      </c>
      <c r="AU34" s="495">
        <v>0</v>
      </c>
      <c r="AV34" s="496">
        <v>3.3599999999999998E-2</v>
      </c>
      <c r="AW34" s="494">
        <v>0.1</v>
      </c>
      <c r="AX34" s="497" t="s">
        <v>554</v>
      </c>
      <c r="AY34" s="1143">
        <v>6.6000000000000003E-2</v>
      </c>
      <c r="AZ34" s="1679">
        <v>0</v>
      </c>
      <c r="BA34" s="1160">
        <v>4.7500000000000001E-2</v>
      </c>
      <c r="BB34" s="1192"/>
      <c r="BC34" s="1065"/>
      <c r="BD34" s="1084"/>
      <c r="BE34" s="1085"/>
      <c r="BF34" s="1711">
        <v>6.6000000000000003E-2</v>
      </c>
      <c r="BG34" s="1065"/>
      <c r="BH34" s="1065"/>
      <c r="BI34" s="1065"/>
      <c r="BJ34" s="1715"/>
      <c r="BK34" s="1065"/>
      <c r="BL34" s="1065"/>
      <c r="BM34" s="1065"/>
      <c r="BN34" s="1715"/>
      <c r="BO34" s="498">
        <v>4.7500000000000001E-2</v>
      </c>
      <c r="BP34" s="1013">
        <v>3.3333333333333333E-2</v>
      </c>
      <c r="BQ34" s="1014">
        <v>7.9999999999999932E-3</v>
      </c>
      <c r="BR34" s="1711">
        <v>6.6000000000000003E-2</v>
      </c>
      <c r="BS34" s="498">
        <v>4.7500000000000001E-2</v>
      </c>
      <c r="BT34" s="1013">
        <v>0.04</v>
      </c>
      <c r="BU34" s="1593">
        <v>9.5999999999999905E-3</v>
      </c>
      <c r="BV34" s="1609">
        <v>6.6000000000000003E-2</v>
      </c>
      <c r="BW34" s="1050">
        <v>1.7999999999999999E-2</v>
      </c>
      <c r="BX34" s="1610">
        <v>4.8000000000000001E-2</v>
      </c>
    </row>
    <row r="35" spans="1:76" s="25" customFormat="1" ht="108.75" customHeight="1" x14ac:dyDescent="0.3">
      <c r="A35" s="715" t="s">
        <v>635</v>
      </c>
      <c r="B35" s="1221" t="s">
        <v>398</v>
      </c>
      <c r="C35" s="1895" t="s">
        <v>135</v>
      </c>
      <c r="D35" s="116" t="s">
        <v>136</v>
      </c>
      <c r="E35" s="1498" t="s">
        <v>137</v>
      </c>
      <c r="F35" s="1471" t="s">
        <v>138</v>
      </c>
      <c r="G35" s="117" t="s">
        <v>77</v>
      </c>
      <c r="H35" s="118" t="s">
        <v>78</v>
      </c>
      <c r="I35" s="119" t="s">
        <v>79</v>
      </c>
      <c r="J35" s="120">
        <v>4.4999999999999998E-2</v>
      </c>
      <c r="K35" s="121">
        <v>2.5874999999999995E-2</v>
      </c>
      <c r="L35" s="121">
        <v>1.9124999999999996E-2</v>
      </c>
      <c r="M35" s="122">
        <v>0</v>
      </c>
      <c r="N35" s="123">
        <v>2.5000000000000001E-2</v>
      </c>
      <c r="O35" s="121" t="s">
        <v>80</v>
      </c>
      <c r="P35" s="602">
        <v>0.44900000000000001</v>
      </c>
      <c r="Q35" s="602">
        <v>0.15</v>
      </c>
      <c r="R35" s="124" t="s">
        <v>96</v>
      </c>
      <c r="S35" s="277" t="s">
        <v>142</v>
      </c>
      <c r="T35" s="1565" t="s">
        <v>83</v>
      </c>
      <c r="U35" s="280" t="s">
        <v>84</v>
      </c>
      <c r="V35" s="127" t="s">
        <v>85</v>
      </c>
      <c r="W35" s="127" t="s">
        <v>86</v>
      </c>
      <c r="X35" s="1398">
        <v>18</v>
      </c>
      <c r="Y35" s="1398">
        <v>65</v>
      </c>
      <c r="Z35" s="1398">
        <v>72</v>
      </c>
      <c r="AA35" s="1399">
        <v>100000</v>
      </c>
      <c r="AB35" s="126" t="s">
        <v>87</v>
      </c>
      <c r="AC35" s="499">
        <v>25</v>
      </c>
      <c r="AD35" s="500">
        <v>25</v>
      </c>
      <c r="AE35" s="501">
        <v>50</v>
      </c>
      <c r="AF35" s="502">
        <v>7.5</v>
      </c>
      <c r="AG35" s="503">
        <v>17.5</v>
      </c>
      <c r="AH35" s="502">
        <v>7.5</v>
      </c>
      <c r="AI35" s="504">
        <v>17.5</v>
      </c>
      <c r="AJ35" s="462">
        <v>1.5783749999999996E-2</v>
      </c>
      <c r="AK35" s="463">
        <v>1.0091249999999998E-2</v>
      </c>
      <c r="AL35" s="464">
        <v>0</v>
      </c>
      <c r="AM35" s="460">
        <v>2.5874999999999995E-2</v>
      </c>
      <c r="AN35" s="461">
        <v>2.5874999999999995E-2</v>
      </c>
      <c r="AO35" s="462">
        <v>0</v>
      </c>
      <c r="AP35" s="463">
        <v>1.8658536585365853E-2</v>
      </c>
      <c r="AQ35" s="464">
        <v>0</v>
      </c>
      <c r="AR35" s="460">
        <v>1.8658536585365853E-2</v>
      </c>
      <c r="AS35" s="465">
        <v>0</v>
      </c>
      <c r="AT35" s="465">
        <v>1.9124999999999996E-2</v>
      </c>
      <c r="AU35" s="465">
        <v>0</v>
      </c>
      <c r="AV35" s="466">
        <v>1.9124999999999996E-2</v>
      </c>
      <c r="AW35" s="461">
        <v>4.4999999999999991E-2</v>
      </c>
      <c r="AX35" s="505" t="s">
        <v>555</v>
      </c>
      <c r="AY35" s="1144">
        <v>7.2999999999999995E-2</v>
      </c>
      <c r="AZ35" s="1639">
        <v>0</v>
      </c>
      <c r="BA35" s="1161">
        <v>5.5300000000000002E-2</v>
      </c>
      <c r="BB35" s="1191"/>
      <c r="BC35" s="1066"/>
      <c r="BD35" s="1086"/>
      <c r="BE35" s="1087"/>
      <c r="BF35" s="1720">
        <v>7.2999999999999995E-2</v>
      </c>
      <c r="BG35" s="1066"/>
      <c r="BH35" s="1066"/>
      <c r="BI35" s="1066"/>
      <c r="BJ35" s="1719"/>
      <c r="BK35" s="1066"/>
      <c r="BL35" s="1066"/>
      <c r="BM35" s="1066"/>
      <c r="BN35" s="1716"/>
      <c r="BO35" s="506">
        <v>5.5300000000000002E-2</v>
      </c>
      <c r="BP35" s="1015">
        <v>3.3333333333333333E-2</v>
      </c>
      <c r="BQ35" s="1016">
        <v>3.1333333333333338E-2</v>
      </c>
      <c r="BR35" s="1720">
        <v>7.2999999999999995E-2</v>
      </c>
      <c r="BS35" s="506">
        <v>5.5300000000000002E-2</v>
      </c>
      <c r="BT35" s="1015">
        <v>0.04</v>
      </c>
      <c r="BU35" s="1594">
        <v>3.7600000000000001E-2</v>
      </c>
      <c r="BV35" s="1611">
        <v>7.2999999999999995E-2</v>
      </c>
      <c r="BW35" s="1051">
        <v>1.7999999999999999E-2</v>
      </c>
      <c r="BX35" s="1612">
        <v>5.5E-2</v>
      </c>
    </row>
    <row r="36" spans="1:76" s="25" customFormat="1" ht="108.75" customHeight="1" x14ac:dyDescent="0.3">
      <c r="A36" s="715" t="s">
        <v>635</v>
      </c>
      <c r="B36" s="1221" t="s">
        <v>398</v>
      </c>
      <c r="C36" s="1896"/>
      <c r="D36" s="128" t="s">
        <v>143</v>
      </c>
      <c r="E36" s="1478" t="s">
        <v>144</v>
      </c>
      <c r="F36" s="1472" t="s">
        <v>145</v>
      </c>
      <c r="G36" s="130" t="s">
        <v>93</v>
      </c>
      <c r="H36" s="131" t="s">
        <v>94</v>
      </c>
      <c r="I36" s="131" t="s">
        <v>95</v>
      </c>
      <c r="J36" s="132">
        <v>4.4999999999999998E-2</v>
      </c>
      <c r="K36" s="133">
        <v>2.9879999999999993E-2</v>
      </c>
      <c r="L36" s="133">
        <v>1.512E-2</v>
      </c>
      <c r="M36" s="134">
        <v>0</v>
      </c>
      <c r="N36" s="135">
        <v>2.5000000000000001E-2</v>
      </c>
      <c r="O36" s="133" t="s">
        <v>80</v>
      </c>
      <c r="P36" s="603">
        <v>0.44900000000000001</v>
      </c>
      <c r="Q36" s="603">
        <v>0.15</v>
      </c>
      <c r="R36" s="136" t="s">
        <v>96</v>
      </c>
      <c r="S36" s="278" t="s">
        <v>142</v>
      </c>
      <c r="T36" s="1566" t="s">
        <v>83</v>
      </c>
      <c r="U36" s="275" t="s">
        <v>84</v>
      </c>
      <c r="V36" s="138" t="s">
        <v>85</v>
      </c>
      <c r="W36" s="138" t="s">
        <v>97</v>
      </c>
      <c r="X36" s="1400">
        <v>18</v>
      </c>
      <c r="Y36" s="1400">
        <v>65</v>
      </c>
      <c r="Z36" s="1400">
        <v>72</v>
      </c>
      <c r="AA36" s="1401">
        <v>100000</v>
      </c>
      <c r="AB36" s="137" t="s">
        <v>98</v>
      </c>
      <c r="AC36" s="507">
        <v>25</v>
      </c>
      <c r="AD36" s="508">
        <v>25</v>
      </c>
      <c r="AE36" s="509">
        <v>50</v>
      </c>
      <c r="AF36" s="510">
        <v>7.5</v>
      </c>
      <c r="AG36" s="511">
        <v>17.5</v>
      </c>
      <c r="AH36" s="510">
        <v>7.5</v>
      </c>
      <c r="AI36" s="511">
        <v>17.5</v>
      </c>
      <c r="AJ36" s="472">
        <v>1.7330399999999996E-2</v>
      </c>
      <c r="AK36" s="473">
        <v>9.8604000000000001E-3</v>
      </c>
      <c r="AL36" s="474">
        <v>2.6891999999999997E-3</v>
      </c>
      <c r="AM36" s="471">
        <v>2.9879999999999993E-2</v>
      </c>
      <c r="AN36" s="467">
        <v>2.9879999999999993E-2</v>
      </c>
      <c r="AO36" s="472">
        <v>1.4751219512195123E-2</v>
      </c>
      <c r="AP36" s="473">
        <v>0</v>
      </c>
      <c r="AQ36" s="474">
        <v>0</v>
      </c>
      <c r="AR36" s="471">
        <v>1.4751219512195123E-2</v>
      </c>
      <c r="AS36" s="465">
        <v>1.512E-2</v>
      </c>
      <c r="AT36" s="465">
        <v>0</v>
      </c>
      <c r="AU36" s="465">
        <v>0</v>
      </c>
      <c r="AV36" s="466">
        <v>1.512E-2</v>
      </c>
      <c r="AW36" s="467">
        <v>4.4999999999999991E-2</v>
      </c>
      <c r="AX36" s="512" t="s">
        <v>556</v>
      </c>
      <c r="AY36" s="1145">
        <v>7.2999999999999995E-2</v>
      </c>
      <c r="AZ36" s="1640">
        <v>0</v>
      </c>
      <c r="BA36" s="1162">
        <v>5.5300000000000002E-2</v>
      </c>
      <c r="BB36" s="1191"/>
      <c r="BC36" s="1067"/>
      <c r="BD36" s="1088"/>
      <c r="BE36" s="1089"/>
      <c r="BF36" s="1721">
        <v>7.2999999999999995E-2</v>
      </c>
      <c r="BG36" s="1067"/>
      <c r="BH36" s="1067"/>
      <c r="BI36" s="1067"/>
      <c r="BJ36" s="1717"/>
      <c r="BK36" s="1067"/>
      <c r="BL36" s="1067"/>
      <c r="BM36" s="1067"/>
      <c r="BN36" s="1717"/>
      <c r="BO36" s="513">
        <v>5.5300000000000002E-2</v>
      </c>
      <c r="BP36" s="1017">
        <v>3.3333333333333333E-2</v>
      </c>
      <c r="BQ36" s="1018">
        <v>3.1333333333333338E-2</v>
      </c>
      <c r="BR36" s="1721">
        <v>7.2999999999999995E-2</v>
      </c>
      <c r="BS36" s="513">
        <v>5.5300000000000002E-2</v>
      </c>
      <c r="BT36" s="1017">
        <v>0.04</v>
      </c>
      <c r="BU36" s="1595">
        <v>3.7600000000000001E-2</v>
      </c>
      <c r="BV36" s="1613">
        <v>7.2999999999999995E-2</v>
      </c>
      <c r="BW36" s="1052">
        <v>1.7999999999999999E-2</v>
      </c>
      <c r="BX36" s="1614">
        <v>5.5E-2</v>
      </c>
    </row>
    <row r="37" spans="1:76" s="25" customFormat="1" ht="108.75" customHeight="1" x14ac:dyDescent="0.3">
      <c r="A37" s="715" t="s">
        <v>635</v>
      </c>
      <c r="B37" s="1221" t="s">
        <v>398</v>
      </c>
      <c r="C37" s="1896"/>
      <c r="D37" s="139" t="s">
        <v>148</v>
      </c>
      <c r="E37" s="1477" t="s">
        <v>149</v>
      </c>
      <c r="F37" s="1471" t="s">
        <v>150</v>
      </c>
      <c r="G37" s="117" t="s">
        <v>77</v>
      </c>
      <c r="H37" s="141" t="s">
        <v>78</v>
      </c>
      <c r="I37" s="141" t="s">
        <v>79</v>
      </c>
      <c r="J37" s="142">
        <v>0.06</v>
      </c>
      <c r="K37" s="143">
        <v>3.4499999999999989E-2</v>
      </c>
      <c r="L37" s="143">
        <v>2.5499999999999995E-2</v>
      </c>
      <c r="M37" s="144">
        <v>0</v>
      </c>
      <c r="N37" s="145">
        <v>2.5000000000000001E-2</v>
      </c>
      <c r="O37" s="143" t="s">
        <v>80</v>
      </c>
      <c r="P37" s="604">
        <v>0.44900000000000001</v>
      </c>
      <c r="Q37" s="604">
        <v>0.15</v>
      </c>
      <c r="R37" s="146" t="s">
        <v>96</v>
      </c>
      <c r="S37" s="279" t="s">
        <v>154</v>
      </c>
      <c r="T37" s="1566" t="s">
        <v>83</v>
      </c>
      <c r="U37" s="276" t="s">
        <v>84</v>
      </c>
      <c r="V37" s="149" t="s">
        <v>85</v>
      </c>
      <c r="W37" s="149" t="s">
        <v>86</v>
      </c>
      <c r="X37" s="1402">
        <v>18</v>
      </c>
      <c r="Y37" s="1402">
        <v>65</v>
      </c>
      <c r="Z37" s="1402">
        <v>72</v>
      </c>
      <c r="AA37" s="1403">
        <v>100000</v>
      </c>
      <c r="AB37" s="148" t="s">
        <v>87</v>
      </c>
      <c r="AC37" s="514">
        <v>25</v>
      </c>
      <c r="AD37" s="515">
        <v>25</v>
      </c>
      <c r="AE37" s="516">
        <v>50</v>
      </c>
      <c r="AF37" s="517">
        <v>7.5</v>
      </c>
      <c r="AG37" s="518">
        <v>17.5</v>
      </c>
      <c r="AH37" s="517">
        <v>7.5</v>
      </c>
      <c r="AI37" s="518">
        <v>17.5</v>
      </c>
      <c r="AJ37" s="472">
        <v>2.1044999999999991E-2</v>
      </c>
      <c r="AK37" s="473">
        <v>1.3454999999999996E-2</v>
      </c>
      <c r="AL37" s="474">
        <v>0</v>
      </c>
      <c r="AM37" s="471">
        <v>3.4499999999999989E-2</v>
      </c>
      <c r="AN37" s="467">
        <v>3.4499999999999989E-2</v>
      </c>
      <c r="AO37" s="472">
        <v>0</v>
      </c>
      <c r="AP37" s="473">
        <v>2.4878048780487803E-2</v>
      </c>
      <c r="AQ37" s="474">
        <v>0</v>
      </c>
      <c r="AR37" s="471">
        <v>2.4878048780487803E-2</v>
      </c>
      <c r="AS37" s="465">
        <v>0</v>
      </c>
      <c r="AT37" s="465">
        <v>2.5499999999999995E-2</v>
      </c>
      <c r="AU37" s="465">
        <v>0</v>
      </c>
      <c r="AV37" s="466">
        <v>2.5499999999999995E-2</v>
      </c>
      <c r="AW37" s="467">
        <v>5.9999999999999984E-2</v>
      </c>
      <c r="AX37" s="505" t="s">
        <v>557</v>
      </c>
      <c r="AY37" s="1144">
        <v>6.5000000000000002E-2</v>
      </c>
      <c r="AZ37" s="1639">
        <v>0</v>
      </c>
      <c r="BA37" s="1161">
        <v>4.7300000000000002E-2</v>
      </c>
      <c r="BB37" s="1191"/>
      <c r="BC37" s="1068"/>
      <c r="BD37" s="1090"/>
      <c r="BE37" s="1091"/>
      <c r="BF37" s="1722">
        <v>6.5000000000000002E-2</v>
      </c>
      <c r="BG37" s="1068"/>
      <c r="BH37" s="1068"/>
      <c r="BI37" s="1068"/>
      <c r="BJ37" s="1718"/>
      <c r="BK37" s="1068"/>
      <c r="BL37" s="1068"/>
      <c r="BM37" s="1068"/>
      <c r="BN37" s="1718"/>
      <c r="BO37" s="519">
        <v>4.7300000000000002E-2</v>
      </c>
      <c r="BP37" s="1019">
        <v>3.3333333333333333E-2</v>
      </c>
      <c r="BQ37" s="1020">
        <v>4.6666666666666679E-3</v>
      </c>
      <c r="BR37" s="1722">
        <v>6.5000000000000002E-2</v>
      </c>
      <c r="BS37" s="519">
        <v>4.7300000000000002E-2</v>
      </c>
      <c r="BT37" s="1019">
        <v>0.04</v>
      </c>
      <c r="BU37" s="1596">
        <v>5.6000000000000008E-3</v>
      </c>
      <c r="BV37" s="1615">
        <v>6.5000000000000002E-2</v>
      </c>
      <c r="BW37" s="1053">
        <v>1.7999999999999999E-2</v>
      </c>
      <c r="BX37" s="1616">
        <v>4.7000000000000007E-2</v>
      </c>
    </row>
    <row r="38" spans="1:76" s="25" customFormat="1" ht="108.75" customHeight="1" x14ac:dyDescent="0.3">
      <c r="A38" s="715" t="s">
        <v>635</v>
      </c>
      <c r="B38" s="1221" t="s">
        <v>398</v>
      </c>
      <c r="C38" s="1896"/>
      <c r="D38" s="128" t="s">
        <v>155</v>
      </c>
      <c r="E38" s="1478" t="s">
        <v>156</v>
      </c>
      <c r="F38" s="1472" t="s">
        <v>157</v>
      </c>
      <c r="G38" s="130" t="s">
        <v>93</v>
      </c>
      <c r="H38" s="131" t="s">
        <v>94</v>
      </c>
      <c r="I38" s="131" t="s">
        <v>95</v>
      </c>
      <c r="J38" s="132">
        <v>0.06</v>
      </c>
      <c r="K38" s="133">
        <v>3.984E-2</v>
      </c>
      <c r="L38" s="133">
        <v>2.0159999999999997E-2</v>
      </c>
      <c r="M38" s="134">
        <v>0</v>
      </c>
      <c r="N38" s="135">
        <v>2.5000000000000001E-2</v>
      </c>
      <c r="O38" s="133" t="s">
        <v>80</v>
      </c>
      <c r="P38" s="603">
        <v>0.44900000000000001</v>
      </c>
      <c r="Q38" s="603">
        <v>0.15</v>
      </c>
      <c r="R38" s="136" t="s">
        <v>96</v>
      </c>
      <c r="S38" s="278" t="s">
        <v>154</v>
      </c>
      <c r="T38" s="1566" t="s">
        <v>83</v>
      </c>
      <c r="U38" s="275" t="s">
        <v>84</v>
      </c>
      <c r="V38" s="138" t="s">
        <v>85</v>
      </c>
      <c r="W38" s="138" t="s">
        <v>97</v>
      </c>
      <c r="X38" s="1400">
        <v>18</v>
      </c>
      <c r="Y38" s="1400">
        <v>65</v>
      </c>
      <c r="Z38" s="1400">
        <v>72</v>
      </c>
      <c r="AA38" s="1401">
        <v>100000</v>
      </c>
      <c r="AB38" s="137" t="s">
        <v>98</v>
      </c>
      <c r="AC38" s="507">
        <v>25</v>
      </c>
      <c r="AD38" s="508">
        <v>25</v>
      </c>
      <c r="AE38" s="509">
        <v>50</v>
      </c>
      <c r="AF38" s="510">
        <v>7.5</v>
      </c>
      <c r="AG38" s="511">
        <v>17.5</v>
      </c>
      <c r="AH38" s="510">
        <v>7.5</v>
      </c>
      <c r="AI38" s="511">
        <v>17.5</v>
      </c>
      <c r="AJ38" s="472">
        <v>2.3107199999999998E-2</v>
      </c>
      <c r="AK38" s="473">
        <v>1.31472E-2</v>
      </c>
      <c r="AL38" s="474">
        <v>3.5855999999999996E-3</v>
      </c>
      <c r="AM38" s="471">
        <v>3.984E-2</v>
      </c>
      <c r="AN38" s="467">
        <v>3.984E-2</v>
      </c>
      <c r="AO38" s="472">
        <v>1.966829268292683E-2</v>
      </c>
      <c r="AP38" s="473">
        <v>0</v>
      </c>
      <c r="AQ38" s="474">
        <v>0</v>
      </c>
      <c r="AR38" s="471">
        <v>1.966829268292683E-2</v>
      </c>
      <c r="AS38" s="465">
        <v>2.0159999999999997E-2</v>
      </c>
      <c r="AT38" s="465">
        <v>0</v>
      </c>
      <c r="AU38" s="465">
        <v>0</v>
      </c>
      <c r="AV38" s="466">
        <v>2.0159999999999997E-2</v>
      </c>
      <c r="AW38" s="467">
        <v>0.06</v>
      </c>
      <c r="AX38" s="512" t="s">
        <v>558</v>
      </c>
      <c r="AY38" s="1145">
        <v>6.5000000000000002E-2</v>
      </c>
      <c r="AZ38" s="1640">
        <v>0</v>
      </c>
      <c r="BA38" s="1162">
        <v>4.7300000000000002E-2</v>
      </c>
      <c r="BB38" s="1191"/>
      <c r="BC38" s="1067"/>
      <c r="BD38" s="1088"/>
      <c r="BE38" s="1089"/>
      <c r="BF38" s="1721">
        <v>6.5000000000000002E-2</v>
      </c>
      <c r="BG38" s="1067"/>
      <c r="BH38" s="1067"/>
      <c r="BI38" s="1067"/>
      <c r="BJ38" s="1717"/>
      <c r="BK38" s="1067"/>
      <c r="BL38" s="1067"/>
      <c r="BM38" s="1067"/>
      <c r="BN38" s="1717"/>
      <c r="BO38" s="513">
        <v>4.7300000000000002E-2</v>
      </c>
      <c r="BP38" s="1017">
        <v>3.3333333333333333E-2</v>
      </c>
      <c r="BQ38" s="1018">
        <v>4.6666666666666679E-3</v>
      </c>
      <c r="BR38" s="1721">
        <v>6.5000000000000002E-2</v>
      </c>
      <c r="BS38" s="513">
        <v>4.7300000000000002E-2</v>
      </c>
      <c r="BT38" s="1017">
        <v>0.04</v>
      </c>
      <c r="BU38" s="1595">
        <v>5.6000000000000008E-3</v>
      </c>
      <c r="BV38" s="1613">
        <v>6.5000000000000002E-2</v>
      </c>
      <c r="BW38" s="1052">
        <v>1.7999999999999999E-2</v>
      </c>
      <c r="BX38" s="1614">
        <v>4.7000000000000007E-2</v>
      </c>
    </row>
    <row r="39" spans="1:76" s="25" customFormat="1" ht="108.75" customHeight="1" x14ac:dyDescent="0.3">
      <c r="A39" s="715" t="s">
        <v>635</v>
      </c>
      <c r="B39" s="1221" t="s">
        <v>398</v>
      </c>
      <c r="C39" s="1896"/>
      <c r="D39" s="139" t="s">
        <v>160</v>
      </c>
      <c r="E39" s="1477" t="s">
        <v>161</v>
      </c>
      <c r="F39" s="1471" t="s">
        <v>162</v>
      </c>
      <c r="G39" s="117" t="s">
        <v>77</v>
      </c>
      <c r="H39" s="141" t="s">
        <v>78</v>
      </c>
      <c r="I39" s="141" t="s">
        <v>79</v>
      </c>
      <c r="J39" s="142">
        <v>0.08</v>
      </c>
      <c r="K39" s="143">
        <v>4.5999999999999999E-2</v>
      </c>
      <c r="L39" s="143">
        <v>3.4000000000000002E-2</v>
      </c>
      <c r="M39" s="144">
        <v>0</v>
      </c>
      <c r="N39" s="145">
        <v>2.5000000000000001E-2</v>
      </c>
      <c r="O39" s="143" t="s">
        <v>80</v>
      </c>
      <c r="P39" s="604">
        <v>0.44900000000000001</v>
      </c>
      <c r="Q39" s="604">
        <v>0.15</v>
      </c>
      <c r="R39" s="146" t="s">
        <v>96</v>
      </c>
      <c r="S39" s="147" t="s">
        <v>166</v>
      </c>
      <c r="T39" s="1566" t="s">
        <v>83</v>
      </c>
      <c r="U39" s="276" t="s">
        <v>84</v>
      </c>
      <c r="V39" s="149" t="s">
        <v>85</v>
      </c>
      <c r="W39" s="149" t="s">
        <v>86</v>
      </c>
      <c r="X39" s="1402">
        <v>18</v>
      </c>
      <c r="Y39" s="1402">
        <v>65</v>
      </c>
      <c r="Z39" s="1402">
        <v>72</v>
      </c>
      <c r="AA39" s="1403">
        <v>100000</v>
      </c>
      <c r="AB39" s="148" t="s">
        <v>87</v>
      </c>
      <c r="AC39" s="514">
        <v>25</v>
      </c>
      <c r="AD39" s="515">
        <v>25</v>
      </c>
      <c r="AE39" s="516">
        <v>50</v>
      </c>
      <c r="AF39" s="517">
        <v>7.5</v>
      </c>
      <c r="AG39" s="518">
        <v>17.5</v>
      </c>
      <c r="AH39" s="517">
        <v>7.5</v>
      </c>
      <c r="AI39" s="518">
        <v>17.5</v>
      </c>
      <c r="AJ39" s="472">
        <v>2.8059999999999998E-2</v>
      </c>
      <c r="AK39" s="473">
        <v>1.7940000000000001E-2</v>
      </c>
      <c r="AL39" s="474">
        <v>0</v>
      </c>
      <c r="AM39" s="471">
        <v>4.5999999999999999E-2</v>
      </c>
      <c r="AN39" s="467">
        <v>4.5999999999999999E-2</v>
      </c>
      <c r="AO39" s="472">
        <v>0</v>
      </c>
      <c r="AP39" s="473">
        <v>3.3170731707317082E-2</v>
      </c>
      <c r="AQ39" s="474">
        <v>0</v>
      </c>
      <c r="AR39" s="471">
        <v>3.3170731707317082E-2</v>
      </c>
      <c r="AS39" s="465">
        <v>0</v>
      </c>
      <c r="AT39" s="465">
        <v>3.4000000000000002E-2</v>
      </c>
      <c r="AU39" s="465">
        <v>0</v>
      </c>
      <c r="AV39" s="466">
        <v>3.4000000000000002E-2</v>
      </c>
      <c r="AW39" s="467">
        <v>8.0000000000000016E-2</v>
      </c>
      <c r="AX39" s="505" t="s">
        <v>559</v>
      </c>
      <c r="AY39" s="1144">
        <v>6.5000000000000002E-2</v>
      </c>
      <c r="AZ39" s="1639">
        <v>0</v>
      </c>
      <c r="BA39" s="1161">
        <v>4.7300000000000002E-2</v>
      </c>
      <c r="BB39" s="1191"/>
      <c r="BC39" s="1068"/>
      <c r="BD39" s="1090"/>
      <c r="BE39" s="1091"/>
      <c r="BF39" s="1722">
        <v>6.5000000000000002E-2</v>
      </c>
      <c r="BG39" s="1068"/>
      <c r="BH39" s="1068"/>
      <c r="BI39" s="1068"/>
      <c r="BJ39" s="1718"/>
      <c r="BK39" s="1068"/>
      <c r="BL39" s="1068"/>
      <c r="BM39" s="1068"/>
      <c r="BN39" s="1718"/>
      <c r="BO39" s="519">
        <v>4.7300000000000002E-2</v>
      </c>
      <c r="BP39" s="1019">
        <v>3.3333333333333333E-2</v>
      </c>
      <c r="BQ39" s="1020">
        <v>4.6666666666666679E-3</v>
      </c>
      <c r="BR39" s="1722">
        <v>6.5000000000000002E-2</v>
      </c>
      <c r="BS39" s="519">
        <v>4.7300000000000002E-2</v>
      </c>
      <c r="BT39" s="1019">
        <v>0.04</v>
      </c>
      <c r="BU39" s="1596">
        <v>5.6000000000000008E-3</v>
      </c>
      <c r="BV39" s="1615">
        <v>6.5000000000000002E-2</v>
      </c>
      <c r="BW39" s="1053">
        <v>1.7999999999999999E-2</v>
      </c>
      <c r="BX39" s="1616">
        <v>4.7000000000000007E-2</v>
      </c>
    </row>
    <row r="40" spans="1:76" s="25" customFormat="1" ht="108.75" customHeight="1" thickBot="1" x14ac:dyDescent="0.35">
      <c r="A40" s="715" t="s">
        <v>635</v>
      </c>
      <c r="B40" s="1221" t="s">
        <v>398</v>
      </c>
      <c r="C40" s="1897"/>
      <c r="D40" s="150" t="s">
        <v>167</v>
      </c>
      <c r="E40" s="1499" t="s">
        <v>168</v>
      </c>
      <c r="F40" s="1473" t="s">
        <v>169</v>
      </c>
      <c r="G40" s="151" t="s">
        <v>93</v>
      </c>
      <c r="H40" s="152" t="s">
        <v>94</v>
      </c>
      <c r="I40" s="153" t="s">
        <v>95</v>
      </c>
      <c r="J40" s="154">
        <v>0.08</v>
      </c>
      <c r="K40" s="155">
        <v>5.3120000000000001E-2</v>
      </c>
      <c r="L40" s="155">
        <v>2.6880000000000001E-2</v>
      </c>
      <c r="M40" s="156">
        <v>0</v>
      </c>
      <c r="N40" s="157">
        <v>2.5000000000000001E-2</v>
      </c>
      <c r="O40" s="155" t="s">
        <v>80</v>
      </c>
      <c r="P40" s="605">
        <v>0.44900000000000001</v>
      </c>
      <c r="Q40" s="605">
        <v>0.15</v>
      </c>
      <c r="R40" s="158" t="s">
        <v>96</v>
      </c>
      <c r="S40" s="159" t="s">
        <v>166</v>
      </c>
      <c r="T40" s="617" t="s">
        <v>83</v>
      </c>
      <c r="U40" s="160" t="s">
        <v>84</v>
      </c>
      <c r="V40" s="161" t="s">
        <v>85</v>
      </c>
      <c r="W40" s="161" t="s">
        <v>97</v>
      </c>
      <c r="X40" s="1404">
        <v>18</v>
      </c>
      <c r="Y40" s="1404">
        <v>65</v>
      </c>
      <c r="Z40" s="1404">
        <v>72</v>
      </c>
      <c r="AA40" s="1405">
        <v>100000</v>
      </c>
      <c r="AB40" s="160" t="s">
        <v>98</v>
      </c>
      <c r="AC40" s="520">
        <v>25</v>
      </c>
      <c r="AD40" s="521">
        <v>25</v>
      </c>
      <c r="AE40" s="522">
        <v>50</v>
      </c>
      <c r="AF40" s="523">
        <v>7.5</v>
      </c>
      <c r="AG40" s="524">
        <v>17.5</v>
      </c>
      <c r="AH40" s="523">
        <v>7.5</v>
      </c>
      <c r="AI40" s="524">
        <v>17.5</v>
      </c>
      <c r="AJ40" s="490">
        <v>3.0809599999999999E-2</v>
      </c>
      <c r="AK40" s="491">
        <v>1.7529599999999999E-2</v>
      </c>
      <c r="AL40" s="492">
        <v>4.7808E-3</v>
      </c>
      <c r="AM40" s="493">
        <v>5.3120000000000001E-2</v>
      </c>
      <c r="AN40" s="494">
        <v>5.3120000000000001E-2</v>
      </c>
      <c r="AO40" s="490">
        <v>2.622439024390244E-2</v>
      </c>
      <c r="AP40" s="491">
        <v>0</v>
      </c>
      <c r="AQ40" s="492">
        <v>0</v>
      </c>
      <c r="AR40" s="493">
        <v>2.622439024390244E-2</v>
      </c>
      <c r="AS40" s="495">
        <v>2.6880000000000001E-2</v>
      </c>
      <c r="AT40" s="495">
        <v>0</v>
      </c>
      <c r="AU40" s="495">
        <v>0</v>
      </c>
      <c r="AV40" s="496">
        <v>2.6880000000000001E-2</v>
      </c>
      <c r="AW40" s="494">
        <v>0.08</v>
      </c>
      <c r="AX40" s="525" t="s">
        <v>560</v>
      </c>
      <c r="AY40" s="1146">
        <v>6.5000000000000002E-2</v>
      </c>
      <c r="AZ40" s="1641">
        <v>0</v>
      </c>
      <c r="BA40" s="1163">
        <v>4.7300000000000002E-2</v>
      </c>
      <c r="BB40" s="1192"/>
      <c r="BC40" s="1069"/>
      <c r="BD40" s="1092"/>
      <c r="BE40" s="1093"/>
      <c r="BF40" s="1723">
        <v>6.5000000000000002E-2</v>
      </c>
      <c r="BG40" s="1069"/>
      <c r="BH40" s="1069"/>
      <c r="BI40" s="1069"/>
      <c r="BJ40" s="1727"/>
      <c r="BK40" s="1069"/>
      <c r="BL40" s="1069"/>
      <c r="BM40" s="1069"/>
      <c r="BN40" s="1727"/>
      <c r="BO40" s="526">
        <v>4.7300000000000002E-2</v>
      </c>
      <c r="BP40" s="1021">
        <v>3.3333333333333333E-2</v>
      </c>
      <c r="BQ40" s="1022">
        <v>4.6666666666666679E-3</v>
      </c>
      <c r="BR40" s="1723">
        <v>6.5000000000000002E-2</v>
      </c>
      <c r="BS40" s="526">
        <v>4.7300000000000002E-2</v>
      </c>
      <c r="BT40" s="1021">
        <v>0.04</v>
      </c>
      <c r="BU40" s="1597">
        <v>5.6000000000000008E-3</v>
      </c>
      <c r="BV40" s="1617">
        <v>6.5000000000000002E-2</v>
      </c>
      <c r="BW40" s="1054">
        <v>1.7999999999999999E-2</v>
      </c>
      <c r="BX40" s="1618">
        <v>4.7000000000000007E-2</v>
      </c>
    </row>
    <row r="41" spans="1:76" s="25" customFormat="1" ht="108.75" customHeight="1" x14ac:dyDescent="0.3">
      <c r="A41" s="715" t="s">
        <v>635</v>
      </c>
      <c r="B41" s="1221" t="s">
        <v>398</v>
      </c>
      <c r="C41" s="1884" t="s">
        <v>172</v>
      </c>
      <c r="D41" s="162" t="s">
        <v>173</v>
      </c>
      <c r="E41" s="1500" t="s">
        <v>174</v>
      </c>
      <c r="F41" s="1462" t="s">
        <v>175</v>
      </c>
      <c r="G41" s="163" t="s">
        <v>77</v>
      </c>
      <c r="H41" s="164" t="s">
        <v>78</v>
      </c>
      <c r="I41" s="165" t="s">
        <v>79</v>
      </c>
      <c r="J41" s="166">
        <v>3.4999999999999996E-2</v>
      </c>
      <c r="K41" s="167">
        <v>2.0124999999999997E-2</v>
      </c>
      <c r="L41" s="167">
        <v>1.4874999999999998E-2</v>
      </c>
      <c r="M41" s="168">
        <v>0</v>
      </c>
      <c r="N41" s="166">
        <v>2.5000000000000001E-2</v>
      </c>
      <c r="O41" s="167" t="s">
        <v>80</v>
      </c>
      <c r="P41" s="606">
        <v>0.44900000000000001</v>
      </c>
      <c r="Q41" s="606">
        <v>0.15</v>
      </c>
      <c r="R41" s="169" t="s">
        <v>96</v>
      </c>
      <c r="S41" s="827" t="s">
        <v>82</v>
      </c>
      <c r="T41" s="622" t="s">
        <v>247</v>
      </c>
      <c r="U41" s="170" t="s">
        <v>84</v>
      </c>
      <c r="V41" s="171" t="s">
        <v>85</v>
      </c>
      <c r="W41" s="171" t="s">
        <v>86</v>
      </c>
      <c r="X41" s="1406">
        <v>18</v>
      </c>
      <c r="Y41" s="1406">
        <v>65</v>
      </c>
      <c r="Z41" s="1406">
        <v>72</v>
      </c>
      <c r="AA41" s="1407">
        <v>100000</v>
      </c>
      <c r="AB41" s="172" t="s">
        <v>87</v>
      </c>
      <c r="AC41" s="527">
        <v>17.5</v>
      </c>
      <c r="AD41" s="528">
        <v>17.5</v>
      </c>
      <c r="AE41" s="529">
        <v>35</v>
      </c>
      <c r="AF41" s="530">
        <v>7.5</v>
      </c>
      <c r="AG41" s="531">
        <v>10</v>
      </c>
      <c r="AH41" s="530">
        <v>7.5</v>
      </c>
      <c r="AI41" s="531">
        <v>10</v>
      </c>
      <c r="AJ41" s="462">
        <v>1.2276249999999997E-2</v>
      </c>
      <c r="AK41" s="463">
        <v>7.8487499999999998E-3</v>
      </c>
      <c r="AL41" s="464">
        <v>0</v>
      </c>
      <c r="AM41" s="460">
        <v>2.0124999999999997E-2</v>
      </c>
      <c r="AN41" s="461">
        <v>2.0124999999999997E-2</v>
      </c>
      <c r="AO41" s="462">
        <v>0</v>
      </c>
      <c r="AP41" s="463">
        <v>1.4512195121951219E-2</v>
      </c>
      <c r="AQ41" s="464">
        <v>0</v>
      </c>
      <c r="AR41" s="460">
        <v>1.4512195121951219E-2</v>
      </c>
      <c r="AS41" s="465">
        <v>0</v>
      </c>
      <c r="AT41" s="465">
        <v>1.4874999999999998E-2</v>
      </c>
      <c r="AU41" s="465">
        <v>0</v>
      </c>
      <c r="AV41" s="466">
        <v>1.4874999999999998E-2</v>
      </c>
      <c r="AW41" s="461">
        <v>3.4999999999999996E-2</v>
      </c>
      <c r="AX41" s="532" t="s">
        <v>561</v>
      </c>
      <c r="AY41" s="1147">
        <v>9.5000000000000001E-2</v>
      </c>
      <c r="AZ41" s="1642">
        <v>0</v>
      </c>
      <c r="BA41" s="1164">
        <v>7.7299999999999994E-2</v>
      </c>
      <c r="BB41" s="1191"/>
      <c r="BC41" s="1070"/>
      <c r="BD41" s="1094"/>
      <c r="BE41" s="1095"/>
      <c r="BF41" s="1724">
        <v>9.5000000000000001E-2</v>
      </c>
      <c r="BG41" s="1070"/>
      <c r="BH41" s="1070"/>
      <c r="BI41" s="1070"/>
      <c r="BJ41" s="1728"/>
      <c r="BK41" s="1070"/>
      <c r="BL41" s="1070"/>
      <c r="BM41" s="1070"/>
      <c r="BN41" s="1728"/>
      <c r="BO41" s="533">
        <v>7.7299999999999994E-2</v>
      </c>
      <c r="BP41" s="1023">
        <v>3.3333333333333333E-2</v>
      </c>
      <c r="BQ41" s="1024">
        <v>0.10466666666666666</v>
      </c>
      <c r="BR41" s="1724">
        <v>9.5000000000000001E-2</v>
      </c>
      <c r="BS41" s="533">
        <v>7.7300000000000008E-2</v>
      </c>
      <c r="BT41" s="1023">
        <v>0.04</v>
      </c>
      <c r="BU41" s="1598">
        <v>0.12559999999999999</v>
      </c>
      <c r="BV41" s="1619">
        <v>9.5000000000000001E-2</v>
      </c>
      <c r="BW41" s="1055">
        <v>1.7999999999999999E-2</v>
      </c>
      <c r="BX41" s="1620">
        <v>7.6999999999999999E-2</v>
      </c>
    </row>
    <row r="42" spans="1:76" s="25" customFormat="1" ht="108.75" customHeight="1" x14ac:dyDescent="0.3">
      <c r="A42" s="715" t="s">
        <v>635</v>
      </c>
      <c r="B42" s="1221" t="s">
        <v>398</v>
      </c>
      <c r="C42" s="1885"/>
      <c r="D42" s="173" t="s">
        <v>179</v>
      </c>
      <c r="E42" s="1467" t="s">
        <v>180</v>
      </c>
      <c r="F42" s="1463" t="s">
        <v>181</v>
      </c>
      <c r="G42" s="175" t="s">
        <v>93</v>
      </c>
      <c r="H42" s="176" t="s">
        <v>94</v>
      </c>
      <c r="I42" s="176" t="s">
        <v>95</v>
      </c>
      <c r="J42" s="177">
        <v>3.5000000000000003E-2</v>
      </c>
      <c r="K42" s="178">
        <v>2.3240000000000004E-2</v>
      </c>
      <c r="L42" s="178">
        <v>1.1760000000000001E-2</v>
      </c>
      <c r="M42" s="179">
        <v>0</v>
      </c>
      <c r="N42" s="180">
        <v>2.5000000000000001E-2</v>
      </c>
      <c r="O42" s="178" t="s">
        <v>80</v>
      </c>
      <c r="P42" s="607">
        <v>0.44900000000000001</v>
      </c>
      <c r="Q42" s="607">
        <v>0.15</v>
      </c>
      <c r="R42" s="181" t="s">
        <v>96</v>
      </c>
      <c r="S42" s="828" t="s">
        <v>82</v>
      </c>
      <c r="T42" s="623" t="s">
        <v>247</v>
      </c>
      <c r="U42" s="182" t="s">
        <v>84</v>
      </c>
      <c r="V42" s="183" t="s">
        <v>85</v>
      </c>
      <c r="W42" s="183" t="s">
        <v>97</v>
      </c>
      <c r="X42" s="1408">
        <v>18</v>
      </c>
      <c r="Y42" s="1408">
        <v>65</v>
      </c>
      <c r="Z42" s="1408">
        <v>72</v>
      </c>
      <c r="AA42" s="1409">
        <v>100000</v>
      </c>
      <c r="AB42" s="184" t="s">
        <v>98</v>
      </c>
      <c r="AC42" s="534">
        <v>17.5</v>
      </c>
      <c r="AD42" s="535">
        <v>17.5</v>
      </c>
      <c r="AE42" s="536">
        <v>35</v>
      </c>
      <c r="AF42" s="537">
        <v>7.5</v>
      </c>
      <c r="AG42" s="538">
        <v>10</v>
      </c>
      <c r="AH42" s="537">
        <v>7.5</v>
      </c>
      <c r="AI42" s="538">
        <v>10</v>
      </c>
      <c r="AJ42" s="472">
        <v>1.3479200000000004E-2</v>
      </c>
      <c r="AK42" s="473">
        <v>7.669200000000001E-3</v>
      </c>
      <c r="AL42" s="474">
        <v>2.0916000000000003E-3</v>
      </c>
      <c r="AM42" s="471">
        <v>2.3240000000000004E-2</v>
      </c>
      <c r="AN42" s="467">
        <v>2.3240000000000004E-2</v>
      </c>
      <c r="AO42" s="472">
        <v>1.1473170731707321E-2</v>
      </c>
      <c r="AP42" s="473">
        <v>0</v>
      </c>
      <c r="AQ42" s="474">
        <v>0</v>
      </c>
      <c r="AR42" s="471">
        <v>1.1473170731707321E-2</v>
      </c>
      <c r="AS42" s="465">
        <v>1.1760000000000001E-2</v>
      </c>
      <c r="AT42" s="465">
        <v>0</v>
      </c>
      <c r="AU42" s="465">
        <v>0</v>
      </c>
      <c r="AV42" s="466">
        <v>1.1760000000000001E-2</v>
      </c>
      <c r="AW42" s="467">
        <v>3.5000000000000003E-2</v>
      </c>
      <c r="AX42" s="539" t="s">
        <v>562</v>
      </c>
      <c r="AY42" s="1148">
        <v>9.5000000000000001E-2</v>
      </c>
      <c r="AZ42" s="1643">
        <v>0</v>
      </c>
      <c r="BA42" s="1165">
        <v>7.7299999999999994E-2</v>
      </c>
      <c r="BB42" s="1191"/>
      <c r="BC42" s="1071"/>
      <c r="BD42" s="1096"/>
      <c r="BE42" s="1097"/>
      <c r="BF42" s="1725">
        <v>9.5000000000000001E-2</v>
      </c>
      <c r="BG42" s="1071"/>
      <c r="BH42" s="1071"/>
      <c r="BI42" s="1071"/>
      <c r="BJ42" s="1729"/>
      <c r="BK42" s="1071"/>
      <c r="BL42" s="1071"/>
      <c r="BM42" s="1071"/>
      <c r="BN42" s="1729"/>
      <c r="BO42" s="540">
        <v>7.7299999999999994E-2</v>
      </c>
      <c r="BP42" s="1025">
        <v>3.3333333333333333E-2</v>
      </c>
      <c r="BQ42" s="1026">
        <v>0.10466666666666666</v>
      </c>
      <c r="BR42" s="1725">
        <v>9.5000000000000001E-2</v>
      </c>
      <c r="BS42" s="540">
        <v>7.7300000000000008E-2</v>
      </c>
      <c r="BT42" s="1025">
        <v>0.04</v>
      </c>
      <c r="BU42" s="1599">
        <v>0.12559999999999999</v>
      </c>
      <c r="BV42" s="1621">
        <v>9.5000000000000001E-2</v>
      </c>
      <c r="BW42" s="1056">
        <v>1.7999999999999999E-2</v>
      </c>
      <c r="BX42" s="1622">
        <v>7.6999999999999999E-2</v>
      </c>
    </row>
    <row r="43" spans="1:76" s="25" customFormat="1" ht="108.75" customHeight="1" x14ac:dyDescent="0.3">
      <c r="A43" s="715" t="s">
        <v>635</v>
      </c>
      <c r="B43" s="1221" t="s">
        <v>398</v>
      </c>
      <c r="C43" s="1885"/>
      <c r="D43" s="185" t="s">
        <v>184</v>
      </c>
      <c r="E43" s="1468" t="s">
        <v>185</v>
      </c>
      <c r="F43" s="1462" t="s">
        <v>186</v>
      </c>
      <c r="G43" s="163" t="s">
        <v>77</v>
      </c>
      <c r="H43" s="187" t="s">
        <v>78</v>
      </c>
      <c r="I43" s="187" t="s">
        <v>79</v>
      </c>
      <c r="J43" s="188">
        <v>4.5000000000000012E-2</v>
      </c>
      <c r="K43" s="189">
        <v>2.5875000000000006E-2</v>
      </c>
      <c r="L43" s="189">
        <v>1.9125000000000003E-2</v>
      </c>
      <c r="M43" s="190">
        <v>0</v>
      </c>
      <c r="N43" s="188">
        <v>2.5000000000000001E-2</v>
      </c>
      <c r="O43" s="189" t="s">
        <v>80</v>
      </c>
      <c r="P43" s="608">
        <v>0.44900000000000001</v>
      </c>
      <c r="Q43" s="608">
        <v>0.15</v>
      </c>
      <c r="R43" s="191" t="s">
        <v>96</v>
      </c>
      <c r="S43" s="829" t="s">
        <v>190</v>
      </c>
      <c r="T43" s="623" t="s">
        <v>247</v>
      </c>
      <c r="U43" s="192" t="s">
        <v>84</v>
      </c>
      <c r="V43" s="193" t="s">
        <v>85</v>
      </c>
      <c r="W43" s="193" t="s">
        <v>86</v>
      </c>
      <c r="X43" s="1410">
        <v>18</v>
      </c>
      <c r="Y43" s="1410">
        <v>65</v>
      </c>
      <c r="Z43" s="1410">
        <v>72</v>
      </c>
      <c r="AA43" s="1411">
        <v>100000</v>
      </c>
      <c r="AB43" s="194" t="s">
        <v>87</v>
      </c>
      <c r="AC43" s="541">
        <v>17.5</v>
      </c>
      <c r="AD43" s="542">
        <v>17.5</v>
      </c>
      <c r="AE43" s="543">
        <v>35</v>
      </c>
      <c r="AF43" s="544">
        <v>7.5</v>
      </c>
      <c r="AG43" s="545">
        <v>10</v>
      </c>
      <c r="AH43" s="544">
        <v>7.5</v>
      </c>
      <c r="AI43" s="545">
        <v>10</v>
      </c>
      <c r="AJ43" s="472">
        <v>1.5783750000000003E-2</v>
      </c>
      <c r="AK43" s="473">
        <v>1.0091250000000003E-2</v>
      </c>
      <c r="AL43" s="474">
        <v>0</v>
      </c>
      <c r="AM43" s="471">
        <v>2.5875000000000006E-2</v>
      </c>
      <c r="AN43" s="467">
        <v>2.5875000000000006E-2</v>
      </c>
      <c r="AO43" s="472">
        <v>0</v>
      </c>
      <c r="AP43" s="473">
        <v>1.865853658536586E-2</v>
      </c>
      <c r="AQ43" s="474">
        <v>0</v>
      </c>
      <c r="AR43" s="471">
        <v>1.865853658536586E-2</v>
      </c>
      <c r="AS43" s="465">
        <v>0</v>
      </c>
      <c r="AT43" s="465">
        <v>1.9125000000000003E-2</v>
      </c>
      <c r="AU43" s="465">
        <v>0</v>
      </c>
      <c r="AV43" s="466">
        <v>1.9125000000000003E-2</v>
      </c>
      <c r="AW43" s="467">
        <v>4.5000000000000012E-2</v>
      </c>
      <c r="AX43" s="532" t="s">
        <v>563</v>
      </c>
      <c r="AY43" s="1147">
        <v>8.3000000000000004E-2</v>
      </c>
      <c r="AZ43" s="1642">
        <v>0</v>
      </c>
      <c r="BA43" s="1164">
        <v>6.5299999999999997E-2</v>
      </c>
      <c r="BB43" s="1191"/>
      <c r="BC43" s="1072"/>
      <c r="BD43" s="1098"/>
      <c r="BE43" s="1099"/>
      <c r="BF43" s="1726">
        <v>8.3000000000000004E-2</v>
      </c>
      <c r="BG43" s="1072"/>
      <c r="BH43" s="1072"/>
      <c r="BI43" s="1072"/>
      <c r="BJ43" s="1730"/>
      <c r="BK43" s="1072"/>
      <c r="BL43" s="1072"/>
      <c r="BM43" s="1072"/>
      <c r="BN43" s="1730"/>
      <c r="BO43" s="546">
        <v>6.5299999999999997E-2</v>
      </c>
      <c r="BP43" s="1027">
        <v>3.3333333333333333E-2</v>
      </c>
      <c r="BQ43" s="1028">
        <v>6.4666666666666678E-2</v>
      </c>
      <c r="BR43" s="1726">
        <v>8.3000000000000004E-2</v>
      </c>
      <c r="BS43" s="546">
        <v>6.5299999999999997E-2</v>
      </c>
      <c r="BT43" s="1027">
        <v>0.04</v>
      </c>
      <c r="BU43" s="1600">
        <v>7.7600000000000002E-2</v>
      </c>
      <c r="BV43" s="1623">
        <v>8.3000000000000004E-2</v>
      </c>
      <c r="BW43" s="1057">
        <v>1.7999999999999999E-2</v>
      </c>
      <c r="BX43" s="1624">
        <v>6.5000000000000002E-2</v>
      </c>
    </row>
    <row r="44" spans="1:76" s="25" customFormat="1" ht="108.75" customHeight="1" x14ac:dyDescent="0.3">
      <c r="A44" s="715" t="s">
        <v>635</v>
      </c>
      <c r="B44" s="1221" t="s">
        <v>398</v>
      </c>
      <c r="C44" s="1885"/>
      <c r="D44" s="173" t="s">
        <v>191</v>
      </c>
      <c r="E44" s="1467" t="s">
        <v>192</v>
      </c>
      <c r="F44" s="1463" t="s">
        <v>193</v>
      </c>
      <c r="G44" s="175" t="s">
        <v>93</v>
      </c>
      <c r="H44" s="176" t="s">
        <v>94</v>
      </c>
      <c r="I44" s="176" t="s">
        <v>95</v>
      </c>
      <c r="J44" s="177">
        <v>4.4999999999999991E-2</v>
      </c>
      <c r="K44" s="178">
        <v>2.9879999999999993E-2</v>
      </c>
      <c r="L44" s="178">
        <v>1.512E-2</v>
      </c>
      <c r="M44" s="179">
        <v>0</v>
      </c>
      <c r="N44" s="180">
        <v>2.5000000000000001E-2</v>
      </c>
      <c r="O44" s="178" t="s">
        <v>80</v>
      </c>
      <c r="P44" s="607">
        <v>0.44900000000000001</v>
      </c>
      <c r="Q44" s="607">
        <v>0.15</v>
      </c>
      <c r="R44" s="181" t="s">
        <v>96</v>
      </c>
      <c r="S44" s="828" t="s">
        <v>190</v>
      </c>
      <c r="T44" s="623" t="s">
        <v>247</v>
      </c>
      <c r="U44" s="182" t="s">
        <v>84</v>
      </c>
      <c r="V44" s="183" t="s">
        <v>85</v>
      </c>
      <c r="W44" s="183" t="s">
        <v>97</v>
      </c>
      <c r="X44" s="1408">
        <v>18</v>
      </c>
      <c r="Y44" s="1408">
        <v>65</v>
      </c>
      <c r="Z44" s="1408">
        <v>72</v>
      </c>
      <c r="AA44" s="1409">
        <v>100000</v>
      </c>
      <c r="AB44" s="184" t="s">
        <v>98</v>
      </c>
      <c r="AC44" s="534">
        <v>17.5</v>
      </c>
      <c r="AD44" s="535">
        <v>17.5</v>
      </c>
      <c r="AE44" s="536">
        <v>35</v>
      </c>
      <c r="AF44" s="537">
        <v>7.5</v>
      </c>
      <c r="AG44" s="538">
        <v>10</v>
      </c>
      <c r="AH44" s="537">
        <v>7.5</v>
      </c>
      <c r="AI44" s="538">
        <v>10</v>
      </c>
      <c r="AJ44" s="472">
        <v>1.7330399999999996E-2</v>
      </c>
      <c r="AK44" s="473">
        <v>9.8604000000000001E-3</v>
      </c>
      <c r="AL44" s="474">
        <v>2.6891999999999997E-3</v>
      </c>
      <c r="AM44" s="471">
        <v>2.9879999999999993E-2</v>
      </c>
      <c r="AN44" s="467">
        <v>2.9879999999999993E-2</v>
      </c>
      <c r="AO44" s="472">
        <v>1.4751219512195123E-2</v>
      </c>
      <c r="AP44" s="473">
        <v>0</v>
      </c>
      <c r="AQ44" s="474">
        <v>0</v>
      </c>
      <c r="AR44" s="471">
        <v>1.4751219512195123E-2</v>
      </c>
      <c r="AS44" s="465">
        <v>1.512E-2</v>
      </c>
      <c r="AT44" s="465">
        <v>0</v>
      </c>
      <c r="AU44" s="465">
        <v>0</v>
      </c>
      <c r="AV44" s="466">
        <v>1.512E-2</v>
      </c>
      <c r="AW44" s="467">
        <v>4.4999999999999991E-2</v>
      </c>
      <c r="AX44" s="539" t="s">
        <v>564</v>
      </c>
      <c r="AY44" s="1148">
        <v>8.3000000000000004E-2</v>
      </c>
      <c r="AZ44" s="1643">
        <v>0</v>
      </c>
      <c r="BA44" s="1165">
        <v>6.5299999999999997E-2</v>
      </c>
      <c r="BB44" s="1191"/>
      <c r="BC44" s="1071"/>
      <c r="BD44" s="1096"/>
      <c r="BE44" s="1097"/>
      <c r="BF44" s="1725">
        <v>8.3000000000000004E-2</v>
      </c>
      <c r="BG44" s="1071"/>
      <c r="BH44" s="1071"/>
      <c r="BI44" s="1071"/>
      <c r="BJ44" s="1729"/>
      <c r="BK44" s="1071"/>
      <c r="BL44" s="1071"/>
      <c r="BM44" s="1071"/>
      <c r="BN44" s="1729"/>
      <c r="BO44" s="540">
        <v>6.5299999999999997E-2</v>
      </c>
      <c r="BP44" s="1025">
        <v>3.3333333333333333E-2</v>
      </c>
      <c r="BQ44" s="1026">
        <v>6.4666666666666678E-2</v>
      </c>
      <c r="BR44" s="1725">
        <v>8.3000000000000004E-2</v>
      </c>
      <c r="BS44" s="540">
        <v>6.5299999999999997E-2</v>
      </c>
      <c r="BT44" s="1025">
        <v>0.04</v>
      </c>
      <c r="BU44" s="1599">
        <v>7.7600000000000002E-2</v>
      </c>
      <c r="BV44" s="1621">
        <v>8.3000000000000004E-2</v>
      </c>
      <c r="BW44" s="1056">
        <v>1.7999999999999999E-2</v>
      </c>
      <c r="BX44" s="1622">
        <v>6.5000000000000002E-2</v>
      </c>
    </row>
    <row r="45" spans="1:76" s="25" customFormat="1" ht="108.75" customHeight="1" x14ac:dyDescent="0.3">
      <c r="A45" s="715" t="s">
        <v>635</v>
      </c>
      <c r="B45" s="1221" t="s">
        <v>398</v>
      </c>
      <c r="C45" s="1885"/>
      <c r="D45" s="185" t="s">
        <v>196</v>
      </c>
      <c r="E45" s="1468" t="s">
        <v>197</v>
      </c>
      <c r="F45" s="1462" t="s">
        <v>198</v>
      </c>
      <c r="G45" s="163" t="s">
        <v>77</v>
      </c>
      <c r="H45" s="187" t="s">
        <v>78</v>
      </c>
      <c r="I45" s="187" t="s">
        <v>79</v>
      </c>
      <c r="J45" s="188">
        <v>5.9999999999999984E-2</v>
      </c>
      <c r="K45" s="189">
        <v>3.4499999999999989E-2</v>
      </c>
      <c r="L45" s="189">
        <v>2.5499999999999995E-2</v>
      </c>
      <c r="M45" s="190">
        <v>0</v>
      </c>
      <c r="N45" s="188">
        <v>2.5000000000000001E-2</v>
      </c>
      <c r="O45" s="189" t="s">
        <v>80</v>
      </c>
      <c r="P45" s="608">
        <v>0.44900000000000001</v>
      </c>
      <c r="Q45" s="608">
        <v>0.15</v>
      </c>
      <c r="R45" s="191" t="s">
        <v>96</v>
      </c>
      <c r="S45" s="829" t="s">
        <v>202</v>
      </c>
      <c r="T45" s="623" t="s">
        <v>247</v>
      </c>
      <c r="U45" s="192" t="s">
        <v>84</v>
      </c>
      <c r="V45" s="193" t="s">
        <v>85</v>
      </c>
      <c r="W45" s="193" t="s">
        <v>86</v>
      </c>
      <c r="X45" s="1410">
        <v>18</v>
      </c>
      <c r="Y45" s="1410">
        <v>65</v>
      </c>
      <c r="Z45" s="1410">
        <v>72</v>
      </c>
      <c r="AA45" s="1411">
        <v>100000</v>
      </c>
      <c r="AB45" s="194" t="s">
        <v>87</v>
      </c>
      <c r="AC45" s="541">
        <v>17.5</v>
      </c>
      <c r="AD45" s="542">
        <v>17.5</v>
      </c>
      <c r="AE45" s="543">
        <v>35</v>
      </c>
      <c r="AF45" s="544">
        <v>7.5</v>
      </c>
      <c r="AG45" s="545">
        <v>10</v>
      </c>
      <c r="AH45" s="544">
        <v>7.5</v>
      </c>
      <c r="AI45" s="545">
        <v>10</v>
      </c>
      <c r="AJ45" s="472">
        <v>2.1044999999999991E-2</v>
      </c>
      <c r="AK45" s="473">
        <v>1.3454999999999996E-2</v>
      </c>
      <c r="AL45" s="474">
        <v>0</v>
      </c>
      <c r="AM45" s="471">
        <v>3.4499999999999989E-2</v>
      </c>
      <c r="AN45" s="467">
        <v>3.4499999999999989E-2</v>
      </c>
      <c r="AO45" s="472">
        <v>0</v>
      </c>
      <c r="AP45" s="473">
        <v>2.4878048780487803E-2</v>
      </c>
      <c r="AQ45" s="474">
        <v>0</v>
      </c>
      <c r="AR45" s="471">
        <v>2.4878048780487803E-2</v>
      </c>
      <c r="AS45" s="465">
        <v>0</v>
      </c>
      <c r="AT45" s="465">
        <v>2.5499999999999995E-2</v>
      </c>
      <c r="AU45" s="465">
        <v>0</v>
      </c>
      <c r="AV45" s="466">
        <v>2.5499999999999995E-2</v>
      </c>
      <c r="AW45" s="467">
        <v>5.9999999999999984E-2</v>
      </c>
      <c r="AX45" s="532" t="s">
        <v>565</v>
      </c>
      <c r="AY45" s="1147">
        <v>7.2999999999999995E-2</v>
      </c>
      <c r="AZ45" s="1642">
        <v>0</v>
      </c>
      <c r="BA45" s="1164">
        <v>5.5300000000000002E-2</v>
      </c>
      <c r="BB45" s="1191"/>
      <c r="BC45" s="1072"/>
      <c r="BD45" s="1098"/>
      <c r="BE45" s="1099"/>
      <c r="BF45" s="1726">
        <v>7.2999999999999995E-2</v>
      </c>
      <c r="BG45" s="1072"/>
      <c r="BH45" s="1072"/>
      <c r="BI45" s="1072"/>
      <c r="BJ45" s="1730"/>
      <c r="BK45" s="1072"/>
      <c r="BL45" s="1072"/>
      <c r="BM45" s="1072"/>
      <c r="BN45" s="1730"/>
      <c r="BO45" s="546">
        <v>5.5300000000000002E-2</v>
      </c>
      <c r="BP45" s="1027">
        <v>3.3333333333333333E-2</v>
      </c>
      <c r="BQ45" s="1028">
        <v>3.1333333333333338E-2</v>
      </c>
      <c r="BR45" s="1726">
        <v>7.2999999999999995E-2</v>
      </c>
      <c r="BS45" s="546">
        <v>5.5300000000000002E-2</v>
      </c>
      <c r="BT45" s="1027">
        <v>0.04</v>
      </c>
      <c r="BU45" s="1600">
        <v>3.7600000000000001E-2</v>
      </c>
      <c r="BV45" s="1623">
        <v>7.2999999999999995E-2</v>
      </c>
      <c r="BW45" s="1057">
        <v>1.7999999999999999E-2</v>
      </c>
      <c r="BX45" s="1624">
        <v>5.5E-2</v>
      </c>
    </row>
    <row r="46" spans="1:76" s="25" customFormat="1" ht="108.75" customHeight="1" thickBot="1" x14ac:dyDescent="0.35">
      <c r="A46" s="715" t="s">
        <v>635</v>
      </c>
      <c r="B46" s="1221" t="s">
        <v>398</v>
      </c>
      <c r="C46" s="1886"/>
      <c r="D46" s="1501" t="s">
        <v>203</v>
      </c>
      <c r="E46" s="1470" t="s">
        <v>204</v>
      </c>
      <c r="F46" s="1464" t="s">
        <v>205</v>
      </c>
      <c r="G46" s="195" t="s">
        <v>93</v>
      </c>
      <c r="H46" s="196" t="s">
        <v>94</v>
      </c>
      <c r="I46" s="197" t="s">
        <v>95</v>
      </c>
      <c r="J46" s="198">
        <v>0.06</v>
      </c>
      <c r="K46" s="199">
        <v>3.984E-2</v>
      </c>
      <c r="L46" s="199">
        <v>2.0159999999999997E-2</v>
      </c>
      <c r="M46" s="200">
        <v>0</v>
      </c>
      <c r="N46" s="201">
        <v>2.5000000000000001E-2</v>
      </c>
      <c r="O46" s="199" t="s">
        <v>80</v>
      </c>
      <c r="P46" s="609">
        <v>0.44900000000000001</v>
      </c>
      <c r="Q46" s="609">
        <v>0.15</v>
      </c>
      <c r="R46" s="202" t="s">
        <v>96</v>
      </c>
      <c r="S46" s="830" t="s">
        <v>202</v>
      </c>
      <c r="T46" s="624" t="s">
        <v>247</v>
      </c>
      <c r="U46" s="203" t="s">
        <v>84</v>
      </c>
      <c r="V46" s="204" t="s">
        <v>85</v>
      </c>
      <c r="W46" s="204" t="s">
        <v>97</v>
      </c>
      <c r="X46" s="1412">
        <v>18</v>
      </c>
      <c r="Y46" s="1412">
        <v>65</v>
      </c>
      <c r="Z46" s="1412">
        <v>72</v>
      </c>
      <c r="AA46" s="1413">
        <v>100000</v>
      </c>
      <c r="AB46" s="205" t="s">
        <v>98</v>
      </c>
      <c r="AC46" s="547">
        <v>17.5</v>
      </c>
      <c r="AD46" s="548">
        <v>17.5</v>
      </c>
      <c r="AE46" s="549">
        <v>35</v>
      </c>
      <c r="AF46" s="550">
        <v>7.5</v>
      </c>
      <c r="AG46" s="551">
        <v>10</v>
      </c>
      <c r="AH46" s="550">
        <v>7.5</v>
      </c>
      <c r="AI46" s="551">
        <v>10</v>
      </c>
      <c r="AJ46" s="490">
        <v>2.3107199999999998E-2</v>
      </c>
      <c r="AK46" s="491">
        <v>1.31472E-2</v>
      </c>
      <c r="AL46" s="492">
        <v>3.5855999999999996E-3</v>
      </c>
      <c r="AM46" s="493">
        <v>3.984E-2</v>
      </c>
      <c r="AN46" s="494">
        <v>3.984E-2</v>
      </c>
      <c r="AO46" s="490">
        <v>1.966829268292683E-2</v>
      </c>
      <c r="AP46" s="491">
        <v>0</v>
      </c>
      <c r="AQ46" s="492">
        <v>0</v>
      </c>
      <c r="AR46" s="493">
        <v>1.966829268292683E-2</v>
      </c>
      <c r="AS46" s="495">
        <v>2.0159999999999997E-2</v>
      </c>
      <c r="AT46" s="495">
        <v>0</v>
      </c>
      <c r="AU46" s="495">
        <v>0</v>
      </c>
      <c r="AV46" s="496">
        <v>2.0159999999999997E-2</v>
      </c>
      <c r="AW46" s="494">
        <v>0.06</v>
      </c>
      <c r="AX46" s="552" t="s">
        <v>566</v>
      </c>
      <c r="AY46" s="1149">
        <v>7.2999999999999995E-2</v>
      </c>
      <c r="AZ46" s="1644">
        <v>0</v>
      </c>
      <c r="BA46" s="1166">
        <v>5.5300000000000002E-2</v>
      </c>
      <c r="BB46" s="1192"/>
      <c r="BC46" s="1073"/>
      <c r="BD46" s="1100"/>
      <c r="BE46" s="1101"/>
      <c r="BF46" s="1731">
        <v>7.2999999999999995E-2</v>
      </c>
      <c r="BG46" s="1073"/>
      <c r="BH46" s="1073"/>
      <c r="BI46" s="1073"/>
      <c r="BJ46" s="1736"/>
      <c r="BK46" s="1073"/>
      <c r="BL46" s="1073"/>
      <c r="BM46" s="1073"/>
      <c r="BN46" s="1736"/>
      <c r="BO46" s="553">
        <v>5.5300000000000002E-2</v>
      </c>
      <c r="BP46" s="1029">
        <v>3.3333333333333333E-2</v>
      </c>
      <c r="BQ46" s="1030">
        <v>3.1333333333333338E-2</v>
      </c>
      <c r="BR46" s="1731">
        <v>7.2999999999999995E-2</v>
      </c>
      <c r="BS46" s="553">
        <v>5.5300000000000002E-2</v>
      </c>
      <c r="BT46" s="1029">
        <v>0.04</v>
      </c>
      <c r="BU46" s="1601">
        <v>3.7600000000000001E-2</v>
      </c>
      <c r="BV46" s="1625">
        <v>7.2999999999999995E-2</v>
      </c>
      <c r="BW46" s="1058">
        <v>1.7999999999999999E-2</v>
      </c>
      <c r="BX46" s="1626">
        <v>5.5E-2</v>
      </c>
    </row>
    <row r="47" spans="1:76" s="25" customFormat="1" ht="108.75" customHeight="1" x14ac:dyDescent="0.3">
      <c r="A47" s="715" t="s">
        <v>635</v>
      </c>
      <c r="B47" s="1221" t="s">
        <v>398</v>
      </c>
      <c r="C47" s="1893" t="s">
        <v>11</v>
      </c>
      <c r="D47" s="1495" t="s">
        <v>208</v>
      </c>
      <c r="E47" s="1459" t="s">
        <v>209</v>
      </c>
      <c r="F47" s="1456" t="s">
        <v>210</v>
      </c>
      <c r="G47" s="269"/>
      <c r="H47" s="206" t="s">
        <v>214</v>
      </c>
      <c r="I47" s="207" t="s">
        <v>215</v>
      </c>
      <c r="J47" s="208">
        <v>4.4999999999999998E-2</v>
      </c>
      <c r="K47" s="209">
        <v>3.4875000000000003E-2</v>
      </c>
      <c r="L47" s="209">
        <v>1.0124999999999999E-2</v>
      </c>
      <c r="M47" s="210">
        <v>0</v>
      </c>
      <c r="N47" s="211">
        <v>2.5000000000000001E-2</v>
      </c>
      <c r="O47" s="212" t="s">
        <v>216</v>
      </c>
      <c r="P47" s="610">
        <v>0.44900000000000001</v>
      </c>
      <c r="Q47" s="610">
        <v>0.15</v>
      </c>
      <c r="R47" s="213" t="s">
        <v>96</v>
      </c>
      <c r="S47" s="214" t="s">
        <v>217</v>
      </c>
      <c r="T47" s="618" t="s">
        <v>218</v>
      </c>
      <c r="U47" s="215" t="s">
        <v>84</v>
      </c>
      <c r="V47" s="216" t="s">
        <v>85</v>
      </c>
      <c r="W47" s="216" t="s">
        <v>97</v>
      </c>
      <c r="X47" s="1414">
        <v>18</v>
      </c>
      <c r="Y47" s="1414">
        <v>65</v>
      </c>
      <c r="Z47" s="1414">
        <v>70</v>
      </c>
      <c r="AA47" s="1415">
        <v>100000</v>
      </c>
      <c r="AB47" s="215" t="s">
        <v>219</v>
      </c>
      <c r="AC47" s="554">
        <v>20.5</v>
      </c>
      <c r="AD47" s="555">
        <v>20.5</v>
      </c>
      <c r="AE47" s="556">
        <v>41</v>
      </c>
      <c r="AF47" s="557">
        <v>7.5</v>
      </c>
      <c r="AG47" s="558">
        <v>13</v>
      </c>
      <c r="AH47" s="557">
        <v>7.5</v>
      </c>
      <c r="AI47" s="558">
        <v>13</v>
      </c>
      <c r="AJ47" s="462">
        <v>2.325E-2</v>
      </c>
      <c r="AK47" s="463">
        <v>1.1625E-2</v>
      </c>
      <c r="AL47" s="464">
        <v>0</v>
      </c>
      <c r="AM47" s="460">
        <v>3.4875000000000003E-2</v>
      </c>
      <c r="AN47" s="461">
        <v>3.4875000000000003E-2</v>
      </c>
      <c r="AO47" s="462">
        <v>9.878048780487805E-3</v>
      </c>
      <c r="AP47" s="463">
        <v>0</v>
      </c>
      <c r="AQ47" s="464">
        <v>0</v>
      </c>
      <c r="AR47" s="460">
        <v>9.878048780487805E-3</v>
      </c>
      <c r="AS47" s="465">
        <v>1.0124999999999999E-2</v>
      </c>
      <c r="AT47" s="465">
        <v>0</v>
      </c>
      <c r="AU47" s="465">
        <v>0</v>
      </c>
      <c r="AV47" s="466">
        <v>1.0124999999999999E-2</v>
      </c>
      <c r="AW47" s="461">
        <v>4.4999999999999998E-2</v>
      </c>
      <c r="AX47" s="559" t="s">
        <v>567</v>
      </c>
      <c r="AY47" s="1150">
        <v>7.2999999999999995E-2</v>
      </c>
      <c r="AZ47" s="1645">
        <v>0</v>
      </c>
      <c r="BA47" s="1167">
        <v>5.5300000000000002E-2</v>
      </c>
      <c r="BB47" s="1191"/>
      <c r="BC47" s="1074"/>
      <c r="BD47" s="1102"/>
      <c r="BE47" s="1103"/>
      <c r="BF47" s="1732">
        <v>7.2999999999999995E-2</v>
      </c>
      <c r="BG47" s="1074"/>
      <c r="BH47" s="1074"/>
      <c r="BI47" s="1074"/>
      <c r="BJ47" s="1737"/>
      <c r="BK47" s="1074"/>
      <c r="BL47" s="1074"/>
      <c r="BM47" s="1074"/>
      <c r="BN47" s="1737"/>
      <c r="BO47" s="560">
        <v>5.5300000000000002E-2</v>
      </c>
      <c r="BP47" s="1031">
        <v>3.3333333333333333E-2</v>
      </c>
      <c r="BQ47" s="1032">
        <v>3.1333333333333338E-2</v>
      </c>
      <c r="BR47" s="1732">
        <v>7.2999999999999995E-2</v>
      </c>
      <c r="BS47" s="560">
        <v>5.5300000000000002E-2</v>
      </c>
      <c r="BT47" s="1031">
        <v>0.04</v>
      </c>
      <c r="BU47" s="1602">
        <v>3.7600000000000001E-2</v>
      </c>
      <c r="BV47" s="1627">
        <v>7.2999999999999995E-2</v>
      </c>
      <c r="BW47" s="1059">
        <v>1.7999999999999999E-2</v>
      </c>
      <c r="BX47" s="1628">
        <v>5.5E-2</v>
      </c>
    </row>
    <row r="48" spans="1:76" s="25" customFormat="1" ht="108.75" customHeight="1" thickBot="1" x14ac:dyDescent="0.35">
      <c r="A48" s="715" t="s">
        <v>635</v>
      </c>
      <c r="B48" s="1221" t="s">
        <v>398</v>
      </c>
      <c r="C48" s="1894"/>
      <c r="D48" s="1496" t="s">
        <v>220</v>
      </c>
      <c r="E48" s="1461" t="s">
        <v>221</v>
      </c>
      <c r="F48" s="1457" t="s">
        <v>222</v>
      </c>
      <c r="G48" s="270"/>
      <c r="H48" s="217" t="s">
        <v>214</v>
      </c>
      <c r="I48" s="218" t="s">
        <v>215</v>
      </c>
      <c r="J48" s="219">
        <v>4.4999999999999998E-2</v>
      </c>
      <c r="K48" s="220">
        <v>3.4875000000000003E-2</v>
      </c>
      <c r="L48" s="220">
        <v>1.0124999999999999E-2</v>
      </c>
      <c r="M48" s="221">
        <v>0</v>
      </c>
      <c r="N48" s="222">
        <v>2.5000000000000001E-2</v>
      </c>
      <c r="O48" s="223" t="s">
        <v>216</v>
      </c>
      <c r="P48" s="611">
        <v>0.44900000000000001</v>
      </c>
      <c r="Q48" s="611">
        <v>0.15</v>
      </c>
      <c r="R48" s="224" t="s">
        <v>96</v>
      </c>
      <c r="S48" s="225" t="s">
        <v>217</v>
      </c>
      <c r="T48" s="619" t="s">
        <v>218</v>
      </c>
      <c r="U48" s="226" t="s">
        <v>84</v>
      </c>
      <c r="V48" s="227" t="s">
        <v>85</v>
      </c>
      <c r="W48" s="227" t="s">
        <v>97</v>
      </c>
      <c r="X48" s="1416">
        <v>18</v>
      </c>
      <c r="Y48" s="1416">
        <v>65</v>
      </c>
      <c r="Z48" s="1416">
        <v>70</v>
      </c>
      <c r="AA48" s="1417">
        <v>100000</v>
      </c>
      <c r="AB48" s="226" t="s">
        <v>219</v>
      </c>
      <c r="AC48" s="561">
        <v>20.5</v>
      </c>
      <c r="AD48" s="562">
        <v>20.5</v>
      </c>
      <c r="AE48" s="563">
        <v>41</v>
      </c>
      <c r="AF48" s="564">
        <v>7.5</v>
      </c>
      <c r="AG48" s="565">
        <v>13</v>
      </c>
      <c r="AH48" s="564">
        <v>7.5</v>
      </c>
      <c r="AI48" s="565">
        <v>13</v>
      </c>
      <c r="AJ48" s="490">
        <v>2.325E-2</v>
      </c>
      <c r="AK48" s="491">
        <v>1.1625E-2</v>
      </c>
      <c r="AL48" s="492">
        <v>0</v>
      </c>
      <c r="AM48" s="493">
        <v>3.4875000000000003E-2</v>
      </c>
      <c r="AN48" s="494">
        <v>3.4875000000000003E-2</v>
      </c>
      <c r="AO48" s="490">
        <v>9.878048780487805E-3</v>
      </c>
      <c r="AP48" s="491">
        <v>0</v>
      </c>
      <c r="AQ48" s="492">
        <v>0</v>
      </c>
      <c r="AR48" s="493">
        <v>9.878048780487805E-3</v>
      </c>
      <c r="AS48" s="495">
        <v>1.0124999999999999E-2</v>
      </c>
      <c r="AT48" s="495">
        <v>0</v>
      </c>
      <c r="AU48" s="495">
        <v>0</v>
      </c>
      <c r="AV48" s="496">
        <v>1.0124999999999999E-2</v>
      </c>
      <c r="AW48" s="494">
        <v>4.4999999999999998E-2</v>
      </c>
      <c r="AX48" s="566" t="s">
        <v>568</v>
      </c>
      <c r="AY48" s="1151">
        <v>7.2999999999999995E-2</v>
      </c>
      <c r="AZ48" s="1646">
        <v>0</v>
      </c>
      <c r="BA48" s="1168">
        <v>5.5300000000000002E-2</v>
      </c>
      <c r="BB48" s="1192"/>
      <c r="BC48" s="1075"/>
      <c r="BD48" s="1104"/>
      <c r="BE48" s="1105"/>
      <c r="BF48" s="1733">
        <v>7.2999999999999995E-2</v>
      </c>
      <c r="BG48" s="1075"/>
      <c r="BH48" s="1075"/>
      <c r="BI48" s="1075"/>
      <c r="BJ48" s="1738"/>
      <c r="BK48" s="1075"/>
      <c r="BL48" s="1075"/>
      <c r="BM48" s="1075"/>
      <c r="BN48" s="1738"/>
      <c r="BO48" s="567">
        <v>5.5300000000000002E-2</v>
      </c>
      <c r="BP48" s="1033">
        <v>3.3333333333333333E-2</v>
      </c>
      <c r="BQ48" s="1034">
        <v>3.1333333333333338E-2</v>
      </c>
      <c r="BR48" s="1733">
        <v>7.2999999999999995E-2</v>
      </c>
      <c r="BS48" s="567">
        <v>5.5300000000000002E-2</v>
      </c>
      <c r="BT48" s="1033">
        <v>0.04</v>
      </c>
      <c r="BU48" s="1603">
        <v>3.7600000000000001E-2</v>
      </c>
      <c r="BV48" s="1629">
        <v>7.2999999999999995E-2</v>
      </c>
      <c r="BW48" s="1060">
        <v>1.7999999999999999E-2</v>
      </c>
      <c r="BX48" s="1630">
        <v>5.5E-2</v>
      </c>
    </row>
    <row r="49" spans="1:76" s="25" customFormat="1" ht="108.75" customHeight="1" x14ac:dyDescent="0.3">
      <c r="A49" s="715" t="s">
        <v>635</v>
      </c>
      <c r="B49" s="1221" t="s">
        <v>398</v>
      </c>
      <c r="C49" s="1224" t="s">
        <v>10</v>
      </c>
      <c r="D49" s="1494" t="s">
        <v>225</v>
      </c>
      <c r="E49" s="1454" t="s">
        <v>235</v>
      </c>
      <c r="F49" s="1451" t="s">
        <v>227</v>
      </c>
      <c r="G49" s="271"/>
      <c r="H49" s="228" t="s">
        <v>230</v>
      </c>
      <c r="I49" s="229" t="s">
        <v>231</v>
      </c>
      <c r="J49" s="230">
        <v>0.08</v>
      </c>
      <c r="K49" s="231">
        <v>7.5563405779431311E-2</v>
      </c>
      <c r="L49" s="231">
        <v>4.4365942205686903E-3</v>
      </c>
      <c r="M49" s="232">
        <v>0</v>
      </c>
      <c r="N49" s="233">
        <v>2.5000000000000001E-2</v>
      </c>
      <c r="O49" s="231" t="s">
        <v>80</v>
      </c>
      <c r="P49" s="612">
        <v>0.26</v>
      </c>
      <c r="Q49" s="612">
        <v>0</v>
      </c>
      <c r="R49" s="234" t="s">
        <v>96</v>
      </c>
      <c r="S49" s="235" t="s">
        <v>232</v>
      </c>
      <c r="T49" s="620" t="s">
        <v>83</v>
      </c>
      <c r="U49" s="236" t="s">
        <v>84</v>
      </c>
      <c r="V49" s="237" t="s">
        <v>85</v>
      </c>
      <c r="W49" s="237" t="s">
        <v>97</v>
      </c>
      <c r="X49" s="1418">
        <v>60</v>
      </c>
      <c r="Y49" s="1418">
        <v>70</v>
      </c>
      <c r="Z49" s="1418">
        <v>75</v>
      </c>
      <c r="AA49" s="1419">
        <v>100000</v>
      </c>
      <c r="AB49" s="236" t="s">
        <v>233</v>
      </c>
      <c r="AC49" s="568">
        <v>25</v>
      </c>
      <c r="AD49" s="569">
        <v>25</v>
      </c>
      <c r="AE49" s="570">
        <v>50</v>
      </c>
      <c r="AF49" s="571">
        <v>7.5</v>
      </c>
      <c r="AG49" s="572">
        <v>17.5</v>
      </c>
      <c r="AH49" s="571">
        <v>7.5</v>
      </c>
      <c r="AI49" s="572">
        <v>17.5</v>
      </c>
      <c r="AJ49" s="462">
        <v>7.5563405779431311E-2</v>
      </c>
      <c r="AK49" s="463">
        <v>0</v>
      </c>
      <c r="AL49" s="464">
        <v>0</v>
      </c>
      <c r="AM49" s="460">
        <v>7.5563405779431311E-2</v>
      </c>
      <c r="AN49" s="461">
        <v>7.5563405779431311E-2</v>
      </c>
      <c r="AO49" s="462">
        <v>0</v>
      </c>
      <c r="AP49" s="463">
        <v>0</v>
      </c>
      <c r="AQ49" s="464">
        <v>4.328384605432869E-3</v>
      </c>
      <c r="AR49" s="460">
        <v>4.328384605432869E-3</v>
      </c>
      <c r="AS49" s="573">
        <v>0</v>
      </c>
      <c r="AT49" s="573">
        <v>0</v>
      </c>
      <c r="AU49" s="573">
        <v>4.4365942205686903E-3</v>
      </c>
      <c r="AV49" s="574">
        <v>4.4365942205686903E-3</v>
      </c>
      <c r="AW49" s="461">
        <v>0.08</v>
      </c>
      <c r="AX49" s="575" t="s">
        <v>569</v>
      </c>
      <c r="AY49" s="1152">
        <v>0.08</v>
      </c>
      <c r="AZ49" s="1647">
        <v>0</v>
      </c>
      <c r="BA49" s="1169">
        <v>6.6400000000000001E-2</v>
      </c>
      <c r="BB49" s="1191"/>
      <c r="BC49" s="1076"/>
      <c r="BD49" s="1106"/>
      <c r="BE49" s="1107"/>
      <c r="BF49" s="1734">
        <v>0.08</v>
      </c>
      <c r="BG49" s="1076"/>
      <c r="BH49" s="1076"/>
      <c r="BI49" s="1076"/>
      <c r="BJ49" s="1739"/>
      <c r="BK49" s="1076"/>
      <c r="BL49" s="1076"/>
      <c r="BM49" s="1076"/>
      <c r="BN49" s="1739"/>
      <c r="BO49" s="576">
        <v>6.6400000000000001E-2</v>
      </c>
      <c r="BP49" s="1035">
        <v>3.3333333333333333E-2</v>
      </c>
      <c r="BQ49" s="1036">
        <v>5.4666666666666662E-2</v>
      </c>
      <c r="BR49" s="1734">
        <v>0.08</v>
      </c>
      <c r="BS49" s="576">
        <v>6.6400000000000001E-2</v>
      </c>
      <c r="BT49" s="1035">
        <v>0.04</v>
      </c>
      <c r="BU49" s="1604">
        <v>6.5599999999999992E-2</v>
      </c>
      <c r="BV49" s="1631">
        <v>0.08</v>
      </c>
      <c r="BW49" s="1061">
        <v>1.44E-2</v>
      </c>
      <c r="BX49" s="1632">
        <v>6.5600000000000006E-2</v>
      </c>
    </row>
    <row r="50" spans="1:76" s="25" customFormat="1" ht="108.75" customHeight="1" thickBot="1" x14ac:dyDescent="0.35">
      <c r="A50" s="716" t="s">
        <v>635</v>
      </c>
      <c r="B50" s="1231" t="s">
        <v>398</v>
      </c>
      <c r="C50" s="1225"/>
      <c r="D50" s="238" t="s">
        <v>234</v>
      </c>
      <c r="E50" s="1455" t="s">
        <v>226</v>
      </c>
      <c r="F50" s="1452" t="s">
        <v>236</v>
      </c>
      <c r="G50" s="272"/>
      <c r="H50" s="239" t="s">
        <v>230</v>
      </c>
      <c r="I50" s="239" t="s">
        <v>231</v>
      </c>
      <c r="J50" s="240">
        <v>0.08</v>
      </c>
      <c r="K50" s="241">
        <v>7.5563405779431311E-2</v>
      </c>
      <c r="L50" s="241">
        <v>4.4365942205686903E-3</v>
      </c>
      <c r="M50" s="242">
        <v>0</v>
      </c>
      <c r="N50" s="243">
        <v>2.5000000000000001E-2</v>
      </c>
      <c r="O50" s="241" t="s">
        <v>80</v>
      </c>
      <c r="P50" s="613">
        <v>0.26</v>
      </c>
      <c r="Q50" s="613">
        <v>0</v>
      </c>
      <c r="R50" s="244" t="s">
        <v>96</v>
      </c>
      <c r="S50" s="245" t="s">
        <v>232</v>
      </c>
      <c r="T50" s="621" t="s">
        <v>83</v>
      </c>
      <c r="U50" s="246" t="s">
        <v>84</v>
      </c>
      <c r="V50" s="247" t="s">
        <v>85</v>
      </c>
      <c r="W50" s="247" t="s">
        <v>97</v>
      </c>
      <c r="X50" s="1420">
        <v>60</v>
      </c>
      <c r="Y50" s="1420">
        <v>70</v>
      </c>
      <c r="Z50" s="1420">
        <v>75</v>
      </c>
      <c r="AA50" s="1421">
        <v>100000</v>
      </c>
      <c r="AB50" s="246" t="s">
        <v>233</v>
      </c>
      <c r="AC50" s="577">
        <v>25</v>
      </c>
      <c r="AD50" s="578">
        <v>25</v>
      </c>
      <c r="AE50" s="579">
        <v>50</v>
      </c>
      <c r="AF50" s="580">
        <v>7.5</v>
      </c>
      <c r="AG50" s="581">
        <v>17.5</v>
      </c>
      <c r="AH50" s="580">
        <v>7.5</v>
      </c>
      <c r="AI50" s="581">
        <v>17.5</v>
      </c>
      <c r="AJ50" s="490">
        <v>7.5563405779431311E-2</v>
      </c>
      <c r="AK50" s="491">
        <v>0</v>
      </c>
      <c r="AL50" s="492">
        <v>0</v>
      </c>
      <c r="AM50" s="493">
        <v>7.5563405779431311E-2</v>
      </c>
      <c r="AN50" s="494">
        <v>7.5563405779431311E-2</v>
      </c>
      <c r="AO50" s="490">
        <v>0</v>
      </c>
      <c r="AP50" s="491">
        <v>0</v>
      </c>
      <c r="AQ50" s="492">
        <v>4.328384605432869E-3</v>
      </c>
      <c r="AR50" s="493">
        <v>4.328384605432869E-3</v>
      </c>
      <c r="AS50" s="495">
        <v>0</v>
      </c>
      <c r="AT50" s="495">
        <v>0</v>
      </c>
      <c r="AU50" s="495">
        <v>4.4365942205686903E-3</v>
      </c>
      <c r="AV50" s="496">
        <v>4.4365942205686903E-3</v>
      </c>
      <c r="AW50" s="494">
        <v>0.08</v>
      </c>
      <c r="AX50" s="582" t="s">
        <v>570</v>
      </c>
      <c r="AY50" s="1153">
        <v>0.08</v>
      </c>
      <c r="AZ50" s="1648">
        <v>0</v>
      </c>
      <c r="BA50" s="1170">
        <v>6.6400000000000001E-2</v>
      </c>
      <c r="BB50" s="1193"/>
      <c r="BC50" s="1113"/>
      <c r="BD50" s="1108"/>
      <c r="BE50" s="1109"/>
      <c r="BF50" s="1735">
        <v>0.08</v>
      </c>
      <c r="BG50" s="1077"/>
      <c r="BH50" s="1077"/>
      <c r="BI50" s="1077"/>
      <c r="BJ50" s="1740"/>
      <c r="BK50" s="1077"/>
      <c r="BL50" s="1077"/>
      <c r="BM50" s="1077"/>
      <c r="BN50" s="1740"/>
      <c r="BO50" s="583">
        <v>6.6400000000000001E-2</v>
      </c>
      <c r="BP50" s="1037">
        <v>3.3333333333333333E-2</v>
      </c>
      <c r="BQ50" s="1038">
        <v>5.4666666666666662E-2</v>
      </c>
      <c r="BR50" s="1735">
        <v>0.08</v>
      </c>
      <c r="BS50" s="583">
        <v>6.6400000000000001E-2</v>
      </c>
      <c r="BT50" s="1037">
        <v>0.04</v>
      </c>
      <c r="BU50" s="1605">
        <v>6.5599999999999992E-2</v>
      </c>
      <c r="BV50" s="1633">
        <v>0.08</v>
      </c>
      <c r="BW50" s="1634">
        <v>1.44E-2</v>
      </c>
      <c r="BX50" s="1635">
        <v>6.5600000000000006E-2</v>
      </c>
    </row>
    <row r="51" spans="1:76" s="689" customFormat="1" ht="47.25" customHeight="1" thickBot="1" x14ac:dyDescent="0.35">
      <c r="A51" s="1202"/>
      <c r="B51" s="1202"/>
      <c r="C51" s="1202"/>
      <c r="D51" s="1203"/>
      <c r="E51" s="690"/>
      <c r="F51" s="691"/>
      <c r="G51" s="690"/>
      <c r="H51" s="695"/>
      <c r="I51" s="695"/>
      <c r="J51" s="690"/>
      <c r="K51" s="690"/>
      <c r="L51" s="690"/>
      <c r="M51" s="690"/>
      <c r="N51" s="690"/>
      <c r="O51" s="690"/>
      <c r="P51" s="690"/>
      <c r="Q51" s="690"/>
      <c r="R51" s="690"/>
      <c r="S51" s="690"/>
      <c r="T51" s="1255"/>
      <c r="U51" s="695"/>
      <c r="V51" s="695"/>
      <c r="W51" s="695"/>
      <c r="X51" s="1255"/>
      <c r="Y51" s="1255"/>
      <c r="Z51" s="1255"/>
      <c r="AA51" s="1387"/>
      <c r="AB51" s="695"/>
      <c r="AC51" s="704"/>
      <c r="AD51" s="705"/>
      <c r="AE51" s="695"/>
      <c r="AF51" s="695"/>
      <c r="AG51" s="706"/>
      <c r="AH51" s="695"/>
      <c r="AI51" s="695"/>
      <c r="AJ51" s="707"/>
      <c r="AK51" s="708"/>
      <c r="AL51" s="709"/>
      <c r="AM51" s="710"/>
      <c r="AN51" s="711"/>
      <c r="AO51" s="707"/>
      <c r="AP51" s="708"/>
      <c r="AQ51" s="709"/>
      <c r="AR51" s="710"/>
      <c r="AS51" s="712"/>
      <c r="AT51" s="712"/>
      <c r="AU51" s="712"/>
      <c r="AV51" s="713"/>
      <c r="AW51" s="713"/>
      <c r="AX51" s="711"/>
      <c r="AY51" s="1112" t="s">
        <v>609</v>
      </c>
      <c r="AZ51" s="1171" t="s">
        <v>614</v>
      </c>
      <c r="BA51" s="1171" t="s">
        <v>614</v>
      </c>
      <c r="BB51" s="1194"/>
      <c r="BC51" s="695" t="s">
        <v>609</v>
      </c>
      <c r="BD51" s="1039" t="s">
        <v>610</v>
      </c>
      <c r="BE51" s="1040" t="s">
        <v>611</v>
      </c>
      <c r="BF51" s="695" t="s">
        <v>609</v>
      </c>
    </row>
    <row r="52" spans="1:76" s="25" customFormat="1" ht="81.75" customHeight="1" x14ac:dyDescent="0.3">
      <c r="A52" s="717" t="s">
        <v>628</v>
      </c>
      <c r="B52" s="1226" t="s">
        <v>398</v>
      </c>
      <c r="C52" s="1887" t="s">
        <v>308</v>
      </c>
      <c r="D52" s="1204" t="s">
        <v>310</v>
      </c>
      <c r="E52" s="1492" t="s">
        <v>75</v>
      </c>
      <c r="F52" s="1205" t="s">
        <v>311</v>
      </c>
      <c r="G52" s="381" t="s">
        <v>77</v>
      </c>
      <c r="H52" s="383" t="s">
        <v>314</v>
      </c>
      <c r="I52" s="383" t="s">
        <v>315</v>
      </c>
      <c r="J52" s="384">
        <v>4.4999999999999998E-2</v>
      </c>
      <c r="K52" s="385">
        <v>2.6999999999999996E-2</v>
      </c>
      <c r="L52" s="385">
        <v>1.7999999999999999E-2</v>
      </c>
      <c r="M52" s="386">
        <v>0</v>
      </c>
      <c r="N52" s="386">
        <v>2.5000000000000001E-2</v>
      </c>
      <c r="O52" s="385" t="s">
        <v>80</v>
      </c>
      <c r="P52" s="595">
        <v>0.43</v>
      </c>
      <c r="Q52" s="407">
        <v>0.15</v>
      </c>
      <c r="R52" s="392" t="s">
        <v>318</v>
      </c>
      <c r="S52" s="393" t="s">
        <v>232</v>
      </c>
      <c r="T52" s="1563" t="s">
        <v>83</v>
      </c>
      <c r="U52" s="696" t="s">
        <v>84</v>
      </c>
      <c r="V52" s="697" t="s">
        <v>85</v>
      </c>
      <c r="W52" s="697" t="s">
        <v>320</v>
      </c>
      <c r="X52" s="1157">
        <v>18</v>
      </c>
      <c r="Y52" s="1157" t="s">
        <v>321</v>
      </c>
      <c r="Z52" s="1157" t="s">
        <v>322</v>
      </c>
      <c r="AA52" s="1388">
        <v>100000</v>
      </c>
      <c r="AB52" s="697" t="s">
        <v>87</v>
      </c>
      <c r="AC52" s="698">
        <v>25</v>
      </c>
      <c r="AD52" s="698">
        <v>25</v>
      </c>
      <c r="AE52" s="699">
        <v>50</v>
      </c>
      <c r="AF52" s="700">
        <v>7.5</v>
      </c>
      <c r="AG52" s="701">
        <v>17.5</v>
      </c>
      <c r="AH52" s="702">
        <v>7.5</v>
      </c>
      <c r="AI52" s="698">
        <v>17.5</v>
      </c>
      <c r="AJ52" s="468">
        <v>1.6469999999999999E-2</v>
      </c>
      <c r="AK52" s="469">
        <v>1.0529999999999999E-2</v>
      </c>
      <c r="AL52" s="470">
        <v>0</v>
      </c>
      <c r="AM52" s="471">
        <v>2.6999999999999996E-2</v>
      </c>
      <c r="AN52" s="467">
        <v>2.6999999999999996E-2</v>
      </c>
      <c r="AO52" s="472">
        <v>0</v>
      </c>
      <c r="AP52" s="473">
        <v>1.7560975609756096E-2</v>
      </c>
      <c r="AQ52" s="474">
        <v>0</v>
      </c>
      <c r="AR52" s="471">
        <v>1.7560975609756096E-2</v>
      </c>
      <c r="AS52" s="465">
        <v>0</v>
      </c>
      <c r="AT52" s="465">
        <v>1.7999999999999999E-2</v>
      </c>
      <c r="AU52" s="465">
        <v>0</v>
      </c>
      <c r="AV52" s="466">
        <v>1.7999999999999999E-2</v>
      </c>
      <c r="AW52" s="467">
        <v>4.4999999999999991E-2</v>
      </c>
      <c r="AX52" s="703" t="s">
        <v>324</v>
      </c>
      <c r="AY52" s="1140">
        <v>8.4999999999999992E-2</v>
      </c>
      <c r="AZ52" s="1649">
        <v>0</v>
      </c>
      <c r="BA52" s="1650">
        <v>0</v>
      </c>
      <c r="BB52" s="1195"/>
      <c r="BC52" s="405">
        <v>8.4999999999999992E-2</v>
      </c>
      <c r="BD52" s="1041">
        <v>1.7999999999999999E-2</v>
      </c>
      <c r="BE52" s="1041">
        <v>6.699999999999999E-2</v>
      </c>
      <c r="BF52" s="405">
        <v>8.4999999999999992E-2</v>
      </c>
    </row>
    <row r="53" spans="1:76" s="25" customFormat="1" ht="80.25" customHeight="1" thickBot="1" x14ac:dyDescent="0.35">
      <c r="A53" s="715" t="s">
        <v>628</v>
      </c>
      <c r="B53" s="1227" t="s">
        <v>398</v>
      </c>
      <c r="C53" s="1888"/>
      <c r="D53" s="380" t="s">
        <v>312</v>
      </c>
      <c r="E53" s="1493" t="s">
        <v>75</v>
      </c>
      <c r="F53" s="1206" t="s">
        <v>313</v>
      </c>
      <c r="G53" s="382" t="s">
        <v>93</v>
      </c>
      <c r="H53" s="387" t="s">
        <v>316</v>
      </c>
      <c r="I53" s="387" t="s">
        <v>317</v>
      </c>
      <c r="J53" s="388">
        <v>4.4999999999999998E-2</v>
      </c>
      <c r="K53" s="389">
        <v>2.988E-2</v>
      </c>
      <c r="L53" s="389">
        <v>1.5120000000000003E-2</v>
      </c>
      <c r="M53" s="390">
        <v>0</v>
      </c>
      <c r="N53" s="391">
        <v>2.5000000000000001E-2</v>
      </c>
      <c r="O53" s="389" t="s">
        <v>80</v>
      </c>
      <c r="P53" s="596">
        <v>0.43</v>
      </c>
      <c r="Q53" s="408">
        <v>0.15</v>
      </c>
      <c r="R53" s="395" t="s">
        <v>319</v>
      </c>
      <c r="S53" s="396" t="s">
        <v>232</v>
      </c>
      <c r="T53" s="1564" t="s">
        <v>83</v>
      </c>
      <c r="U53" s="397" t="s">
        <v>84</v>
      </c>
      <c r="V53" s="400" t="s">
        <v>85</v>
      </c>
      <c r="W53" s="400" t="s">
        <v>323</v>
      </c>
      <c r="X53" s="401">
        <v>18</v>
      </c>
      <c r="Y53" s="401" t="s">
        <v>321</v>
      </c>
      <c r="Z53" s="401" t="s">
        <v>322</v>
      </c>
      <c r="AA53" s="1389">
        <v>100000</v>
      </c>
      <c r="AB53" s="400" t="s">
        <v>98</v>
      </c>
      <c r="AC53" s="449">
        <v>25</v>
      </c>
      <c r="AD53" s="449">
        <v>25</v>
      </c>
      <c r="AE53" s="454">
        <v>50</v>
      </c>
      <c r="AF53" s="450">
        <v>7.5</v>
      </c>
      <c r="AG53" s="451">
        <v>17.5</v>
      </c>
      <c r="AH53" s="452">
        <v>7.5</v>
      </c>
      <c r="AI53" s="449">
        <v>17.5</v>
      </c>
      <c r="AJ53" s="468">
        <v>1.7330399999999999E-2</v>
      </c>
      <c r="AK53" s="469">
        <v>9.8604000000000018E-3</v>
      </c>
      <c r="AL53" s="470">
        <v>2.6892000000000001E-3</v>
      </c>
      <c r="AM53" s="471">
        <v>2.988E-2</v>
      </c>
      <c r="AN53" s="467">
        <v>2.988E-2</v>
      </c>
      <c r="AO53" s="472">
        <v>1.4751219512195126E-2</v>
      </c>
      <c r="AP53" s="473">
        <v>0</v>
      </c>
      <c r="AQ53" s="474">
        <v>0</v>
      </c>
      <c r="AR53" s="471">
        <v>1.4751219512195126E-2</v>
      </c>
      <c r="AS53" s="475">
        <v>1.5120000000000003E-2</v>
      </c>
      <c r="AT53" s="476">
        <v>0</v>
      </c>
      <c r="AU53" s="476">
        <v>0</v>
      </c>
      <c r="AV53" s="477">
        <v>1.5120000000000003E-2</v>
      </c>
      <c r="AW53" s="478">
        <v>4.5000000000000005E-2</v>
      </c>
      <c r="AX53" s="404" t="s">
        <v>523</v>
      </c>
      <c r="AY53" s="1127">
        <v>8.4999999999999992E-2</v>
      </c>
      <c r="AZ53" s="1651">
        <v>0</v>
      </c>
      <c r="BA53" s="1651">
        <v>0</v>
      </c>
      <c r="BB53" s="1196"/>
      <c r="BC53" s="406">
        <v>8.4999999999999992E-2</v>
      </c>
      <c r="BD53" s="1042">
        <v>1.7999999999999999E-2</v>
      </c>
      <c r="BE53" s="1042">
        <v>6.699999999999999E-2</v>
      </c>
      <c r="BF53" s="406">
        <v>8.4999999999999992E-2</v>
      </c>
    </row>
    <row r="54" spans="1:76" s="49" customFormat="1" ht="60" customHeight="1" x14ac:dyDescent="0.3">
      <c r="A54" s="715" t="s">
        <v>628</v>
      </c>
      <c r="B54" s="1221" t="s">
        <v>398</v>
      </c>
      <c r="C54" s="1890" t="s">
        <v>70</v>
      </c>
      <c r="D54" s="1485" t="s">
        <v>74</v>
      </c>
      <c r="E54" s="1486" t="s">
        <v>75</v>
      </c>
      <c r="F54" s="1481" t="s">
        <v>76</v>
      </c>
      <c r="G54" s="50" t="s">
        <v>77</v>
      </c>
      <c r="H54" s="51" t="s">
        <v>78</v>
      </c>
      <c r="I54" s="51" t="s">
        <v>79</v>
      </c>
      <c r="J54" s="52">
        <v>4.4999999999999998E-2</v>
      </c>
      <c r="K54" s="53">
        <v>2.6999999999999996E-2</v>
      </c>
      <c r="L54" s="53">
        <v>1.7999999999999999E-2</v>
      </c>
      <c r="M54" s="54">
        <v>0</v>
      </c>
      <c r="N54" s="54">
        <v>2.5000000000000001E-2</v>
      </c>
      <c r="O54" s="53" t="s">
        <v>80</v>
      </c>
      <c r="P54" s="597">
        <v>0.43</v>
      </c>
      <c r="Q54" s="52">
        <v>0.15</v>
      </c>
      <c r="R54" s="55" t="s">
        <v>81</v>
      </c>
      <c r="S54" s="56" t="s">
        <v>82</v>
      </c>
      <c r="T54" s="615" t="s">
        <v>83</v>
      </c>
      <c r="U54" s="57" t="s">
        <v>84</v>
      </c>
      <c r="V54" s="58" t="s">
        <v>85</v>
      </c>
      <c r="W54" s="58" t="s">
        <v>86</v>
      </c>
      <c r="X54" s="415">
        <v>18</v>
      </c>
      <c r="Y54" s="415">
        <v>65</v>
      </c>
      <c r="Z54" s="415">
        <v>70</v>
      </c>
      <c r="AA54" s="1385">
        <v>100000</v>
      </c>
      <c r="AB54" s="57" t="s">
        <v>87</v>
      </c>
      <c r="AC54" s="59">
        <v>25</v>
      </c>
      <c r="AD54" s="60">
        <v>25</v>
      </c>
      <c r="AE54" s="61">
        <v>50</v>
      </c>
      <c r="AF54" s="62">
        <v>7.5</v>
      </c>
      <c r="AG54" s="63">
        <v>17.5</v>
      </c>
      <c r="AH54" s="62">
        <v>7.5</v>
      </c>
      <c r="AI54" s="64">
        <v>17.5</v>
      </c>
      <c r="AJ54" s="462">
        <v>1.6469999999999999E-2</v>
      </c>
      <c r="AK54" s="463">
        <v>1.0529999999999999E-2</v>
      </c>
      <c r="AL54" s="464">
        <v>0</v>
      </c>
      <c r="AM54" s="460">
        <v>2.6999999999999996E-2</v>
      </c>
      <c r="AN54" s="461">
        <v>2.6999999999999996E-2</v>
      </c>
      <c r="AO54" s="462">
        <v>0</v>
      </c>
      <c r="AP54" s="463">
        <v>1.7560975609756096E-2</v>
      </c>
      <c r="AQ54" s="464">
        <v>0</v>
      </c>
      <c r="AR54" s="460">
        <v>1.7560975609756096E-2</v>
      </c>
      <c r="AS54" s="465">
        <v>0</v>
      </c>
      <c r="AT54" s="465">
        <v>1.7999999999999999E-2</v>
      </c>
      <c r="AU54" s="465">
        <v>0</v>
      </c>
      <c r="AV54" s="466">
        <v>1.7999999999999999E-2</v>
      </c>
      <c r="AW54" s="467">
        <v>4.4999999999999991E-2</v>
      </c>
      <c r="AX54" s="402" t="s">
        <v>524</v>
      </c>
      <c r="AY54" s="1114">
        <v>8.4999999999999992E-2</v>
      </c>
      <c r="AZ54" s="1652">
        <v>0</v>
      </c>
      <c r="BA54" s="1652">
        <v>0</v>
      </c>
      <c r="BB54" s="1191"/>
      <c r="BC54" s="65">
        <v>8.4999999999999992E-2</v>
      </c>
      <c r="BD54" s="1007">
        <v>1.7999999999999999E-2</v>
      </c>
      <c r="BE54" s="1008">
        <v>6.699999999999999E-2</v>
      </c>
      <c r="BF54" s="65">
        <v>8.4999999999999992E-2</v>
      </c>
    </row>
    <row r="55" spans="1:76" s="49" customFormat="1" ht="60" customHeight="1" x14ac:dyDescent="0.3">
      <c r="A55" s="715" t="s">
        <v>628</v>
      </c>
      <c r="B55" s="1221" t="s">
        <v>398</v>
      </c>
      <c r="C55" s="1891"/>
      <c r="D55" s="67" t="s">
        <v>91</v>
      </c>
      <c r="E55" s="1487" t="s">
        <v>75</v>
      </c>
      <c r="F55" s="1442" t="s">
        <v>92</v>
      </c>
      <c r="G55" s="68" t="s">
        <v>93</v>
      </c>
      <c r="H55" s="69" t="s">
        <v>94</v>
      </c>
      <c r="I55" s="69" t="s">
        <v>95</v>
      </c>
      <c r="J55" s="70">
        <v>4.4999999999999998E-2</v>
      </c>
      <c r="K55" s="71">
        <v>2.988E-2</v>
      </c>
      <c r="L55" s="71">
        <v>1.5120000000000003E-2</v>
      </c>
      <c r="M55" s="72">
        <v>0</v>
      </c>
      <c r="N55" s="73">
        <v>2.5000000000000001E-2</v>
      </c>
      <c r="O55" s="71" t="s">
        <v>80</v>
      </c>
      <c r="P55" s="598">
        <v>0.43</v>
      </c>
      <c r="Q55" s="70">
        <v>0.15</v>
      </c>
      <c r="R55" s="74" t="s">
        <v>96</v>
      </c>
      <c r="S55" s="75" t="s">
        <v>82</v>
      </c>
      <c r="T55" s="616" t="s">
        <v>83</v>
      </c>
      <c r="U55" s="76" t="s">
        <v>84</v>
      </c>
      <c r="V55" s="77" t="s">
        <v>85</v>
      </c>
      <c r="W55" s="77" t="s">
        <v>97</v>
      </c>
      <c r="X55" s="416">
        <v>18</v>
      </c>
      <c r="Y55" s="416">
        <v>65</v>
      </c>
      <c r="Z55" s="416">
        <v>70</v>
      </c>
      <c r="AA55" s="1386">
        <v>100000</v>
      </c>
      <c r="AB55" s="76" t="s">
        <v>98</v>
      </c>
      <c r="AC55" s="78">
        <v>25</v>
      </c>
      <c r="AD55" s="79">
        <v>25</v>
      </c>
      <c r="AE55" s="80">
        <v>50</v>
      </c>
      <c r="AF55" s="81">
        <v>7.5</v>
      </c>
      <c r="AG55" s="82">
        <v>17.5</v>
      </c>
      <c r="AH55" s="81">
        <v>7.5</v>
      </c>
      <c r="AI55" s="82">
        <v>17.5</v>
      </c>
      <c r="AJ55" s="472">
        <v>1.7330399999999999E-2</v>
      </c>
      <c r="AK55" s="473">
        <v>9.8604000000000018E-3</v>
      </c>
      <c r="AL55" s="474">
        <v>2.6892000000000001E-3</v>
      </c>
      <c r="AM55" s="471">
        <v>2.988E-2</v>
      </c>
      <c r="AN55" s="467">
        <v>2.988E-2</v>
      </c>
      <c r="AO55" s="472">
        <v>1.4751219512195126E-2</v>
      </c>
      <c r="AP55" s="473">
        <v>0</v>
      </c>
      <c r="AQ55" s="474">
        <v>0</v>
      </c>
      <c r="AR55" s="471">
        <v>1.4751219512195126E-2</v>
      </c>
      <c r="AS55" s="465">
        <v>1.5120000000000003E-2</v>
      </c>
      <c r="AT55" s="465">
        <v>0</v>
      </c>
      <c r="AU55" s="465">
        <v>0</v>
      </c>
      <c r="AV55" s="466">
        <v>1.5120000000000003E-2</v>
      </c>
      <c r="AW55" s="467">
        <v>4.5000000000000005E-2</v>
      </c>
      <c r="AX55" s="265" t="s">
        <v>525</v>
      </c>
      <c r="AY55" s="1115">
        <v>8.4999999999999992E-2</v>
      </c>
      <c r="AZ55" s="1653">
        <v>0</v>
      </c>
      <c r="BA55" s="1653">
        <v>0</v>
      </c>
      <c r="BB55" s="1191"/>
      <c r="BC55" s="83">
        <v>8.4999999999999992E-2</v>
      </c>
      <c r="BD55" s="1009">
        <v>1.7999999999999999E-2</v>
      </c>
      <c r="BE55" s="1010">
        <v>6.699999999999999E-2</v>
      </c>
      <c r="BF55" s="83">
        <v>8.4999999999999992E-2</v>
      </c>
    </row>
    <row r="56" spans="1:76" ht="60" customHeight="1" x14ac:dyDescent="0.3">
      <c r="A56" s="715" t="s">
        <v>628</v>
      </c>
      <c r="B56" s="1221" t="s">
        <v>398</v>
      </c>
      <c r="C56" s="1891"/>
      <c r="D56" s="85" t="s">
        <v>102</v>
      </c>
      <c r="E56" s="1488" t="s">
        <v>103</v>
      </c>
      <c r="F56" s="1482" t="s">
        <v>104</v>
      </c>
      <c r="G56" s="86" t="s">
        <v>77</v>
      </c>
      <c r="H56" s="87" t="s">
        <v>78</v>
      </c>
      <c r="I56" s="87" t="s">
        <v>79</v>
      </c>
      <c r="J56" s="88">
        <v>0.06</v>
      </c>
      <c r="K56" s="89">
        <v>3.5999999999999997E-2</v>
      </c>
      <c r="L56" s="89">
        <v>2.3999999999999997E-2</v>
      </c>
      <c r="M56" s="90">
        <v>0</v>
      </c>
      <c r="N56" s="91">
        <v>2.5000000000000001E-2</v>
      </c>
      <c r="O56" s="89" t="s">
        <v>80</v>
      </c>
      <c r="P56" s="599">
        <v>0.43</v>
      </c>
      <c r="Q56" s="88">
        <v>0.15</v>
      </c>
      <c r="R56" s="92" t="s">
        <v>96</v>
      </c>
      <c r="S56" s="93" t="s">
        <v>105</v>
      </c>
      <c r="T56" s="616" t="s">
        <v>83</v>
      </c>
      <c r="U56" s="94" t="s">
        <v>84</v>
      </c>
      <c r="V56" s="95" t="s">
        <v>85</v>
      </c>
      <c r="W56" s="95" t="s">
        <v>86</v>
      </c>
      <c r="X56" s="1394">
        <v>18</v>
      </c>
      <c r="Y56" s="1394">
        <v>65</v>
      </c>
      <c r="Z56" s="1394">
        <v>70</v>
      </c>
      <c r="AA56" s="1395">
        <v>100000</v>
      </c>
      <c r="AB56" s="94" t="s">
        <v>87</v>
      </c>
      <c r="AC56" s="479">
        <v>25</v>
      </c>
      <c r="AD56" s="480">
        <v>25</v>
      </c>
      <c r="AE56" s="481">
        <v>50</v>
      </c>
      <c r="AF56" s="482">
        <v>7.5</v>
      </c>
      <c r="AG56" s="483">
        <v>17.5</v>
      </c>
      <c r="AH56" s="482">
        <v>7.5</v>
      </c>
      <c r="AI56" s="483">
        <v>17.5</v>
      </c>
      <c r="AJ56" s="472">
        <v>2.1959999999999997E-2</v>
      </c>
      <c r="AK56" s="473">
        <v>1.4039999999999999E-2</v>
      </c>
      <c r="AL56" s="474">
        <v>0</v>
      </c>
      <c r="AM56" s="471">
        <v>3.5999999999999997E-2</v>
      </c>
      <c r="AN56" s="467">
        <v>3.5999999999999997E-2</v>
      </c>
      <c r="AO56" s="472">
        <v>0</v>
      </c>
      <c r="AP56" s="473">
        <v>2.3414634146341463E-2</v>
      </c>
      <c r="AQ56" s="474">
        <v>0</v>
      </c>
      <c r="AR56" s="471">
        <v>2.3414634146341463E-2</v>
      </c>
      <c r="AS56" s="465">
        <v>0</v>
      </c>
      <c r="AT56" s="465">
        <v>2.3999999999999997E-2</v>
      </c>
      <c r="AU56" s="465">
        <v>0</v>
      </c>
      <c r="AV56" s="466">
        <v>2.3999999999999997E-2</v>
      </c>
      <c r="AW56" s="467">
        <v>0.06</v>
      </c>
      <c r="AX56" s="402" t="s">
        <v>526</v>
      </c>
      <c r="AY56" s="1114">
        <v>7.3700000000000002E-2</v>
      </c>
      <c r="AZ56" s="1652">
        <v>0</v>
      </c>
      <c r="BA56" s="1652">
        <v>0</v>
      </c>
      <c r="BB56" s="1191"/>
      <c r="BC56" s="484">
        <v>7.3700000000000002E-2</v>
      </c>
      <c r="BD56" s="1011">
        <v>1.7999999999999999E-2</v>
      </c>
      <c r="BE56" s="1012">
        <v>5.5700000000000006E-2</v>
      </c>
      <c r="BF56" s="484">
        <v>7.3700000000000002E-2</v>
      </c>
    </row>
    <row r="57" spans="1:76" ht="60" customHeight="1" x14ac:dyDescent="0.3">
      <c r="A57" s="715" t="s">
        <v>628</v>
      </c>
      <c r="B57" s="1221" t="s">
        <v>398</v>
      </c>
      <c r="C57" s="1891"/>
      <c r="D57" s="96" t="s">
        <v>109</v>
      </c>
      <c r="E57" s="1489" t="s">
        <v>103</v>
      </c>
      <c r="F57" s="1483" t="s">
        <v>110</v>
      </c>
      <c r="G57" s="97" t="s">
        <v>93</v>
      </c>
      <c r="H57" s="69" t="s">
        <v>94</v>
      </c>
      <c r="I57" s="69" t="s">
        <v>95</v>
      </c>
      <c r="J57" s="98">
        <v>0.06</v>
      </c>
      <c r="K57" s="99">
        <v>3.984E-2</v>
      </c>
      <c r="L57" s="99">
        <v>2.0160000000000001E-2</v>
      </c>
      <c r="M57" s="100">
        <v>0</v>
      </c>
      <c r="N57" s="101">
        <v>2.5000000000000001E-2</v>
      </c>
      <c r="O57" s="99" t="s">
        <v>80</v>
      </c>
      <c r="P57" s="600">
        <v>0.43</v>
      </c>
      <c r="Q57" s="98">
        <v>0.15</v>
      </c>
      <c r="R57" s="102" t="s">
        <v>96</v>
      </c>
      <c r="S57" s="103" t="s">
        <v>105</v>
      </c>
      <c r="T57" s="616" t="s">
        <v>83</v>
      </c>
      <c r="U57" s="76" t="s">
        <v>84</v>
      </c>
      <c r="V57" s="77" t="s">
        <v>85</v>
      </c>
      <c r="W57" s="77" t="s">
        <v>97</v>
      </c>
      <c r="X57" s="416">
        <v>18</v>
      </c>
      <c r="Y57" s="416">
        <v>65</v>
      </c>
      <c r="Z57" s="416">
        <v>70</v>
      </c>
      <c r="AA57" s="1386">
        <v>100000</v>
      </c>
      <c r="AB57" s="76" t="s">
        <v>98</v>
      </c>
      <c r="AC57" s="78">
        <v>25</v>
      </c>
      <c r="AD57" s="79">
        <v>25</v>
      </c>
      <c r="AE57" s="80">
        <v>50</v>
      </c>
      <c r="AF57" s="81">
        <v>7.5</v>
      </c>
      <c r="AG57" s="82">
        <v>17.5</v>
      </c>
      <c r="AH57" s="81">
        <v>7.5</v>
      </c>
      <c r="AI57" s="82">
        <v>17.5</v>
      </c>
      <c r="AJ57" s="472">
        <v>2.3107199999999998E-2</v>
      </c>
      <c r="AK57" s="473">
        <v>1.3147200000000001E-2</v>
      </c>
      <c r="AL57" s="474">
        <v>3.5856E-3</v>
      </c>
      <c r="AM57" s="471">
        <v>3.984E-2</v>
      </c>
      <c r="AN57" s="467">
        <v>3.984E-2</v>
      </c>
      <c r="AO57" s="472">
        <v>1.966829268292683E-2</v>
      </c>
      <c r="AP57" s="473">
        <v>0</v>
      </c>
      <c r="AQ57" s="474">
        <v>0</v>
      </c>
      <c r="AR57" s="471">
        <v>1.966829268292683E-2</v>
      </c>
      <c r="AS57" s="465">
        <v>2.0160000000000001E-2</v>
      </c>
      <c r="AT57" s="465">
        <v>0</v>
      </c>
      <c r="AU57" s="465">
        <v>0</v>
      </c>
      <c r="AV57" s="466">
        <v>2.0160000000000001E-2</v>
      </c>
      <c r="AW57" s="467">
        <v>0.06</v>
      </c>
      <c r="AX57" s="265" t="s">
        <v>527</v>
      </c>
      <c r="AY57" s="1115">
        <v>7.3700000000000002E-2</v>
      </c>
      <c r="AZ57" s="1653">
        <v>0</v>
      </c>
      <c r="BA57" s="1653">
        <v>0</v>
      </c>
      <c r="BB57" s="1191"/>
      <c r="BC57" s="83">
        <v>7.3700000000000002E-2</v>
      </c>
      <c r="BD57" s="1009">
        <v>1.7999999999999999E-2</v>
      </c>
      <c r="BE57" s="1010">
        <v>5.5700000000000006E-2</v>
      </c>
      <c r="BF57" s="83">
        <v>7.3700000000000002E-2</v>
      </c>
    </row>
    <row r="58" spans="1:76" ht="60" customHeight="1" x14ac:dyDescent="0.3">
      <c r="A58" s="715" t="s">
        <v>628</v>
      </c>
      <c r="B58" s="1221" t="s">
        <v>398</v>
      </c>
      <c r="C58" s="1891"/>
      <c r="D58" s="85" t="s">
        <v>114</v>
      </c>
      <c r="E58" s="1488" t="s">
        <v>115</v>
      </c>
      <c r="F58" s="1482" t="s">
        <v>116</v>
      </c>
      <c r="G58" s="86" t="s">
        <v>77</v>
      </c>
      <c r="H58" s="87" t="s">
        <v>78</v>
      </c>
      <c r="I58" s="87" t="s">
        <v>79</v>
      </c>
      <c r="J58" s="88">
        <v>0.08</v>
      </c>
      <c r="K58" s="89">
        <v>4.8000000000000001E-2</v>
      </c>
      <c r="L58" s="89">
        <v>3.2000000000000001E-2</v>
      </c>
      <c r="M58" s="90">
        <v>0</v>
      </c>
      <c r="N58" s="91">
        <v>2.5000000000000001E-2</v>
      </c>
      <c r="O58" s="89" t="s">
        <v>80</v>
      </c>
      <c r="P58" s="599">
        <v>0.43</v>
      </c>
      <c r="Q58" s="88">
        <v>0.15</v>
      </c>
      <c r="R58" s="92" t="s">
        <v>96</v>
      </c>
      <c r="S58" s="93" t="s">
        <v>117</v>
      </c>
      <c r="T58" s="616" t="s">
        <v>83</v>
      </c>
      <c r="U58" s="94" t="s">
        <v>84</v>
      </c>
      <c r="V58" s="95" t="s">
        <v>85</v>
      </c>
      <c r="W58" s="95" t="s">
        <v>86</v>
      </c>
      <c r="X58" s="1394">
        <v>18</v>
      </c>
      <c r="Y58" s="1394">
        <v>65</v>
      </c>
      <c r="Z58" s="1394">
        <v>70</v>
      </c>
      <c r="AA58" s="1395">
        <v>100000</v>
      </c>
      <c r="AB58" s="94" t="s">
        <v>87</v>
      </c>
      <c r="AC58" s="479">
        <v>25</v>
      </c>
      <c r="AD58" s="480">
        <v>25</v>
      </c>
      <c r="AE58" s="481">
        <v>50</v>
      </c>
      <c r="AF58" s="482">
        <v>7.5</v>
      </c>
      <c r="AG58" s="483">
        <v>17.5</v>
      </c>
      <c r="AH58" s="482">
        <v>7.5</v>
      </c>
      <c r="AI58" s="483">
        <v>17.5</v>
      </c>
      <c r="AJ58" s="472">
        <v>2.9279999999999997E-2</v>
      </c>
      <c r="AK58" s="473">
        <v>1.8720000000000001E-2</v>
      </c>
      <c r="AL58" s="474">
        <v>0</v>
      </c>
      <c r="AM58" s="471">
        <v>4.8000000000000001E-2</v>
      </c>
      <c r="AN58" s="467">
        <v>4.8000000000000001E-2</v>
      </c>
      <c r="AO58" s="472">
        <v>0</v>
      </c>
      <c r="AP58" s="473">
        <v>3.1219512195121958E-2</v>
      </c>
      <c r="AQ58" s="474">
        <v>0</v>
      </c>
      <c r="AR58" s="471">
        <v>3.1219512195121958E-2</v>
      </c>
      <c r="AS58" s="465">
        <v>0</v>
      </c>
      <c r="AT58" s="465">
        <v>3.2000000000000001E-2</v>
      </c>
      <c r="AU58" s="465">
        <v>0</v>
      </c>
      <c r="AV58" s="466">
        <v>3.2000000000000001E-2</v>
      </c>
      <c r="AW58" s="467">
        <v>8.0000000000000016E-2</v>
      </c>
      <c r="AX58" s="402" t="s">
        <v>528</v>
      </c>
      <c r="AY58" s="1114">
        <v>6.6000000000000003E-2</v>
      </c>
      <c r="AZ58" s="1652">
        <v>0</v>
      </c>
      <c r="BA58" s="1652">
        <v>0</v>
      </c>
      <c r="BB58" s="1191"/>
      <c r="BC58" s="484">
        <v>6.6000000000000003E-2</v>
      </c>
      <c r="BD58" s="1011">
        <v>1.7999999999999999E-2</v>
      </c>
      <c r="BE58" s="1012">
        <v>4.8000000000000001E-2</v>
      </c>
      <c r="BF58" s="484">
        <v>6.6000000000000003E-2</v>
      </c>
    </row>
    <row r="59" spans="1:76" ht="60" customHeight="1" x14ac:dyDescent="0.3">
      <c r="A59" s="715" t="s">
        <v>628</v>
      </c>
      <c r="B59" s="1221" t="s">
        <v>398</v>
      </c>
      <c r="C59" s="1891"/>
      <c r="D59" s="96" t="s">
        <v>121</v>
      </c>
      <c r="E59" s="1489" t="s">
        <v>115</v>
      </c>
      <c r="F59" s="1483" t="s">
        <v>122</v>
      </c>
      <c r="G59" s="97" t="s">
        <v>93</v>
      </c>
      <c r="H59" s="69" t="s">
        <v>94</v>
      </c>
      <c r="I59" s="69" t="s">
        <v>95</v>
      </c>
      <c r="J59" s="98">
        <v>0.08</v>
      </c>
      <c r="K59" s="99">
        <v>5.3120000000000001E-2</v>
      </c>
      <c r="L59" s="99">
        <v>2.6880000000000001E-2</v>
      </c>
      <c r="M59" s="100">
        <v>0</v>
      </c>
      <c r="N59" s="101">
        <v>2.5000000000000001E-2</v>
      </c>
      <c r="O59" s="99" t="s">
        <v>80</v>
      </c>
      <c r="P59" s="600">
        <v>0.43</v>
      </c>
      <c r="Q59" s="98">
        <v>0.15</v>
      </c>
      <c r="R59" s="102" t="s">
        <v>96</v>
      </c>
      <c r="S59" s="103" t="s">
        <v>117</v>
      </c>
      <c r="T59" s="616" t="s">
        <v>83</v>
      </c>
      <c r="U59" s="76" t="s">
        <v>84</v>
      </c>
      <c r="V59" s="77" t="s">
        <v>85</v>
      </c>
      <c r="W59" s="77" t="s">
        <v>97</v>
      </c>
      <c r="X59" s="416">
        <v>18</v>
      </c>
      <c r="Y59" s="416">
        <v>65</v>
      </c>
      <c r="Z59" s="416">
        <v>70</v>
      </c>
      <c r="AA59" s="1386">
        <v>100000</v>
      </c>
      <c r="AB59" s="76" t="s">
        <v>98</v>
      </c>
      <c r="AC59" s="78">
        <v>25</v>
      </c>
      <c r="AD59" s="79">
        <v>25</v>
      </c>
      <c r="AE59" s="80">
        <v>50</v>
      </c>
      <c r="AF59" s="81">
        <v>7.5</v>
      </c>
      <c r="AG59" s="82">
        <v>17.5</v>
      </c>
      <c r="AH59" s="81">
        <v>7.5</v>
      </c>
      <c r="AI59" s="82">
        <v>17.5</v>
      </c>
      <c r="AJ59" s="472">
        <v>3.0809599999999999E-2</v>
      </c>
      <c r="AK59" s="473">
        <v>1.7529599999999999E-2</v>
      </c>
      <c r="AL59" s="474">
        <v>4.7808E-3</v>
      </c>
      <c r="AM59" s="471">
        <v>5.3120000000000001E-2</v>
      </c>
      <c r="AN59" s="467">
        <v>5.3120000000000001E-2</v>
      </c>
      <c r="AO59" s="472">
        <v>2.6224390243902444E-2</v>
      </c>
      <c r="AP59" s="473">
        <v>0</v>
      </c>
      <c r="AQ59" s="474">
        <v>0</v>
      </c>
      <c r="AR59" s="471">
        <v>2.6224390243902444E-2</v>
      </c>
      <c r="AS59" s="465">
        <v>2.6880000000000001E-2</v>
      </c>
      <c r="AT59" s="465">
        <v>0</v>
      </c>
      <c r="AU59" s="465">
        <v>0</v>
      </c>
      <c r="AV59" s="466">
        <v>2.6880000000000001E-2</v>
      </c>
      <c r="AW59" s="467">
        <v>0.08</v>
      </c>
      <c r="AX59" s="265" t="s">
        <v>529</v>
      </c>
      <c r="AY59" s="1115">
        <v>6.6000000000000003E-2</v>
      </c>
      <c r="AZ59" s="1653">
        <v>0</v>
      </c>
      <c r="BA59" s="1653">
        <v>0</v>
      </c>
      <c r="BB59" s="1191"/>
      <c r="BC59" s="83">
        <v>6.6000000000000003E-2</v>
      </c>
      <c r="BD59" s="1009">
        <v>1.7999999999999999E-2</v>
      </c>
      <c r="BE59" s="1010">
        <v>4.8000000000000001E-2</v>
      </c>
      <c r="BF59" s="83">
        <v>6.6000000000000003E-2</v>
      </c>
    </row>
    <row r="60" spans="1:76" ht="60" customHeight="1" x14ac:dyDescent="0.3">
      <c r="A60" s="715" t="s">
        <v>628</v>
      </c>
      <c r="B60" s="1221" t="s">
        <v>398</v>
      </c>
      <c r="C60" s="1891"/>
      <c r="D60" s="85" t="s">
        <v>126</v>
      </c>
      <c r="E60" s="1488" t="s">
        <v>127</v>
      </c>
      <c r="F60" s="1482" t="s">
        <v>128</v>
      </c>
      <c r="G60" s="86" t="s">
        <v>77</v>
      </c>
      <c r="H60" s="87" t="s">
        <v>78</v>
      </c>
      <c r="I60" s="87" t="s">
        <v>79</v>
      </c>
      <c r="J60" s="88">
        <v>0.1</v>
      </c>
      <c r="K60" s="89">
        <v>6.0000000000000012E-2</v>
      </c>
      <c r="L60" s="89">
        <v>4.0000000000000008E-2</v>
      </c>
      <c r="M60" s="90">
        <v>0</v>
      </c>
      <c r="N60" s="91">
        <v>2.5000000000000001E-2</v>
      </c>
      <c r="O60" s="89" t="s">
        <v>80</v>
      </c>
      <c r="P60" s="599">
        <v>0.43</v>
      </c>
      <c r="Q60" s="88">
        <v>0.15</v>
      </c>
      <c r="R60" s="92" t="s">
        <v>96</v>
      </c>
      <c r="S60" s="93" t="s">
        <v>129</v>
      </c>
      <c r="T60" s="616" t="s">
        <v>83</v>
      </c>
      <c r="U60" s="94" t="s">
        <v>84</v>
      </c>
      <c r="V60" s="95" t="s">
        <v>85</v>
      </c>
      <c r="W60" s="95" t="s">
        <v>86</v>
      </c>
      <c r="X60" s="1394">
        <v>18</v>
      </c>
      <c r="Y60" s="1394">
        <v>65</v>
      </c>
      <c r="Z60" s="1394">
        <v>70</v>
      </c>
      <c r="AA60" s="1395">
        <v>100000</v>
      </c>
      <c r="AB60" s="94" t="s">
        <v>87</v>
      </c>
      <c r="AC60" s="479">
        <v>25</v>
      </c>
      <c r="AD60" s="480">
        <v>25</v>
      </c>
      <c r="AE60" s="481">
        <v>50</v>
      </c>
      <c r="AF60" s="482">
        <v>7.5</v>
      </c>
      <c r="AG60" s="483">
        <v>17.5</v>
      </c>
      <c r="AH60" s="482">
        <v>7.5</v>
      </c>
      <c r="AI60" s="483">
        <v>17.5</v>
      </c>
      <c r="AJ60" s="472">
        <v>3.6600000000000008E-2</v>
      </c>
      <c r="AK60" s="473">
        <v>2.3400000000000008E-2</v>
      </c>
      <c r="AL60" s="474">
        <v>0</v>
      </c>
      <c r="AM60" s="471">
        <v>6.0000000000000012E-2</v>
      </c>
      <c r="AN60" s="467">
        <v>6.0000000000000012E-2</v>
      </c>
      <c r="AO60" s="472">
        <v>0</v>
      </c>
      <c r="AP60" s="473">
        <v>3.9024390243902453E-2</v>
      </c>
      <c r="AQ60" s="474">
        <v>0</v>
      </c>
      <c r="AR60" s="471">
        <v>3.9024390243902453E-2</v>
      </c>
      <c r="AS60" s="465">
        <v>0</v>
      </c>
      <c r="AT60" s="465">
        <v>4.0000000000000008E-2</v>
      </c>
      <c r="AU60" s="465">
        <v>0</v>
      </c>
      <c r="AV60" s="466">
        <v>4.0000000000000008E-2</v>
      </c>
      <c r="AW60" s="467">
        <v>0.10000000000000002</v>
      </c>
      <c r="AX60" s="402" t="s">
        <v>530</v>
      </c>
      <c r="AY60" s="1114">
        <v>6.6000000000000003E-2</v>
      </c>
      <c r="AZ60" s="1652">
        <v>0</v>
      </c>
      <c r="BA60" s="1652">
        <v>0</v>
      </c>
      <c r="BB60" s="1191"/>
      <c r="BC60" s="484">
        <v>6.6000000000000003E-2</v>
      </c>
      <c r="BD60" s="1011">
        <v>1.7999999999999999E-2</v>
      </c>
      <c r="BE60" s="1012">
        <v>4.8000000000000001E-2</v>
      </c>
      <c r="BF60" s="484">
        <v>6.6000000000000003E-2</v>
      </c>
    </row>
    <row r="61" spans="1:76" ht="60" customHeight="1" thickBot="1" x14ac:dyDescent="0.35">
      <c r="A61" s="715" t="s">
        <v>628</v>
      </c>
      <c r="B61" s="1221" t="s">
        <v>398</v>
      </c>
      <c r="C61" s="1892"/>
      <c r="D61" s="1490" t="s">
        <v>133</v>
      </c>
      <c r="E61" s="1491" t="s">
        <v>127</v>
      </c>
      <c r="F61" s="1484" t="s">
        <v>134</v>
      </c>
      <c r="G61" s="105" t="s">
        <v>93</v>
      </c>
      <c r="H61" s="106" t="s">
        <v>94</v>
      </c>
      <c r="I61" s="107" t="s">
        <v>95</v>
      </c>
      <c r="J61" s="108">
        <v>0.1</v>
      </c>
      <c r="K61" s="109">
        <v>6.6400000000000001E-2</v>
      </c>
      <c r="L61" s="109">
        <v>3.3599999999999998E-2</v>
      </c>
      <c r="M61" s="110">
        <v>0</v>
      </c>
      <c r="N61" s="111">
        <v>2.5000000000000001E-2</v>
      </c>
      <c r="O61" s="109" t="s">
        <v>80</v>
      </c>
      <c r="P61" s="601">
        <v>0.43</v>
      </c>
      <c r="Q61" s="108">
        <v>0.15</v>
      </c>
      <c r="R61" s="112" t="s">
        <v>96</v>
      </c>
      <c r="S61" s="113" t="s">
        <v>129</v>
      </c>
      <c r="T61" s="1564" t="s">
        <v>83</v>
      </c>
      <c r="U61" s="114" t="s">
        <v>84</v>
      </c>
      <c r="V61" s="115" t="s">
        <v>85</v>
      </c>
      <c r="W61" s="115" t="s">
        <v>97</v>
      </c>
      <c r="X61" s="1396">
        <v>18</v>
      </c>
      <c r="Y61" s="1396">
        <v>65</v>
      </c>
      <c r="Z61" s="1396">
        <v>70</v>
      </c>
      <c r="AA61" s="1397">
        <v>100000</v>
      </c>
      <c r="AB61" s="114" t="s">
        <v>98</v>
      </c>
      <c r="AC61" s="485">
        <v>25</v>
      </c>
      <c r="AD61" s="486">
        <v>25</v>
      </c>
      <c r="AE61" s="487">
        <v>50</v>
      </c>
      <c r="AF61" s="488">
        <v>7.5</v>
      </c>
      <c r="AG61" s="489">
        <v>17.5</v>
      </c>
      <c r="AH61" s="488">
        <v>7.5</v>
      </c>
      <c r="AI61" s="489">
        <v>17.5</v>
      </c>
      <c r="AJ61" s="490">
        <v>3.8511999999999998E-2</v>
      </c>
      <c r="AK61" s="491">
        <v>2.1912000000000001E-2</v>
      </c>
      <c r="AL61" s="492">
        <v>5.9759999999999995E-3</v>
      </c>
      <c r="AM61" s="493">
        <v>6.6400000000000001E-2</v>
      </c>
      <c r="AN61" s="494">
        <v>6.6400000000000001E-2</v>
      </c>
      <c r="AO61" s="490">
        <v>3.278048780487805E-2</v>
      </c>
      <c r="AP61" s="491">
        <v>0</v>
      </c>
      <c r="AQ61" s="492">
        <v>0</v>
      </c>
      <c r="AR61" s="493">
        <v>3.278048780487805E-2</v>
      </c>
      <c r="AS61" s="495">
        <v>3.3599999999999998E-2</v>
      </c>
      <c r="AT61" s="495">
        <v>0</v>
      </c>
      <c r="AU61" s="495">
        <v>0</v>
      </c>
      <c r="AV61" s="496">
        <v>3.3599999999999998E-2</v>
      </c>
      <c r="AW61" s="494">
        <v>0.1</v>
      </c>
      <c r="AX61" s="497" t="s">
        <v>531</v>
      </c>
      <c r="AY61" s="1116">
        <v>6.6000000000000003E-2</v>
      </c>
      <c r="AZ61" s="1654">
        <v>0</v>
      </c>
      <c r="BA61" s="1654">
        <v>0</v>
      </c>
      <c r="BB61" s="1192"/>
      <c r="BC61" s="498">
        <v>6.6000000000000003E-2</v>
      </c>
      <c r="BD61" s="1013">
        <v>1.7999999999999999E-2</v>
      </c>
      <c r="BE61" s="1014">
        <v>4.8000000000000001E-2</v>
      </c>
      <c r="BF61" s="498">
        <v>6.6000000000000003E-2</v>
      </c>
    </row>
    <row r="62" spans="1:76" ht="60" customHeight="1" x14ac:dyDescent="0.3">
      <c r="A62" s="715" t="s">
        <v>628</v>
      </c>
      <c r="B62" s="1221" t="s">
        <v>398</v>
      </c>
      <c r="C62" s="1895" t="s">
        <v>135</v>
      </c>
      <c r="D62" s="1474" t="s">
        <v>139</v>
      </c>
      <c r="E62" s="1475" t="s">
        <v>140</v>
      </c>
      <c r="F62" s="1471" t="s">
        <v>141</v>
      </c>
      <c r="G62" s="117" t="s">
        <v>77</v>
      </c>
      <c r="H62" s="118" t="s">
        <v>78</v>
      </c>
      <c r="I62" s="119" t="s">
        <v>79</v>
      </c>
      <c r="J62" s="120">
        <v>4.4999999999999998E-2</v>
      </c>
      <c r="K62" s="121">
        <v>2.5874999999999995E-2</v>
      </c>
      <c r="L62" s="121">
        <v>1.9124999999999996E-2</v>
      </c>
      <c r="M62" s="122">
        <v>0</v>
      </c>
      <c r="N62" s="123">
        <v>2.5000000000000001E-2</v>
      </c>
      <c r="O62" s="121" t="s">
        <v>80</v>
      </c>
      <c r="P62" s="602">
        <v>0.44900000000000001</v>
      </c>
      <c r="Q62" s="602">
        <v>0.15</v>
      </c>
      <c r="R62" s="124" t="s">
        <v>96</v>
      </c>
      <c r="S62" s="277" t="s">
        <v>142</v>
      </c>
      <c r="T62" s="1565" t="s">
        <v>83</v>
      </c>
      <c r="U62" s="280" t="s">
        <v>84</v>
      </c>
      <c r="V62" s="127" t="s">
        <v>85</v>
      </c>
      <c r="W62" s="127" t="s">
        <v>86</v>
      </c>
      <c r="X62" s="1398">
        <v>18</v>
      </c>
      <c r="Y62" s="1398">
        <v>65</v>
      </c>
      <c r="Z62" s="1398">
        <v>72</v>
      </c>
      <c r="AA62" s="1399">
        <v>100000</v>
      </c>
      <c r="AB62" s="126" t="s">
        <v>87</v>
      </c>
      <c r="AC62" s="499">
        <v>25</v>
      </c>
      <c r="AD62" s="500">
        <v>25</v>
      </c>
      <c r="AE62" s="501">
        <v>50</v>
      </c>
      <c r="AF62" s="502">
        <v>7.5</v>
      </c>
      <c r="AG62" s="503">
        <v>17.5</v>
      </c>
      <c r="AH62" s="502">
        <v>7.5</v>
      </c>
      <c r="AI62" s="504">
        <v>17.5</v>
      </c>
      <c r="AJ62" s="462">
        <v>1.5783749999999996E-2</v>
      </c>
      <c r="AK62" s="463">
        <v>1.0091249999999998E-2</v>
      </c>
      <c r="AL62" s="464">
        <v>0</v>
      </c>
      <c r="AM62" s="460">
        <v>2.5874999999999995E-2</v>
      </c>
      <c r="AN62" s="461">
        <v>2.5874999999999995E-2</v>
      </c>
      <c r="AO62" s="462">
        <v>0</v>
      </c>
      <c r="AP62" s="463">
        <v>1.8658536585365853E-2</v>
      </c>
      <c r="AQ62" s="464">
        <v>0</v>
      </c>
      <c r="AR62" s="460">
        <v>1.8658536585365853E-2</v>
      </c>
      <c r="AS62" s="465">
        <v>0</v>
      </c>
      <c r="AT62" s="465">
        <v>1.9124999999999996E-2</v>
      </c>
      <c r="AU62" s="465">
        <v>0</v>
      </c>
      <c r="AV62" s="466">
        <v>1.9124999999999996E-2</v>
      </c>
      <c r="AW62" s="461">
        <v>4.4999999999999991E-2</v>
      </c>
      <c r="AX62" s="505" t="s">
        <v>532</v>
      </c>
      <c r="AY62" s="1117">
        <v>7.2999999999999995E-2</v>
      </c>
      <c r="AZ62" s="1655">
        <v>0</v>
      </c>
      <c r="BA62" s="1655">
        <v>0</v>
      </c>
      <c r="BB62" s="1191"/>
      <c r="BC62" s="506">
        <v>7.2999999999999995E-2</v>
      </c>
      <c r="BD62" s="1015">
        <v>1.7999999999999999E-2</v>
      </c>
      <c r="BE62" s="1016">
        <v>5.5E-2</v>
      </c>
      <c r="BF62" s="506">
        <v>7.2999999999999995E-2</v>
      </c>
    </row>
    <row r="63" spans="1:76" ht="60" customHeight="1" x14ac:dyDescent="0.3">
      <c r="A63" s="715" t="s">
        <v>628</v>
      </c>
      <c r="B63" s="1221" t="s">
        <v>398</v>
      </c>
      <c r="C63" s="1896"/>
      <c r="D63" s="129" t="s">
        <v>146</v>
      </c>
      <c r="E63" s="1476" t="s">
        <v>140</v>
      </c>
      <c r="F63" s="1472" t="s">
        <v>147</v>
      </c>
      <c r="G63" s="130" t="s">
        <v>93</v>
      </c>
      <c r="H63" s="131" t="s">
        <v>94</v>
      </c>
      <c r="I63" s="131" t="s">
        <v>95</v>
      </c>
      <c r="J63" s="132">
        <v>4.4999999999999998E-2</v>
      </c>
      <c r="K63" s="133">
        <v>2.9879999999999993E-2</v>
      </c>
      <c r="L63" s="133">
        <v>1.512E-2</v>
      </c>
      <c r="M63" s="134">
        <v>0</v>
      </c>
      <c r="N63" s="135">
        <v>2.5000000000000001E-2</v>
      </c>
      <c r="O63" s="133" t="s">
        <v>80</v>
      </c>
      <c r="P63" s="603">
        <v>0.44900000000000001</v>
      </c>
      <c r="Q63" s="603">
        <v>0.15</v>
      </c>
      <c r="R63" s="136" t="s">
        <v>96</v>
      </c>
      <c r="S63" s="278" t="s">
        <v>142</v>
      </c>
      <c r="T63" s="1566" t="s">
        <v>83</v>
      </c>
      <c r="U63" s="275" t="s">
        <v>84</v>
      </c>
      <c r="V63" s="138" t="s">
        <v>85</v>
      </c>
      <c r="W63" s="138" t="s">
        <v>97</v>
      </c>
      <c r="X63" s="1400">
        <v>18</v>
      </c>
      <c r="Y63" s="1400">
        <v>65</v>
      </c>
      <c r="Z63" s="1400">
        <v>72</v>
      </c>
      <c r="AA63" s="1401">
        <v>100000</v>
      </c>
      <c r="AB63" s="137" t="s">
        <v>98</v>
      </c>
      <c r="AC63" s="507">
        <v>25</v>
      </c>
      <c r="AD63" s="508">
        <v>25</v>
      </c>
      <c r="AE63" s="509">
        <v>50</v>
      </c>
      <c r="AF63" s="510">
        <v>7.5</v>
      </c>
      <c r="AG63" s="511">
        <v>17.5</v>
      </c>
      <c r="AH63" s="510">
        <v>7.5</v>
      </c>
      <c r="AI63" s="511">
        <v>17.5</v>
      </c>
      <c r="AJ63" s="472">
        <v>1.7330399999999996E-2</v>
      </c>
      <c r="AK63" s="473">
        <v>9.8604000000000001E-3</v>
      </c>
      <c r="AL63" s="474">
        <v>2.6891999999999997E-3</v>
      </c>
      <c r="AM63" s="471">
        <v>2.9879999999999993E-2</v>
      </c>
      <c r="AN63" s="467">
        <v>2.9879999999999993E-2</v>
      </c>
      <c r="AO63" s="472">
        <v>1.4751219512195123E-2</v>
      </c>
      <c r="AP63" s="473">
        <v>0</v>
      </c>
      <c r="AQ63" s="474">
        <v>0</v>
      </c>
      <c r="AR63" s="471">
        <v>1.4751219512195123E-2</v>
      </c>
      <c r="AS63" s="465">
        <v>1.512E-2</v>
      </c>
      <c r="AT63" s="465">
        <v>0</v>
      </c>
      <c r="AU63" s="465">
        <v>0</v>
      </c>
      <c r="AV63" s="466">
        <v>1.512E-2</v>
      </c>
      <c r="AW63" s="467">
        <v>4.4999999999999991E-2</v>
      </c>
      <c r="AX63" s="512" t="s">
        <v>533</v>
      </c>
      <c r="AY63" s="1118">
        <v>7.2999999999999995E-2</v>
      </c>
      <c r="AZ63" s="1656">
        <v>0</v>
      </c>
      <c r="BA63" s="1656">
        <v>0</v>
      </c>
      <c r="BB63" s="1191"/>
      <c r="BC63" s="513">
        <v>7.2999999999999995E-2</v>
      </c>
      <c r="BD63" s="1017">
        <v>1.7999999999999999E-2</v>
      </c>
      <c r="BE63" s="1018">
        <v>5.5E-2</v>
      </c>
      <c r="BF63" s="513">
        <v>7.2999999999999995E-2</v>
      </c>
    </row>
    <row r="64" spans="1:76" ht="60" customHeight="1" x14ac:dyDescent="0.3">
      <c r="A64" s="715" t="s">
        <v>628</v>
      </c>
      <c r="B64" s="1221" t="s">
        <v>398</v>
      </c>
      <c r="C64" s="1896"/>
      <c r="D64" s="140" t="s">
        <v>151</v>
      </c>
      <c r="E64" s="1477" t="s">
        <v>152</v>
      </c>
      <c r="F64" s="1471" t="s">
        <v>153</v>
      </c>
      <c r="G64" s="117" t="s">
        <v>77</v>
      </c>
      <c r="H64" s="141" t="s">
        <v>78</v>
      </c>
      <c r="I64" s="141" t="s">
        <v>79</v>
      </c>
      <c r="J64" s="142">
        <v>0.06</v>
      </c>
      <c r="K64" s="143">
        <v>3.4499999999999989E-2</v>
      </c>
      <c r="L64" s="143">
        <v>2.5499999999999995E-2</v>
      </c>
      <c r="M64" s="144">
        <v>0</v>
      </c>
      <c r="N64" s="145">
        <v>2.5000000000000001E-2</v>
      </c>
      <c r="O64" s="143" t="s">
        <v>80</v>
      </c>
      <c r="P64" s="604">
        <v>0.44900000000000001</v>
      </c>
      <c r="Q64" s="604">
        <v>0.15</v>
      </c>
      <c r="R64" s="146" t="s">
        <v>96</v>
      </c>
      <c r="S64" s="279" t="s">
        <v>154</v>
      </c>
      <c r="T64" s="1566" t="s">
        <v>83</v>
      </c>
      <c r="U64" s="276" t="s">
        <v>84</v>
      </c>
      <c r="V64" s="149" t="s">
        <v>85</v>
      </c>
      <c r="W64" s="149" t="s">
        <v>86</v>
      </c>
      <c r="X64" s="1402">
        <v>18</v>
      </c>
      <c r="Y64" s="1402">
        <v>65</v>
      </c>
      <c r="Z64" s="1402">
        <v>72</v>
      </c>
      <c r="AA64" s="1403">
        <v>100000</v>
      </c>
      <c r="AB64" s="148" t="s">
        <v>87</v>
      </c>
      <c r="AC64" s="514">
        <v>25</v>
      </c>
      <c r="AD64" s="515">
        <v>25</v>
      </c>
      <c r="AE64" s="516">
        <v>50</v>
      </c>
      <c r="AF64" s="517">
        <v>7.5</v>
      </c>
      <c r="AG64" s="518">
        <v>17.5</v>
      </c>
      <c r="AH64" s="517">
        <v>7.5</v>
      </c>
      <c r="AI64" s="518">
        <v>17.5</v>
      </c>
      <c r="AJ64" s="472">
        <v>2.1044999999999991E-2</v>
      </c>
      <c r="AK64" s="473">
        <v>1.3454999999999996E-2</v>
      </c>
      <c r="AL64" s="474">
        <v>0</v>
      </c>
      <c r="AM64" s="471">
        <v>3.4499999999999989E-2</v>
      </c>
      <c r="AN64" s="467">
        <v>3.4499999999999989E-2</v>
      </c>
      <c r="AO64" s="472">
        <v>0</v>
      </c>
      <c r="AP64" s="473">
        <v>2.4878048780487803E-2</v>
      </c>
      <c r="AQ64" s="474">
        <v>0</v>
      </c>
      <c r="AR64" s="471">
        <v>2.4878048780487803E-2</v>
      </c>
      <c r="AS64" s="465">
        <v>0</v>
      </c>
      <c r="AT64" s="465">
        <v>2.5499999999999995E-2</v>
      </c>
      <c r="AU64" s="465">
        <v>0</v>
      </c>
      <c r="AV64" s="466">
        <v>2.5499999999999995E-2</v>
      </c>
      <c r="AW64" s="467">
        <v>5.9999999999999984E-2</v>
      </c>
      <c r="AX64" s="505" t="s">
        <v>534</v>
      </c>
      <c r="AY64" s="1117">
        <v>6.5000000000000002E-2</v>
      </c>
      <c r="AZ64" s="1655">
        <v>0</v>
      </c>
      <c r="BA64" s="1655">
        <v>0</v>
      </c>
      <c r="BB64" s="1191"/>
      <c r="BC64" s="519">
        <v>6.5000000000000002E-2</v>
      </c>
      <c r="BD64" s="1019">
        <v>1.7999999999999999E-2</v>
      </c>
      <c r="BE64" s="1020">
        <v>4.7000000000000007E-2</v>
      </c>
      <c r="BF64" s="519">
        <v>6.5000000000000002E-2</v>
      </c>
    </row>
    <row r="65" spans="1:58" ht="60" customHeight="1" x14ac:dyDescent="0.3">
      <c r="A65" s="715" t="s">
        <v>628</v>
      </c>
      <c r="B65" s="1221" t="s">
        <v>398</v>
      </c>
      <c r="C65" s="1896"/>
      <c r="D65" s="129" t="s">
        <v>158</v>
      </c>
      <c r="E65" s="1478" t="s">
        <v>152</v>
      </c>
      <c r="F65" s="1472" t="s">
        <v>159</v>
      </c>
      <c r="G65" s="130" t="s">
        <v>93</v>
      </c>
      <c r="H65" s="131" t="s">
        <v>94</v>
      </c>
      <c r="I65" s="131" t="s">
        <v>95</v>
      </c>
      <c r="J65" s="132">
        <v>0.06</v>
      </c>
      <c r="K65" s="133">
        <v>3.984E-2</v>
      </c>
      <c r="L65" s="133">
        <v>2.0159999999999997E-2</v>
      </c>
      <c r="M65" s="134">
        <v>0</v>
      </c>
      <c r="N65" s="135">
        <v>2.5000000000000001E-2</v>
      </c>
      <c r="O65" s="133" t="s">
        <v>80</v>
      </c>
      <c r="P65" s="603">
        <v>0.44900000000000001</v>
      </c>
      <c r="Q65" s="603">
        <v>0.15</v>
      </c>
      <c r="R65" s="136" t="s">
        <v>96</v>
      </c>
      <c r="S65" s="278" t="s">
        <v>154</v>
      </c>
      <c r="T65" s="1566" t="s">
        <v>83</v>
      </c>
      <c r="U65" s="275" t="s">
        <v>84</v>
      </c>
      <c r="V65" s="138" t="s">
        <v>85</v>
      </c>
      <c r="W65" s="138" t="s">
        <v>97</v>
      </c>
      <c r="X65" s="1400">
        <v>18</v>
      </c>
      <c r="Y65" s="1400">
        <v>65</v>
      </c>
      <c r="Z65" s="1400">
        <v>72</v>
      </c>
      <c r="AA65" s="1401">
        <v>100000</v>
      </c>
      <c r="AB65" s="137" t="s">
        <v>98</v>
      </c>
      <c r="AC65" s="507">
        <v>25</v>
      </c>
      <c r="AD65" s="508">
        <v>25</v>
      </c>
      <c r="AE65" s="509">
        <v>50</v>
      </c>
      <c r="AF65" s="510">
        <v>7.5</v>
      </c>
      <c r="AG65" s="511">
        <v>17.5</v>
      </c>
      <c r="AH65" s="510">
        <v>7.5</v>
      </c>
      <c r="AI65" s="511">
        <v>17.5</v>
      </c>
      <c r="AJ65" s="472">
        <v>2.3107199999999998E-2</v>
      </c>
      <c r="AK65" s="473">
        <v>1.31472E-2</v>
      </c>
      <c r="AL65" s="474">
        <v>3.5855999999999996E-3</v>
      </c>
      <c r="AM65" s="471">
        <v>3.984E-2</v>
      </c>
      <c r="AN65" s="467">
        <v>3.984E-2</v>
      </c>
      <c r="AO65" s="472">
        <v>1.966829268292683E-2</v>
      </c>
      <c r="AP65" s="473">
        <v>0</v>
      </c>
      <c r="AQ65" s="474">
        <v>0</v>
      </c>
      <c r="AR65" s="471">
        <v>1.966829268292683E-2</v>
      </c>
      <c r="AS65" s="465">
        <v>2.0159999999999997E-2</v>
      </c>
      <c r="AT65" s="465">
        <v>0</v>
      </c>
      <c r="AU65" s="465">
        <v>0</v>
      </c>
      <c r="AV65" s="466">
        <v>2.0159999999999997E-2</v>
      </c>
      <c r="AW65" s="467">
        <v>0.06</v>
      </c>
      <c r="AX65" s="512" t="s">
        <v>535</v>
      </c>
      <c r="AY65" s="1118">
        <v>6.5000000000000002E-2</v>
      </c>
      <c r="AZ65" s="1656">
        <v>0</v>
      </c>
      <c r="BA65" s="1656">
        <v>0</v>
      </c>
      <c r="BB65" s="1191"/>
      <c r="BC65" s="513">
        <v>6.5000000000000002E-2</v>
      </c>
      <c r="BD65" s="1017">
        <v>1.7999999999999999E-2</v>
      </c>
      <c r="BE65" s="1018">
        <v>4.7000000000000007E-2</v>
      </c>
      <c r="BF65" s="513">
        <v>6.5000000000000002E-2</v>
      </c>
    </row>
    <row r="66" spans="1:58" ht="60" customHeight="1" x14ac:dyDescent="0.3">
      <c r="A66" s="715" t="s">
        <v>628</v>
      </c>
      <c r="B66" s="1221" t="s">
        <v>398</v>
      </c>
      <c r="C66" s="1896"/>
      <c r="D66" s="140" t="s">
        <v>163</v>
      </c>
      <c r="E66" s="1477" t="s">
        <v>164</v>
      </c>
      <c r="F66" s="1471" t="s">
        <v>165</v>
      </c>
      <c r="G66" s="117" t="s">
        <v>77</v>
      </c>
      <c r="H66" s="141" t="s">
        <v>78</v>
      </c>
      <c r="I66" s="141" t="s">
        <v>79</v>
      </c>
      <c r="J66" s="142">
        <v>0.08</v>
      </c>
      <c r="K66" s="143">
        <v>4.5999999999999999E-2</v>
      </c>
      <c r="L66" s="143">
        <v>3.4000000000000002E-2</v>
      </c>
      <c r="M66" s="144">
        <v>0</v>
      </c>
      <c r="N66" s="145">
        <v>2.5000000000000001E-2</v>
      </c>
      <c r="O66" s="143" t="s">
        <v>80</v>
      </c>
      <c r="P66" s="604">
        <v>0.44900000000000001</v>
      </c>
      <c r="Q66" s="604">
        <v>0.15</v>
      </c>
      <c r="R66" s="146" t="s">
        <v>96</v>
      </c>
      <c r="S66" s="147" t="s">
        <v>166</v>
      </c>
      <c r="T66" s="1566" t="s">
        <v>83</v>
      </c>
      <c r="U66" s="276" t="s">
        <v>84</v>
      </c>
      <c r="V66" s="149" t="s">
        <v>85</v>
      </c>
      <c r="W66" s="149" t="s">
        <v>86</v>
      </c>
      <c r="X66" s="1402">
        <v>18</v>
      </c>
      <c r="Y66" s="1402">
        <v>65</v>
      </c>
      <c r="Z66" s="1402">
        <v>72</v>
      </c>
      <c r="AA66" s="1403">
        <v>100000</v>
      </c>
      <c r="AB66" s="148" t="s">
        <v>87</v>
      </c>
      <c r="AC66" s="514">
        <v>25</v>
      </c>
      <c r="AD66" s="515">
        <v>25</v>
      </c>
      <c r="AE66" s="516">
        <v>50</v>
      </c>
      <c r="AF66" s="517">
        <v>7.5</v>
      </c>
      <c r="AG66" s="518">
        <v>17.5</v>
      </c>
      <c r="AH66" s="517">
        <v>7.5</v>
      </c>
      <c r="AI66" s="518">
        <v>17.5</v>
      </c>
      <c r="AJ66" s="472">
        <v>2.8059999999999998E-2</v>
      </c>
      <c r="AK66" s="473">
        <v>1.7940000000000001E-2</v>
      </c>
      <c r="AL66" s="474">
        <v>0</v>
      </c>
      <c r="AM66" s="471">
        <v>4.5999999999999999E-2</v>
      </c>
      <c r="AN66" s="467">
        <v>4.5999999999999999E-2</v>
      </c>
      <c r="AO66" s="472">
        <v>0</v>
      </c>
      <c r="AP66" s="473">
        <v>3.3170731707317082E-2</v>
      </c>
      <c r="AQ66" s="474">
        <v>0</v>
      </c>
      <c r="AR66" s="471">
        <v>3.3170731707317082E-2</v>
      </c>
      <c r="AS66" s="465">
        <v>0</v>
      </c>
      <c r="AT66" s="465">
        <v>3.4000000000000002E-2</v>
      </c>
      <c r="AU66" s="465">
        <v>0</v>
      </c>
      <c r="AV66" s="466">
        <v>3.4000000000000002E-2</v>
      </c>
      <c r="AW66" s="467">
        <v>8.0000000000000016E-2</v>
      </c>
      <c r="AX66" s="505" t="s">
        <v>536</v>
      </c>
      <c r="AY66" s="1117">
        <v>6.5000000000000002E-2</v>
      </c>
      <c r="AZ66" s="1655">
        <v>0</v>
      </c>
      <c r="BA66" s="1655">
        <v>0</v>
      </c>
      <c r="BB66" s="1191"/>
      <c r="BC66" s="519">
        <v>6.5000000000000002E-2</v>
      </c>
      <c r="BD66" s="1019">
        <v>1.7999999999999999E-2</v>
      </c>
      <c r="BE66" s="1020">
        <v>4.7000000000000007E-2</v>
      </c>
      <c r="BF66" s="519">
        <v>6.5000000000000002E-2</v>
      </c>
    </row>
    <row r="67" spans="1:58" ht="60" customHeight="1" thickBot="1" x14ac:dyDescent="0.35">
      <c r="A67" s="715" t="s">
        <v>628</v>
      </c>
      <c r="B67" s="1221" t="s">
        <v>398</v>
      </c>
      <c r="C67" s="1897"/>
      <c r="D67" s="1479" t="s">
        <v>170</v>
      </c>
      <c r="E67" s="1480" t="s">
        <v>164</v>
      </c>
      <c r="F67" s="1473" t="s">
        <v>171</v>
      </c>
      <c r="G67" s="151" t="s">
        <v>93</v>
      </c>
      <c r="H67" s="152" t="s">
        <v>94</v>
      </c>
      <c r="I67" s="153" t="s">
        <v>95</v>
      </c>
      <c r="J67" s="154">
        <v>0.08</v>
      </c>
      <c r="K67" s="155">
        <v>5.3120000000000001E-2</v>
      </c>
      <c r="L67" s="155">
        <v>2.6880000000000001E-2</v>
      </c>
      <c r="M67" s="156">
        <v>0</v>
      </c>
      <c r="N67" s="157">
        <v>2.5000000000000001E-2</v>
      </c>
      <c r="O67" s="155" t="s">
        <v>80</v>
      </c>
      <c r="P67" s="605">
        <v>0.44900000000000001</v>
      </c>
      <c r="Q67" s="605">
        <v>0.15</v>
      </c>
      <c r="R67" s="158" t="s">
        <v>96</v>
      </c>
      <c r="S67" s="159" t="s">
        <v>166</v>
      </c>
      <c r="T67" s="617" t="s">
        <v>83</v>
      </c>
      <c r="U67" s="160" t="s">
        <v>84</v>
      </c>
      <c r="V67" s="161" t="s">
        <v>85</v>
      </c>
      <c r="W67" s="161" t="s">
        <v>97</v>
      </c>
      <c r="X67" s="1404">
        <v>18</v>
      </c>
      <c r="Y67" s="1404">
        <v>65</v>
      </c>
      <c r="Z67" s="1404">
        <v>72</v>
      </c>
      <c r="AA67" s="1405">
        <v>100000</v>
      </c>
      <c r="AB67" s="160" t="s">
        <v>98</v>
      </c>
      <c r="AC67" s="520">
        <v>25</v>
      </c>
      <c r="AD67" s="521">
        <v>25</v>
      </c>
      <c r="AE67" s="522">
        <v>50</v>
      </c>
      <c r="AF67" s="523">
        <v>7.5</v>
      </c>
      <c r="AG67" s="524">
        <v>17.5</v>
      </c>
      <c r="AH67" s="523">
        <v>7.5</v>
      </c>
      <c r="AI67" s="524">
        <v>17.5</v>
      </c>
      <c r="AJ67" s="490">
        <v>3.0809599999999999E-2</v>
      </c>
      <c r="AK67" s="491">
        <v>1.7529599999999999E-2</v>
      </c>
      <c r="AL67" s="492">
        <v>4.7808E-3</v>
      </c>
      <c r="AM67" s="493">
        <v>5.3120000000000001E-2</v>
      </c>
      <c r="AN67" s="494">
        <v>5.3120000000000001E-2</v>
      </c>
      <c r="AO67" s="490">
        <v>2.622439024390244E-2</v>
      </c>
      <c r="AP67" s="491">
        <v>0</v>
      </c>
      <c r="AQ67" s="492">
        <v>0</v>
      </c>
      <c r="AR67" s="493">
        <v>2.622439024390244E-2</v>
      </c>
      <c r="AS67" s="495">
        <v>2.6880000000000001E-2</v>
      </c>
      <c r="AT67" s="495">
        <v>0</v>
      </c>
      <c r="AU67" s="495">
        <v>0</v>
      </c>
      <c r="AV67" s="496">
        <v>2.6880000000000001E-2</v>
      </c>
      <c r="AW67" s="494">
        <v>0.08</v>
      </c>
      <c r="AX67" s="525" t="s">
        <v>537</v>
      </c>
      <c r="AY67" s="1119">
        <v>6.5000000000000002E-2</v>
      </c>
      <c r="AZ67" s="1657">
        <v>0</v>
      </c>
      <c r="BA67" s="1657">
        <v>0</v>
      </c>
      <c r="BB67" s="1192"/>
      <c r="BC67" s="526">
        <v>6.5000000000000002E-2</v>
      </c>
      <c r="BD67" s="1021">
        <v>1.7999999999999999E-2</v>
      </c>
      <c r="BE67" s="1022">
        <v>4.7000000000000007E-2</v>
      </c>
      <c r="BF67" s="526">
        <v>6.5000000000000002E-2</v>
      </c>
    </row>
    <row r="68" spans="1:58" ht="60" customHeight="1" x14ac:dyDescent="0.3">
      <c r="A68" s="715" t="s">
        <v>628</v>
      </c>
      <c r="B68" s="1221" t="s">
        <v>398</v>
      </c>
      <c r="C68" s="1884" t="s">
        <v>172</v>
      </c>
      <c r="D68" s="1465" t="s">
        <v>176</v>
      </c>
      <c r="E68" s="1466" t="s">
        <v>177</v>
      </c>
      <c r="F68" s="1462" t="s">
        <v>178</v>
      </c>
      <c r="G68" s="163" t="s">
        <v>77</v>
      </c>
      <c r="H68" s="164" t="s">
        <v>78</v>
      </c>
      <c r="I68" s="165" t="s">
        <v>79</v>
      </c>
      <c r="J68" s="166">
        <v>3.4999999999999996E-2</v>
      </c>
      <c r="K68" s="167">
        <v>2.0124999999999997E-2</v>
      </c>
      <c r="L68" s="167">
        <v>1.4874999999999998E-2</v>
      </c>
      <c r="M68" s="168">
        <v>0</v>
      </c>
      <c r="N68" s="166">
        <v>2.5000000000000001E-2</v>
      </c>
      <c r="O68" s="167" t="s">
        <v>80</v>
      </c>
      <c r="P68" s="606">
        <v>0.44900000000000001</v>
      </c>
      <c r="Q68" s="606">
        <v>0.15</v>
      </c>
      <c r="R68" s="169" t="s">
        <v>96</v>
      </c>
      <c r="S68" s="166" t="s">
        <v>82</v>
      </c>
      <c r="T68" s="622" t="s">
        <v>247</v>
      </c>
      <c r="U68" s="170" t="s">
        <v>84</v>
      </c>
      <c r="V68" s="171" t="s">
        <v>85</v>
      </c>
      <c r="W68" s="171" t="s">
        <v>86</v>
      </c>
      <c r="X68" s="1406">
        <v>18</v>
      </c>
      <c r="Y68" s="1406">
        <v>65</v>
      </c>
      <c r="Z68" s="1406">
        <v>72</v>
      </c>
      <c r="AA68" s="1407">
        <v>100000</v>
      </c>
      <c r="AB68" s="172" t="s">
        <v>87</v>
      </c>
      <c r="AC68" s="527">
        <v>17.5</v>
      </c>
      <c r="AD68" s="528">
        <v>17.5</v>
      </c>
      <c r="AE68" s="529">
        <v>35</v>
      </c>
      <c r="AF68" s="530">
        <v>7.5</v>
      </c>
      <c r="AG68" s="531">
        <v>10</v>
      </c>
      <c r="AH68" s="530">
        <v>7.5</v>
      </c>
      <c r="AI68" s="531">
        <v>10</v>
      </c>
      <c r="AJ68" s="462">
        <v>1.2276249999999997E-2</v>
      </c>
      <c r="AK68" s="463">
        <v>7.8487499999999998E-3</v>
      </c>
      <c r="AL68" s="464">
        <v>0</v>
      </c>
      <c r="AM68" s="460">
        <v>2.0124999999999997E-2</v>
      </c>
      <c r="AN68" s="461">
        <v>2.0124999999999997E-2</v>
      </c>
      <c r="AO68" s="462">
        <v>0</v>
      </c>
      <c r="AP68" s="463">
        <v>1.4512195121951219E-2</v>
      </c>
      <c r="AQ68" s="464">
        <v>0</v>
      </c>
      <c r="AR68" s="460">
        <v>1.4512195121951219E-2</v>
      </c>
      <c r="AS68" s="465">
        <v>0</v>
      </c>
      <c r="AT68" s="465">
        <v>1.4874999999999998E-2</v>
      </c>
      <c r="AU68" s="465">
        <v>0</v>
      </c>
      <c r="AV68" s="466">
        <v>1.4874999999999998E-2</v>
      </c>
      <c r="AW68" s="461">
        <v>3.4999999999999996E-2</v>
      </c>
      <c r="AX68" s="532" t="s">
        <v>538</v>
      </c>
      <c r="AY68" s="1120">
        <v>9.5000000000000001E-2</v>
      </c>
      <c r="AZ68" s="1658">
        <v>0</v>
      </c>
      <c r="BA68" s="1658">
        <v>0</v>
      </c>
      <c r="BB68" s="1191"/>
      <c r="BC68" s="533">
        <v>9.5000000000000001E-2</v>
      </c>
      <c r="BD68" s="1023">
        <v>1.7999999999999999E-2</v>
      </c>
      <c r="BE68" s="1024">
        <v>7.6999999999999999E-2</v>
      </c>
      <c r="BF68" s="533">
        <v>9.5000000000000001E-2</v>
      </c>
    </row>
    <row r="69" spans="1:58" ht="60" customHeight="1" x14ac:dyDescent="0.3">
      <c r="A69" s="715" t="s">
        <v>628</v>
      </c>
      <c r="B69" s="1221" t="s">
        <v>398</v>
      </c>
      <c r="C69" s="1885"/>
      <c r="D69" s="174" t="s">
        <v>182</v>
      </c>
      <c r="E69" s="1467" t="s">
        <v>177</v>
      </c>
      <c r="F69" s="1463" t="s">
        <v>183</v>
      </c>
      <c r="G69" s="175" t="s">
        <v>93</v>
      </c>
      <c r="H69" s="176" t="s">
        <v>94</v>
      </c>
      <c r="I69" s="176" t="s">
        <v>95</v>
      </c>
      <c r="J69" s="177">
        <v>3.5000000000000003E-2</v>
      </c>
      <c r="K69" s="178">
        <v>2.3240000000000004E-2</v>
      </c>
      <c r="L69" s="178">
        <v>1.1760000000000001E-2</v>
      </c>
      <c r="M69" s="179">
        <v>0</v>
      </c>
      <c r="N69" s="180">
        <v>2.5000000000000001E-2</v>
      </c>
      <c r="O69" s="178" t="s">
        <v>80</v>
      </c>
      <c r="P69" s="607">
        <v>0.44900000000000001</v>
      </c>
      <c r="Q69" s="607">
        <v>0.15</v>
      </c>
      <c r="R69" s="181" t="s">
        <v>96</v>
      </c>
      <c r="S69" s="180" t="s">
        <v>82</v>
      </c>
      <c r="T69" s="623" t="s">
        <v>247</v>
      </c>
      <c r="U69" s="182" t="s">
        <v>84</v>
      </c>
      <c r="V69" s="183" t="s">
        <v>85</v>
      </c>
      <c r="W69" s="183" t="s">
        <v>97</v>
      </c>
      <c r="X69" s="1408">
        <v>18</v>
      </c>
      <c r="Y69" s="1408">
        <v>65</v>
      </c>
      <c r="Z69" s="1408">
        <v>72</v>
      </c>
      <c r="AA69" s="1409">
        <v>100000</v>
      </c>
      <c r="AB69" s="184" t="s">
        <v>98</v>
      </c>
      <c r="AC69" s="534">
        <v>17.5</v>
      </c>
      <c r="AD69" s="535">
        <v>17.5</v>
      </c>
      <c r="AE69" s="536">
        <v>35</v>
      </c>
      <c r="AF69" s="537">
        <v>7.5</v>
      </c>
      <c r="AG69" s="538">
        <v>10</v>
      </c>
      <c r="AH69" s="537">
        <v>7.5</v>
      </c>
      <c r="AI69" s="538">
        <v>10</v>
      </c>
      <c r="AJ69" s="472">
        <v>1.3479200000000004E-2</v>
      </c>
      <c r="AK69" s="473">
        <v>7.669200000000001E-3</v>
      </c>
      <c r="AL69" s="474">
        <v>2.0916000000000003E-3</v>
      </c>
      <c r="AM69" s="471">
        <v>2.3240000000000004E-2</v>
      </c>
      <c r="AN69" s="467">
        <v>2.3240000000000004E-2</v>
      </c>
      <c r="AO69" s="472">
        <v>1.1473170731707321E-2</v>
      </c>
      <c r="AP69" s="473">
        <v>0</v>
      </c>
      <c r="AQ69" s="474">
        <v>0</v>
      </c>
      <c r="AR69" s="471">
        <v>1.1473170731707321E-2</v>
      </c>
      <c r="AS69" s="465">
        <v>1.1760000000000001E-2</v>
      </c>
      <c r="AT69" s="465">
        <v>0</v>
      </c>
      <c r="AU69" s="465">
        <v>0</v>
      </c>
      <c r="AV69" s="466">
        <v>1.1760000000000001E-2</v>
      </c>
      <c r="AW69" s="467">
        <v>3.5000000000000003E-2</v>
      </c>
      <c r="AX69" s="539" t="s">
        <v>539</v>
      </c>
      <c r="AY69" s="1121">
        <v>9.5000000000000001E-2</v>
      </c>
      <c r="AZ69" s="1659">
        <v>0</v>
      </c>
      <c r="BA69" s="1659">
        <v>0</v>
      </c>
      <c r="BB69" s="1191"/>
      <c r="BC69" s="540">
        <v>9.5000000000000001E-2</v>
      </c>
      <c r="BD69" s="1025">
        <v>1.7999999999999999E-2</v>
      </c>
      <c r="BE69" s="1026">
        <v>7.6999999999999999E-2</v>
      </c>
      <c r="BF69" s="540">
        <v>9.5000000000000001E-2</v>
      </c>
    </row>
    <row r="70" spans="1:58" ht="60" customHeight="1" x14ac:dyDescent="0.3">
      <c r="A70" s="715" t="s">
        <v>628</v>
      </c>
      <c r="B70" s="1221" t="s">
        <v>398</v>
      </c>
      <c r="C70" s="1885"/>
      <c r="D70" s="186" t="s">
        <v>187</v>
      </c>
      <c r="E70" s="1468" t="s">
        <v>188</v>
      </c>
      <c r="F70" s="1462" t="s">
        <v>189</v>
      </c>
      <c r="G70" s="163" t="s">
        <v>77</v>
      </c>
      <c r="H70" s="187" t="s">
        <v>78</v>
      </c>
      <c r="I70" s="187" t="s">
        <v>79</v>
      </c>
      <c r="J70" s="188">
        <v>4.5000000000000012E-2</v>
      </c>
      <c r="K70" s="189">
        <v>2.5875000000000006E-2</v>
      </c>
      <c r="L70" s="189">
        <v>1.9125000000000003E-2</v>
      </c>
      <c r="M70" s="190">
        <v>0</v>
      </c>
      <c r="N70" s="188">
        <v>2.5000000000000001E-2</v>
      </c>
      <c r="O70" s="189" t="s">
        <v>80</v>
      </c>
      <c r="P70" s="608">
        <v>0.44900000000000001</v>
      </c>
      <c r="Q70" s="608">
        <v>0.15</v>
      </c>
      <c r="R70" s="191" t="s">
        <v>96</v>
      </c>
      <c r="S70" s="188" t="s">
        <v>190</v>
      </c>
      <c r="T70" s="623" t="s">
        <v>247</v>
      </c>
      <c r="U70" s="192" t="s">
        <v>84</v>
      </c>
      <c r="V70" s="193" t="s">
        <v>85</v>
      </c>
      <c r="W70" s="193" t="s">
        <v>86</v>
      </c>
      <c r="X70" s="1410">
        <v>18</v>
      </c>
      <c r="Y70" s="1410">
        <v>65</v>
      </c>
      <c r="Z70" s="1410">
        <v>72</v>
      </c>
      <c r="AA70" s="1411">
        <v>100000</v>
      </c>
      <c r="AB70" s="194" t="s">
        <v>87</v>
      </c>
      <c r="AC70" s="541">
        <v>17.5</v>
      </c>
      <c r="AD70" s="542">
        <v>17.5</v>
      </c>
      <c r="AE70" s="543">
        <v>35</v>
      </c>
      <c r="AF70" s="544">
        <v>7.5</v>
      </c>
      <c r="AG70" s="545">
        <v>10</v>
      </c>
      <c r="AH70" s="544">
        <v>7.5</v>
      </c>
      <c r="AI70" s="545">
        <v>10</v>
      </c>
      <c r="AJ70" s="472">
        <v>1.5783750000000003E-2</v>
      </c>
      <c r="AK70" s="473">
        <v>1.0091250000000003E-2</v>
      </c>
      <c r="AL70" s="474">
        <v>0</v>
      </c>
      <c r="AM70" s="471">
        <v>2.5875000000000006E-2</v>
      </c>
      <c r="AN70" s="467">
        <v>2.5875000000000006E-2</v>
      </c>
      <c r="AO70" s="472">
        <v>0</v>
      </c>
      <c r="AP70" s="473">
        <v>1.865853658536586E-2</v>
      </c>
      <c r="AQ70" s="474">
        <v>0</v>
      </c>
      <c r="AR70" s="471">
        <v>1.865853658536586E-2</v>
      </c>
      <c r="AS70" s="465">
        <v>0</v>
      </c>
      <c r="AT70" s="465">
        <v>1.9125000000000003E-2</v>
      </c>
      <c r="AU70" s="465">
        <v>0</v>
      </c>
      <c r="AV70" s="466">
        <v>1.9125000000000003E-2</v>
      </c>
      <c r="AW70" s="467">
        <v>4.5000000000000012E-2</v>
      </c>
      <c r="AX70" s="532" t="s">
        <v>540</v>
      </c>
      <c r="AY70" s="1120">
        <v>8.3000000000000004E-2</v>
      </c>
      <c r="AZ70" s="1658">
        <v>0</v>
      </c>
      <c r="BA70" s="1658">
        <v>0</v>
      </c>
      <c r="BB70" s="1191"/>
      <c r="BC70" s="546">
        <v>8.3000000000000004E-2</v>
      </c>
      <c r="BD70" s="1027">
        <v>1.7999999999999999E-2</v>
      </c>
      <c r="BE70" s="1028">
        <v>6.5000000000000002E-2</v>
      </c>
      <c r="BF70" s="546">
        <v>8.3000000000000004E-2</v>
      </c>
    </row>
    <row r="71" spans="1:58" ht="60" customHeight="1" x14ac:dyDescent="0.3">
      <c r="A71" s="715" t="s">
        <v>628</v>
      </c>
      <c r="B71" s="1221" t="s">
        <v>398</v>
      </c>
      <c r="C71" s="1885"/>
      <c r="D71" s="174" t="s">
        <v>194</v>
      </c>
      <c r="E71" s="1467" t="s">
        <v>188</v>
      </c>
      <c r="F71" s="1463" t="s">
        <v>195</v>
      </c>
      <c r="G71" s="175" t="s">
        <v>93</v>
      </c>
      <c r="H71" s="176" t="s">
        <v>94</v>
      </c>
      <c r="I71" s="176" t="s">
        <v>95</v>
      </c>
      <c r="J71" s="177">
        <v>4.4999999999999991E-2</v>
      </c>
      <c r="K71" s="178">
        <v>2.9879999999999993E-2</v>
      </c>
      <c r="L71" s="178">
        <v>1.512E-2</v>
      </c>
      <c r="M71" s="179">
        <v>0</v>
      </c>
      <c r="N71" s="180">
        <v>2.5000000000000001E-2</v>
      </c>
      <c r="O71" s="178" t="s">
        <v>80</v>
      </c>
      <c r="P71" s="607">
        <v>0.44900000000000001</v>
      </c>
      <c r="Q71" s="607">
        <v>0.15</v>
      </c>
      <c r="R71" s="181" t="s">
        <v>96</v>
      </c>
      <c r="S71" s="180" t="s">
        <v>190</v>
      </c>
      <c r="T71" s="623" t="s">
        <v>247</v>
      </c>
      <c r="U71" s="182" t="s">
        <v>84</v>
      </c>
      <c r="V71" s="183" t="s">
        <v>85</v>
      </c>
      <c r="W71" s="183" t="s">
        <v>97</v>
      </c>
      <c r="X71" s="1408">
        <v>18</v>
      </c>
      <c r="Y71" s="1408">
        <v>65</v>
      </c>
      <c r="Z71" s="1408">
        <v>72</v>
      </c>
      <c r="AA71" s="1409">
        <v>100000</v>
      </c>
      <c r="AB71" s="184" t="s">
        <v>98</v>
      </c>
      <c r="AC71" s="534">
        <v>17.5</v>
      </c>
      <c r="AD71" s="535">
        <v>17.5</v>
      </c>
      <c r="AE71" s="536">
        <v>35</v>
      </c>
      <c r="AF71" s="537">
        <v>7.5</v>
      </c>
      <c r="AG71" s="538">
        <v>10</v>
      </c>
      <c r="AH71" s="537">
        <v>7.5</v>
      </c>
      <c r="AI71" s="538">
        <v>10</v>
      </c>
      <c r="AJ71" s="472">
        <v>1.7330399999999996E-2</v>
      </c>
      <c r="AK71" s="473">
        <v>9.8604000000000001E-3</v>
      </c>
      <c r="AL71" s="474">
        <v>2.6891999999999997E-3</v>
      </c>
      <c r="AM71" s="471">
        <v>2.9879999999999993E-2</v>
      </c>
      <c r="AN71" s="467">
        <v>2.9879999999999993E-2</v>
      </c>
      <c r="AO71" s="472">
        <v>1.4751219512195123E-2</v>
      </c>
      <c r="AP71" s="473">
        <v>0</v>
      </c>
      <c r="AQ71" s="474">
        <v>0</v>
      </c>
      <c r="AR71" s="471">
        <v>1.4751219512195123E-2</v>
      </c>
      <c r="AS71" s="465">
        <v>1.512E-2</v>
      </c>
      <c r="AT71" s="465">
        <v>0</v>
      </c>
      <c r="AU71" s="465">
        <v>0</v>
      </c>
      <c r="AV71" s="466">
        <v>1.512E-2</v>
      </c>
      <c r="AW71" s="467">
        <v>4.4999999999999991E-2</v>
      </c>
      <c r="AX71" s="539" t="s">
        <v>541</v>
      </c>
      <c r="AY71" s="1121">
        <v>8.3000000000000004E-2</v>
      </c>
      <c r="AZ71" s="1659">
        <v>0</v>
      </c>
      <c r="BA71" s="1659">
        <v>0</v>
      </c>
      <c r="BB71" s="1191"/>
      <c r="BC71" s="540">
        <v>8.3000000000000004E-2</v>
      </c>
      <c r="BD71" s="1025">
        <v>1.7999999999999999E-2</v>
      </c>
      <c r="BE71" s="1026">
        <v>6.5000000000000002E-2</v>
      </c>
      <c r="BF71" s="540">
        <v>8.3000000000000004E-2</v>
      </c>
    </row>
    <row r="72" spans="1:58" ht="60" customHeight="1" x14ac:dyDescent="0.3">
      <c r="A72" s="715" t="s">
        <v>628</v>
      </c>
      <c r="B72" s="1221" t="s">
        <v>398</v>
      </c>
      <c r="C72" s="1885"/>
      <c r="D72" s="186" t="s">
        <v>199</v>
      </c>
      <c r="E72" s="1468" t="s">
        <v>200</v>
      </c>
      <c r="F72" s="1462" t="s">
        <v>201</v>
      </c>
      <c r="G72" s="163" t="s">
        <v>77</v>
      </c>
      <c r="H72" s="187" t="s">
        <v>78</v>
      </c>
      <c r="I72" s="187" t="s">
        <v>79</v>
      </c>
      <c r="J72" s="188">
        <v>5.9999999999999984E-2</v>
      </c>
      <c r="K72" s="189">
        <v>3.4499999999999989E-2</v>
      </c>
      <c r="L72" s="189">
        <v>2.5499999999999995E-2</v>
      </c>
      <c r="M72" s="190">
        <v>0</v>
      </c>
      <c r="N72" s="188">
        <v>2.5000000000000001E-2</v>
      </c>
      <c r="O72" s="189" t="s">
        <v>80</v>
      </c>
      <c r="P72" s="608">
        <v>0.44900000000000001</v>
      </c>
      <c r="Q72" s="608">
        <v>0.15</v>
      </c>
      <c r="R72" s="191" t="s">
        <v>96</v>
      </c>
      <c r="S72" s="188" t="s">
        <v>202</v>
      </c>
      <c r="T72" s="623" t="s">
        <v>247</v>
      </c>
      <c r="U72" s="192" t="s">
        <v>84</v>
      </c>
      <c r="V72" s="193" t="s">
        <v>85</v>
      </c>
      <c r="W72" s="193" t="s">
        <v>86</v>
      </c>
      <c r="X72" s="1410">
        <v>18</v>
      </c>
      <c r="Y72" s="1410">
        <v>65</v>
      </c>
      <c r="Z72" s="1410">
        <v>72</v>
      </c>
      <c r="AA72" s="1411">
        <v>100000</v>
      </c>
      <c r="AB72" s="194" t="s">
        <v>87</v>
      </c>
      <c r="AC72" s="541">
        <v>17.5</v>
      </c>
      <c r="AD72" s="542">
        <v>17.5</v>
      </c>
      <c r="AE72" s="543">
        <v>35</v>
      </c>
      <c r="AF72" s="544">
        <v>7.5</v>
      </c>
      <c r="AG72" s="545">
        <v>10</v>
      </c>
      <c r="AH72" s="544">
        <v>7.5</v>
      </c>
      <c r="AI72" s="545">
        <v>10</v>
      </c>
      <c r="AJ72" s="472">
        <v>2.1044999999999991E-2</v>
      </c>
      <c r="AK72" s="473">
        <v>1.3454999999999996E-2</v>
      </c>
      <c r="AL72" s="474">
        <v>0</v>
      </c>
      <c r="AM72" s="471">
        <v>3.4499999999999989E-2</v>
      </c>
      <c r="AN72" s="467">
        <v>3.4499999999999989E-2</v>
      </c>
      <c r="AO72" s="472">
        <v>0</v>
      </c>
      <c r="AP72" s="473">
        <v>2.4878048780487803E-2</v>
      </c>
      <c r="AQ72" s="474">
        <v>0</v>
      </c>
      <c r="AR72" s="471">
        <v>2.4878048780487803E-2</v>
      </c>
      <c r="AS72" s="465">
        <v>0</v>
      </c>
      <c r="AT72" s="465">
        <v>2.5499999999999995E-2</v>
      </c>
      <c r="AU72" s="465">
        <v>0</v>
      </c>
      <c r="AV72" s="466">
        <v>2.5499999999999995E-2</v>
      </c>
      <c r="AW72" s="467">
        <v>5.9999999999999984E-2</v>
      </c>
      <c r="AX72" s="532" t="s">
        <v>542</v>
      </c>
      <c r="AY72" s="1120">
        <v>7.2999999999999995E-2</v>
      </c>
      <c r="AZ72" s="1658">
        <v>0</v>
      </c>
      <c r="BA72" s="1658">
        <v>0</v>
      </c>
      <c r="BB72" s="1191"/>
      <c r="BC72" s="546">
        <v>7.2999999999999995E-2</v>
      </c>
      <c r="BD72" s="1027">
        <v>1.7999999999999999E-2</v>
      </c>
      <c r="BE72" s="1028">
        <v>5.5E-2</v>
      </c>
      <c r="BF72" s="546">
        <v>7.2999999999999995E-2</v>
      </c>
    </row>
    <row r="73" spans="1:58" ht="60" customHeight="1" thickBot="1" x14ac:dyDescent="0.35">
      <c r="A73" s="715" t="s">
        <v>628</v>
      </c>
      <c r="B73" s="1221" t="s">
        <v>398</v>
      </c>
      <c r="C73" s="1886"/>
      <c r="D73" s="1469" t="s">
        <v>206</v>
      </c>
      <c r="E73" s="1470" t="s">
        <v>200</v>
      </c>
      <c r="F73" s="1464" t="s">
        <v>207</v>
      </c>
      <c r="G73" s="195" t="s">
        <v>93</v>
      </c>
      <c r="H73" s="196" t="s">
        <v>94</v>
      </c>
      <c r="I73" s="197" t="s">
        <v>95</v>
      </c>
      <c r="J73" s="198">
        <v>0.06</v>
      </c>
      <c r="K73" s="199">
        <v>3.984E-2</v>
      </c>
      <c r="L73" s="199">
        <v>2.0159999999999997E-2</v>
      </c>
      <c r="M73" s="200">
        <v>0</v>
      </c>
      <c r="N73" s="201">
        <v>2.5000000000000001E-2</v>
      </c>
      <c r="O73" s="199" t="s">
        <v>80</v>
      </c>
      <c r="P73" s="609">
        <v>0.44900000000000001</v>
      </c>
      <c r="Q73" s="609">
        <v>0.15</v>
      </c>
      <c r="R73" s="202" t="s">
        <v>96</v>
      </c>
      <c r="S73" s="201" t="s">
        <v>202</v>
      </c>
      <c r="T73" s="624" t="s">
        <v>247</v>
      </c>
      <c r="U73" s="203" t="s">
        <v>84</v>
      </c>
      <c r="V73" s="204" t="s">
        <v>85</v>
      </c>
      <c r="W73" s="204" t="s">
        <v>97</v>
      </c>
      <c r="X73" s="1412">
        <v>18</v>
      </c>
      <c r="Y73" s="1412">
        <v>65</v>
      </c>
      <c r="Z73" s="1412">
        <v>72</v>
      </c>
      <c r="AA73" s="1413">
        <v>100000</v>
      </c>
      <c r="AB73" s="205" t="s">
        <v>98</v>
      </c>
      <c r="AC73" s="547">
        <v>17.5</v>
      </c>
      <c r="AD73" s="548">
        <v>17.5</v>
      </c>
      <c r="AE73" s="549">
        <v>35</v>
      </c>
      <c r="AF73" s="550">
        <v>7.5</v>
      </c>
      <c r="AG73" s="551">
        <v>10</v>
      </c>
      <c r="AH73" s="550">
        <v>7.5</v>
      </c>
      <c r="AI73" s="551">
        <v>10</v>
      </c>
      <c r="AJ73" s="490">
        <v>2.3107199999999998E-2</v>
      </c>
      <c r="AK73" s="491">
        <v>1.31472E-2</v>
      </c>
      <c r="AL73" s="492">
        <v>3.5855999999999996E-3</v>
      </c>
      <c r="AM73" s="493">
        <v>3.984E-2</v>
      </c>
      <c r="AN73" s="494">
        <v>3.984E-2</v>
      </c>
      <c r="AO73" s="490">
        <v>1.966829268292683E-2</v>
      </c>
      <c r="AP73" s="491">
        <v>0</v>
      </c>
      <c r="AQ73" s="492">
        <v>0</v>
      </c>
      <c r="AR73" s="493">
        <v>1.966829268292683E-2</v>
      </c>
      <c r="AS73" s="495">
        <v>2.0159999999999997E-2</v>
      </c>
      <c r="AT73" s="495">
        <v>0</v>
      </c>
      <c r="AU73" s="495">
        <v>0</v>
      </c>
      <c r="AV73" s="496">
        <v>2.0159999999999997E-2</v>
      </c>
      <c r="AW73" s="494">
        <v>0.06</v>
      </c>
      <c r="AX73" s="552" t="s">
        <v>543</v>
      </c>
      <c r="AY73" s="1122">
        <v>7.2999999999999995E-2</v>
      </c>
      <c r="AZ73" s="1660">
        <v>0</v>
      </c>
      <c r="BA73" s="1660">
        <v>0</v>
      </c>
      <c r="BB73" s="1192"/>
      <c r="BC73" s="553">
        <v>7.2999999999999995E-2</v>
      </c>
      <c r="BD73" s="1029">
        <v>1.7999999999999999E-2</v>
      </c>
      <c r="BE73" s="1030">
        <v>5.5E-2</v>
      </c>
      <c r="BF73" s="553">
        <v>7.2999999999999995E-2</v>
      </c>
    </row>
    <row r="74" spans="1:58" ht="60" customHeight="1" x14ac:dyDescent="0.3">
      <c r="A74" s="715" t="s">
        <v>628</v>
      </c>
      <c r="B74" s="1221" t="s">
        <v>398</v>
      </c>
      <c r="C74" s="1893" t="s">
        <v>11</v>
      </c>
      <c r="D74" s="1458" t="s">
        <v>211</v>
      </c>
      <c r="E74" s="1459" t="s">
        <v>212</v>
      </c>
      <c r="F74" s="1456" t="s">
        <v>213</v>
      </c>
      <c r="G74" s="269"/>
      <c r="H74" s="206" t="s">
        <v>214</v>
      </c>
      <c r="I74" s="207" t="s">
        <v>215</v>
      </c>
      <c r="J74" s="208">
        <v>4.4999999999999998E-2</v>
      </c>
      <c r="K74" s="209">
        <v>3.4875000000000003E-2</v>
      </c>
      <c r="L74" s="209">
        <v>1.0124999999999999E-2</v>
      </c>
      <c r="M74" s="210">
        <v>0</v>
      </c>
      <c r="N74" s="211">
        <v>2.5000000000000001E-2</v>
      </c>
      <c r="O74" s="212" t="s">
        <v>216</v>
      </c>
      <c r="P74" s="610">
        <v>0.44900000000000001</v>
      </c>
      <c r="Q74" s="610">
        <v>0.15</v>
      </c>
      <c r="R74" s="213" t="s">
        <v>96</v>
      </c>
      <c r="S74" s="214" t="s">
        <v>217</v>
      </c>
      <c r="T74" s="618" t="s">
        <v>218</v>
      </c>
      <c r="U74" s="215" t="s">
        <v>84</v>
      </c>
      <c r="V74" s="216" t="s">
        <v>85</v>
      </c>
      <c r="W74" s="216" t="s">
        <v>97</v>
      </c>
      <c r="X74" s="1414">
        <v>18</v>
      </c>
      <c r="Y74" s="1414">
        <v>65</v>
      </c>
      <c r="Z74" s="1414">
        <v>70</v>
      </c>
      <c r="AA74" s="1415">
        <v>100000</v>
      </c>
      <c r="AB74" s="215" t="s">
        <v>219</v>
      </c>
      <c r="AC74" s="554">
        <v>20.5</v>
      </c>
      <c r="AD74" s="555">
        <v>20.5</v>
      </c>
      <c r="AE74" s="556">
        <v>41</v>
      </c>
      <c r="AF74" s="557">
        <v>7.5</v>
      </c>
      <c r="AG74" s="558">
        <v>13</v>
      </c>
      <c r="AH74" s="557">
        <v>7.5</v>
      </c>
      <c r="AI74" s="558">
        <v>13</v>
      </c>
      <c r="AJ74" s="462">
        <v>2.325E-2</v>
      </c>
      <c r="AK74" s="463">
        <v>1.1625E-2</v>
      </c>
      <c r="AL74" s="464">
        <v>0</v>
      </c>
      <c r="AM74" s="460">
        <v>3.4875000000000003E-2</v>
      </c>
      <c r="AN74" s="461">
        <v>3.4875000000000003E-2</v>
      </c>
      <c r="AO74" s="462">
        <v>9.878048780487805E-3</v>
      </c>
      <c r="AP74" s="463">
        <v>0</v>
      </c>
      <c r="AQ74" s="464">
        <v>0</v>
      </c>
      <c r="AR74" s="460">
        <v>9.878048780487805E-3</v>
      </c>
      <c r="AS74" s="465">
        <v>1.0124999999999999E-2</v>
      </c>
      <c r="AT74" s="465">
        <v>0</v>
      </c>
      <c r="AU74" s="465">
        <v>0</v>
      </c>
      <c r="AV74" s="466">
        <v>1.0124999999999999E-2</v>
      </c>
      <c r="AW74" s="461">
        <v>4.4999999999999998E-2</v>
      </c>
      <c r="AX74" s="559" t="s">
        <v>544</v>
      </c>
      <c r="AY74" s="1123">
        <v>7.2999999999999995E-2</v>
      </c>
      <c r="AZ74" s="1661">
        <v>0</v>
      </c>
      <c r="BA74" s="1661">
        <v>0</v>
      </c>
      <c r="BB74" s="1191"/>
      <c r="BC74" s="560">
        <v>7.2999999999999995E-2</v>
      </c>
      <c r="BD74" s="1031">
        <v>1.7999999999999999E-2</v>
      </c>
      <c r="BE74" s="1032">
        <v>5.5E-2</v>
      </c>
      <c r="BF74" s="560">
        <v>7.2999999999999995E-2</v>
      </c>
    </row>
    <row r="75" spans="1:58" ht="67.5" customHeight="1" thickBot="1" x14ac:dyDescent="0.35">
      <c r="A75" s="715" t="s">
        <v>628</v>
      </c>
      <c r="B75" s="1221" t="s">
        <v>398</v>
      </c>
      <c r="C75" s="1894"/>
      <c r="D75" s="1460" t="s">
        <v>223</v>
      </c>
      <c r="E75" s="1461" t="s">
        <v>212</v>
      </c>
      <c r="F75" s="1457" t="s">
        <v>224</v>
      </c>
      <c r="G75" s="270"/>
      <c r="H75" s="217" t="s">
        <v>214</v>
      </c>
      <c r="I75" s="218" t="s">
        <v>215</v>
      </c>
      <c r="J75" s="219">
        <v>4.4999999999999998E-2</v>
      </c>
      <c r="K75" s="220">
        <v>3.4875000000000003E-2</v>
      </c>
      <c r="L75" s="220">
        <v>1.0124999999999999E-2</v>
      </c>
      <c r="M75" s="221">
        <v>0</v>
      </c>
      <c r="N75" s="222">
        <v>2.5000000000000001E-2</v>
      </c>
      <c r="O75" s="223" t="s">
        <v>216</v>
      </c>
      <c r="P75" s="611">
        <v>0.44900000000000001</v>
      </c>
      <c r="Q75" s="611">
        <v>0.15</v>
      </c>
      <c r="R75" s="224" t="s">
        <v>96</v>
      </c>
      <c r="S75" s="225" t="s">
        <v>217</v>
      </c>
      <c r="T75" s="619" t="s">
        <v>218</v>
      </c>
      <c r="U75" s="226" t="s">
        <v>84</v>
      </c>
      <c r="V75" s="227" t="s">
        <v>85</v>
      </c>
      <c r="W75" s="227" t="s">
        <v>97</v>
      </c>
      <c r="X75" s="1416">
        <v>18</v>
      </c>
      <c r="Y75" s="1416">
        <v>65</v>
      </c>
      <c r="Z75" s="1416">
        <v>70</v>
      </c>
      <c r="AA75" s="1417">
        <v>100000</v>
      </c>
      <c r="AB75" s="226" t="s">
        <v>219</v>
      </c>
      <c r="AC75" s="561">
        <v>20.5</v>
      </c>
      <c r="AD75" s="562">
        <v>20.5</v>
      </c>
      <c r="AE75" s="563">
        <v>41</v>
      </c>
      <c r="AF75" s="564">
        <v>7.5</v>
      </c>
      <c r="AG75" s="565">
        <v>13</v>
      </c>
      <c r="AH75" s="564">
        <v>7.5</v>
      </c>
      <c r="AI75" s="565">
        <v>13</v>
      </c>
      <c r="AJ75" s="490">
        <v>2.325E-2</v>
      </c>
      <c r="AK75" s="491">
        <v>1.1625E-2</v>
      </c>
      <c r="AL75" s="492">
        <v>0</v>
      </c>
      <c r="AM75" s="493">
        <v>3.4875000000000003E-2</v>
      </c>
      <c r="AN75" s="494">
        <v>3.4875000000000003E-2</v>
      </c>
      <c r="AO75" s="490">
        <v>9.878048780487805E-3</v>
      </c>
      <c r="AP75" s="491">
        <v>0</v>
      </c>
      <c r="AQ75" s="492">
        <v>0</v>
      </c>
      <c r="AR75" s="493">
        <v>9.878048780487805E-3</v>
      </c>
      <c r="AS75" s="495">
        <v>1.0124999999999999E-2</v>
      </c>
      <c r="AT75" s="495">
        <v>0</v>
      </c>
      <c r="AU75" s="495">
        <v>0</v>
      </c>
      <c r="AV75" s="496">
        <v>1.0124999999999999E-2</v>
      </c>
      <c r="AW75" s="494">
        <v>4.4999999999999998E-2</v>
      </c>
      <c r="AX75" s="566" t="s">
        <v>544</v>
      </c>
      <c r="AY75" s="1124">
        <v>7.2999999999999995E-2</v>
      </c>
      <c r="AZ75" s="1662">
        <v>0</v>
      </c>
      <c r="BA75" s="1662">
        <v>0</v>
      </c>
      <c r="BB75" s="1192"/>
      <c r="BC75" s="567">
        <v>7.2999999999999995E-2</v>
      </c>
      <c r="BD75" s="1033">
        <v>1.7999999999999999E-2</v>
      </c>
      <c r="BE75" s="1034">
        <v>5.5E-2</v>
      </c>
      <c r="BF75" s="567">
        <v>7.2999999999999995E-2</v>
      </c>
    </row>
    <row r="76" spans="1:58" ht="60" customHeight="1" x14ac:dyDescent="0.3">
      <c r="A76" s="715" t="s">
        <v>628</v>
      </c>
      <c r="B76" s="1221" t="s">
        <v>398</v>
      </c>
      <c r="C76" s="1222" t="s">
        <v>10</v>
      </c>
      <c r="D76" s="1453" t="s">
        <v>306</v>
      </c>
      <c r="E76" s="1454" t="s">
        <v>228</v>
      </c>
      <c r="F76" s="1451" t="s">
        <v>229</v>
      </c>
      <c r="G76" s="271"/>
      <c r="H76" s="228" t="s">
        <v>230</v>
      </c>
      <c r="I76" s="229" t="s">
        <v>231</v>
      </c>
      <c r="J76" s="230">
        <v>0.08</v>
      </c>
      <c r="K76" s="231">
        <v>7.5563405779431311E-2</v>
      </c>
      <c r="L76" s="231">
        <v>4.4365942205686903E-3</v>
      </c>
      <c r="M76" s="232">
        <v>0</v>
      </c>
      <c r="N76" s="233">
        <v>2.5000000000000001E-2</v>
      </c>
      <c r="O76" s="231" t="s">
        <v>80</v>
      </c>
      <c r="P76" s="612">
        <v>0.26</v>
      </c>
      <c r="Q76" s="612">
        <v>0</v>
      </c>
      <c r="R76" s="234" t="s">
        <v>96</v>
      </c>
      <c r="S76" s="235" t="s">
        <v>232</v>
      </c>
      <c r="T76" s="620" t="s">
        <v>83</v>
      </c>
      <c r="U76" s="236" t="s">
        <v>84</v>
      </c>
      <c r="V76" s="237" t="s">
        <v>85</v>
      </c>
      <c r="W76" s="237" t="s">
        <v>97</v>
      </c>
      <c r="X76" s="1418">
        <v>60</v>
      </c>
      <c r="Y76" s="1418">
        <v>70</v>
      </c>
      <c r="Z76" s="1418">
        <v>75</v>
      </c>
      <c r="AA76" s="1419">
        <v>100000</v>
      </c>
      <c r="AB76" s="236" t="s">
        <v>233</v>
      </c>
      <c r="AC76" s="568">
        <v>25</v>
      </c>
      <c r="AD76" s="569">
        <v>25</v>
      </c>
      <c r="AE76" s="570">
        <v>50</v>
      </c>
      <c r="AF76" s="571">
        <v>7.5</v>
      </c>
      <c r="AG76" s="572">
        <v>17.5</v>
      </c>
      <c r="AH76" s="571">
        <v>7.5</v>
      </c>
      <c r="AI76" s="572">
        <v>17.5</v>
      </c>
      <c r="AJ76" s="462">
        <v>7.5563405779431311E-2</v>
      </c>
      <c r="AK76" s="463">
        <v>0</v>
      </c>
      <c r="AL76" s="464">
        <v>0</v>
      </c>
      <c r="AM76" s="460">
        <v>7.5563405779431311E-2</v>
      </c>
      <c r="AN76" s="461">
        <v>7.5563405779431311E-2</v>
      </c>
      <c r="AO76" s="462">
        <v>0</v>
      </c>
      <c r="AP76" s="463">
        <v>0</v>
      </c>
      <c r="AQ76" s="464">
        <v>4.328384605432869E-3</v>
      </c>
      <c r="AR76" s="460">
        <v>4.328384605432869E-3</v>
      </c>
      <c r="AS76" s="573">
        <v>0</v>
      </c>
      <c r="AT76" s="573">
        <v>0</v>
      </c>
      <c r="AU76" s="573">
        <v>4.4365942205686903E-3</v>
      </c>
      <c r="AV76" s="574">
        <v>4.4365942205686903E-3</v>
      </c>
      <c r="AW76" s="461">
        <v>0.08</v>
      </c>
      <c r="AX76" s="575" t="s">
        <v>545</v>
      </c>
      <c r="AY76" s="1125">
        <v>0.08</v>
      </c>
      <c r="AZ76" s="1663">
        <v>0</v>
      </c>
      <c r="BA76" s="1663">
        <v>0</v>
      </c>
      <c r="BB76" s="1191"/>
      <c r="BC76" s="576">
        <v>0.08</v>
      </c>
      <c r="BD76" s="1035">
        <v>1.44E-2</v>
      </c>
      <c r="BE76" s="1036">
        <v>6.5600000000000006E-2</v>
      </c>
      <c r="BF76" s="576">
        <v>0.08</v>
      </c>
    </row>
    <row r="77" spans="1:58" ht="60" customHeight="1" thickBot="1" x14ac:dyDescent="0.35">
      <c r="A77" s="715" t="s">
        <v>628</v>
      </c>
      <c r="B77" s="1221" t="s">
        <v>398</v>
      </c>
      <c r="C77" s="1223"/>
      <c r="D77" s="379" t="s">
        <v>307</v>
      </c>
      <c r="E77" s="1455" t="s">
        <v>237</v>
      </c>
      <c r="F77" s="1452" t="s">
        <v>238</v>
      </c>
      <c r="G77" s="272"/>
      <c r="H77" s="239" t="s">
        <v>230</v>
      </c>
      <c r="I77" s="239" t="s">
        <v>231</v>
      </c>
      <c r="J77" s="240">
        <v>0.08</v>
      </c>
      <c r="K77" s="241">
        <v>7.5563405779431311E-2</v>
      </c>
      <c r="L77" s="241">
        <v>4.4365942205686903E-3</v>
      </c>
      <c r="M77" s="242">
        <v>0</v>
      </c>
      <c r="N77" s="243">
        <v>2.5000000000000001E-2</v>
      </c>
      <c r="O77" s="241" t="s">
        <v>80</v>
      </c>
      <c r="P77" s="613">
        <v>0.26</v>
      </c>
      <c r="Q77" s="613">
        <v>0</v>
      </c>
      <c r="R77" s="244" t="s">
        <v>96</v>
      </c>
      <c r="S77" s="245" t="s">
        <v>232</v>
      </c>
      <c r="T77" s="621" t="s">
        <v>83</v>
      </c>
      <c r="U77" s="246" t="s">
        <v>84</v>
      </c>
      <c r="V77" s="247" t="s">
        <v>85</v>
      </c>
      <c r="W77" s="247" t="s">
        <v>97</v>
      </c>
      <c r="X77" s="1420">
        <v>60</v>
      </c>
      <c r="Y77" s="1420">
        <v>70</v>
      </c>
      <c r="Z77" s="1420">
        <v>75</v>
      </c>
      <c r="AA77" s="1421">
        <v>100000</v>
      </c>
      <c r="AB77" s="246" t="s">
        <v>233</v>
      </c>
      <c r="AC77" s="577">
        <v>25</v>
      </c>
      <c r="AD77" s="578">
        <v>25</v>
      </c>
      <c r="AE77" s="579">
        <v>50</v>
      </c>
      <c r="AF77" s="580">
        <v>7.5</v>
      </c>
      <c r="AG77" s="581">
        <v>17.5</v>
      </c>
      <c r="AH77" s="580">
        <v>7.5</v>
      </c>
      <c r="AI77" s="581">
        <v>17.5</v>
      </c>
      <c r="AJ77" s="490">
        <v>7.5563405779431311E-2</v>
      </c>
      <c r="AK77" s="491">
        <v>0</v>
      </c>
      <c r="AL77" s="492">
        <v>0</v>
      </c>
      <c r="AM77" s="493">
        <v>7.5563405779431311E-2</v>
      </c>
      <c r="AN77" s="494">
        <v>7.5563405779431311E-2</v>
      </c>
      <c r="AO77" s="490">
        <v>0</v>
      </c>
      <c r="AP77" s="491">
        <v>0</v>
      </c>
      <c r="AQ77" s="492">
        <v>4.328384605432869E-3</v>
      </c>
      <c r="AR77" s="493">
        <v>4.328384605432869E-3</v>
      </c>
      <c r="AS77" s="495">
        <v>0</v>
      </c>
      <c r="AT77" s="495">
        <v>0</v>
      </c>
      <c r="AU77" s="495">
        <v>4.4365942205686903E-3</v>
      </c>
      <c r="AV77" s="496">
        <v>4.4365942205686903E-3</v>
      </c>
      <c r="AW77" s="494">
        <v>0.08</v>
      </c>
      <c r="AX77" s="582" t="s">
        <v>546</v>
      </c>
      <c r="AY77" s="1154">
        <v>0.08</v>
      </c>
      <c r="AZ77" s="1664">
        <v>0</v>
      </c>
      <c r="BA77" s="1664">
        <v>0</v>
      </c>
      <c r="BB77" s="1193"/>
      <c r="BC77" s="1155">
        <v>0.08</v>
      </c>
      <c r="BD77" s="1037">
        <v>1.44E-2</v>
      </c>
      <c r="BE77" s="1038">
        <v>6.5600000000000006E-2</v>
      </c>
      <c r="BF77" s="583">
        <v>0.08</v>
      </c>
    </row>
    <row r="78" spans="1:58" s="410" customFormat="1" ht="108.75" customHeight="1" x14ac:dyDescent="0.3">
      <c r="A78" s="715" t="s">
        <v>628</v>
      </c>
      <c r="B78" s="1228" t="s">
        <v>397</v>
      </c>
      <c r="C78" s="1889" t="s">
        <v>308</v>
      </c>
      <c r="D78" s="437" t="s">
        <v>325</v>
      </c>
      <c r="E78" s="1449" t="s">
        <v>327</v>
      </c>
      <c r="F78" s="1448" t="s">
        <v>326</v>
      </c>
      <c r="G78" s="381" t="s">
        <v>77</v>
      </c>
      <c r="H78" s="383" t="s">
        <v>442</v>
      </c>
      <c r="I78" s="383" t="s">
        <v>443</v>
      </c>
      <c r="J78" s="384">
        <v>4.4999999999999998E-2</v>
      </c>
      <c r="K78" s="385">
        <v>2.6999999999999996E-2</v>
      </c>
      <c r="L78" s="385">
        <v>1.7999999999999999E-2</v>
      </c>
      <c r="M78" s="386">
        <v>0</v>
      </c>
      <c r="N78" s="386">
        <v>2.5000000000000001E-2</v>
      </c>
      <c r="O78" s="385" t="s">
        <v>80</v>
      </c>
      <c r="P78" s="595">
        <v>0.43</v>
      </c>
      <c r="Q78" s="407">
        <v>0.12</v>
      </c>
      <c r="R78" s="392" t="s">
        <v>318</v>
      </c>
      <c r="S78" s="393" t="s">
        <v>232</v>
      </c>
      <c r="T78" s="1907" t="s">
        <v>83</v>
      </c>
      <c r="U78" s="394" t="s">
        <v>84</v>
      </c>
      <c r="V78" s="398" t="s">
        <v>85</v>
      </c>
      <c r="W78" s="398" t="s">
        <v>320</v>
      </c>
      <c r="X78" s="399">
        <v>18</v>
      </c>
      <c r="Y78" s="399" t="s">
        <v>321</v>
      </c>
      <c r="Z78" s="399" t="s">
        <v>322</v>
      </c>
      <c r="AA78" s="1390">
        <v>100000</v>
      </c>
      <c r="AB78" s="398" t="s">
        <v>87</v>
      </c>
      <c r="AC78" s="445">
        <v>25</v>
      </c>
      <c r="AD78" s="445">
        <v>25</v>
      </c>
      <c r="AE78" s="453">
        <v>50</v>
      </c>
      <c r="AF78" s="446">
        <v>7.5</v>
      </c>
      <c r="AG78" s="447">
        <v>17.5</v>
      </c>
      <c r="AH78" s="448">
        <v>7.5</v>
      </c>
      <c r="AI78" s="445">
        <v>17.5</v>
      </c>
      <c r="AJ78" s="457">
        <v>1.6469999999999999E-2</v>
      </c>
      <c r="AK78" s="458">
        <v>1.0529999999999999E-2</v>
      </c>
      <c r="AL78" s="459">
        <v>0</v>
      </c>
      <c r="AM78" s="460">
        <v>2.6999999999999996E-2</v>
      </c>
      <c r="AN78" s="461">
        <v>2.6999999999999996E-2</v>
      </c>
      <c r="AO78" s="462">
        <v>0</v>
      </c>
      <c r="AP78" s="463">
        <v>1.7560975609756096E-2</v>
      </c>
      <c r="AQ78" s="464">
        <v>0</v>
      </c>
      <c r="AR78" s="460">
        <v>1.7560975609756096E-2</v>
      </c>
      <c r="AS78" s="573">
        <v>0</v>
      </c>
      <c r="AT78" s="573">
        <v>1.7999999999999999E-2</v>
      </c>
      <c r="AU78" s="573">
        <v>0</v>
      </c>
      <c r="AV78" s="574">
        <v>1.7999999999999999E-2</v>
      </c>
      <c r="AW78" s="461">
        <v>4.4999999999999991E-2</v>
      </c>
      <c r="AX78" s="403" t="s">
        <v>401</v>
      </c>
      <c r="AY78" s="1126">
        <v>8.4999999999999992E-2</v>
      </c>
      <c r="AZ78" s="1650">
        <v>0</v>
      </c>
      <c r="BA78" s="1650">
        <v>0</v>
      </c>
      <c r="BB78" s="1195"/>
      <c r="BC78" s="405">
        <v>8.4999999999999992E-2</v>
      </c>
      <c r="BD78" s="1041">
        <v>1.7999999999999999E-2</v>
      </c>
      <c r="BE78" s="1041">
        <v>6.699999999999999E-2</v>
      </c>
      <c r="BF78" s="405">
        <v>8.4999999999999992E-2</v>
      </c>
    </row>
    <row r="79" spans="1:58" s="410" customFormat="1" ht="108.75" customHeight="1" thickBot="1" x14ac:dyDescent="0.35">
      <c r="A79" s="715" t="s">
        <v>628</v>
      </c>
      <c r="B79" s="1228" t="s">
        <v>397</v>
      </c>
      <c r="C79" s="1888"/>
      <c r="D79" s="438" t="s">
        <v>329</v>
      </c>
      <c r="E79" s="1450" t="s">
        <v>327</v>
      </c>
      <c r="F79" s="1206" t="s">
        <v>330</v>
      </c>
      <c r="G79" s="382" t="s">
        <v>93</v>
      </c>
      <c r="H79" s="387" t="s">
        <v>444</v>
      </c>
      <c r="I79" s="387" t="s">
        <v>445</v>
      </c>
      <c r="J79" s="388">
        <v>4.4999999999999998E-2</v>
      </c>
      <c r="K79" s="389">
        <v>2.988E-2</v>
      </c>
      <c r="L79" s="389">
        <v>1.5120000000000003E-2</v>
      </c>
      <c r="M79" s="390">
        <v>0</v>
      </c>
      <c r="N79" s="391">
        <v>2.5000000000000001E-2</v>
      </c>
      <c r="O79" s="389" t="s">
        <v>80</v>
      </c>
      <c r="P79" s="596">
        <v>0.43</v>
      </c>
      <c r="Q79" s="408">
        <v>0.12</v>
      </c>
      <c r="R79" s="395" t="s">
        <v>319</v>
      </c>
      <c r="S79" s="396" t="s">
        <v>232</v>
      </c>
      <c r="T79" s="1908"/>
      <c r="U79" s="397" t="s">
        <v>84</v>
      </c>
      <c r="V79" s="400" t="s">
        <v>85</v>
      </c>
      <c r="W79" s="400" t="s">
        <v>323</v>
      </c>
      <c r="X79" s="401">
        <v>18</v>
      </c>
      <c r="Y79" s="401" t="s">
        <v>321</v>
      </c>
      <c r="Z79" s="401" t="s">
        <v>322</v>
      </c>
      <c r="AA79" s="1389">
        <v>100000</v>
      </c>
      <c r="AB79" s="400" t="s">
        <v>98</v>
      </c>
      <c r="AC79" s="449">
        <v>25</v>
      </c>
      <c r="AD79" s="449">
        <v>25</v>
      </c>
      <c r="AE79" s="454">
        <v>50</v>
      </c>
      <c r="AF79" s="450">
        <v>7.5</v>
      </c>
      <c r="AG79" s="451">
        <v>17.5</v>
      </c>
      <c r="AH79" s="452">
        <v>7.5</v>
      </c>
      <c r="AI79" s="449">
        <v>17.5</v>
      </c>
      <c r="AJ79" s="468">
        <v>1.7330399999999999E-2</v>
      </c>
      <c r="AK79" s="469">
        <v>9.8604000000000018E-3</v>
      </c>
      <c r="AL79" s="470">
        <v>2.6892000000000001E-3</v>
      </c>
      <c r="AM79" s="471">
        <v>2.988E-2</v>
      </c>
      <c r="AN79" s="467">
        <v>2.988E-2</v>
      </c>
      <c r="AO79" s="472">
        <v>1.4751219512195126E-2</v>
      </c>
      <c r="AP79" s="473">
        <v>0</v>
      </c>
      <c r="AQ79" s="474">
        <v>0</v>
      </c>
      <c r="AR79" s="471">
        <v>1.4751219512195126E-2</v>
      </c>
      <c r="AS79" s="465">
        <v>1.5120000000000003E-2</v>
      </c>
      <c r="AT79" s="465">
        <v>0</v>
      </c>
      <c r="AU79" s="465">
        <v>0</v>
      </c>
      <c r="AV79" s="466">
        <v>1.5120000000000003E-2</v>
      </c>
      <c r="AW79" s="467">
        <v>4.5000000000000005E-2</v>
      </c>
      <c r="AX79" s="404" t="s">
        <v>402</v>
      </c>
      <c r="AY79" s="1127">
        <v>8.4999999999999992E-2</v>
      </c>
      <c r="AZ79" s="1651">
        <v>0</v>
      </c>
      <c r="BA79" s="1651">
        <v>0</v>
      </c>
      <c r="BB79" s="1196"/>
      <c r="BC79" s="406">
        <v>8.4999999999999992E-2</v>
      </c>
      <c r="BD79" s="1042">
        <v>1.7999999999999999E-2</v>
      </c>
      <c r="BE79" s="1042">
        <v>6.699999999999999E-2</v>
      </c>
      <c r="BF79" s="406">
        <v>8.4999999999999992E-2</v>
      </c>
    </row>
    <row r="80" spans="1:58" s="49" customFormat="1" ht="125.25" customHeight="1" x14ac:dyDescent="0.3">
      <c r="A80" s="715" t="s">
        <v>628</v>
      </c>
      <c r="B80" s="1228" t="s">
        <v>397</v>
      </c>
      <c r="C80" s="1909" t="s">
        <v>331</v>
      </c>
      <c r="D80" s="439" t="s">
        <v>332</v>
      </c>
      <c r="E80" s="1444" t="s">
        <v>334</v>
      </c>
      <c r="F80" s="1441" t="s">
        <v>333</v>
      </c>
      <c r="G80" s="86" t="s">
        <v>77</v>
      </c>
      <c r="H80" s="673" t="s">
        <v>78</v>
      </c>
      <c r="I80" s="673" t="s">
        <v>79</v>
      </c>
      <c r="J80" s="411">
        <v>4.4999999999999998E-2</v>
      </c>
      <c r="K80" s="412">
        <v>2.6999999999999996E-2</v>
      </c>
      <c r="L80" s="412">
        <v>1.7999999999999999E-2</v>
      </c>
      <c r="M80" s="413">
        <v>0</v>
      </c>
      <c r="N80" s="413">
        <v>2.5000000000000001E-2</v>
      </c>
      <c r="O80" s="412" t="s">
        <v>80</v>
      </c>
      <c r="P80" s="597">
        <v>0.43</v>
      </c>
      <c r="Q80" s="52">
        <v>0.12</v>
      </c>
      <c r="R80" s="414" t="s">
        <v>81</v>
      </c>
      <c r="S80" s="57" t="s">
        <v>82</v>
      </c>
      <c r="T80" s="1913" t="s">
        <v>83</v>
      </c>
      <c r="U80" s="57" t="s">
        <v>84</v>
      </c>
      <c r="V80" s="58" t="s">
        <v>85</v>
      </c>
      <c r="W80" s="58" t="s">
        <v>320</v>
      </c>
      <c r="X80" s="415">
        <v>18</v>
      </c>
      <c r="Y80" s="1391" t="s">
        <v>321</v>
      </c>
      <c r="Z80" s="415" t="s">
        <v>322</v>
      </c>
      <c r="AA80" s="1392">
        <v>100000</v>
      </c>
      <c r="AB80" s="57" t="s">
        <v>87</v>
      </c>
      <c r="AC80" s="59">
        <v>25</v>
      </c>
      <c r="AD80" s="60">
        <v>25</v>
      </c>
      <c r="AE80" s="61">
        <v>50</v>
      </c>
      <c r="AF80" s="62">
        <v>7.5</v>
      </c>
      <c r="AG80" s="63">
        <v>17.5</v>
      </c>
      <c r="AH80" s="62">
        <v>7.5</v>
      </c>
      <c r="AI80" s="64">
        <v>17.5</v>
      </c>
      <c r="AJ80" s="462">
        <v>1.6469999999999999E-2</v>
      </c>
      <c r="AK80" s="463">
        <v>1.0529999999999999E-2</v>
      </c>
      <c r="AL80" s="464">
        <v>0</v>
      </c>
      <c r="AM80" s="460">
        <v>2.6999999999999996E-2</v>
      </c>
      <c r="AN80" s="461">
        <v>2.6999999999999996E-2</v>
      </c>
      <c r="AO80" s="462">
        <v>0</v>
      </c>
      <c r="AP80" s="463">
        <v>1.7560975609756096E-2</v>
      </c>
      <c r="AQ80" s="464">
        <v>0</v>
      </c>
      <c r="AR80" s="460">
        <v>1.7560975609756096E-2</v>
      </c>
      <c r="AS80" s="465">
        <v>0</v>
      </c>
      <c r="AT80" s="465">
        <v>1.7999999999999999E-2</v>
      </c>
      <c r="AU80" s="465">
        <v>0</v>
      </c>
      <c r="AV80" s="466">
        <v>1.7999999999999999E-2</v>
      </c>
      <c r="AW80" s="461">
        <v>4.4999999999999991E-2</v>
      </c>
      <c r="AX80" s="455" t="s">
        <v>403</v>
      </c>
      <c r="AY80" s="1128">
        <v>8.4999999999999992E-2</v>
      </c>
      <c r="AZ80" s="1665">
        <v>0</v>
      </c>
      <c r="BA80" s="1665">
        <v>0</v>
      </c>
      <c r="BB80" s="1197"/>
      <c r="BC80" s="65">
        <v>8.4999999999999992E-2</v>
      </c>
      <c r="BD80" s="1007">
        <v>1.7999999999999999E-2</v>
      </c>
      <c r="BE80" s="1008">
        <v>6.699999999999999E-2</v>
      </c>
      <c r="BF80" s="65">
        <v>8.4999999999999992E-2</v>
      </c>
    </row>
    <row r="81" spans="1:58" s="49" customFormat="1" ht="105.9" customHeight="1" x14ac:dyDescent="0.3">
      <c r="A81" s="715" t="s">
        <v>628</v>
      </c>
      <c r="B81" s="1228" t="s">
        <v>397</v>
      </c>
      <c r="C81" s="1910"/>
      <c r="D81" s="1207" t="s">
        <v>335</v>
      </c>
      <c r="E81" s="1445" t="s">
        <v>334</v>
      </c>
      <c r="F81" s="1442" t="s">
        <v>336</v>
      </c>
      <c r="G81" s="68" t="s">
        <v>93</v>
      </c>
      <c r="H81" s="674" t="s">
        <v>94</v>
      </c>
      <c r="I81" s="674" t="s">
        <v>95</v>
      </c>
      <c r="J81" s="70">
        <v>4.4999999999999998E-2</v>
      </c>
      <c r="K81" s="71">
        <v>2.988E-2</v>
      </c>
      <c r="L81" s="71">
        <v>1.5120000000000003E-2</v>
      </c>
      <c r="M81" s="72">
        <v>0</v>
      </c>
      <c r="N81" s="73">
        <v>2.5000000000000001E-2</v>
      </c>
      <c r="O81" s="71" t="s">
        <v>80</v>
      </c>
      <c r="P81" s="598">
        <v>0.43</v>
      </c>
      <c r="Q81" s="70">
        <v>0.12</v>
      </c>
      <c r="R81" s="74" t="s">
        <v>96</v>
      </c>
      <c r="S81" s="75" t="s">
        <v>82</v>
      </c>
      <c r="T81" s="1914"/>
      <c r="U81" s="76" t="s">
        <v>84</v>
      </c>
      <c r="V81" s="77" t="s">
        <v>85</v>
      </c>
      <c r="W81" s="77" t="s">
        <v>323</v>
      </c>
      <c r="X81" s="416">
        <v>18</v>
      </c>
      <c r="Y81" s="416" t="s">
        <v>321</v>
      </c>
      <c r="Z81" s="416" t="s">
        <v>322</v>
      </c>
      <c r="AA81" s="1393">
        <v>100000</v>
      </c>
      <c r="AB81" s="76" t="s">
        <v>98</v>
      </c>
      <c r="AC81" s="78">
        <v>25</v>
      </c>
      <c r="AD81" s="79">
        <v>25</v>
      </c>
      <c r="AE81" s="80">
        <v>50</v>
      </c>
      <c r="AF81" s="81">
        <v>7.5</v>
      </c>
      <c r="AG81" s="82">
        <v>17.5</v>
      </c>
      <c r="AH81" s="81">
        <v>7.5</v>
      </c>
      <c r="AI81" s="82">
        <v>17.5</v>
      </c>
      <c r="AJ81" s="472">
        <v>1.7330399999999999E-2</v>
      </c>
      <c r="AK81" s="473">
        <v>9.8604000000000018E-3</v>
      </c>
      <c r="AL81" s="474">
        <v>2.6892000000000001E-3</v>
      </c>
      <c r="AM81" s="471">
        <v>2.988E-2</v>
      </c>
      <c r="AN81" s="467">
        <v>2.988E-2</v>
      </c>
      <c r="AO81" s="472">
        <v>1.4751219512195126E-2</v>
      </c>
      <c r="AP81" s="473">
        <v>0</v>
      </c>
      <c r="AQ81" s="474">
        <v>0</v>
      </c>
      <c r="AR81" s="471">
        <v>1.4751219512195126E-2</v>
      </c>
      <c r="AS81" s="465">
        <v>1.5120000000000003E-2</v>
      </c>
      <c r="AT81" s="465">
        <v>0</v>
      </c>
      <c r="AU81" s="465">
        <v>0</v>
      </c>
      <c r="AV81" s="466">
        <v>1.5120000000000003E-2</v>
      </c>
      <c r="AW81" s="467">
        <v>4.5000000000000005E-2</v>
      </c>
      <c r="AX81" s="456" t="s">
        <v>404</v>
      </c>
      <c r="AY81" s="1129">
        <v>8.4999999999999992E-2</v>
      </c>
      <c r="AZ81" s="1666">
        <v>0</v>
      </c>
      <c r="BA81" s="1666">
        <v>0</v>
      </c>
      <c r="BB81" s="1197"/>
      <c r="BC81" s="83">
        <v>8.4999999999999992E-2</v>
      </c>
      <c r="BD81" s="1009">
        <v>1.7999999999999999E-2</v>
      </c>
      <c r="BE81" s="1010">
        <v>6.699999999999999E-2</v>
      </c>
      <c r="BF81" s="83">
        <v>8.4999999999999992E-2</v>
      </c>
    </row>
    <row r="82" spans="1:58" s="49" customFormat="1" ht="105.9" customHeight="1" x14ac:dyDescent="0.3">
      <c r="A82" s="715" t="s">
        <v>628</v>
      </c>
      <c r="B82" s="1228" t="s">
        <v>397</v>
      </c>
      <c r="C82" s="1910"/>
      <c r="D82" s="1207" t="s">
        <v>781</v>
      </c>
      <c r="E82" s="1445" t="s">
        <v>334</v>
      </c>
      <c r="F82" s="1442" t="s">
        <v>782</v>
      </c>
      <c r="G82" s="68" t="s">
        <v>93</v>
      </c>
      <c r="H82" s="674" t="s">
        <v>94</v>
      </c>
      <c r="I82" s="674" t="s">
        <v>95</v>
      </c>
      <c r="J82" s="70">
        <v>4.4999999999999998E-2</v>
      </c>
      <c r="K82" s="71">
        <v>2.988E-2</v>
      </c>
      <c r="L82" s="71">
        <v>1.5120000000000003E-2</v>
      </c>
      <c r="M82" s="72">
        <v>0</v>
      </c>
      <c r="N82" s="73">
        <v>2.5000000000000001E-2</v>
      </c>
      <c r="O82" s="71" t="s">
        <v>80</v>
      </c>
      <c r="P82" s="598">
        <v>0.43</v>
      </c>
      <c r="Q82" s="70">
        <v>0.12</v>
      </c>
      <c r="R82" s="74" t="s">
        <v>96</v>
      </c>
      <c r="S82" s="75" t="s">
        <v>82</v>
      </c>
      <c r="T82" s="1914"/>
      <c r="U82" s="76" t="s">
        <v>84</v>
      </c>
      <c r="V82" s="77" t="s">
        <v>85</v>
      </c>
      <c r="W82" s="77" t="s">
        <v>323</v>
      </c>
      <c r="X82" s="416">
        <v>18</v>
      </c>
      <c r="Y82" s="416" t="s">
        <v>321</v>
      </c>
      <c r="Z82" s="416" t="s">
        <v>322</v>
      </c>
      <c r="AA82" s="1393">
        <v>100000</v>
      </c>
      <c r="AB82" s="76" t="s">
        <v>98</v>
      </c>
      <c r="AC82" s="78">
        <v>25</v>
      </c>
      <c r="AD82" s="79">
        <v>25</v>
      </c>
      <c r="AE82" s="80">
        <v>50</v>
      </c>
      <c r="AF82" s="81">
        <v>7.5</v>
      </c>
      <c r="AG82" s="82">
        <v>17.5</v>
      </c>
      <c r="AH82" s="81">
        <v>7.5</v>
      </c>
      <c r="AI82" s="82">
        <v>17.5</v>
      </c>
      <c r="AJ82" s="472">
        <v>1.7330399999999999E-2</v>
      </c>
      <c r="AK82" s="473">
        <v>9.8604000000000018E-3</v>
      </c>
      <c r="AL82" s="474">
        <v>2.6892000000000001E-3</v>
      </c>
      <c r="AM82" s="471">
        <v>2.988E-2</v>
      </c>
      <c r="AN82" s="467">
        <v>2.988E-2</v>
      </c>
      <c r="AO82" s="472">
        <v>1.4751219512195126E-2</v>
      </c>
      <c r="AP82" s="473">
        <v>0</v>
      </c>
      <c r="AQ82" s="474">
        <v>0</v>
      </c>
      <c r="AR82" s="471">
        <v>1.4751219512195126E-2</v>
      </c>
      <c r="AS82" s="465">
        <v>1.5120000000000003E-2</v>
      </c>
      <c r="AT82" s="465">
        <v>0</v>
      </c>
      <c r="AU82" s="465">
        <v>0</v>
      </c>
      <c r="AV82" s="466">
        <v>1.5120000000000003E-2</v>
      </c>
      <c r="AW82" s="467">
        <v>4.5000000000000005E-2</v>
      </c>
      <c r="AX82" s="456" t="s">
        <v>404</v>
      </c>
      <c r="AY82" s="1129">
        <v>8.4999999999999992E-2</v>
      </c>
      <c r="AZ82" s="1666">
        <v>0</v>
      </c>
      <c r="BA82" s="1666">
        <v>0</v>
      </c>
      <c r="BB82" s="1197"/>
      <c r="BC82" s="83">
        <v>8.4999999999999992E-2</v>
      </c>
      <c r="BD82" s="1009">
        <v>1.7999999999999999E-2</v>
      </c>
      <c r="BE82" s="1010">
        <v>6.699999999999999E-2</v>
      </c>
      <c r="BF82" s="83">
        <v>8.4999999999999992E-2</v>
      </c>
    </row>
    <row r="83" spans="1:58" ht="105.9" customHeight="1" x14ac:dyDescent="0.3">
      <c r="A83" s="715" t="s">
        <v>628</v>
      </c>
      <c r="B83" s="1228" t="s">
        <v>397</v>
      </c>
      <c r="C83" s="1910"/>
      <c r="D83" s="1208" t="s">
        <v>337</v>
      </c>
      <c r="E83" s="419" t="s">
        <v>339</v>
      </c>
      <c r="F83" s="1441" t="s">
        <v>338</v>
      </c>
      <c r="G83" s="86" t="s">
        <v>77</v>
      </c>
      <c r="H83" s="675" t="s">
        <v>78</v>
      </c>
      <c r="I83" s="675" t="s">
        <v>79</v>
      </c>
      <c r="J83" s="88">
        <v>0.06</v>
      </c>
      <c r="K83" s="89">
        <v>3.5999999999999997E-2</v>
      </c>
      <c r="L83" s="89">
        <v>2.3999999999999997E-2</v>
      </c>
      <c r="M83" s="90">
        <v>0</v>
      </c>
      <c r="N83" s="91">
        <v>2.5000000000000001E-2</v>
      </c>
      <c r="O83" s="89" t="s">
        <v>80</v>
      </c>
      <c r="P83" s="599">
        <v>0.43</v>
      </c>
      <c r="Q83" s="88">
        <v>0.12</v>
      </c>
      <c r="R83" s="92" t="s">
        <v>96</v>
      </c>
      <c r="S83" s="93" t="s">
        <v>105</v>
      </c>
      <c r="T83" s="1914"/>
      <c r="U83" s="94" t="s">
        <v>84</v>
      </c>
      <c r="V83" s="95" t="s">
        <v>85</v>
      </c>
      <c r="W83" s="95" t="s">
        <v>320</v>
      </c>
      <c r="X83" s="1394">
        <v>18</v>
      </c>
      <c r="Y83" s="1394" t="s">
        <v>321</v>
      </c>
      <c r="Z83" s="1394" t="s">
        <v>322</v>
      </c>
      <c r="AA83" s="1422">
        <v>100000</v>
      </c>
      <c r="AB83" s="94" t="s">
        <v>87</v>
      </c>
      <c r="AC83" s="479">
        <v>25</v>
      </c>
      <c r="AD83" s="480">
        <v>25</v>
      </c>
      <c r="AE83" s="481">
        <v>50</v>
      </c>
      <c r="AF83" s="482">
        <v>7.5</v>
      </c>
      <c r="AG83" s="483">
        <v>17.5</v>
      </c>
      <c r="AH83" s="482">
        <v>7.5</v>
      </c>
      <c r="AI83" s="483">
        <v>17.5</v>
      </c>
      <c r="AJ83" s="472">
        <v>2.1959999999999997E-2</v>
      </c>
      <c r="AK83" s="473">
        <v>1.4039999999999999E-2</v>
      </c>
      <c r="AL83" s="474">
        <v>0</v>
      </c>
      <c r="AM83" s="471">
        <v>3.5999999999999997E-2</v>
      </c>
      <c r="AN83" s="467">
        <v>3.5999999999999997E-2</v>
      </c>
      <c r="AO83" s="472">
        <v>0</v>
      </c>
      <c r="AP83" s="473">
        <v>2.3414634146341463E-2</v>
      </c>
      <c r="AQ83" s="474">
        <v>0</v>
      </c>
      <c r="AR83" s="471">
        <v>2.3414634146341463E-2</v>
      </c>
      <c r="AS83" s="465">
        <v>0</v>
      </c>
      <c r="AT83" s="465">
        <v>2.3999999999999997E-2</v>
      </c>
      <c r="AU83" s="465">
        <v>0</v>
      </c>
      <c r="AV83" s="466">
        <v>2.3999999999999997E-2</v>
      </c>
      <c r="AW83" s="467">
        <v>0.06</v>
      </c>
      <c r="AX83" s="455" t="s">
        <v>405</v>
      </c>
      <c r="AY83" s="1128">
        <v>7.3700000000000002E-2</v>
      </c>
      <c r="AZ83" s="1665">
        <v>0</v>
      </c>
      <c r="BA83" s="1665">
        <v>0</v>
      </c>
      <c r="BB83" s="1197"/>
      <c r="BC83" s="484">
        <v>7.3700000000000002E-2</v>
      </c>
      <c r="BD83" s="1011">
        <v>1.7999999999999999E-2</v>
      </c>
      <c r="BE83" s="1012">
        <v>5.5700000000000006E-2</v>
      </c>
      <c r="BF83" s="484">
        <v>7.3700000000000002E-2</v>
      </c>
    </row>
    <row r="84" spans="1:58" ht="105.9" customHeight="1" x14ac:dyDescent="0.3">
      <c r="A84" s="715" t="s">
        <v>628</v>
      </c>
      <c r="B84" s="1228" t="s">
        <v>397</v>
      </c>
      <c r="C84" s="1910"/>
      <c r="D84" s="1207" t="s">
        <v>340</v>
      </c>
      <c r="E84" s="418" t="s">
        <v>339</v>
      </c>
      <c r="F84" s="1442" t="s">
        <v>341</v>
      </c>
      <c r="G84" s="97" t="s">
        <v>93</v>
      </c>
      <c r="H84" s="674" t="s">
        <v>94</v>
      </c>
      <c r="I84" s="674" t="s">
        <v>95</v>
      </c>
      <c r="J84" s="98">
        <v>0.06</v>
      </c>
      <c r="K84" s="99">
        <v>3.984E-2</v>
      </c>
      <c r="L84" s="99">
        <v>2.0160000000000001E-2</v>
      </c>
      <c r="M84" s="100">
        <v>0</v>
      </c>
      <c r="N84" s="101">
        <v>2.5000000000000001E-2</v>
      </c>
      <c r="O84" s="99" t="s">
        <v>80</v>
      </c>
      <c r="P84" s="600">
        <v>0.43</v>
      </c>
      <c r="Q84" s="98">
        <v>0.12</v>
      </c>
      <c r="R84" s="102" t="s">
        <v>96</v>
      </c>
      <c r="S84" s="103" t="s">
        <v>105</v>
      </c>
      <c r="T84" s="1914"/>
      <c r="U84" s="76" t="s">
        <v>84</v>
      </c>
      <c r="V84" s="77" t="s">
        <v>85</v>
      </c>
      <c r="W84" s="77" t="s">
        <v>323</v>
      </c>
      <c r="X84" s="416">
        <v>18</v>
      </c>
      <c r="Y84" s="416" t="s">
        <v>321</v>
      </c>
      <c r="Z84" s="416" t="s">
        <v>322</v>
      </c>
      <c r="AA84" s="1393">
        <v>100000</v>
      </c>
      <c r="AB84" s="76" t="s">
        <v>98</v>
      </c>
      <c r="AC84" s="78">
        <v>25</v>
      </c>
      <c r="AD84" s="79">
        <v>25</v>
      </c>
      <c r="AE84" s="80">
        <v>50</v>
      </c>
      <c r="AF84" s="81">
        <v>7.5</v>
      </c>
      <c r="AG84" s="82">
        <v>17.5</v>
      </c>
      <c r="AH84" s="81">
        <v>7.5</v>
      </c>
      <c r="AI84" s="82">
        <v>17.5</v>
      </c>
      <c r="AJ84" s="472">
        <v>2.3107199999999998E-2</v>
      </c>
      <c r="AK84" s="473">
        <v>1.3147200000000001E-2</v>
      </c>
      <c r="AL84" s="474">
        <v>3.5856E-3</v>
      </c>
      <c r="AM84" s="471">
        <v>3.984E-2</v>
      </c>
      <c r="AN84" s="467">
        <v>3.984E-2</v>
      </c>
      <c r="AO84" s="472">
        <v>1.966829268292683E-2</v>
      </c>
      <c r="AP84" s="473">
        <v>0</v>
      </c>
      <c r="AQ84" s="474">
        <v>0</v>
      </c>
      <c r="AR84" s="471">
        <v>1.966829268292683E-2</v>
      </c>
      <c r="AS84" s="465">
        <v>2.0160000000000001E-2</v>
      </c>
      <c r="AT84" s="465">
        <v>0</v>
      </c>
      <c r="AU84" s="465">
        <v>0</v>
      </c>
      <c r="AV84" s="466">
        <v>2.0160000000000001E-2</v>
      </c>
      <c r="AW84" s="467">
        <v>0.06</v>
      </c>
      <c r="AX84" s="456" t="s">
        <v>406</v>
      </c>
      <c r="AY84" s="1129">
        <v>7.3700000000000002E-2</v>
      </c>
      <c r="AZ84" s="1666">
        <v>0</v>
      </c>
      <c r="BA84" s="1666">
        <v>0</v>
      </c>
      <c r="BB84" s="1197"/>
      <c r="BC84" s="83">
        <v>7.3700000000000002E-2</v>
      </c>
      <c r="BD84" s="1009">
        <v>1.7999999999999999E-2</v>
      </c>
      <c r="BE84" s="1010">
        <v>5.5700000000000006E-2</v>
      </c>
      <c r="BF84" s="83">
        <v>7.3700000000000002E-2</v>
      </c>
    </row>
    <row r="85" spans="1:58" ht="105.9" customHeight="1" x14ac:dyDescent="0.3">
      <c r="A85" s="715" t="s">
        <v>628</v>
      </c>
      <c r="B85" s="1228" t="s">
        <v>397</v>
      </c>
      <c r="C85" s="1910"/>
      <c r="D85" s="1207" t="s">
        <v>779</v>
      </c>
      <c r="E85" s="418" t="s">
        <v>339</v>
      </c>
      <c r="F85" s="1442" t="s">
        <v>780</v>
      </c>
      <c r="G85" s="97" t="s">
        <v>93</v>
      </c>
      <c r="H85" s="674" t="s">
        <v>94</v>
      </c>
      <c r="I85" s="674" t="s">
        <v>95</v>
      </c>
      <c r="J85" s="98">
        <v>0.06</v>
      </c>
      <c r="K85" s="99">
        <v>3.984E-2</v>
      </c>
      <c r="L85" s="99">
        <v>2.0160000000000001E-2</v>
      </c>
      <c r="M85" s="100">
        <v>0</v>
      </c>
      <c r="N85" s="101">
        <v>2.5000000000000001E-2</v>
      </c>
      <c r="O85" s="99" t="s">
        <v>80</v>
      </c>
      <c r="P85" s="600">
        <v>0.43</v>
      </c>
      <c r="Q85" s="98">
        <v>0.12</v>
      </c>
      <c r="R85" s="102" t="s">
        <v>96</v>
      </c>
      <c r="S85" s="103" t="s">
        <v>105</v>
      </c>
      <c r="T85" s="1914"/>
      <c r="U85" s="76" t="s">
        <v>84</v>
      </c>
      <c r="V85" s="77" t="s">
        <v>85</v>
      </c>
      <c r="W85" s="77" t="s">
        <v>323</v>
      </c>
      <c r="X85" s="416">
        <v>18</v>
      </c>
      <c r="Y85" s="416" t="s">
        <v>321</v>
      </c>
      <c r="Z85" s="416" t="s">
        <v>322</v>
      </c>
      <c r="AA85" s="1393">
        <v>100000</v>
      </c>
      <c r="AB85" s="76" t="s">
        <v>98</v>
      </c>
      <c r="AC85" s="78">
        <v>25</v>
      </c>
      <c r="AD85" s="79">
        <v>25</v>
      </c>
      <c r="AE85" s="80">
        <v>50</v>
      </c>
      <c r="AF85" s="81">
        <v>7.5</v>
      </c>
      <c r="AG85" s="82">
        <v>17.5</v>
      </c>
      <c r="AH85" s="81">
        <v>7.5</v>
      </c>
      <c r="AI85" s="82">
        <v>17.5</v>
      </c>
      <c r="AJ85" s="472">
        <v>2.3107199999999998E-2</v>
      </c>
      <c r="AK85" s="473">
        <v>1.3147200000000001E-2</v>
      </c>
      <c r="AL85" s="474">
        <v>3.5856E-3</v>
      </c>
      <c r="AM85" s="471">
        <v>3.984E-2</v>
      </c>
      <c r="AN85" s="467">
        <v>3.984E-2</v>
      </c>
      <c r="AO85" s="472">
        <v>1.966829268292683E-2</v>
      </c>
      <c r="AP85" s="473">
        <v>0</v>
      </c>
      <c r="AQ85" s="474">
        <v>0</v>
      </c>
      <c r="AR85" s="471">
        <v>1.966829268292683E-2</v>
      </c>
      <c r="AS85" s="465">
        <v>2.0160000000000001E-2</v>
      </c>
      <c r="AT85" s="465">
        <v>0</v>
      </c>
      <c r="AU85" s="465">
        <v>0</v>
      </c>
      <c r="AV85" s="466">
        <v>2.0160000000000001E-2</v>
      </c>
      <c r="AW85" s="467">
        <v>0.06</v>
      </c>
      <c r="AX85" s="456" t="s">
        <v>406</v>
      </c>
      <c r="AY85" s="1129">
        <v>7.3700000000000002E-2</v>
      </c>
      <c r="AZ85" s="1666">
        <v>0</v>
      </c>
      <c r="BA85" s="1666">
        <v>0</v>
      </c>
      <c r="BB85" s="1197"/>
      <c r="BC85" s="83">
        <v>7.3700000000000002E-2</v>
      </c>
      <c r="BD85" s="1009">
        <v>1.7999999999999999E-2</v>
      </c>
      <c r="BE85" s="1010">
        <v>5.5700000000000006E-2</v>
      </c>
      <c r="BF85" s="83">
        <v>7.3700000000000002E-2</v>
      </c>
    </row>
    <row r="86" spans="1:58" ht="105.9" customHeight="1" x14ac:dyDescent="0.3">
      <c r="A86" s="715" t="s">
        <v>628</v>
      </c>
      <c r="B86" s="1228" t="s">
        <v>397</v>
      </c>
      <c r="C86" s="1910"/>
      <c r="D86" s="1208" t="s">
        <v>342</v>
      </c>
      <c r="E86" s="417" t="s">
        <v>344</v>
      </c>
      <c r="F86" s="1441" t="s">
        <v>343</v>
      </c>
      <c r="G86" s="86" t="s">
        <v>77</v>
      </c>
      <c r="H86" s="675" t="s">
        <v>78</v>
      </c>
      <c r="I86" s="675" t="s">
        <v>79</v>
      </c>
      <c r="J86" s="88">
        <v>0.08</v>
      </c>
      <c r="K86" s="89">
        <v>4.8000000000000001E-2</v>
      </c>
      <c r="L86" s="89">
        <v>3.2000000000000001E-2</v>
      </c>
      <c r="M86" s="90">
        <v>0</v>
      </c>
      <c r="N86" s="91">
        <v>2.5000000000000001E-2</v>
      </c>
      <c r="O86" s="89" t="s">
        <v>80</v>
      </c>
      <c r="P86" s="599">
        <v>0.43</v>
      </c>
      <c r="Q86" s="88">
        <v>0.12</v>
      </c>
      <c r="R86" s="92" t="s">
        <v>96</v>
      </c>
      <c r="S86" s="93" t="s">
        <v>117</v>
      </c>
      <c r="T86" s="1914"/>
      <c r="U86" s="94" t="s">
        <v>84</v>
      </c>
      <c r="V86" s="95" t="s">
        <v>85</v>
      </c>
      <c r="W86" s="95" t="s">
        <v>320</v>
      </c>
      <c r="X86" s="1394">
        <v>18</v>
      </c>
      <c r="Y86" s="1394" t="s">
        <v>321</v>
      </c>
      <c r="Z86" s="1394" t="s">
        <v>322</v>
      </c>
      <c r="AA86" s="1422">
        <v>100000</v>
      </c>
      <c r="AB86" s="94" t="s">
        <v>87</v>
      </c>
      <c r="AC86" s="479">
        <v>25</v>
      </c>
      <c r="AD86" s="480">
        <v>25</v>
      </c>
      <c r="AE86" s="481">
        <v>50</v>
      </c>
      <c r="AF86" s="482">
        <v>7.5</v>
      </c>
      <c r="AG86" s="483">
        <v>17.5</v>
      </c>
      <c r="AH86" s="482">
        <v>7.5</v>
      </c>
      <c r="AI86" s="483">
        <v>17.5</v>
      </c>
      <c r="AJ86" s="472">
        <v>2.9279999999999997E-2</v>
      </c>
      <c r="AK86" s="473">
        <v>1.8720000000000001E-2</v>
      </c>
      <c r="AL86" s="474">
        <v>0</v>
      </c>
      <c r="AM86" s="471">
        <v>4.8000000000000001E-2</v>
      </c>
      <c r="AN86" s="467">
        <v>4.8000000000000001E-2</v>
      </c>
      <c r="AO86" s="472">
        <v>0</v>
      </c>
      <c r="AP86" s="473">
        <v>3.1219512195121958E-2</v>
      </c>
      <c r="AQ86" s="474">
        <v>0</v>
      </c>
      <c r="AR86" s="471">
        <v>3.1219512195121958E-2</v>
      </c>
      <c r="AS86" s="465">
        <v>0</v>
      </c>
      <c r="AT86" s="465">
        <v>3.2000000000000001E-2</v>
      </c>
      <c r="AU86" s="465">
        <v>0</v>
      </c>
      <c r="AV86" s="466">
        <v>3.2000000000000001E-2</v>
      </c>
      <c r="AW86" s="467">
        <v>8.0000000000000016E-2</v>
      </c>
      <c r="AX86" s="455" t="s">
        <v>407</v>
      </c>
      <c r="AY86" s="1128">
        <v>6.6000000000000003E-2</v>
      </c>
      <c r="AZ86" s="1665">
        <v>0</v>
      </c>
      <c r="BA86" s="1665">
        <v>0</v>
      </c>
      <c r="BB86" s="1197"/>
      <c r="BC86" s="484">
        <v>6.6000000000000003E-2</v>
      </c>
      <c r="BD86" s="1011">
        <v>1.7999999999999999E-2</v>
      </c>
      <c r="BE86" s="1012">
        <v>4.8000000000000001E-2</v>
      </c>
      <c r="BF86" s="484">
        <v>6.6000000000000003E-2</v>
      </c>
    </row>
    <row r="87" spans="1:58" ht="105.9" customHeight="1" x14ac:dyDescent="0.3">
      <c r="A87" s="715" t="s">
        <v>628</v>
      </c>
      <c r="B87" s="1228" t="s">
        <v>397</v>
      </c>
      <c r="C87" s="1910"/>
      <c r="D87" s="1207" t="s">
        <v>345</v>
      </c>
      <c r="E87" s="418" t="s">
        <v>344</v>
      </c>
      <c r="F87" s="1442" t="s">
        <v>346</v>
      </c>
      <c r="G87" s="97" t="s">
        <v>93</v>
      </c>
      <c r="H87" s="674" t="s">
        <v>94</v>
      </c>
      <c r="I87" s="674" t="s">
        <v>95</v>
      </c>
      <c r="J87" s="98">
        <v>0.08</v>
      </c>
      <c r="K87" s="99">
        <v>5.3120000000000001E-2</v>
      </c>
      <c r="L87" s="99">
        <v>2.6880000000000001E-2</v>
      </c>
      <c r="M87" s="100">
        <v>0</v>
      </c>
      <c r="N87" s="101">
        <v>2.5000000000000001E-2</v>
      </c>
      <c r="O87" s="99" t="s">
        <v>80</v>
      </c>
      <c r="P87" s="600">
        <v>0.43</v>
      </c>
      <c r="Q87" s="98">
        <v>0.12</v>
      </c>
      <c r="R87" s="102" t="s">
        <v>96</v>
      </c>
      <c r="S87" s="103" t="s">
        <v>117</v>
      </c>
      <c r="T87" s="1914"/>
      <c r="U87" s="76" t="s">
        <v>84</v>
      </c>
      <c r="V87" s="77" t="s">
        <v>85</v>
      </c>
      <c r="W87" s="77" t="s">
        <v>323</v>
      </c>
      <c r="X87" s="416">
        <v>18</v>
      </c>
      <c r="Y87" s="416" t="s">
        <v>321</v>
      </c>
      <c r="Z87" s="416" t="s">
        <v>322</v>
      </c>
      <c r="AA87" s="1393">
        <v>100000</v>
      </c>
      <c r="AB87" s="76" t="s">
        <v>98</v>
      </c>
      <c r="AC87" s="78">
        <v>25</v>
      </c>
      <c r="AD87" s="79">
        <v>25</v>
      </c>
      <c r="AE87" s="80">
        <v>50</v>
      </c>
      <c r="AF87" s="81">
        <v>7.5</v>
      </c>
      <c r="AG87" s="82">
        <v>17.5</v>
      </c>
      <c r="AH87" s="81">
        <v>7.5</v>
      </c>
      <c r="AI87" s="82">
        <v>17.5</v>
      </c>
      <c r="AJ87" s="472">
        <v>3.0809599999999999E-2</v>
      </c>
      <c r="AK87" s="473">
        <v>1.7529599999999999E-2</v>
      </c>
      <c r="AL87" s="474">
        <v>4.7808E-3</v>
      </c>
      <c r="AM87" s="471">
        <v>5.3120000000000001E-2</v>
      </c>
      <c r="AN87" s="467">
        <v>5.3120000000000001E-2</v>
      </c>
      <c r="AO87" s="472">
        <v>2.6224390243902444E-2</v>
      </c>
      <c r="AP87" s="473">
        <v>0</v>
      </c>
      <c r="AQ87" s="474">
        <v>0</v>
      </c>
      <c r="AR87" s="471">
        <v>2.6224390243902444E-2</v>
      </c>
      <c r="AS87" s="465">
        <v>2.6880000000000001E-2</v>
      </c>
      <c r="AT87" s="465">
        <v>0</v>
      </c>
      <c r="AU87" s="465">
        <v>0</v>
      </c>
      <c r="AV87" s="466">
        <v>2.6880000000000001E-2</v>
      </c>
      <c r="AW87" s="467">
        <v>0.08</v>
      </c>
      <c r="AX87" s="456" t="s">
        <v>408</v>
      </c>
      <c r="AY87" s="1129">
        <v>6.6000000000000003E-2</v>
      </c>
      <c r="AZ87" s="1666">
        <v>0</v>
      </c>
      <c r="BA87" s="1666">
        <v>0</v>
      </c>
      <c r="BB87" s="1197"/>
      <c r="BC87" s="83">
        <v>6.6000000000000003E-2</v>
      </c>
      <c r="BD87" s="1009">
        <v>1.7999999999999999E-2</v>
      </c>
      <c r="BE87" s="1010">
        <v>4.8000000000000001E-2</v>
      </c>
      <c r="BF87" s="83">
        <v>6.6000000000000003E-2</v>
      </c>
    </row>
    <row r="88" spans="1:58" ht="105.9" customHeight="1" x14ac:dyDescent="0.3">
      <c r="A88" s="715" t="s">
        <v>628</v>
      </c>
      <c r="B88" s="1228" t="s">
        <v>397</v>
      </c>
      <c r="C88" s="1910"/>
      <c r="D88" s="1207" t="s">
        <v>783</v>
      </c>
      <c r="E88" s="418" t="s">
        <v>344</v>
      </c>
      <c r="F88" s="1442" t="s">
        <v>784</v>
      </c>
      <c r="G88" s="97" t="s">
        <v>93</v>
      </c>
      <c r="H88" s="674" t="s">
        <v>94</v>
      </c>
      <c r="I88" s="674" t="s">
        <v>95</v>
      </c>
      <c r="J88" s="98">
        <v>0.08</v>
      </c>
      <c r="K88" s="99">
        <v>5.3120000000000001E-2</v>
      </c>
      <c r="L88" s="99">
        <v>2.6880000000000001E-2</v>
      </c>
      <c r="M88" s="100">
        <v>0</v>
      </c>
      <c r="N88" s="101">
        <v>2.5000000000000001E-2</v>
      </c>
      <c r="O88" s="99" t="s">
        <v>80</v>
      </c>
      <c r="P88" s="600">
        <v>0.43</v>
      </c>
      <c r="Q88" s="98">
        <v>0.12</v>
      </c>
      <c r="R88" s="102" t="s">
        <v>96</v>
      </c>
      <c r="S88" s="103" t="s">
        <v>117</v>
      </c>
      <c r="T88" s="1914"/>
      <c r="U88" s="76" t="s">
        <v>84</v>
      </c>
      <c r="V88" s="77" t="s">
        <v>85</v>
      </c>
      <c r="W88" s="77" t="s">
        <v>323</v>
      </c>
      <c r="X88" s="416">
        <v>18</v>
      </c>
      <c r="Y88" s="416" t="s">
        <v>321</v>
      </c>
      <c r="Z88" s="416" t="s">
        <v>322</v>
      </c>
      <c r="AA88" s="1393">
        <v>100000</v>
      </c>
      <c r="AB88" s="76" t="s">
        <v>98</v>
      </c>
      <c r="AC88" s="78">
        <v>25</v>
      </c>
      <c r="AD88" s="79">
        <v>25</v>
      </c>
      <c r="AE88" s="80">
        <v>50</v>
      </c>
      <c r="AF88" s="81">
        <v>7.5</v>
      </c>
      <c r="AG88" s="82">
        <v>17.5</v>
      </c>
      <c r="AH88" s="81">
        <v>7.5</v>
      </c>
      <c r="AI88" s="82">
        <v>17.5</v>
      </c>
      <c r="AJ88" s="472">
        <v>3.0809599999999999E-2</v>
      </c>
      <c r="AK88" s="473">
        <v>1.7529599999999999E-2</v>
      </c>
      <c r="AL88" s="474">
        <v>4.7808E-3</v>
      </c>
      <c r="AM88" s="471">
        <v>5.3120000000000001E-2</v>
      </c>
      <c r="AN88" s="467">
        <v>5.3120000000000001E-2</v>
      </c>
      <c r="AO88" s="472">
        <v>2.6224390243902444E-2</v>
      </c>
      <c r="AP88" s="473">
        <v>0</v>
      </c>
      <c r="AQ88" s="474">
        <v>0</v>
      </c>
      <c r="AR88" s="471">
        <v>2.6224390243902444E-2</v>
      </c>
      <c r="AS88" s="465">
        <v>2.6880000000000001E-2</v>
      </c>
      <c r="AT88" s="465">
        <v>0</v>
      </c>
      <c r="AU88" s="465">
        <v>0</v>
      </c>
      <c r="AV88" s="466">
        <v>2.6880000000000001E-2</v>
      </c>
      <c r="AW88" s="467">
        <v>0.08</v>
      </c>
      <c r="AX88" s="456" t="s">
        <v>408</v>
      </c>
      <c r="AY88" s="1129">
        <v>6.6000000000000003E-2</v>
      </c>
      <c r="AZ88" s="1666">
        <v>0</v>
      </c>
      <c r="BA88" s="1666">
        <v>0</v>
      </c>
      <c r="BB88" s="1197"/>
      <c r="BC88" s="83">
        <v>6.6000000000000003E-2</v>
      </c>
      <c r="BD88" s="1009">
        <v>1.7999999999999999E-2</v>
      </c>
      <c r="BE88" s="1010">
        <v>4.8000000000000001E-2</v>
      </c>
      <c r="BF88" s="83">
        <v>6.6000000000000003E-2</v>
      </c>
    </row>
    <row r="89" spans="1:58" ht="105.9" customHeight="1" x14ac:dyDescent="0.3">
      <c r="A89" s="715" t="s">
        <v>628</v>
      </c>
      <c r="B89" s="1228" t="s">
        <v>397</v>
      </c>
      <c r="C89" s="1910"/>
      <c r="D89" s="1208" t="s">
        <v>347</v>
      </c>
      <c r="E89" s="419" t="s">
        <v>349</v>
      </c>
      <c r="F89" s="1441" t="s">
        <v>348</v>
      </c>
      <c r="G89" s="86" t="s">
        <v>77</v>
      </c>
      <c r="H89" s="675" t="s">
        <v>78</v>
      </c>
      <c r="I89" s="675" t="s">
        <v>79</v>
      </c>
      <c r="J89" s="88">
        <v>0.1</v>
      </c>
      <c r="K89" s="89">
        <v>6.0000000000000012E-2</v>
      </c>
      <c r="L89" s="89">
        <v>4.0000000000000008E-2</v>
      </c>
      <c r="M89" s="90">
        <v>0</v>
      </c>
      <c r="N89" s="91">
        <v>2.5000000000000001E-2</v>
      </c>
      <c r="O89" s="89" t="s">
        <v>80</v>
      </c>
      <c r="P89" s="599">
        <v>0.43</v>
      </c>
      <c r="Q89" s="88">
        <v>0.12</v>
      </c>
      <c r="R89" s="92" t="s">
        <v>96</v>
      </c>
      <c r="S89" s="93" t="s">
        <v>129</v>
      </c>
      <c r="T89" s="1914"/>
      <c r="U89" s="94" t="s">
        <v>84</v>
      </c>
      <c r="V89" s="95" t="s">
        <v>85</v>
      </c>
      <c r="W89" s="95" t="s">
        <v>320</v>
      </c>
      <c r="X89" s="1394">
        <v>18</v>
      </c>
      <c r="Y89" s="1394" t="s">
        <v>321</v>
      </c>
      <c r="Z89" s="1394" t="s">
        <v>322</v>
      </c>
      <c r="AA89" s="1422">
        <v>100000</v>
      </c>
      <c r="AB89" s="94" t="s">
        <v>87</v>
      </c>
      <c r="AC89" s="479">
        <v>25</v>
      </c>
      <c r="AD89" s="480">
        <v>25</v>
      </c>
      <c r="AE89" s="481">
        <v>50</v>
      </c>
      <c r="AF89" s="482">
        <v>7.5</v>
      </c>
      <c r="AG89" s="483">
        <v>17.5</v>
      </c>
      <c r="AH89" s="482">
        <v>7.5</v>
      </c>
      <c r="AI89" s="483">
        <v>17.5</v>
      </c>
      <c r="AJ89" s="472">
        <v>3.6600000000000008E-2</v>
      </c>
      <c r="AK89" s="473">
        <v>2.3400000000000008E-2</v>
      </c>
      <c r="AL89" s="474">
        <v>0</v>
      </c>
      <c r="AM89" s="471">
        <v>6.0000000000000012E-2</v>
      </c>
      <c r="AN89" s="467">
        <v>6.0000000000000012E-2</v>
      </c>
      <c r="AO89" s="472">
        <v>0</v>
      </c>
      <c r="AP89" s="473">
        <v>3.9024390243902453E-2</v>
      </c>
      <c r="AQ89" s="474">
        <v>0</v>
      </c>
      <c r="AR89" s="471">
        <v>3.9024390243902453E-2</v>
      </c>
      <c r="AS89" s="465">
        <v>0</v>
      </c>
      <c r="AT89" s="465">
        <v>4.0000000000000008E-2</v>
      </c>
      <c r="AU89" s="465">
        <v>0</v>
      </c>
      <c r="AV89" s="466">
        <v>4.0000000000000008E-2</v>
      </c>
      <c r="AW89" s="467">
        <v>0.10000000000000002</v>
      </c>
      <c r="AX89" s="455" t="s">
        <v>409</v>
      </c>
      <c r="AY89" s="1128">
        <v>6.6000000000000003E-2</v>
      </c>
      <c r="AZ89" s="1665">
        <v>0</v>
      </c>
      <c r="BA89" s="1665">
        <v>0</v>
      </c>
      <c r="BB89" s="1197"/>
      <c r="BC89" s="484">
        <v>6.6000000000000003E-2</v>
      </c>
      <c r="BD89" s="1011">
        <v>1.7999999999999999E-2</v>
      </c>
      <c r="BE89" s="1012">
        <v>4.8000000000000001E-2</v>
      </c>
      <c r="BF89" s="484">
        <v>6.6000000000000003E-2</v>
      </c>
    </row>
    <row r="90" spans="1:58" ht="105.9" customHeight="1" thickBot="1" x14ac:dyDescent="0.35">
      <c r="A90" s="715" t="s">
        <v>628</v>
      </c>
      <c r="B90" s="1228" t="s">
        <v>397</v>
      </c>
      <c r="C90" s="1911"/>
      <c r="D90" s="1446" t="s">
        <v>350</v>
      </c>
      <c r="E90" s="1447" t="s">
        <v>349</v>
      </c>
      <c r="F90" s="1443" t="s">
        <v>351</v>
      </c>
      <c r="G90" s="105" t="s">
        <v>93</v>
      </c>
      <c r="H90" s="676" t="s">
        <v>94</v>
      </c>
      <c r="I90" s="676" t="s">
        <v>95</v>
      </c>
      <c r="J90" s="108">
        <v>0.1</v>
      </c>
      <c r="K90" s="109">
        <v>6.6400000000000001E-2</v>
      </c>
      <c r="L90" s="109">
        <v>3.3599999999999998E-2</v>
      </c>
      <c r="M90" s="110">
        <v>0</v>
      </c>
      <c r="N90" s="111">
        <v>2.5000000000000001E-2</v>
      </c>
      <c r="O90" s="109" t="s">
        <v>80</v>
      </c>
      <c r="P90" s="601">
        <v>0.43</v>
      </c>
      <c r="Q90" s="108">
        <v>0.12</v>
      </c>
      <c r="R90" s="112" t="s">
        <v>96</v>
      </c>
      <c r="S90" s="113" t="s">
        <v>129</v>
      </c>
      <c r="T90" s="1915"/>
      <c r="U90" s="114" t="s">
        <v>84</v>
      </c>
      <c r="V90" s="115" t="s">
        <v>85</v>
      </c>
      <c r="W90" s="115" t="s">
        <v>323</v>
      </c>
      <c r="X90" s="1396">
        <v>18</v>
      </c>
      <c r="Y90" s="1396" t="s">
        <v>321</v>
      </c>
      <c r="Z90" s="1396" t="s">
        <v>322</v>
      </c>
      <c r="AA90" s="1423">
        <v>100000</v>
      </c>
      <c r="AB90" s="114" t="s">
        <v>98</v>
      </c>
      <c r="AC90" s="485">
        <v>25</v>
      </c>
      <c r="AD90" s="486">
        <v>25</v>
      </c>
      <c r="AE90" s="487">
        <v>50</v>
      </c>
      <c r="AF90" s="488">
        <v>7.5</v>
      </c>
      <c r="AG90" s="489">
        <v>17.5</v>
      </c>
      <c r="AH90" s="488">
        <v>7.5</v>
      </c>
      <c r="AI90" s="489">
        <v>17.5</v>
      </c>
      <c r="AJ90" s="490">
        <v>3.8511999999999998E-2</v>
      </c>
      <c r="AK90" s="491">
        <v>2.1912000000000001E-2</v>
      </c>
      <c r="AL90" s="492">
        <v>5.9759999999999995E-3</v>
      </c>
      <c r="AM90" s="493">
        <v>6.6400000000000001E-2</v>
      </c>
      <c r="AN90" s="494">
        <v>6.6400000000000001E-2</v>
      </c>
      <c r="AO90" s="490">
        <v>3.278048780487805E-2</v>
      </c>
      <c r="AP90" s="491">
        <v>0</v>
      </c>
      <c r="AQ90" s="492">
        <v>0</v>
      </c>
      <c r="AR90" s="493">
        <v>3.278048780487805E-2</v>
      </c>
      <c r="AS90" s="495">
        <v>3.3599999999999998E-2</v>
      </c>
      <c r="AT90" s="495">
        <v>0</v>
      </c>
      <c r="AU90" s="495">
        <v>0</v>
      </c>
      <c r="AV90" s="496">
        <v>3.3599999999999998E-2</v>
      </c>
      <c r="AW90" s="494">
        <v>0.1</v>
      </c>
      <c r="AX90" s="584" t="s">
        <v>410</v>
      </c>
      <c r="AY90" s="1130">
        <v>6.6000000000000003E-2</v>
      </c>
      <c r="AZ90" s="1667">
        <v>0</v>
      </c>
      <c r="BA90" s="1667">
        <v>0</v>
      </c>
      <c r="BB90" s="1198"/>
      <c r="BC90" s="498">
        <v>6.6000000000000003E-2</v>
      </c>
      <c r="BD90" s="1013">
        <v>1.7999999999999999E-2</v>
      </c>
      <c r="BE90" s="1014">
        <v>4.8000000000000001E-2</v>
      </c>
      <c r="BF90" s="498">
        <v>6.6000000000000003E-2</v>
      </c>
    </row>
    <row r="91" spans="1:58" ht="105.9" customHeight="1" x14ac:dyDescent="0.3">
      <c r="A91" s="715" t="s">
        <v>628</v>
      </c>
      <c r="B91" s="1228" t="s">
        <v>397</v>
      </c>
      <c r="C91" s="1916" t="s">
        <v>352</v>
      </c>
      <c r="D91" s="1209" t="s">
        <v>353</v>
      </c>
      <c r="E91" s="424" t="s">
        <v>355</v>
      </c>
      <c r="F91" s="423" t="s">
        <v>354</v>
      </c>
      <c r="G91" s="117" t="s">
        <v>77</v>
      </c>
      <c r="H91" s="677" t="s">
        <v>78</v>
      </c>
      <c r="I91" s="677" t="s">
        <v>79</v>
      </c>
      <c r="J91" s="120">
        <v>4.4999999999999998E-2</v>
      </c>
      <c r="K91" s="121">
        <v>2.5874999999999995E-2</v>
      </c>
      <c r="L91" s="121">
        <v>1.9124999999999996E-2</v>
      </c>
      <c r="M91" s="122">
        <v>0</v>
      </c>
      <c r="N91" s="123">
        <v>2.5000000000000001E-2</v>
      </c>
      <c r="O91" s="121" t="s">
        <v>80</v>
      </c>
      <c r="P91" s="602">
        <v>0.44900000000000001</v>
      </c>
      <c r="Q91" s="602">
        <v>0.1</v>
      </c>
      <c r="R91" s="124" t="s">
        <v>96</v>
      </c>
      <c r="S91" s="125" t="s">
        <v>142</v>
      </c>
      <c r="T91" s="1882" t="s">
        <v>83</v>
      </c>
      <c r="U91" s="126" t="s">
        <v>84</v>
      </c>
      <c r="V91" s="127" t="s">
        <v>85</v>
      </c>
      <c r="W91" s="127" t="s">
        <v>320</v>
      </c>
      <c r="X91" s="1398">
        <v>18</v>
      </c>
      <c r="Y91" s="1398" t="s">
        <v>321</v>
      </c>
      <c r="Z91" s="1398" t="s">
        <v>356</v>
      </c>
      <c r="AA91" s="1424">
        <v>100000</v>
      </c>
      <c r="AB91" s="126" t="s">
        <v>87</v>
      </c>
      <c r="AC91" s="499">
        <v>25</v>
      </c>
      <c r="AD91" s="500">
        <v>25</v>
      </c>
      <c r="AE91" s="501">
        <v>50</v>
      </c>
      <c r="AF91" s="502">
        <v>7.5</v>
      </c>
      <c r="AG91" s="503">
        <v>17.5</v>
      </c>
      <c r="AH91" s="502">
        <v>7.5</v>
      </c>
      <c r="AI91" s="504">
        <v>17.5</v>
      </c>
      <c r="AJ91" s="462">
        <v>1.5783749999999996E-2</v>
      </c>
      <c r="AK91" s="463">
        <v>1.0091249999999998E-2</v>
      </c>
      <c r="AL91" s="464">
        <v>0</v>
      </c>
      <c r="AM91" s="460">
        <v>2.5874999999999995E-2</v>
      </c>
      <c r="AN91" s="461">
        <v>2.5874999999999995E-2</v>
      </c>
      <c r="AO91" s="462">
        <v>0</v>
      </c>
      <c r="AP91" s="463">
        <v>1.8658536585365853E-2</v>
      </c>
      <c r="AQ91" s="464">
        <v>0</v>
      </c>
      <c r="AR91" s="460">
        <v>1.8658536585365853E-2</v>
      </c>
      <c r="AS91" s="465">
        <v>0</v>
      </c>
      <c r="AT91" s="465">
        <v>1.9124999999999996E-2</v>
      </c>
      <c r="AU91" s="465">
        <v>0</v>
      </c>
      <c r="AV91" s="466">
        <v>1.9124999999999996E-2</v>
      </c>
      <c r="AW91" s="461">
        <v>4.4999999999999991E-2</v>
      </c>
      <c r="AX91" s="585" t="s">
        <v>411</v>
      </c>
      <c r="AY91" s="1131">
        <v>7.2999999999999995E-2</v>
      </c>
      <c r="AZ91" s="1668">
        <v>0</v>
      </c>
      <c r="BA91" s="1668">
        <v>0</v>
      </c>
      <c r="BB91" s="1197"/>
      <c r="BC91" s="506">
        <v>7.2999999999999995E-2</v>
      </c>
      <c r="BD91" s="1015">
        <v>1.7999999999999999E-2</v>
      </c>
      <c r="BE91" s="1016">
        <v>5.5E-2</v>
      </c>
      <c r="BF91" s="506">
        <v>7.2999999999999995E-2</v>
      </c>
    </row>
    <row r="92" spans="1:58" ht="105.9" customHeight="1" x14ac:dyDescent="0.3">
      <c r="A92" s="715" t="s">
        <v>628</v>
      </c>
      <c r="B92" s="1228" t="s">
        <v>397</v>
      </c>
      <c r="C92" s="1917"/>
      <c r="D92" s="1210" t="s">
        <v>357</v>
      </c>
      <c r="E92" s="421" t="s">
        <v>355</v>
      </c>
      <c r="F92" s="420" t="s">
        <v>358</v>
      </c>
      <c r="G92" s="130" t="s">
        <v>93</v>
      </c>
      <c r="H92" s="678" t="s">
        <v>94</v>
      </c>
      <c r="I92" s="678" t="s">
        <v>95</v>
      </c>
      <c r="J92" s="132">
        <v>4.4999999999999998E-2</v>
      </c>
      <c r="K92" s="133">
        <v>2.9879999999999993E-2</v>
      </c>
      <c r="L92" s="133">
        <v>1.512E-2</v>
      </c>
      <c r="M92" s="134">
        <v>0</v>
      </c>
      <c r="N92" s="135">
        <v>2.5000000000000001E-2</v>
      </c>
      <c r="O92" s="133" t="s">
        <v>80</v>
      </c>
      <c r="P92" s="603">
        <v>0.44900000000000001</v>
      </c>
      <c r="Q92" s="603">
        <v>0.1</v>
      </c>
      <c r="R92" s="136" t="s">
        <v>96</v>
      </c>
      <c r="S92" s="422" t="s">
        <v>142</v>
      </c>
      <c r="T92" s="1882"/>
      <c r="U92" s="137" t="s">
        <v>84</v>
      </c>
      <c r="V92" s="138" t="s">
        <v>85</v>
      </c>
      <c r="W92" s="138" t="s">
        <v>323</v>
      </c>
      <c r="X92" s="1400">
        <v>18</v>
      </c>
      <c r="Y92" s="1400" t="s">
        <v>321</v>
      </c>
      <c r="Z92" s="1400" t="s">
        <v>356</v>
      </c>
      <c r="AA92" s="1425">
        <v>100000</v>
      </c>
      <c r="AB92" s="137" t="s">
        <v>98</v>
      </c>
      <c r="AC92" s="507">
        <v>25</v>
      </c>
      <c r="AD92" s="508">
        <v>25</v>
      </c>
      <c r="AE92" s="509">
        <v>50</v>
      </c>
      <c r="AF92" s="510">
        <v>7.5</v>
      </c>
      <c r="AG92" s="511">
        <v>17.5</v>
      </c>
      <c r="AH92" s="510">
        <v>7.5</v>
      </c>
      <c r="AI92" s="511">
        <v>17.5</v>
      </c>
      <c r="AJ92" s="472">
        <v>1.7330399999999996E-2</v>
      </c>
      <c r="AK92" s="473">
        <v>9.8604000000000001E-3</v>
      </c>
      <c r="AL92" s="474">
        <v>2.6891999999999997E-3</v>
      </c>
      <c r="AM92" s="471">
        <v>2.9879999999999993E-2</v>
      </c>
      <c r="AN92" s="467">
        <v>2.9879999999999993E-2</v>
      </c>
      <c r="AO92" s="472">
        <v>1.4751219512195123E-2</v>
      </c>
      <c r="AP92" s="473">
        <v>0</v>
      </c>
      <c r="AQ92" s="474">
        <v>0</v>
      </c>
      <c r="AR92" s="471">
        <v>1.4751219512195123E-2</v>
      </c>
      <c r="AS92" s="465">
        <v>1.512E-2</v>
      </c>
      <c r="AT92" s="465">
        <v>0</v>
      </c>
      <c r="AU92" s="465">
        <v>0</v>
      </c>
      <c r="AV92" s="466">
        <v>1.512E-2</v>
      </c>
      <c r="AW92" s="467">
        <v>4.4999999999999991E-2</v>
      </c>
      <c r="AX92" s="586" t="s">
        <v>412</v>
      </c>
      <c r="AY92" s="1132">
        <v>7.2999999999999995E-2</v>
      </c>
      <c r="AZ92" s="1669">
        <v>0</v>
      </c>
      <c r="BA92" s="1669">
        <v>0</v>
      </c>
      <c r="BB92" s="1197"/>
      <c r="BC92" s="513">
        <v>7.2999999999999995E-2</v>
      </c>
      <c r="BD92" s="1017">
        <v>1.7999999999999999E-2</v>
      </c>
      <c r="BE92" s="1018">
        <v>5.5E-2</v>
      </c>
      <c r="BF92" s="513">
        <v>7.2999999999999995E-2</v>
      </c>
    </row>
    <row r="93" spans="1:58" ht="105.9" customHeight="1" x14ac:dyDescent="0.3">
      <c r="A93" s="715" t="s">
        <v>628</v>
      </c>
      <c r="B93" s="1228" t="s">
        <v>397</v>
      </c>
      <c r="C93" s="1917"/>
      <c r="D93" s="1209" t="s">
        <v>359</v>
      </c>
      <c r="E93" s="424" t="s">
        <v>361</v>
      </c>
      <c r="F93" s="423" t="s">
        <v>360</v>
      </c>
      <c r="G93" s="117" t="s">
        <v>77</v>
      </c>
      <c r="H93" s="679" t="s">
        <v>78</v>
      </c>
      <c r="I93" s="679" t="s">
        <v>79</v>
      </c>
      <c r="J93" s="142">
        <v>0.06</v>
      </c>
      <c r="K93" s="143">
        <v>3.4499999999999989E-2</v>
      </c>
      <c r="L93" s="143">
        <v>2.5499999999999995E-2</v>
      </c>
      <c r="M93" s="144">
        <v>0</v>
      </c>
      <c r="N93" s="145">
        <v>2.5000000000000001E-2</v>
      </c>
      <c r="O93" s="143" t="s">
        <v>80</v>
      </c>
      <c r="P93" s="604">
        <v>0.44900000000000001</v>
      </c>
      <c r="Q93" s="604">
        <v>0.1</v>
      </c>
      <c r="R93" s="146" t="s">
        <v>96</v>
      </c>
      <c r="S93" s="147" t="s">
        <v>154</v>
      </c>
      <c r="T93" s="1882"/>
      <c r="U93" s="148" t="s">
        <v>84</v>
      </c>
      <c r="V93" s="149" t="s">
        <v>85</v>
      </c>
      <c r="W93" s="149" t="s">
        <v>320</v>
      </c>
      <c r="X93" s="1402">
        <v>18</v>
      </c>
      <c r="Y93" s="1402" t="s">
        <v>321</v>
      </c>
      <c r="Z93" s="1402" t="s">
        <v>356</v>
      </c>
      <c r="AA93" s="1426">
        <v>100000</v>
      </c>
      <c r="AB93" s="148" t="s">
        <v>87</v>
      </c>
      <c r="AC93" s="514">
        <v>25</v>
      </c>
      <c r="AD93" s="515">
        <v>25</v>
      </c>
      <c r="AE93" s="516">
        <v>50</v>
      </c>
      <c r="AF93" s="517">
        <v>7.5</v>
      </c>
      <c r="AG93" s="518">
        <v>17.5</v>
      </c>
      <c r="AH93" s="517">
        <v>7.5</v>
      </c>
      <c r="AI93" s="518">
        <v>17.5</v>
      </c>
      <c r="AJ93" s="472">
        <v>2.1044999999999991E-2</v>
      </c>
      <c r="AK93" s="473">
        <v>1.3454999999999996E-2</v>
      </c>
      <c r="AL93" s="474">
        <v>0</v>
      </c>
      <c r="AM93" s="471">
        <v>3.4499999999999989E-2</v>
      </c>
      <c r="AN93" s="467">
        <v>3.4499999999999989E-2</v>
      </c>
      <c r="AO93" s="472">
        <v>0</v>
      </c>
      <c r="AP93" s="473">
        <v>2.4878048780487803E-2</v>
      </c>
      <c r="AQ93" s="474">
        <v>0</v>
      </c>
      <c r="AR93" s="471">
        <v>2.4878048780487803E-2</v>
      </c>
      <c r="AS93" s="465">
        <v>0</v>
      </c>
      <c r="AT93" s="465">
        <v>2.5499999999999995E-2</v>
      </c>
      <c r="AU93" s="465">
        <v>0</v>
      </c>
      <c r="AV93" s="466">
        <v>2.5499999999999995E-2</v>
      </c>
      <c r="AW93" s="467">
        <v>5.9999999999999984E-2</v>
      </c>
      <c r="AX93" s="585" t="s">
        <v>413</v>
      </c>
      <c r="AY93" s="1131">
        <v>6.5000000000000002E-2</v>
      </c>
      <c r="AZ93" s="1668">
        <v>0</v>
      </c>
      <c r="BA93" s="1668">
        <v>0</v>
      </c>
      <c r="BB93" s="1197"/>
      <c r="BC93" s="519">
        <v>6.5000000000000002E-2</v>
      </c>
      <c r="BD93" s="1019">
        <v>1.7999999999999999E-2</v>
      </c>
      <c r="BE93" s="1020">
        <v>4.7000000000000007E-2</v>
      </c>
      <c r="BF93" s="519">
        <v>6.5000000000000002E-2</v>
      </c>
    </row>
    <row r="94" spans="1:58" ht="105.9" customHeight="1" x14ac:dyDescent="0.3">
      <c r="A94" s="715" t="s">
        <v>628</v>
      </c>
      <c r="B94" s="1228" t="s">
        <v>397</v>
      </c>
      <c r="C94" s="1917"/>
      <c r="D94" s="1210" t="s">
        <v>362</v>
      </c>
      <c r="E94" s="421" t="s">
        <v>361</v>
      </c>
      <c r="F94" s="420" t="s">
        <v>363</v>
      </c>
      <c r="G94" s="130" t="s">
        <v>93</v>
      </c>
      <c r="H94" s="678" t="s">
        <v>94</v>
      </c>
      <c r="I94" s="678" t="s">
        <v>95</v>
      </c>
      <c r="J94" s="132">
        <v>0.06</v>
      </c>
      <c r="K94" s="133">
        <v>3.984E-2</v>
      </c>
      <c r="L94" s="133">
        <v>2.0159999999999997E-2</v>
      </c>
      <c r="M94" s="134">
        <v>0</v>
      </c>
      <c r="N94" s="135">
        <v>2.5000000000000001E-2</v>
      </c>
      <c r="O94" s="133" t="s">
        <v>80</v>
      </c>
      <c r="P94" s="603">
        <v>0.44900000000000001</v>
      </c>
      <c r="Q94" s="603">
        <v>0.1</v>
      </c>
      <c r="R94" s="136" t="s">
        <v>96</v>
      </c>
      <c r="S94" s="422" t="s">
        <v>154</v>
      </c>
      <c r="T94" s="1882"/>
      <c r="U94" s="137" t="s">
        <v>84</v>
      </c>
      <c r="V94" s="138" t="s">
        <v>85</v>
      </c>
      <c r="W94" s="138" t="s">
        <v>323</v>
      </c>
      <c r="X94" s="1400">
        <v>18</v>
      </c>
      <c r="Y94" s="1400" t="s">
        <v>321</v>
      </c>
      <c r="Z94" s="1400" t="s">
        <v>356</v>
      </c>
      <c r="AA94" s="1425">
        <v>100000</v>
      </c>
      <c r="AB94" s="137" t="s">
        <v>98</v>
      </c>
      <c r="AC94" s="507">
        <v>25</v>
      </c>
      <c r="AD94" s="508">
        <v>25</v>
      </c>
      <c r="AE94" s="509">
        <v>50</v>
      </c>
      <c r="AF94" s="510">
        <v>7.5</v>
      </c>
      <c r="AG94" s="511">
        <v>17.5</v>
      </c>
      <c r="AH94" s="510">
        <v>7.5</v>
      </c>
      <c r="AI94" s="511">
        <v>17.5</v>
      </c>
      <c r="AJ94" s="472">
        <v>2.3107199999999998E-2</v>
      </c>
      <c r="AK94" s="473">
        <v>1.31472E-2</v>
      </c>
      <c r="AL94" s="474">
        <v>3.5855999999999996E-3</v>
      </c>
      <c r="AM94" s="471">
        <v>3.984E-2</v>
      </c>
      <c r="AN94" s="467">
        <v>3.984E-2</v>
      </c>
      <c r="AO94" s="472">
        <v>1.966829268292683E-2</v>
      </c>
      <c r="AP94" s="473">
        <v>0</v>
      </c>
      <c r="AQ94" s="474">
        <v>0</v>
      </c>
      <c r="AR94" s="471">
        <v>1.966829268292683E-2</v>
      </c>
      <c r="AS94" s="465">
        <v>2.0159999999999997E-2</v>
      </c>
      <c r="AT94" s="465">
        <v>0</v>
      </c>
      <c r="AU94" s="465">
        <v>0</v>
      </c>
      <c r="AV94" s="466">
        <v>2.0159999999999997E-2</v>
      </c>
      <c r="AW94" s="467">
        <v>0.06</v>
      </c>
      <c r="AX94" s="586" t="s">
        <v>414</v>
      </c>
      <c r="AY94" s="1132">
        <v>6.5000000000000002E-2</v>
      </c>
      <c r="AZ94" s="1669">
        <v>0</v>
      </c>
      <c r="BA94" s="1669">
        <v>0</v>
      </c>
      <c r="BB94" s="1197"/>
      <c r="BC94" s="513">
        <v>6.5000000000000002E-2</v>
      </c>
      <c r="BD94" s="1017">
        <v>1.7999999999999999E-2</v>
      </c>
      <c r="BE94" s="1018">
        <v>4.7000000000000007E-2</v>
      </c>
      <c r="BF94" s="513">
        <v>6.5000000000000002E-2</v>
      </c>
    </row>
    <row r="95" spans="1:58" ht="105.9" customHeight="1" x14ac:dyDescent="0.3">
      <c r="A95" s="715" t="s">
        <v>628</v>
      </c>
      <c r="B95" s="1228" t="s">
        <v>397</v>
      </c>
      <c r="C95" s="1917"/>
      <c r="D95" s="1209" t="s">
        <v>364</v>
      </c>
      <c r="E95" s="425" t="s">
        <v>366</v>
      </c>
      <c r="F95" s="423" t="s">
        <v>365</v>
      </c>
      <c r="G95" s="117" t="s">
        <v>77</v>
      </c>
      <c r="H95" s="679" t="s">
        <v>78</v>
      </c>
      <c r="I95" s="679" t="s">
        <v>79</v>
      </c>
      <c r="J95" s="142">
        <v>0.08</v>
      </c>
      <c r="K95" s="143">
        <v>4.5999999999999999E-2</v>
      </c>
      <c r="L95" s="143">
        <v>3.4000000000000002E-2</v>
      </c>
      <c r="M95" s="144">
        <v>0</v>
      </c>
      <c r="N95" s="145">
        <v>2.5000000000000001E-2</v>
      </c>
      <c r="O95" s="143" t="s">
        <v>80</v>
      </c>
      <c r="P95" s="604">
        <v>0.44900000000000001</v>
      </c>
      <c r="Q95" s="604">
        <v>0.1</v>
      </c>
      <c r="R95" s="146" t="s">
        <v>96</v>
      </c>
      <c r="S95" s="147" t="s">
        <v>166</v>
      </c>
      <c r="T95" s="1882"/>
      <c r="U95" s="148" t="s">
        <v>84</v>
      </c>
      <c r="V95" s="149" t="s">
        <v>85</v>
      </c>
      <c r="W95" s="149" t="s">
        <v>320</v>
      </c>
      <c r="X95" s="1402">
        <v>18</v>
      </c>
      <c r="Y95" s="1402" t="s">
        <v>321</v>
      </c>
      <c r="Z95" s="1402" t="s">
        <v>356</v>
      </c>
      <c r="AA95" s="1426">
        <v>100000</v>
      </c>
      <c r="AB95" s="148" t="s">
        <v>87</v>
      </c>
      <c r="AC95" s="514">
        <v>25</v>
      </c>
      <c r="AD95" s="515">
        <v>25</v>
      </c>
      <c r="AE95" s="516">
        <v>50</v>
      </c>
      <c r="AF95" s="517">
        <v>7.5</v>
      </c>
      <c r="AG95" s="518">
        <v>17.5</v>
      </c>
      <c r="AH95" s="517">
        <v>7.5</v>
      </c>
      <c r="AI95" s="518">
        <v>17.5</v>
      </c>
      <c r="AJ95" s="472">
        <v>2.8059999999999998E-2</v>
      </c>
      <c r="AK95" s="473">
        <v>1.7940000000000001E-2</v>
      </c>
      <c r="AL95" s="474">
        <v>0</v>
      </c>
      <c r="AM95" s="471">
        <v>4.5999999999999999E-2</v>
      </c>
      <c r="AN95" s="467">
        <v>4.5999999999999999E-2</v>
      </c>
      <c r="AO95" s="472">
        <v>0</v>
      </c>
      <c r="AP95" s="473">
        <v>3.3170731707317082E-2</v>
      </c>
      <c r="AQ95" s="474">
        <v>0</v>
      </c>
      <c r="AR95" s="471">
        <v>3.3170731707317082E-2</v>
      </c>
      <c r="AS95" s="465">
        <v>0</v>
      </c>
      <c r="AT95" s="465">
        <v>3.4000000000000002E-2</v>
      </c>
      <c r="AU95" s="465">
        <v>0</v>
      </c>
      <c r="AV95" s="466">
        <v>3.4000000000000002E-2</v>
      </c>
      <c r="AW95" s="467">
        <v>8.0000000000000016E-2</v>
      </c>
      <c r="AX95" s="585" t="s">
        <v>415</v>
      </c>
      <c r="AY95" s="1131">
        <v>6.5000000000000002E-2</v>
      </c>
      <c r="AZ95" s="1668">
        <v>0</v>
      </c>
      <c r="BA95" s="1668">
        <v>0</v>
      </c>
      <c r="BB95" s="1197"/>
      <c r="BC95" s="519">
        <v>6.5000000000000002E-2</v>
      </c>
      <c r="BD95" s="1019">
        <v>1.7999999999999999E-2</v>
      </c>
      <c r="BE95" s="1020">
        <v>4.7000000000000007E-2</v>
      </c>
      <c r="BF95" s="519">
        <v>6.5000000000000002E-2</v>
      </c>
    </row>
    <row r="96" spans="1:58" ht="105.9" customHeight="1" thickBot="1" x14ac:dyDescent="0.35">
      <c r="A96" s="715" t="s">
        <v>628</v>
      </c>
      <c r="B96" s="1228" t="s">
        <v>397</v>
      </c>
      <c r="C96" s="1918"/>
      <c r="D96" s="1435" t="s">
        <v>367</v>
      </c>
      <c r="E96" s="1436" t="s">
        <v>366</v>
      </c>
      <c r="F96" s="1211" t="s">
        <v>368</v>
      </c>
      <c r="G96" s="151" t="s">
        <v>93</v>
      </c>
      <c r="H96" s="680" t="s">
        <v>94</v>
      </c>
      <c r="I96" s="680" t="s">
        <v>95</v>
      </c>
      <c r="J96" s="154">
        <v>0.08</v>
      </c>
      <c r="K96" s="155">
        <v>5.3120000000000001E-2</v>
      </c>
      <c r="L96" s="155">
        <v>2.6880000000000001E-2</v>
      </c>
      <c r="M96" s="156">
        <v>0</v>
      </c>
      <c r="N96" s="157">
        <v>2.5000000000000001E-2</v>
      </c>
      <c r="O96" s="155" t="s">
        <v>80</v>
      </c>
      <c r="P96" s="605">
        <v>0.44900000000000001</v>
      </c>
      <c r="Q96" s="605">
        <v>0.1</v>
      </c>
      <c r="R96" s="158" t="s">
        <v>96</v>
      </c>
      <c r="S96" s="159" t="s">
        <v>166</v>
      </c>
      <c r="T96" s="1883"/>
      <c r="U96" s="160" t="s">
        <v>84</v>
      </c>
      <c r="V96" s="161" t="s">
        <v>85</v>
      </c>
      <c r="W96" s="161" t="s">
        <v>323</v>
      </c>
      <c r="X96" s="1404">
        <v>18</v>
      </c>
      <c r="Y96" s="1404" t="s">
        <v>321</v>
      </c>
      <c r="Z96" s="1404" t="s">
        <v>356</v>
      </c>
      <c r="AA96" s="1427">
        <v>100000</v>
      </c>
      <c r="AB96" s="160" t="s">
        <v>98</v>
      </c>
      <c r="AC96" s="520">
        <v>25</v>
      </c>
      <c r="AD96" s="521">
        <v>25</v>
      </c>
      <c r="AE96" s="522">
        <v>50</v>
      </c>
      <c r="AF96" s="523">
        <v>7.5</v>
      </c>
      <c r="AG96" s="524">
        <v>17.5</v>
      </c>
      <c r="AH96" s="523">
        <v>7.5</v>
      </c>
      <c r="AI96" s="524">
        <v>17.5</v>
      </c>
      <c r="AJ96" s="490">
        <v>3.0809599999999999E-2</v>
      </c>
      <c r="AK96" s="491">
        <v>1.7529599999999999E-2</v>
      </c>
      <c r="AL96" s="492">
        <v>4.7808E-3</v>
      </c>
      <c r="AM96" s="493">
        <v>5.3120000000000001E-2</v>
      </c>
      <c r="AN96" s="494">
        <v>5.3120000000000001E-2</v>
      </c>
      <c r="AO96" s="490">
        <v>2.622439024390244E-2</v>
      </c>
      <c r="AP96" s="491">
        <v>0</v>
      </c>
      <c r="AQ96" s="492">
        <v>0</v>
      </c>
      <c r="AR96" s="493">
        <v>2.622439024390244E-2</v>
      </c>
      <c r="AS96" s="495">
        <v>2.6880000000000001E-2</v>
      </c>
      <c r="AT96" s="495">
        <v>0</v>
      </c>
      <c r="AU96" s="495">
        <v>0</v>
      </c>
      <c r="AV96" s="496">
        <v>2.6880000000000001E-2</v>
      </c>
      <c r="AW96" s="494">
        <v>0.08</v>
      </c>
      <c r="AX96" s="587" t="s">
        <v>416</v>
      </c>
      <c r="AY96" s="1133">
        <v>6.5000000000000002E-2</v>
      </c>
      <c r="AZ96" s="1670">
        <v>0</v>
      </c>
      <c r="BA96" s="1670">
        <v>0</v>
      </c>
      <c r="BB96" s="1198"/>
      <c r="BC96" s="526">
        <v>6.5000000000000002E-2</v>
      </c>
      <c r="BD96" s="1021">
        <v>1.7999999999999999E-2</v>
      </c>
      <c r="BE96" s="1022">
        <v>4.7000000000000007E-2</v>
      </c>
      <c r="BF96" s="526">
        <v>6.5000000000000002E-2</v>
      </c>
    </row>
    <row r="97" spans="1:58" ht="105.9" customHeight="1" x14ac:dyDescent="0.3">
      <c r="A97" s="715" t="s">
        <v>628</v>
      </c>
      <c r="B97" s="1228" t="s">
        <v>397</v>
      </c>
      <c r="C97" s="1884" t="s">
        <v>172</v>
      </c>
      <c r="D97" s="1437" t="s">
        <v>369</v>
      </c>
      <c r="E97" s="1438" t="s">
        <v>371</v>
      </c>
      <c r="F97" s="1432" t="s">
        <v>370</v>
      </c>
      <c r="G97" s="163" t="s">
        <v>77</v>
      </c>
      <c r="H97" s="681" t="s">
        <v>78</v>
      </c>
      <c r="I97" s="681" t="s">
        <v>79</v>
      </c>
      <c r="J97" s="166">
        <v>3.4999999999999996E-2</v>
      </c>
      <c r="K97" s="167">
        <v>2.0124999999999997E-2</v>
      </c>
      <c r="L97" s="167">
        <v>1.4874999999999998E-2</v>
      </c>
      <c r="M97" s="168">
        <v>0</v>
      </c>
      <c r="N97" s="166">
        <v>2.5000000000000001E-2</v>
      </c>
      <c r="O97" s="167" t="s">
        <v>80</v>
      </c>
      <c r="P97" s="606">
        <v>0.44900000000000001</v>
      </c>
      <c r="Q97" s="606">
        <v>0.1</v>
      </c>
      <c r="R97" s="169" t="s">
        <v>96</v>
      </c>
      <c r="S97" s="166" t="s">
        <v>82</v>
      </c>
      <c r="T97" s="1904" t="s">
        <v>372</v>
      </c>
      <c r="U97" s="170" t="s">
        <v>84</v>
      </c>
      <c r="V97" s="171" t="s">
        <v>85</v>
      </c>
      <c r="W97" s="171" t="s">
        <v>320</v>
      </c>
      <c r="X97" s="1406">
        <v>18</v>
      </c>
      <c r="Y97" s="1406" t="s">
        <v>321</v>
      </c>
      <c r="Z97" s="1406" t="s">
        <v>356</v>
      </c>
      <c r="AA97" s="1407">
        <v>100000</v>
      </c>
      <c r="AB97" s="172" t="s">
        <v>87</v>
      </c>
      <c r="AC97" s="527">
        <v>17.5</v>
      </c>
      <c r="AD97" s="528">
        <v>17.5</v>
      </c>
      <c r="AE97" s="529">
        <v>35</v>
      </c>
      <c r="AF97" s="530">
        <v>7.5</v>
      </c>
      <c r="AG97" s="531">
        <v>10</v>
      </c>
      <c r="AH97" s="530">
        <v>7.5</v>
      </c>
      <c r="AI97" s="531">
        <v>10</v>
      </c>
      <c r="AJ97" s="462">
        <v>1.2276249999999997E-2</v>
      </c>
      <c r="AK97" s="463">
        <v>7.8487499999999998E-3</v>
      </c>
      <c r="AL97" s="464">
        <v>0</v>
      </c>
      <c r="AM97" s="460">
        <v>2.0124999999999997E-2</v>
      </c>
      <c r="AN97" s="461">
        <v>2.0124999999999997E-2</v>
      </c>
      <c r="AO97" s="462">
        <v>0</v>
      </c>
      <c r="AP97" s="463">
        <v>1.4512195121951219E-2</v>
      </c>
      <c r="AQ97" s="464">
        <v>0</v>
      </c>
      <c r="AR97" s="460">
        <v>1.4512195121951219E-2</v>
      </c>
      <c r="AS97" s="465">
        <v>0</v>
      </c>
      <c r="AT97" s="465">
        <v>1.4874999999999998E-2</v>
      </c>
      <c r="AU97" s="465">
        <v>0</v>
      </c>
      <c r="AV97" s="466">
        <v>1.4874999999999998E-2</v>
      </c>
      <c r="AW97" s="461">
        <v>3.4999999999999996E-2</v>
      </c>
      <c r="AX97" s="588" t="s">
        <v>417</v>
      </c>
      <c r="AY97" s="1134">
        <v>9.5000000000000001E-2</v>
      </c>
      <c r="AZ97" s="1671">
        <v>0</v>
      </c>
      <c r="BA97" s="1671">
        <v>0</v>
      </c>
      <c r="BB97" s="1197"/>
      <c r="BC97" s="533">
        <v>9.5000000000000001E-2</v>
      </c>
      <c r="BD97" s="1023">
        <v>1.7999999999999999E-2</v>
      </c>
      <c r="BE97" s="1024">
        <v>7.6999999999999999E-2</v>
      </c>
      <c r="BF97" s="533">
        <v>9.5000000000000001E-2</v>
      </c>
    </row>
    <row r="98" spans="1:58" ht="105.9" customHeight="1" x14ac:dyDescent="0.3">
      <c r="A98" s="715" t="s">
        <v>628</v>
      </c>
      <c r="B98" s="1228" t="s">
        <v>397</v>
      </c>
      <c r="C98" s="1885"/>
      <c r="D98" s="1213" t="s">
        <v>373</v>
      </c>
      <c r="E98" s="427" t="s">
        <v>371</v>
      </c>
      <c r="F98" s="1433" t="s">
        <v>374</v>
      </c>
      <c r="G98" s="175" t="s">
        <v>93</v>
      </c>
      <c r="H98" s="682" t="s">
        <v>94</v>
      </c>
      <c r="I98" s="682" t="s">
        <v>95</v>
      </c>
      <c r="J98" s="177">
        <v>3.5000000000000003E-2</v>
      </c>
      <c r="K98" s="178">
        <v>2.3240000000000004E-2</v>
      </c>
      <c r="L98" s="178">
        <v>1.1760000000000001E-2</v>
      </c>
      <c r="M98" s="179">
        <v>0</v>
      </c>
      <c r="N98" s="180">
        <v>2.5000000000000001E-2</v>
      </c>
      <c r="O98" s="178" t="s">
        <v>80</v>
      </c>
      <c r="P98" s="607">
        <v>0.44900000000000001</v>
      </c>
      <c r="Q98" s="607">
        <v>0.1</v>
      </c>
      <c r="R98" s="181" t="s">
        <v>96</v>
      </c>
      <c r="S98" s="180" t="s">
        <v>82</v>
      </c>
      <c r="T98" s="1905"/>
      <c r="U98" s="182" t="s">
        <v>84</v>
      </c>
      <c r="V98" s="183" t="s">
        <v>85</v>
      </c>
      <c r="W98" s="183" t="s">
        <v>323</v>
      </c>
      <c r="X98" s="1408">
        <v>18</v>
      </c>
      <c r="Y98" s="1408" t="s">
        <v>321</v>
      </c>
      <c r="Z98" s="1408" t="s">
        <v>356</v>
      </c>
      <c r="AA98" s="1409">
        <v>100000</v>
      </c>
      <c r="AB98" s="184" t="s">
        <v>98</v>
      </c>
      <c r="AC98" s="534">
        <v>17.5</v>
      </c>
      <c r="AD98" s="535">
        <v>17.5</v>
      </c>
      <c r="AE98" s="536">
        <v>35</v>
      </c>
      <c r="AF98" s="537">
        <v>7.5</v>
      </c>
      <c r="AG98" s="538">
        <v>10</v>
      </c>
      <c r="AH98" s="537">
        <v>7.5</v>
      </c>
      <c r="AI98" s="538">
        <v>10</v>
      </c>
      <c r="AJ98" s="472">
        <v>1.3479200000000004E-2</v>
      </c>
      <c r="AK98" s="473">
        <v>7.669200000000001E-3</v>
      </c>
      <c r="AL98" s="474">
        <v>2.0916000000000003E-3</v>
      </c>
      <c r="AM98" s="471">
        <v>2.3240000000000004E-2</v>
      </c>
      <c r="AN98" s="467">
        <v>2.3240000000000004E-2</v>
      </c>
      <c r="AO98" s="472">
        <v>1.1473170731707321E-2</v>
      </c>
      <c r="AP98" s="473">
        <v>0</v>
      </c>
      <c r="AQ98" s="474">
        <v>0</v>
      </c>
      <c r="AR98" s="471">
        <v>1.1473170731707321E-2</v>
      </c>
      <c r="AS98" s="465">
        <v>1.1760000000000001E-2</v>
      </c>
      <c r="AT98" s="465">
        <v>0</v>
      </c>
      <c r="AU98" s="465">
        <v>0</v>
      </c>
      <c r="AV98" s="466">
        <v>1.1760000000000001E-2</v>
      </c>
      <c r="AW98" s="467">
        <v>3.5000000000000003E-2</v>
      </c>
      <c r="AX98" s="589" t="s">
        <v>418</v>
      </c>
      <c r="AY98" s="1135">
        <v>9.5000000000000001E-2</v>
      </c>
      <c r="AZ98" s="1672">
        <v>0</v>
      </c>
      <c r="BA98" s="1672">
        <v>0</v>
      </c>
      <c r="BB98" s="1197"/>
      <c r="BC98" s="540">
        <v>9.5000000000000001E-2</v>
      </c>
      <c r="BD98" s="1025">
        <v>1.7999999999999999E-2</v>
      </c>
      <c r="BE98" s="1026">
        <v>7.6999999999999999E-2</v>
      </c>
      <c r="BF98" s="540">
        <v>9.5000000000000001E-2</v>
      </c>
    </row>
    <row r="99" spans="1:58" ht="105.9" customHeight="1" x14ac:dyDescent="0.3">
      <c r="A99" s="715" t="s">
        <v>628</v>
      </c>
      <c r="B99" s="1228" t="s">
        <v>397</v>
      </c>
      <c r="C99" s="1885"/>
      <c r="D99" s="1212" t="s">
        <v>375</v>
      </c>
      <c r="E99" s="426" t="s">
        <v>377</v>
      </c>
      <c r="F99" s="1432" t="s">
        <v>376</v>
      </c>
      <c r="G99" s="163" t="s">
        <v>77</v>
      </c>
      <c r="H99" s="683" t="s">
        <v>78</v>
      </c>
      <c r="I99" s="683" t="s">
        <v>79</v>
      </c>
      <c r="J99" s="188">
        <v>4.5000000000000012E-2</v>
      </c>
      <c r="K99" s="189">
        <v>2.5875000000000006E-2</v>
      </c>
      <c r="L99" s="189">
        <v>1.9125000000000003E-2</v>
      </c>
      <c r="M99" s="190">
        <v>0</v>
      </c>
      <c r="N99" s="188">
        <v>2.5000000000000001E-2</v>
      </c>
      <c r="O99" s="189" t="s">
        <v>80</v>
      </c>
      <c r="P99" s="608">
        <v>0.44900000000000001</v>
      </c>
      <c r="Q99" s="608">
        <v>0.1</v>
      </c>
      <c r="R99" s="191" t="s">
        <v>96</v>
      </c>
      <c r="S99" s="188" t="s">
        <v>190</v>
      </c>
      <c r="T99" s="1905"/>
      <c r="U99" s="192" t="s">
        <v>84</v>
      </c>
      <c r="V99" s="193" t="s">
        <v>85</v>
      </c>
      <c r="W99" s="193" t="s">
        <v>320</v>
      </c>
      <c r="X99" s="1410">
        <v>18</v>
      </c>
      <c r="Y99" s="1410" t="s">
        <v>321</v>
      </c>
      <c r="Z99" s="1410" t="s">
        <v>356</v>
      </c>
      <c r="AA99" s="1411">
        <v>100000</v>
      </c>
      <c r="AB99" s="194" t="s">
        <v>87</v>
      </c>
      <c r="AC99" s="541">
        <v>17.5</v>
      </c>
      <c r="AD99" s="542">
        <v>17.5</v>
      </c>
      <c r="AE99" s="543">
        <v>35</v>
      </c>
      <c r="AF99" s="544">
        <v>7.5</v>
      </c>
      <c r="AG99" s="545">
        <v>10</v>
      </c>
      <c r="AH99" s="544">
        <v>7.5</v>
      </c>
      <c r="AI99" s="545">
        <v>10</v>
      </c>
      <c r="AJ99" s="472">
        <v>1.5783750000000003E-2</v>
      </c>
      <c r="AK99" s="473">
        <v>1.0091250000000003E-2</v>
      </c>
      <c r="AL99" s="474">
        <v>0</v>
      </c>
      <c r="AM99" s="471">
        <v>2.5875000000000006E-2</v>
      </c>
      <c r="AN99" s="467">
        <v>2.5875000000000006E-2</v>
      </c>
      <c r="AO99" s="472">
        <v>0</v>
      </c>
      <c r="AP99" s="473">
        <v>1.865853658536586E-2</v>
      </c>
      <c r="AQ99" s="474">
        <v>0</v>
      </c>
      <c r="AR99" s="471">
        <v>1.865853658536586E-2</v>
      </c>
      <c r="AS99" s="465">
        <v>0</v>
      </c>
      <c r="AT99" s="465">
        <v>1.9125000000000003E-2</v>
      </c>
      <c r="AU99" s="465">
        <v>0</v>
      </c>
      <c r="AV99" s="466">
        <v>1.9125000000000003E-2</v>
      </c>
      <c r="AW99" s="467">
        <v>4.5000000000000012E-2</v>
      </c>
      <c r="AX99" s="588" t="s">
        <v>419</v>
      </c>
      <c r="AY99" s="1134">
        <v>8.3000000000000004E-2</v>
      </c>
      <c r="AZ99" s="1671">
        <v>0</v>
      </c>
      <c r="BA99" s="1671">
        <v>0</v>
      </c>
      <c r="BB99" s="1197"/>
      <c r="BC99" s="546">
        <v>8.3000000000000004E-2</v>
      </c>
      <c r="BD99" s="1027">
        <v>1.7999999999999999E-2</v>
      </c>
      <c r="BE99" s="1028">
        <v>6.5000000000000002E-2</v>
      </c>
      <c r="BF99" s="546">
        <v>8.3000000000000004E-2</v>
      </c>
    </row>
    <row r="100" spans="1:58" ht="105.9" customHeight="1" x14ac:dyDescent="0.3">
      <c r="A100" s="715" t="s">
        <v>628</v>
      </c>
      <c r="B100" s="1228" t="s">
        <v>397</v>
      </c>
      <c r="C100" s="1885"/>
      <c r="D100" s="1213" t="s">
        <v>378</v>
      </c>
      <c r="E100" s="428" t="s">
        <v>377</v>
      </c>
      <c r="F100" s="1433" t="s">
        <v>379</v>
      </c>
      <c r="G100" s="429" t="s">
        <v>93</v>
      </c>
      <c r="H100" s="682" t="s">
        <v>94</v>
      </c>
      <c r="I100" s="682" t="s">
        <v>95</v>
      </c>
      <c r="J100" s="177">
        <v>4.4999999999999991E-2</v>
      </c>
      <c r="K100" s="178">
        <v>2.9879999999999993E-2</v>
      </c>
      <c r="L100" s="178">
        <v>1.512E-2</v>
      </c>
      <c r="M100" s="179">
        <v>0</v>
      </c>
      <c r="N100" s="180">
        <v>2.5000000000000001E-2</v>
      </c>
      <c r="O100" s="178" t="s">
        <v>80</v>
      </c>
      <c r="P100" s="607">
        <v>0.44900000000000001</v>
      </c>
      <c r="Q100" s="607">
        <v>0.1</v>
      </c>
      <c r="R100" s="181" t="s">
        <v>96</v>
      </c>
      <c r="S100" s="180" t="s">
        <v>190</v>
      </c>
      <c r="T100" s="1905"/>
      <c r="U100" s="182" t="s">
        <v>84</v>
      </c>
      <c r="V100" s="183" t="s">
        <v>85</v>
      </c>
      <c r="W100" s="183" t="s">
        <v>323</v>
      </c>
      <c r="X100" s="1408">
        <v>18</v>
      </c>
      <c r="Y100" s="1408" t="s">
        <v>321</v>
      </c>
      <c r="Z100" s="1408" t="s">
        <v>356</v>
      </c>
      <c r="AA100" s="1409">
        <v>100000</v>
      </c>
      <c r="AB100" s="184" t="s">
        <v>98</v>
      </c>
      <c r="AC100" s="534">
        <v>17.5</v>
      </c>
      <c r="AD100" s="535">
        <v>17.5</v>
      </c>
      <c r="AE100" s="536">
        <v>35</v>
      </c>
      <c r="AF100" s="537">
        <v>7.5</v>
      </c>
      <c r="AG100" s="538">
        <v>10</v>
      </c>
      <c r="AH100" s="537">
        <v>7.5</v>
      </c>
      <c r="AI100" s="538">
        <v>10</v>
      </c>
      <c r="AJ100" s="472">
        <v>1.7330399999999996E-2</v>
      </c>
      <c r="AK100" s="473">
        <v>9.8604000000000001E-3</v>
      </c>
      <c r="AL100" s="474">
        <v>2.6891999999999997E-3</v>
      </c>
      <c r="AM100" s="471">
        <v>2.9879999999999993E-2</v>
      </c>
      <c r="AN100" s="467">
        <v>2.9879999999999993E-2</v>
      </c>
      <c r="AO100" s="472">
        <v>1.4751219512195123E-2</v>
      </c>
      <c r="AP100" s="473">
        <v>0</v>
      </c>
      <c r="AQ100" s="474">
        <v>0</v>
      </c>
      <c r="AR100" s="471">
        <v>1.4751219512195123E-2</v>
      </c>
      <c r="AS100" s="465">
        <v>1.512E-2</v>
      </c>
      <c r="AT100" s="465">
        <v>0</v>
      </c>
      <c r="AU100" s="465">
        <v>0</v>
      </c>
      <c r="AV100" s="466">
        <v>1.512E-2</v>
      </c>
      <c r="AW100" s="467">
        <v>4.4999999999999991E-2</v>
      </c>
      <c r="AX100" s="589" t="s">
        <v>420</v>
      </c>
      <c r="AY100" s="1135">
        <v>8.3000000000000004E-2</v>
      </c>
      <c r="AZ100" s="1672">
        <v>0</v>
      </c>
      <c r="BA100" s="1672">
        <v>0</v>
      </c>
      <c r="BB100" s="1197"/>
      <c r="BC100" s="540">
        <v>8.3000000000000004E-2</v>
      </c>
      <c r="BD100" s="1025">
        <v>1.7999999999999999E-2</v>
      </c>
      <c r="BE100" s="1026">
        <v>6.5000000000000002E-2</v>
      </c>
      <c r="BF100" s="540">
        <v>8.3000000000000004E-2</v>
      </c>
    </row>
    <row r="101" spans="1:58" ht="105.9" customHeight="1" x14ac:dyDescent="0.3">
      <c r="A101" s="715" t="s">
        <v>628</v>
      </c>
      <c r="B101" s="1228" t="s">
        <v>397</v>
      </c>
      <c r="C101" s="1885"/>
      <c r="D101" s="1212" t="s">
        <v>380</v>
      </c>
      <c r="E101" s="426" t="s">
        <v>382</v>
      </c>
      <c r="F101" s="1432" t="s">
        <v>381</v>
      </c>
      <c r="G101" s="163" t="s">
        <v>77</v>
      </c>
      <c r="H101" s="683" t="s">
        <v>78</v>
      </c>
      <c r="I101" s="683" t="s">
        <v>79</v>
      </c>
      <c r="J101" s="188">
        <v>5.9999999999999984E-2</v>
      </c>
      <c r="K101" s="189">
        <v>3.4499999999999989E-2</v>
      </c>
      <c r="L101" s="189">
        <v>2.5499999999999995E-2</v>
      </c>
      <c r="M101" s="190">
        <v>0</v>
      </c>
      <c r="N101" s="188">
        <v>2.5000000000000001E-2</v>
      </c>
      <c r="O101" s="189" t="s">
        <v>80</v>
      </c>
      <c r="P101" s="608">
        <v>0.44900000000000001</v>
      </c>
      <c r="Q101" s="608">
        <v>0.1</v>
      </c>
      <c r="R101" s="191" t="s">
        <v>96</v>
      </c>
      <c r="S101" s="188" t="s">
        <v>202</v>
      </c>
      <c r="T101" s="1905"/>
      <c r="U101" s="192" t="s">
        <v>84</v>
      </c>
      <c r="V101" s="193" t="s">
        <v>85</v>
      </c>
      <c r="W101" s="193" t="s">
        <v>320</v>
      </c>
      <c r="X101" s="1410">
        <v>18</v>
      </c>
      <c r="Y101" s="1410" t="s">
        <v>321</v>
      </c>
      <c r="Z101" s="1410" t="s">
        <v>356</v>
      </c>
      <c r="AA101" s="1411">
        <v>100000</v>
      </c>
      <c r="AB101" s="194" t="s">
        <v>87</v>
      </c>
      <c r="AC101" s="541">
        <v>17.5</v>
      </c>
      <c r="AD101" s="542">
        <v>17.5</v>
      </c>
      <c r="AE101" s="543">
        <v>35</v>
      </c>
      <c r="AF101" s="544">
        <v>7.5</v>
      </c>
      <c r="AG101" s="545">
        <v>10</v>
      </c>
      <c r="AH101" s="544">
        <v>7.5</v>
      </c>
      <c r="AI101" s="545">
        <v>10</v>
      </c>
      <c r="AJ101" s="472">
        <v>2.1044999999999991E-2</v>
      </c>
      <c r="AK101" s="473">
        <v>1.3454999999999996E-2</v>
      </c>
      <c r="AL101" s="474">
        <v>0</v>
      </c>
      <c r="AM101" s="471">
        <v>3.4499999999999989E-2</v>
      </c>
      <c r="AN101" s="467">
        <v>3.4499999999999989E-2</v>
      </c>
      <c r="AO101" s="472">
        <v>0</v>
      </c>
      <c r="AP101" s="473">
        <v>2.4878048780487803E-2</v>
      </c>
      <c r="AQ101" s="474">
        <v>0</v>
      </c>
      <c r="AR101" s="471">
        <v>2.4878048780487803E-2</v>
      </c>
      <c r="AS101" s="465">
        <v>0</v>
      </c>
      <c r="AT101" s="465">
        <v>2.5499999999999995E-2</v>
      </c>
      <c r="AU101" s="465">
        <v>0</v>
      </c>
      <c r="AV101" s="466">
        <v>2.5499999999999995E-2</v>
      </c>
      <c r="AW101" s="467">
        <v>5.9999999999999984E-2</v>
      </c>
      <c r="AX101" s="588" t="s">
        <v>421</v>
      </c>
      <c r="AY101" s="1134">
        <v>7.2999999999999995E-2</v>
      </c>
      <c r="AZ101" s="1671">
        <v>0</v>
      </c>
      <c r="BA101" s="1671">
        <v>0</v>
      </c>
      <c r="BB101" s="1197"/>
      <c r="BC101" s="546">
        <v>7.2999999999999995E-2</v>
      </c>
      <c r="BD101" s="1027">
        <v>1.7999999999999999E-2</v>
      </c>
      <c r="BE101" s="1028">
        <v>5.5E-2</v>
      </c>
      <c r="BF101" s="546">
        <v>7.2999999999999995E-2</v>
      </c>
    </row>
    <row r="102" spans="1:58" ht="105.9" customHeight="1" thickBot="1" x14ac:dyDescent="0.35">
      <c r="A102" s="715" t="s">
        <v>628</v>
      </c>
      <c r="B102" s="1228" t="s">
        <v>397</v>
      </c>
      <c r="C102" s="1886"/>
      <c r="D102" s="1439" t="s">
        <v>383</v>
      </c>
      <c r="E102" s="1440" t="s">
        <v>382</v>
      </c>
      <c r="F102" s="1434" t="s">
        <v>384</v>
      </c>
      <c r="G102" s="195" t="s">
        <v>93</v>
      </c>
      <c r="H102" s="684" t="s">
        <v>94</v>
      </c>
      <c r="I102" s="684" t="s">
        <v>95</v>
      </c>
      <c r="J102" s="198">
        <v>0.06</v>
      </c>
      <c r="K102" s="199">
        <v>3.984E-2</v>
      </c>
      <c r="L102" s="199">
        <v>2.0159999999999997E-2</v>
      </c>
      <c r="M102" s="200">
        <v>0</v>
      </c>
      <c r="N102" s="201">
        <v>2.5000000000000001E-2</v>
      </c>
      <c r="O102" s="199" t="s">
        <v>80</v>
      </c>
      <c r="P102" s="609">
        <v>0.44900000000000001</v>
      </c>
      <c r="Q102" s="609">
        <v>0.1</v>
      </c>
      <c r="R102" s="202" t="s">
        <v>96</v>
      </c>
      <c r="S102" s="201" t="s">
        <v>202</v>
      </c>
      <c r="T102" s="1906"/>
      <c r="U102" s="203" t="s">
        <v>84</v>
      </c>
      <c r="V102" s="204" t="s">
        <v>85</v>
      </c>
      <c r="W102" s="204" t="s">
        <v>323</v>
      </c>
      <c r="X102" s="1412">
        <v>18</v>
      </c>
      <c r="Y102" s="1412" t="s">
        <v>321</v>
      </c>
      <c r="Z102" s="1412" t="s">
        <v>356</v>
      </c>
      <c r="AA102" s="1413">
        <v>100000</v>
      </c>
      <c r="AB102" s="205" t="s">
        <v>98</v>
      </c>
      <c r="AC102" s="547">
        <v>17.5</v>
      </c>
      <c r="AD102" s="548">
        <v>17.5</v>
      </c>
      <c r="AE102" s="549">
        <v>35</v>
      </c>
      <c r="AF102" s="550">
        <v>7.5</v>
      </c>
      <c r="AG102" s="551">
        <v>10</v>
      </c>
      <c r="AH102" s="550">
        <v>7.5</v>
      </c>
      <c r="AI102" s="551">
        <v>10</v>
      </c>
      <c r="AJ102" s="490">
        <v>2.3107199999999998E-2</v>
      </c>
      <c r="AK102" s="491">
        <v>1.31472E-2</v>
      </c>
      <c r="AL102" s="492">
        <v>3.5855999999999996E-3</v>
      </c>
      <c r="AM102" s="493">
        <v>3.984E-2</v>
      </c>
      <c r="AN102" s="494">
        <v>3.984E-2</v>
      </c>
      <c r="AO102" s="490">
        <v>1.966829268292683E-2</v>
      </c>
      <c r="AP102" s="491">
        <v>0</v>
      </c>
      <c r="AQ102" s="492">
        <v>0</v>
      </c>
      <c r="AR102" s="493">
        <v>1.966829268292683E-2</v>
      </c>
      <c r="AS102" s="495">
        <v>2.0159999999999997E-2</v>
      </c>
      <c r="AT102" s="495">
        <v>0</v>
      </c>
      <c r="AU102" s="495">
        <v>0</v>
      </c>
      <c r="AV102" s="496">
        <v>2.0159999999999997E-2</v>
      </c>
      <c r="AW102" s="494">
        <v>0.06</v>
      </c>
      <c r="AX102" s="590" t="s">
        <v>422</v>
      </c>
      <c r="AY102" s="1136">
        <v>7.2999999999999995E-2</v>
      </c>
      <c r="AZ102" s="1673">
        <v>0</v>
      </c>
      <c r="BA102" s="1673">
        <v>0</v>
      </c>
      <c r="BB102" s="1198"/>
      <c r="BC102" s="553">
        <v>7.2999999999999995E-2</v>
      </c>
      <c r="BD102" s="1029">
        <v>1.7999999999999999E-2</v>
      </c>
      <c r="BE102" s="1030">
        <v>5.5E-2</v>
      </c>
      <c r="BF102" s="553">
        <v>7.2999999999999995E-2</v>
      </c>
    </row>
    <row r="103" spans="1:58" ht="105.9" customHeight="1" x14ac:dyDescent="0.3">
      <c r="A103" s="715" t="s">
        <v>628</v>
      </c>
      <c r="B103" s="1228" t="s">
        <v>397</v>
      </c>
      <c r="C103" s="1893" t="s">
        <v>11</v>
      </c>
      <c r="D103" s="440" t="s">
        <v>385</v>
      </c>
      <c r="E103" s="430" t="s">
        <v>387</v>
      </c>
      <c r="F103" s="1428" t="s">
        <v>386</v>
      </c>
      <c r="G103" s="431" t="s">
        <v>328</v>
      </c>
      <c r="H103" s="685" t="s">
        <v>214</v>
      </c>
      <c r="I103" s="685" t="s">
        <v>215</v>
      </c>
      <c r="J103" s="208">
        <v>4.4999999999999998E-2</v>
      </c>
      <c r="K103" s="209">
        <v>3.4875000000000003E-2</v>
      </c>
      <c r="L103" s="209">
        <v>1.0124999999999999E-2</v>
      </c>
      <c r="M103" s="210">
        <v>0</v>
      </c>
      <c r="N103" s="211">
        <v>2.5000000000000001E-2</v>
      </c>
      <c r="O103" s="212" t="s">
        <v>216</v>
      </c>
      <c r="P103" s="610">
        <v>0.44900000000000001</v>
      </c>
      <c r="Q103" s="610">
        <v>0.1</v>
      </c>
      <c r="R103" s="213" t="s">
        <v>96</v>
      </c>
      <c r="S103" s="214" t="s">
        <v>217</v>
      </c>
      <c r="T103" s="1898" t="s">
        <v>218</v>
      </c>
      <c r="U103" s="215" t="s">
        <v>84</v>
      </c>
      <c r="V103" s="216" t="s">
        <v>85</v>
      </c>
      <c r="W103" s="216" t="s">
        <v>323</v>
      </c>
      <c r="X103" s="1414">
        <v>18</v>
      </c>
      <c r="Y103" s="1414" t="s">
        <v>321</v>
      </c>
      <c r="Z103" s="1414" t="s">
        <v>322</v>
      </c>
      <c r="AA103" s="1415">
        <v>100000</v>
      </c>
      <c r="AB103" s="215" t="s">
        <v>219</v>
      </c>
      <c r="AC103" s="554">
        <v>20.5</v>
      </c>
      <c r="AD103" s="555">
        <v>20.5</v>
      </c>
      <c r="AE103" s="556">
        <v>41</v>
      </c>
      <c r="AF103" s="557">
        <v>7.5</v>
      </c>
      <c r="AG103" s="558">
        <v>13</v>
      </c>
      <c r="AH103" s="557">
        <v>7.5</v>
      </c>
      <c r="AI103" s="558">
        <v>13</v>
      </c>
      <c r="AJ103" s="462">
        <v>2.325E-2</v>
      </c>
      <c r="AK103" s="463">
        <v>1.1625E-2</v>
      </c>
      <c r="AL103" s="464">
        <v>0</v>
      </c>
      <c r="AM103" s="460">
        <v>3.4875000000000003E-2</v>
      </c>
      <c r="AN103" s="461">
        <v>3.4875000000000003E-2</v>
      </c>
      <c r="AO103" s="462">
        <v>9.878048780487805E-3</v>
      </c>
      <c r="AP103" s="463">
        <v>0</v>
      </c>
      <c r="AQ103" s="464">
        <v>0</v>
      </c>
      <c r="AR103" s="460">
        <v>9.878048780487805E-3</v>
      </c>
      <c r="AS103" s="465">
        <v>1.0124999999999999E-2</v>
      </c>
      <c r="AT103" s="465">
        <v>0</v>
      </c>
      <c r="AU103" s="465">
        <v>0</v>
      </c>
      <c r="AV103" s="466">
        <v>1.0124999999999999E-2</v>
      </c>
      <c r="AW103" s="461">
        <v>4.4999999999999998E-2</v>
      </c>
      <c r="AX103" s="591" t="s">
        <v>423</v>
      </c>
      <c r="AY103" s="1137">
        <v>7.2999999999999995E-2</v>
      </c>
      <c r="AZ103" s="1674">
        <v>0</v>
      </c>
      <c r="BA103" s="1674">
        <v>0</v>
      </c>
      <c r="BB103" s="1197"/>
      <c r="BC103" s="560">
        <v>7.2999999999999995E-2</v>
      </c>
      <c r="BD103" s="1031">
        <v>1.7999999999999999E-2</v>
      </c>
      <c r="BE103" s="1032">
        <v>5.5E-2</v>
      </c>
      <c r="BF103" s="560">
        <v>7.2999999999999995E-2</v>
      </c>
    </row>
    <row r="104" spans="1:58" ht="105.9" customHeight="1" thickBot="1" x14ac:dyDescent="0.35">
      <c r="A104" s="715" t="s">
        <v>628</v>
      </c>
      <c r="B104" s="1228" t="s">
        <v>397</v>
      </c>
      <c r="C104" s="1912"/>
      <c r="D104" s="441" t="s">
        <v>388</v>
      </c>
      <c r="E104" s="432" t="s">
        <v>387</v>
      </c>
      <c r="F104" s="1429" t="s">
        <v>389</v>
      </c>
      <c r="G104" s="433" t="s">
        <v>328</v>
      </c>
      <c r="H104" s="686" t="s">
        <v>214</v>
      </c>
      <c r="I104" s="686" t="s">
        <v>215</v>
      </c>
      <c r="J104" s="219">
        <v>4.4999999999999998E-2</v>
      </c>
      <c r="K104" s="220">
        <v>3.4875000000000003E-2</v>
      </c>
      <c r="L104" s="220">
        <v>1.0124999999999999E-2</v>
      </c>
      <c r="M104" s="221">
        <v>0</v>
      </c>
      <c r="N104" s="222">
        <v>2.5000000000000001E-2</v>
      </c>
      <c r="O104" s="223" t="s">
        <v>216</v>
      </c>
      <c r="P104" s="611">
        <v>0.44900000000000001</v>
      </c>
      <c r="Q104" s="611">
        <v>0.1</v>
      </c>
      <c r="R104" s="224" t="s">
        <v>96</v>
      </c>
      <c r="S104" s="225" t="s">
        <v>217</v>
      </c>
      <c r="T104" s="1899"/>
      <c r="U104" s="226" t="s">
        <v>84</v>
      </c>
      <c r="V104" s="227" t="s">
        <v>85</v>
      </c>
      <c r="W104" s="227" t="s">
        <v>323</v>
      </c>
      <c r="X104" s="1416">
        <v>18</v>
      </c>
      <c r="Y104" s="1416" t="s">
        <v>321</v>
      </c>
      <c r="Z104" s="1416" t="s">
        <v>322</v>
      </c>
      <c r="AA104" s="1417">
        <v>100000</v>
      </c>
      <c r="AB104" s="226" t="s">
        <v>219</v>
      </c>
      <c r="AC104" s="561">
        <v>20.5</v>
      </c>
      <c r="AD104" s="562">
        <v>20.5</v>
      </c>
      <c r="AE104" s="563">
        <v>41</v>
      </c>
      <c r="AF104" s="564">
        <v>7.5</v>
      </c>
      <c r="AG104" s="565">
        <v>13</v>
      </c>
      <c r="AH104" s="564">
        <v>7.5</v>
      </c>
      <c r="AI104" s="565">
        <v>13</v>
      </c>
      <c r="AJ104" s="490">
        <v>2.325E-2</v>
      </c>
      <c r="AK104" s="491">
        <v>1.1625E-2</v>
      </c>
      <c r="AL104" s="492">
        <v>0</v>
      </c>
      <c r="AM104" s="493">
        <v>3.4875000000000003E-2</v>
      </c>
      <c r="AN104" s="494">
        <v>3.4875000000000003E-2</v>
      </c>
      <c r="AO104" s="490">
        <v>9.878048780487805E-3</v>
      </c>
      <c r="AP104" s="491">
        <v>0</v>
      </c>
      <c r="AQ104" s="492">
        <v>0</v>
      </c>
      <c r="AR104" s="493">
        <v>9.878048780487805E-3</v>
      </c>
      <c r="AS104" s="495">
        <v>1.0124999999999999E-2</v>
      </c>
      <c r="AT104" s="495">
        <v>0</v>
      </c>
      <c r="AU104" s="495">
        <v>0</v>
      </c>
      <c r="AV104" s="496">
        <v>1.0124999999999999E-2</v>
      </c>
      <c r="AW104" s="494">
        <v>4.4999999999999998E-2</v>
      </c>
      <c r="AX104" s="592" t="s">
        <v>423</v>
      </c>
      <c r="AY104" s="1138">
        <v>7.2999999999999995E-2</v>
      </c>
      <c r="AZ104" s="1675">
        <v>0</v>
      </c>
      <c r="BA104" s="1675">
        <v>0</v>
      </c>
      <c r="BB104" s="1198"/>
      <c r="BC104" s="567">
        <v>7.2999999999999995E-2</v>
      </c>
      <c r="BD104" s="1033">
        <v>1.7999999999999999E-2</v>
      </c>
      <c r="BE104" s="1034">
        <v>5.5E-2</v>
      </c>
      <c r="BF104" s="567">
        <v>7.2999999999999995E-2</v>
      </c>
    </row>
    <row r="105" spans="1:58" ht="105.9" customHeight="1" x14ac:dyDescent="0.3">
      <c r="A105" s="715" t="s">
        <v>628</v>
      </c>
      <c r="B105" s="1228" t="s">
        <v>397</v>
      </c>
      <c r="C105" s="1900" t="s">
        <v>10</v>
      </c>
      <c r="D105" s="442" t="s">
        <v>390</v>
      </c>
      <c r="E105" s="434" t="s">
        <v>392</v>
      </c>
      <c r="F105" s="1430" t="s">
        <v>391</v>
      </c>
      <c r="G105" s="435" t="s">
        <v>328</v>
      </c>
      <c r="H105" s="687" t="s">
        <v>230</v>
      </c>
      <c r="I105" s="687" t="s">
        <v>231</v>
      </c>
      <c r="J105" s="230">
        <v>0.08</v>
      </c>
      <c r="K105" s="231">
        <v>7.5563405779431311E-2</v>
      </c>
      <c r="L105" s="231">
        <v>4.4365942205686903E-3</v>
      </c>
      <c r="M105" s="232">
        <v>0</v>
      </c>
      <c r="N105" s="233">
        <v>2.5000000000000001E-2</v>
      </c>
      <c r="O105" s="231" t="s">
        <v>80</v>
      </c>
      <c r="P105" s="612">
        <v>0.26</v>
      </c>
      <c r="Q105" s="612" t="s">
        <v>399</v>
      </c>
      <c r="R105" s="234" t="s">
        <v>96</v>
      </c>
      <c r="S105" s="235" t="s">
        <v>232</v>
      </c>
      <c r="T105" s="1902" t="s">
        <v>83</v>
      </c>
      <c r="U105" s="236" t="s">
        <v>84</v>
      </c>
      <c r="V105" s="237" t="s">
        <v>85</v>
      </c>
      <c r="W105" s="237" t="s">
        <v>323</v>
      </c>
      <c r="X105" s="1418">
        <v>60</v>
      </c>
      <c r="Y105" s="1418" t="s">
        <v>322</v>
      </c>
      <c r="Z105" s="1418" t="s">
        <v>393</v>
      </c>
      <c r="AA105" s="1419">
        <v>100000</v>
      </c>
      <c r="AB105" s="236" t="s">
        <v>233</v>
      </c>
      <c r="AC105" s="568">
        <v>25</v>
      </c>
      <c r="AD105" s="569">
        <v>25</v>
      </c>
      <c r="AE105" s="570">
        <v>50</v>
      </c>
      <c r="AF105" s="571">
        <v>7.5</v>
      </c>
      <c r="AG105" s="572">
        <v>17.5</v>
      </c>
      <c r="AH105" s="571">
        <v>7.5</v>
      </c>
      <c r="AI105" s="572">
        <v>17.5</v>
      </c>
      <c r="AJ105" s="462">
        <v>7.5563405779431311E-2</v>
      </c>
      <c r="AK105" s="463">
        <v>0</v>
      </c>
      <c r="AL105" s="464">
        <v>0</v>
      </c>
      <c r="AM105" s="460">
        <v>7.5563405779431311E-2</v>
      </c>
      <c r="AN105" s="461">
        <v>7.5563405779431311E-2</v>
      </c>
      <c r="AO105" s="462">
        <v>0</v>
      </c>
      <c r="AP105" s="463">
        <v>0</v>
      </c>
      <c r="AQ105" s="464">
        <v>4.328384605432869E-3</v>
      </c>
      <c r="AR105" s="460">
        <v>4.328384605432869E-3</v>
      </c>
      <c r="AS105" s="573">
        <v>0</v>
      </c>
      <c r="AT105" s="573">
        <v>0</v>
      </c>
      <c r="AU105" s="573">
        <v>4.4365942205686903E-3</v>
      </c>
      <c r="AV105" s="574">
        <v>4.4365942205686903E-3</v>
      </c>
      <c r="AW105" s="461">
        <v>0.08</v>
      </c>
      <c r="AX105" s="593" t="s">
        <v>424</v>
      </c>
      <c r="AY105" s="1139">
        <v>0.08</v>
      </c>
      <c r="AZ105" s="1676">
        <v>0</v>
      </c>
      <c r="BA105" s="1676">
        <v>0</v>
      </c>
      <c r="BB105" s="1197"/>
      <c r="BC105" s="576">
        <v>0.08</v>
      </c>
      <c r="BD105" s="1035">
        <v>1.44E-2</v>
      </c>
      <c r="BE105" s="1036">
        <v>6.5600000000000006E-2</v>
      </c>
      <c r="BF105" s="576">
        <v>0.08</v>
      </c>
    </row>
    <row r="106" spans="1:58" ht="105.9" customHeight="1" thickBot="1" x14ac:dyDescent="0.35">
      <c r="A106" s="716" t="s">
        <v>628</v>
      </c>
      <c r="B106" s="1229" t="s">
        <v>397</v>
      </c>
      <c r="C106" s="1901"/>
      <c r="D106" s="443" t="s">
        <v>394</v>
      </c>
      <c r="E106" s="444" t="s">
        <v>396</v>
      </c>
      <c r="F106" s="1431" t="s">
        <v>395</v>
      </c>
      <c r="G106" s="436" t="s">
        <v>328</v>
      </c>
      <c r="H106" s="688" t="s">
        <v>230</v>
      </c>
      <c r="I106" s="688" t="s">
        <v>231</v>
      </c>
      <c r="J106" s="240">
        <v>0.08</v>
      </c>
      <c r="K106" s="241">
        <v>7.5563405779431311E-2</v>
      </c>
      <c r="L106" s="241">
        <v>4.4365942205686903E-3</v>
      </c>
      <c r="M106" s="242">
        <v>0</v>
      </c>
      <c r="N106" s="243">
        <v>2.5000000000000001E-2</v>
      </c>
      <c r="O106" s="241" t="s">
        <v>80</v>
      </c>
      <c r="P106" s="613">
        <v>0.26</v>
      </c>
      <c r="Q106" s="613" t="s">
        <v>399</v>
      </c>
      <c r="R106" s="244" t="s">
        <v>96</v>
      </c>
      <c r="S106" s="245" t="s">
        <v>232</v>
      </c>
      <c r="T106" s="1903"/>
      <c r="U106" s="246" t="s">
        <v>84</v>
      </c>
      <c r="V106" s="247" t="s">
        <v>85</v>
      </c>
      <c r="W106" s="247" t="s">
        <v>323</v>
      </c>
      <c r="X106" s="1420">
        <v>60</v>
      </c>
      <c r="Y106" s="1420" t="s">
        <v>322</v>
      </c>
      <c r="Z106" s="1420" t="s">
        <v>393</v>
      </c>
      <c r="AA106" s="1421">
        <v>100000</v>
      </c>
      <c r="AB106" s="246" t="s">
        <v>233</v>
      </c>
      <c r="AC106" s="577">
        <v>25</v>
      </c>
      <c r="AD106" s="578">
        <v>25</v>
      </c>
      <c r="AE106" s="579">
        <v>50</v>
      </c>
      <c r="AF106" s="580">
        <v>7.5</v>
      </c>
      <c r="AG106" s="581">
        <v>17.5</v>
      </c>
      <c r="AH106" s="580">
        <v>7.5</v>
      </c>
      <c r="AI106" s="581">
        <v>17.5</v>
      </c>
      <c r="AJ106" s="490">
        <v>7.5563405779431311E-2</v>
      </c>
      <c r="AK106" s="491">
        <v>0</v>
      </c>
      <c r="AL106" s="492">
        <v>0</v>
      </c>
      <c r="AM106" s="493">
        <v>7.5563405779431311E-2</v>
      </c>
      <c r="AN106" s="494">
        <v>7.5563405779431311E-2</v>
      </c>
      <c r="AO106" s="490">
        <v>0</v>
      </c>
      <c r="AP106" s="491">
        <v>0</v>
      </c>
      <c r="AQ106" s="492">
        <v>4.328384605432869E-3</v>
      </c>
      <c r="AR106" s="493">
        <v>4.328384605432869E-3</v>
      </c>
      <c r="AS106" s="495">
        <v>0</v>
      </c>
      <c r="AT106" s="495">
        <v>0</v>
      </c>
      <c r="AU106" s="495">
        <v>4.4365942205686903E-3</v>
      </c>
      <c r="AV106" s="496">
        <v>4.4365942205686903E-3</v>
      </c>
      <c r="AW106" s="494">
        <v>0.08</v>
      </c>
      <c r="AX106" s="594" t="s">
        <v>425</v>
      </c>
      <c r="AY106" s="1156">
        <v>0.08</v>
      </c>
      <c r="AZ106" s="1677">
        <v>0</v>
      </c>
      <c r="BA106" s="1677">
        <v>0</v>
      </c>
      <c r="BB106" s="1199"/>
      <c r="BC106" s="583">
        <v>0.08</v>
      </c>
      <c r="BD106" s="1037">
        <v>1.44E-2</v>
      </c>
      <c r="BE106" s="1038">
        <v>6.5600000000000006E-2</v>
      </c>
      <c r="BF106" s="583">
        <v>0.08</v>
      </c>
    </row>
    <row r="352" spans="3:6" x14ac:dyDescent="0.3">
      <c r="C352" s="614" t="s">
        <v>239</v>
      </c>
      <c r="D352" s="248"/>
      <c r="E352" s="248"/>
      <c r="F352" s="248"/>
    </row>
    <row r="353" spans="3:6" x14ac:dyDescent="0.3">
      <c r="C353" s="249" t="s">
        <v>240</v>
      </c>
      <c r="D353" s="44"/>
      <c r="E353" s="44"/>
      <c r="F353" s="44"/>
    </row>
    <row r="354" spans="3:6" x14ac:dyDescent="0.3">
      <c r="C354" s="250" t="s">
        <v>78</v>
      </c>
      <c r="D354" s="251"/>
      <c r="E354" s="251"/>
      <c r="F354" s="251"/>
    </row>
    <row r="355" spans="3:6" x14ac:dyDescent="0.3">
      <c r="C355" s="250" t="s">
        <v>94</v>
      </c>
      <c r="D355" s="251"/>
      <c r="E355" s="251"/>
      <c r="F355" s="251"/>
    </row>
    <row r="356" spans="3:6" x14ac:dyDescent="0.3">
      <c r="C356" s="250" t="s">
        <v>214</v>
      </c>
      <c r="D356" s="251"/>
      <c r="E356" s="251"/>
      <c r="F356" s="251"/>
    </row>
    <row r="357" spans="3:6" x14ac:dyDescent="0.3">
      <c r="C357" s="250" t="s">
        <v>230</v>
      </c>
      <c r="D357" s="251"/>
      <c r="E357" s="251"/>
      <c r="F357" s="251"/>
    </row>
  </sheetData>
  <mergeCells count="36">
    <mergeCell ref="BC2:BN2"/>
    <mergeCell ref="BO2:BR2"/>
    <mergeCell ref="BS2:BV2"/>
    <mergeCell ref="C24:C25"/>
    <mergeCell ref="C22:C23"/>
    <mergeCell ref="BG3:BJ3"/>
    <mergeCell ref="BK3:BN3"/>
    <mergeCell ref="BO3:BR3"/>
    <mergeCell ref="BS3:BV3"/>
    <mergeCell ref="C27:C34"/>
    <mergeCell ref="C35:C40"/>
    <mergeCell ref="C41:C46"/>
    <mergeCell ref="C47:C48"/>
    <mergeCell ref="BC3:BF3"/>
    <mergeCell ref="AJ3:AW3"/>
    <mergeCell ref="C6:C11"/>
    <mergeCell ref="C12:C15"/>
    <mergeCell ref="C19:C21"/>
    <mergeCell ref="C16:C18"/>
    <mergeCell ref="T103:T104"/>
    <mergeCell ref="C105:C106"/>
    <mergeCell ref="T105:T106"/>
    <mergeCell ref="C97:C102"/>
    <mergeCell ref="T97:T102"/>
    <mergeCell ref="C103:C104"/>
    <mergeCell ref="T91:T96"/>
    <mergeCell ref="C68:C73"/>
    <mergeCell ref="C52:C53"/>
    <mergeCell ref="C78:C79"/>
    <mergeCell ref="C54:C61"/>
    <mergeCell ref="C74:C75"/>
    <mergeCell ref="C62:C67"/>
    <mergeCell ref="T78:T79"/>
    <mergeCell ref="C80:C90"/>
    <mergeCell ref="T80:T90"/>
    <mergeCell ref="C91:C96"/>
  </mergeCells>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49"/>
  <sheetViews>
    <sheetView showGridLines="0" zoomScale="70" zoomScaleNormal="70" workbookViewId="0">
      <selection activeCell="C14" sqref="C14"/>
    </sheetView>
  </sheetViews>
  <sheetFormatPr defaultColWidth="9.109375" defaultRowHeight="14.4" x14ac:dyDescent="0.3"/>
  <cols>
    <col min="1" max="1" width="18" style="4" customWidth="1"/>
    <col min="2" max="2" width="121.6640625" style="4" customWidth="1"/>
    <col min="3" max="3" width="15.33203125" style="4" customWidth="1"/>
    <col min="4" max="4" width="23.88671875" style="4" customWidth="1"/>
    <col min="5" max="5" width="18.44140625" style="4" customWidth="1"/>
    <col min="6" max="6" width="80.33203125" style="4" customWidth="1"/>
    <col min="7" max="7" width="24.44140625" style="7" customWidth="1"/>
    <col min="8" max="8" width="93.5546875" style="4" customWidth="1"/>
    <col min="9" max="9" width="81.6640625" style="4" customWidth="1"/>
    <col min="10" max="10" width="99.109375" style="4" customWidth="1"/>
    <col min="11" max="11" width="113.109375" style="4" customWidth="1"/>
    <col min="12" max="12" width="12.5546875" style="4" customWidth="1"/>
    <col min="13" max="13" width="17.5546875" style="4" bestFit="1" customWidth="1"/>
    <col min="14" max="16384" width="9.109375" style="4"/>
  </cols>
  <sheetData>
    <row r="1" spans="1:15" ht="24.75" customHeight="1" x14ac:dyDescent="0.3">
      <c r="G1" s="22"/>
      <c r="H1" s="368"/>
      <c r="I1" s="368"/>
    </row>
    <row r="2" spans="1:15" ht="15" customHeight="1" x14ac:dyDescent="0.3">
      <c r="B2" s="254" t="s">
        <v>256</v>
      </c>
      <c r="F2" s="369"/>
      <c r="G2" s="367"/>
      <c r="H2" s="16"/>
      <c r="I2" s="363"/>
    </row>
    <row r="3" spans="1:15" ht="8.25" customHeight="1" thickBot="1" x14ac:dyDescent="0.35"/>
    <row r="4" spans="1:15" ht="18" x14ac:dyDescent="0.35">
      <c r="B4" s="1850" t="s">
        <v>18</v>
      </c>
      <c r="C4" s="1851"/>
      <c r="D4" s="1851"/>
      <c r="E4" s="1852"/>
      <c r="F4" s="324"/>
    </row>
    <row r="5" spans="1:15" ht="18.600000000000001" thickBot="1" x14ac:dyDescent="0.4">
      <c r="B5" s="1958" t="str">
        <f>VLOOKUP(C9,'Product Map'!$F$4:$BA$106,45,FALSE)</f>
        <v>AUTO CPI 6.0% , (Private Sector Employees) - IVASS (CBP)</v>
      </c>
      <c r="C5" s="1959"/>
      <c r="D5" s="1959"/>
      <c r="E5" s="1960"/>
      <c r="F5" s="323"/>
      <c r="J5" s="1957"/>
      <c r="K5" s="1957"/>
      <c r="L5" s="1957"/>
      <c r="M5" s="1957"/>
      <c r="N5" s="1957"/>
      <c r="O5" s="1957"/>
    </row>
    <row r="6" spans="1:15" s="7" customFormat="1" ht="3.75" customHeight="1" thickBot="1" x14ac:dyDescent="0.4">
      <c r="B6" s="9"/>
      <c r="C6" s="9"/>
      <c r="D6" s="9"/>
      <c r="E6" s="9"/>
      <c r="F6" s="9"/>
    </row>
    <row r="7" spans="1:15" s="7" customFormat="1" ht="15" customHeight="1" thickBot="1" x14ac:dyDescent="0.4">
      <c r="B7" s="1961" t="s">
        <v>4</v>
      </c>
      <c r="C7" s="1962"/>
      <c r="D7" s="9"/>
      <c r="E7" s="9"/>
      <c r="F7" s="9"/>
    </row>
    <row r="8" spans="1:15" s="7" customFormat="1" ht="4.5" customHeight="1" thickBot="1" x14ac:dyDescent="0.4">
      <c r="B8" s="10"/>
      <c r="C8" s="10"/>
      <c r="D8" s="9"/>
      <c r="E8" s="9"/>
      <c r="F8" s="9"/>
    </row>
    <row r="9" spans="1:15" s="7" customFormat="1" ht="15" customHeight="1" x14ac:dyDescent="0.35">
      <c r="B9" s="257" t="s">
        <v>241</v>
      </c>
      <c r="C9" s="264" t="s">
        <v>153</v>
      </c>
      <c r="D9" s="668" t="s">
        <v>727</v>
      </c>
      <c r="E9" s="9"/>
      <c r="F9" s="9"/>
    </row>
    <row r="10" spans="1:15" s="7" customFormat="1" ht="15" customHeight="1" x14ac:dyDescent="0.35">
      <c r="B10" s="258" t="s">
        <v>427</v>
      </c>
      <c r="C10" s="259">
        <v>43138</v>
      </c>
      <c r="D10" s="1828" t="s">
        <v>776</v>
      </c>
      <c r="E10" s="360"/>
      <c r="F10" s="9"/>
    </row>
    <row r="11" spans="1:15" s="7" customFormat="1" ht="15" customHeight="1" x14ac:dyDescent="0.35">
      <c r="B11" s="260" t="s">
        <v>255</v>
      </c>
      <c r="C11" s="1827">
        <v>44972</v>
      </c>
      <c r="D11" s="1826" t="s">
        <v>775</v>
      </c>
      <c r="E11" s="9"/>
      <c r="F11" s="9"/>
    </row>
    <row r="12" spans="1:15" s="7" customFormat="1" ht="15" customHeight="1" x14ac:dyDescent="0.35">
      <c r="B12" s="260" t="s">
        <v>742</v>
      </c>
      <c r="C12" s="1812">
        <v>43553</v>
      </c>
      <c r="D12" s="1828" t="s">
        <v>774</v>
      </c>
      <c r="E12" s="9"/>
      <c r="F12" s="9"/>
    </row>
    <row r="13" spans="1:15" s="7" customFormat="1" ht="15" customHeight="1" x14ac:dyDescent="0.35">
      <c r="B13" s="260" t="s">
        <v>3</v>
      </c>
      <c r="C13" s="633">
        <v>14500</v>
      </c>
      <c r="D13" s="1829" t="s">
        <v>773</v>
      </c>
      <c r="F13" s="9"/>
    </row>
    <row r="14" spans="1:15" s="7" customFormat="1" ht="15" customHeight="1" thickBot="1" x14ac:dyDescent="0.4">
      <c r="B14" s="262" t="s">
        <v>752</v>
      </c>
      <c r="C14" s="1825">
        <v>13301.349999999999</v>
      </c>
      <c r="D14" s="1829" t="s">
        <v>778</v>
      </c>
      <c r="E14" s="9"/>
      <c r="F14" s="1814"/>
      <c r="G14" s="9"/>
    </row>
    <row r="15" spans="1:15" s="7" customFormat="1" ht="15" customHeight="1" x14ac:dyDescent="0.35">
      <c r="B15" s="1813" t="s">
        <v>753</v>
      </c>
      <c r="C15" s="1815">
        <v>4598.3500000000004</v>
      </c>
      <c r="D15" s="1828" t="s">
        <v>769</v>
      </c>
      <c r="E15" s="9"/>
      <c r="F15" s="9"/>
      <c r="G15" s="9"/>
    </row>
    <row r="16" spans="1:15" ht="18" x14ac:dyDescent="0.35">
      <c r="A16" s="7"/>
      <c r="B16" s="1810" t="s">
        <v>729</v>
      </c>
      <c r="C16" s="633">
        <v>7630.69</v>
      </c>
      <c r="D16" s="1828" t="s">
        <v>770</v>
      </c>
      <c r="E16" s="9"/>
      <c r="F16" s="9"/>
      <c r="G16" s="19"/>
      <c r="H16" s="18"/>
      <c r="I16" s="7"/>
    </row>
    <row r="17" spans="1:14" s="7" customFormat="1" ht="15" customHeight="1" x14ac:dyDescent="0.35">
      <c r="B17" s="1810" t="s">
        <v>749</v>
      </c>
      <c r="C17" s="633">
        <v>5670.66</v>
      </c>
      <c r="D17" s="1828" t="s">
        <v>771</v>
      </c>
      <c r="E17" s="9"/>
      <c r="F17" s="9"/>
      <c r="G17" s="19"/>
      <c r="H17" s="18"/>
    </row>
    <row r="18" spans="1:14" ht="15.75" customHeight="1" thickBot="1" x14ac:dyDescent="0.4">
      <c r="A18" s="7"/>
      <c r="B18" s="1811" t="s">
        <v>748</v>
      </c>
      <c r="C18" s="1809">
        <v>7630.69</v>
      </c>
      <c r="D18" s="1828" t="s">
        <v>772</v>
      </c>
      <c r="E18" s="9"/>
      <c r="F18" s="9"/>
      <c r="G18" s="20"/>
      <c r="H18" s="7"/>
      <c r="I18" s="7"/>
    </row>
    <row r="19" spans="1:14" ht="18" x14ac:dyDescent="0.35">
      <c r="A19" s="7"/>
      <c r="B19" s="258" t="s">
        <v>750</v>
      </c>
      <c r="C19" s="1808">
        <f>C13+C53</f>
        <v>15370</v>
      </c>
      <c r="D19" s="1685"/>
      <c r="E19" s="9"/>
      <c r="F19" s="9"/>
      <c r="G19" s="21"/>
      <c r="H19" s="21"/>
      <c r="I19" s="7"/>
    </row>
    <row r="20" spans="1:14" ht="18.600000000000001" thickBot="1" x14ac:dyDescent="0.4">
      <c r="A20" s="7"/>
      <c r="B20" s="646"/>
      <c r="C20" s="647"/>
      <c r="D20" s="645"/>
      <c r="E20" s="9"/>
      <c r="F20" s="9"/>
      <c r="G20" s="21"/>
      <c r="H20" s="21"/>
      <c r="I20" s="7"/>
    </row>
    <row r="21" spans="1:14" ht="18.600000000000001" thickBot="1" x14ac:dyDescent="0.4">
      <c r="A21" s="7"/>
      <c r="B21" s="329" t="s">
        <v>0</v>
      </c>
      <c r="C21" s="315" t="s">
        <v>242</v>
      </c>
      <c r="D21" s="315" t="s">
        <v>1</v>
      </c>
      <c r="E21" s="316" t="s">
        <v>2</v>
      </c>
      <c r="F21" s="9"/>
      <c r="G21" s="21"/>
      <c r="H21" s="21"/>
      <c r="K21" s="1964"/>
      <c r="L21" s="1964"/>
    </row>
    <row r="22" spans="1:14" ht="16.5" customHeight="1" thickBot="1" x14ac:dyDescent="0.35">
      <c r="B22" s="7"/>
      <c r="C22" s="1569"/>
      <c r="D22" s="6"/>
      <c r="E22" s="6"/>
      <c r="G22" s="21"/>
      <c r="H22" s="21"/>
    </row>
    <row r="23" spans="1:14" x14ac:dyDescent="0.3">
      <c r="B23" s="11" t="s">
        <v>258</v>
      </c>
      <c r="C23" s="1587">
        <f t="shared" ref="C23:C28" si="0">SUM(D23:E23)</f>
        <v>5.9999999999999984E-2</v>
      </c>
      <c r="D23" s="1587">
        <f>VLOOKUP($C$9,'Product Map'!$F$4:$BA$106,6,FALSE)</f>
        <v>3.4499999999999989E-2</v>
      </c>
      <c r="E23" s="1570">
        <f>VLOOKUP($C$9,'Product Map'!$F$4:$BA$106,7,FALSE)</f>
        <v>2.5499999999999995E-2</v>
      </c>
      <c r="G23" s="21"/>
      <c r="H23" s="21"/>
      <c r="M23" s="7"/>
    </row>
    <row r="24" spans="1:14" x14ac:dyDescent="0.3">
      <c r="B24" s="12" t="s">
        <v>257</v>
      </c>
      <c r="C24" s="649">
        <f>E24</f>
        <v>2.5000000000000001E-2</v>
      </c>
      <c r="D24" s="26">
        <f>VLOOKUP($C$9,'Product Map'!$F$4:$BA$106,8,FALSE)</f>
        <v>0</v>
      </c>
      <c r="E24" s="8">
        <f>VLOOKUP($C$9,'Product Map'!$F$4:$BA$106,9,FALSE)</f>
        <v>2.5000000000000001E-2</v>
      </c>
      <c r="G24" s="21"/>
      <c r="H24" s="21"/>
      <c r="M24" s="7"/>
    </row>
    <row r="25" spans="1:14" s="7" customFormat="1" ht="15.75" customHeight="1" x14ac:dyDescent="0.3">
      <c r="A25" s="4"/>
      <c r="B25" s="12" t="s">
        <v>433</v>
      </c>
      <c r="C25" s="650">
        <f t="shared" si="0"/>
        <v>860.98170731707296</v>
      </c>
      <c r="D25" s="651">
        <f>D40</f>
        <v>500.24999999999983</v>
      </c>
      <c r="E25" s="652">
        <f>E40</f>
        <v>360.73170731707313</v>
      </c>
      <c r="F25" s="4"/>
      <c r="H25" s="33"/>
      <c r="M25" s="255"/>
    </row>
    <row r="26" spans="1:14" s="7" customFormat="1" ht="15" customHeight="1" x14ac:dyDescent="0.3">
      <c r="A26" s="659" t="s">
        <v>439</v>
      </c>
      <c r="B26" s="656" t="s">
        <v>434</v>
      </c>
      <c r="C26" s="297">
        <f t="shared" si="0"/>
        <v>418.43710975609741</v>
      </c>
      <c r="D26" s="293">
        <f>D40*(1-D29-D32)</f>
        <v>243.12149999999988</v>
      </c>
      <c r="E26" s="307">
        <f>E40*(1-E29-E32)</f>
        <v>175.31560975609753</v>
      </c>
      <c r="F26" s="4"/>
      <c r="G26" s="10"/>
      <c r="H26" s="33"/>
      <c r="M26" s="255"/>
    </row>
    <row r="27" spans="1:14" x14ac:dyDescent="0.3">
      <c r="A27" s="659" t="s">
        <v>726</v>
      </c>
      <c r="B27" s="656" t="s">
        <v>435</v>
      </c>
      <c r="C27" s="297">
        <f t="shared" si="0"/>
        <v>55.963810975609746</v>
      </c>
      <c r="D27" s="293">
        <f>D40*D32</f>
        <v>32.516249999999992</v>
      </c>
      <c r="E27" s="307">
        <f>E40*E32</f>
        <v>23.447560975609754</v>
      </c>
      <c r="F27" s="4" t="s">
        <v>754</v>
      </c>
      <c r="G27" s="359"/>
      <c r="H27" s="33"/>
      <c r="I27" s="34"/>
      <c r="M27" s="1963"/>
      <c r="N27" s="1963"/>
    </row>
    <row r="28" spans="1:14" ht="15" thickBot="1" x14ac:dyDescent="0.35">
      <c r="A28" s="659" t="s">
        <v>438</v>
      </c>
      <c r="B28" s="657" t="s">
        <v>436</v>
      </c>
      <c r="C28" s="653">
        <f t="shared" si="0"/>
        <v>386.58078658536579</v>
      </c>
      <c r="D28" s="654">
        <f>D40*D29</f>
        <v>224.61224999999993</v>
      </c>
      <c r="E28" s="655">
        <f>E40*E29</f>
        <v>161.96853658536583</v>
      </c>
      <c r="G28" s="301" t="s">
        <v>299</v>
      </c>
      <c r="H28" s="365" t="s">
        <v>298</v>
      </c>
      <c r="I28" s="365" t="s">
        <v>300</v>
      </c>
      <c r="J28" s="365" t="s">
        <v>297</v>
      </c>
      <c r="K28" s="365" t="s">
        <v>296</v>
      </c>
    </row>
    <row r="29" spans="1:14" ht="15.6" x14ac:dyDescent="0.3">
      <c r="A29" s="27" t="s">
        <v>16</v>
      </c>
      <c r="B29" s="1550" t="s">
        <v>259</v>
      </c>
      <c r="C29" s="1551">
        <f>E29</f>
        <v>0.44900000000000001</v>
      </c>
      <c r="D29" s="1551">
        <f>VLOOKUP($C$9,'Product Map'!$F$4:$BA$106,11,FALSE)</f>
        <v>0.44900000000000001</v>
      </c>
      <c r="E29" s="1552">
        <f>VLOOKUP($C$9,'Product Map'!$F$4:$BA$106,11,FALSE)</f>
        <v>0.44900000000000001</v>
      </c>
      <c r="G29" s="661">
        <v>1</v>
      </c>
      <c r="H29" s="662">
        <f>IF(G29&gt;$C$37,"",ROUND($D$40*(1-$D$29-$D$32)*(($C$37-G29)/$C$37)*$C$14/$C$13+$D$40*$D$32*($C$37-G29)/$C$37+$D$40*$D$29*($C$37-G29)/$C$37-$D$30,2)+$D$30)</f>
        <v>472.18</v>
      </c>
      <c r="I29" s="663">
        <f>IF(G29&gt;$C$37,"",ROUND($D$40*(1-$D$29-$D$32)*(($C$37-G29)/$C$37)*$C$14/$C$13+$D$40*$D$32*($C$37-G29)/$C$37+$D$40*$D$29*($C$37-G29)/$C$37-$D$30,2))</f>
        <v>447.18</v>
      </c>
      <c r="J29" s="664">
        <f t="shared" ref="J29:J34" si="1">IF(G29&gt;$C$37,"",$E$40*($C$37-G29)/$C$37)</f>
        <v>354.74491814506473</v>
      </c>
      <c r="K29" s="665">
        <f t="shared" ref="K29:K34" si="2">IF(G29&gt;$C$37,"",J29-$E$30)</f>
        <v>329.74491814506473</v>
      </c>
    </row>
    <row r="30" spans="1:14" ht="21" customHeight="1" x14ac:dyDescent="0.3">
      <c r="A30" s="27" t="s">
        <v>17</v>
      </c>
      <c r="B30" s="13" t="s">
        <v>260</v>
      </c>
      <c r="C30" s="23">
        <f>SUM(D30:E30)</f>
        <v>50</v>
      </c>
      <c r="D30" s="23">
        <f>VLOOKUP($C$9,'Product Map'!$F$4:$BA$106,24,FALSE)</f>
        <v>25</v>
      </c>
      <c r="E30" s="252">
        <f>VLOOKUP($C$9,'Product Map'!$F$4:$BA$106,25,FALSE)</f>
        <v>25</v>
      </c>
      <c r="G30" s="666">
        <v>2</v>
      </c>
      <c r="H30" s="662">
        <f t="shared" ref="H30:H93" si="3">IF(G30&gt;$C$37,"",ROUND($D$40*(1-$D$29-$D$32)*(($C$37-G30)/$C$37)*$C$14/$C$13+$D$40*$D$32*($C$37-G30)/$C$37+$D$40*$D$29*($C$37-G30)/$C$37-$D$30,2)+$D$30)</f>
        <v>464.21</v>
      </c>
      <c r="I30" s="663">
        <f t="shared" ref="I30:I93" si="4">IF(G30&gt;$C$37,"",ROUND($D$40*(1-$D$29-$D$32)*(($C$37-G30)/$C$37)*$C$14/$C$13+$D$40*$D$32*($C$37-G30)/$C$37+$D$40*$D$29*($C$37-G30)/$C$37-$D$30,2))</f>
        <v>439.21</v>
      </c>
      <c r="J30" s="664">
        <f t="shared" si="1"/>
        <v>348.75812897305633</v>
      </c>
      <c r="K30" s="665">
        <f t="shared" si="2"/>
        <v>323.75812897305633</v>
      </c>
    </row>
    <row r="31" spans="1:14" ht="15.75" customHeight="1" x14ac:dyDescent="0.3">
      <c r="A31" s="27" t="s">
        <v>21</v>
      </c>
      <c r="B31" s="13" t="s">
        <v>261</v>
      </c>
      <c r="C31" s="23">
        <f>SUM(D31:E31)</f>
        <v>15</v>
      </c>
      <c r="D31" s="23">
        <f>VLOOKUP($C$9,'Product Map'!$F$4:$BA$106,27,FALSE)</f>
        <v>7.5</v>
      </c>
      <c r="E31" s="252">
        <f>VLOOKUP($C$9,'Product Map'!$F$4:$BA$106,29,FALSE)</f>
        <v>7.5</v>
      </c>
      <c r="G31" s="667">
        <v>3</v>
      </c>
      <c r="H31" s="662">
        <f t="shared" si="3"/>
        <v>456.25</v>
      </c>
      <c r="I31" s="663">
        <f t="shared" si="4"/>
        <v>431.25</v>
      </c>
      <c r="J31" s="664">
        <f t="shared" si="1"/>
        <v>342.77133980104793</v>
      </c>
      <c r="K31" s="665">
        <f t="shared" si="2"/>
        <v>317.77133980104793</v>
      </c>
    </row>
    <row r="32" spans="1:14" x14ac:dyDescent="0.3">
      <c r="B32" s="1546" t="s">
        <v>619</v>
      </c>
      <c r="C32" s="1547">
        <f>D32</f>
        <v>6.5000000000000002E-2</v>
      </c>
      <c r="D32" s="1548">
        <f>VLOOKUP($C$9,'Product Map'!$F$4:$BA$106,46,FALSE)</f>
        <v>6.5000000000000002E-2</v>
      </c>
      <c r="E32" s="1549">
        <f>VLOOKUP($C$9,'Product Map'!$F$4:$BA$106,46,FALSE)</f>
        <v>6.5000000000000002E-2</v>
      </c>
      <c r="F32" s="5"/>
      <c r="G32" s="667">
        <v>4</v>
      </c>
      <c r="H32" s="662">
        <f t="shared" si="3"/>
        <v>448.28</v>
      </c>
      <c r="I32" s="663">
        <f t="shared" si="4"/>
        <v>423.28</v>
      </c>
      <c r="J32" s="664">
        <f t="shared" si="1"/>
        <v>336.78455062903953</v>
      </c>
      <c r="K32" s="665">
        <f t="shared" si="2"/>
        <v>311.78455062903953</v>
      </c>
    </row>
    <row r="33" spans="1:11" ht="15" thickBot="1" x14ac:dyDescent="0.35">
      <c r="B33" s="1778" t="s">
        <v>620</v>
      </c>
      <c r="C33" s="1779">
        <f>D33</f>
        <v>0</v>
      </c>
      <c r="D33" s="1780">
        <f>IF($C$10&lt;=DATE(2012,12,31),VLOOKUP($C$9,'Product Map'!$F$4:$BA$106,47,FALSE),VLOOKUP($C$9,'Product Map'!$F$4:$BA$106,48,FALSE))</f>
        <v>0</v>
      </c>
      <c r="E33" s="1781">
        <f>IF($C$10&lt;=DATE(2012,12,31),VLOOKUP($C$9,'Product Map'!$F$4:$BA$106,47,FALSE),VLOOKUP($C$9,'Product Map'!$F$4:$BA$106,48,FALSE))</f>
        <v>0</v>
      </c>
      <c r="F33" s="5"/>
      <c r="G33" s="667">
        <v>5</v>
      </c>
      <c r="H33" s="662">
        <f t="shared" si="3"/>
        <v>440.31</v>
      </c>
      <c r="I33" s="663">
        <f t="shared" si="4"/>
        <v>415.31</v>
      </c>
      <c r="J33" s="664">
        <f t="shared" si="1"/>
        <v>330.79776145703107</v>
      </c>
      <c r="K33" s="665">
        <f t="shared" si="2"/>
        <v>305.79776145703107</v>
      </c>
    </row>
    <row r="34" spans="1:11" ht="15" thickBot="1" x14ac:dyDescent="0.35">
      <c r="B34" s="256"/>
      <c r="C34" s="648"/>
      <c r="D34" s="648"/>
      <c r="E34" s="648"/>
      <c r="F34" s="5"/>
      <c r="G34" s="667">
        <v>6</v>
      </c>
      <c r="H34" s="662">
        <f t="shared" si="3"/>
        <v>432.34</v>
      </c>
      <c r="I34" s="663">
        <f t="shared" si="4"/>
        <v>407.34</v>
      </c>
      <c r="J34" s="664">
        <f t="shared" si="1"/>
        <v>324.81097228502273</v>
      </c>
      <c r="K34" s="665">
        <f t="shared" si="2"/>
        <v>299.81097228502273</v>
      </c>
    </row>
    <row r="35" spans="1:11" ht="15" customHeight="1" thickBot="1" x14ac:dyDescent="0.35">
      <c r="B35" s="330" t="s">
        <v>248</v>
      </c>
      <c r="C35" s="315" t="s">
        <v>242</v>
      </c>
      <c r="D35" s="315" t="s">
        <v>1</v>
      </c>
      <c r="E35" s="316" t="s">
        <v>2</v>
      </c>
      <c r="F35" s="5"/>
      <c r="G35" s="667">
        <v>7</v>
      </c>
      <c r="H35" s="662">
        <f t="shared" si="3"/>
        <v>424.37</v>
      </c>
      <c r="I35" s="663">
        <f t="shared" si="4"/>
        <v>399.37</v>
      </c>
      <c r="J35" s="664">
        <f t="shared" ref="J35:J88" si="5">IF(G35&gt;$C$37,"",$E$40*($C$37-G35)/$C$37)</f>
        <v>318.82418311301433</v>
      </c>
      <c r="K35" s="665">
        <f t="shared" ref="K35:K88" si="6">IF(G35&gt;$C$37,"",J35-$E$30)</f>
        <v>293.82418311301433</v>
      </c>
    </row>
    <row r="36" spans="1:11" ht="15" thickBot="1" x14ac:dyDescent="0.35">
      <c r="A36" s="7"/>
      <c r="B36" s="7"/>
      <c r="C36" s="7"/>
      <c r="D36" s="7"/>
      <c r="E36" s="7"/>
      <c r="F36" s="7"/>
      <c r="G36" s="667">
        <v>8</v>
      </c>
      <c r="H36" s="662">
        <f t="shared" si="3"/>
        <v>416.4</v>
      </c>
      <c r="I36" s="663">
        <f t="shared" si="4"/>
        <v>391.4</v>
      </c>
      <c r="J36" s="664">
        <f t="shared" si="5"/>
        <v>312.83739394100587</v>
      </c>
      <c r="K36" s="665">
        <f t="shared" si="6"/>
        <v>287.83739394100587</v>
      </c>
    </row>
    <row r="37" spans="1:11" x14ac:dyDescent="0.3">
      <c r="B37" s="38" t="s">
        <v>251</v>
      </c>
      <c r="C37" s="669">
        <f>((C11-C10)/365.25)*12</f>
        <v>60.254620123203281</v>
      </c>
      <c r="D37" s="321"/>
      <c r="E37" s="322"/>
      <c r="G37" s="667">
        <v>9</v>
      </c>
      <c r="H37" s="662">
        <f t="shared" si="3"/>
        <v>408.43</v>
      </c>
      <c r="I37" s="663">
        <f t="shared" si="4"/>
        <v>383.43</v>
      </c>
      <c r="J37" s="664">
        <f t="shared" si="5"/>
        <v>306.85060476899747</v>
      </c>
      <c r="K37" s="665">
        <f t="shared" si="6"/>
        <v>281.85060476899747</v>
      </c>
    </row>
    <row r="38" spans="1:11" x14ac:dyDescent="0.3">
      <c r="B38" s="39" t="s">
        <v>252</v>
      </c>
      <c r="C38" s="283">
        <f>((C12-C10)/365.25)*12</f>
        <v>13.634496919917863</v>
      </c>
      <c r="D38" s="302"/>
      <c r="E38" s="305"/>
      <c r="G38" s="667">
        <v>10</v>
      </c>
      <c r="H38" s="662">
        <f t="shared" si="3"/>
        <v>400.47</v>
      </c>
      <c r="I38" s="663">
        <f t="shared" si="4"/>
        <v>375.47</v>
      </c>
      <c r="J38" s="664">
        <f t="shared" si="5"/>
        <v>300.86381559698907</v>
      </c>
      <c r="K38" s="665">
        <f t="shared" si="6"/>
        <v>275.86381559698907</v>
      </c>
    </row>
    <row r="39" spans="1:11" ht="20.25" customHeight="1" thickBot="1" x14ac:dyDescent="0.35">
      <c r="B39" s="294" t="s">
        <v>253</v>
      </c>
      <c r="C39" s="295">
        <f>IF(C37-C38&lt;0,0,C37-C38)</f>
        <v>46.620123203285416</v>
      </c>
      <c r="D39" s="303"/>
      <c r="E39" s="306"/>
      <c r="G39" s="667">
        <v>11</v>
      </c>
      <c r="H39" s="662">
        <f t="shared" si="3"/>
        <v>392.5</v>
      </c>
      <c r="I39" s="663">
        <f t="shared" si="4"/>
        <v>367.5</v>
      </c>
      <c r="J39" s="664">
        <f t="shared" si="5"/>
        <v>294.87702642498067</v>
      </c>
      <c r="K39" s="665">
        <f t="shared" si="6"/>
        <v>269.87702642498067</v>
      </c>
    </row>
    <row r="40" spans="1:11" ht="17.25" customHeight="1" x14ac:dyDescent="0.3">
      <c r="B40" s="625" t="s">
        <v>426</v>
      </c>
      <c r="C40" s="297">
        <f>SUM(D40:E40)</f>
        <v>860.98170731707296</v>
      </c>
      <c r="D40" s="293">
        <f>C13*D23*100%/(100%+D24)</f>
        <v>500.24999999999983</v>
      </c>
      <c r="E40" s="307">
        <f>C13*E23*100%/(100%+E24)</f>
        <v>360.73170731707313</v>
      </c>
      <c r="G40" s="667">
        <v>12</v>
      </c>
      <c r="H40" s="662">
        <f t="shared" si="3"/>
        <v>384.53</v>
      </c>
      <c r="I40" s="663">
        <f t="shared" si="4"/>
        <v>359.53</v>
      </c>
      <c r="J40" s="664">
        <f t="shared" si="5"/>
        <v>288.89023725297227</v>
      </c>
      <c r="K40" s="665">
        <f t="shared" si="6"/>
        <v>263.89023725297227</v>
      </c>
    </row>
    <row r="41" spans="1:11" ht="16.5" customHeight="1" x14ac:dyDescent="0.3">
      <c r="A41" s="4" t="s">
        <v>440</v>
      </c>
      <c r="B41" s="327" t="s">
        <v>250</v>
      </c>
      <c r="C41" s="298">
        <f>SUM(D41:E41)</f>
        <v>600.6</v>
      </c>
      <c r="D41" s="284">
        <f>ROUND(D40*(1-D29-D32)*((C37-C38)/C37)*C14/C13+D40*D32*(C37-C38)/C37+D40*D29*(C37-C38)/C37-D30,2)</f>
        <v>346.5</v>
      </c>
      <c r="E41" s="15">
        <f>ROUND(E40*(C37-C38)/C37-E30,2)</f>
        <v>254.1</v>
      </c>
      <c r="G41" s="667">
        <v>13</v>
      </c>
      <c r="H41" s="662">
        <f t="shared" si="3"/>
        <v>376.56</v>
      </c>
      <c r="I41" s="663">
        <f t="shared" si="4"/>
        <v>351.56</v>
      </c>
      <c r="J41" s="664">
        <f t="shared" si="5"/>
        <v>282.90344808096387</v>
      </c>
      <c r="K41" s="665">
        <f t="shared" si="6"/>
        <v>257.90344808096387</v>
      </c>
    </row>
    <row r="42" spans="1:11" ht="15" thickBot="1" x14ac:dyDescent="0.35">
      <c r="B42" s="325" t="s">
        <v>249</v>
      </c>
      <c r="C42" s="308">
        <f>SUM(D42:E42)</f>
        <v>284.11</v>
      </c>
      <c r="D42" s="309">
        <f>ROUND(D40*D29*(C37-C38)/C37-D31,2)</f>
        <v>166.29</v>
      </c>
      <c r="E42" s="35">
        <f>ROUND(E40*E29*(C37-C38)/C37-E31,2)</f>
        <v>117.82</v>
      </c>
      <c r="G42" s="667">
        <v>14</v>
      </c>
      <c r="H42" s="662">
        <f t="shared" si="3"/>
        <v>368.59</v>
      </c>
      <c r="I42" s="663">
        <f t="shared" si="4"/>
        <v>343.59</v>
      </c>
      <c r="J42" s="664">
        <f t="shared" si="5"/>
        <v>276.91665890895547</v>
      </c>
      <c r="K42" s="665">
        <f t="shared" si="6"/>
        <v>251.91665890895547</v>
      </c>
    </row>
    <row r="43" spans="1:11" ht="15" thickBot="1" x14ac:dyDescent="0.35">
      <c r="B43" s="304"/>
      <c r="C43" s="42"/>
      <c r="D43" s="42"/>
      <c r="E43" s="42"/>
      <c r="G43" s="667">
        <v>15</v>
      </c>
      <c r="H43" s="662">
        <f t="shared" si="3"/>
        <v>360.62</v>
      </c>
      <c r="I43" s="663">
        <f t="shared" si="4"/>
        <v>335.62</v>
      </c>
      <c r="J43" s="664">
        <f t="shared" si="5"/>
        <v>270.92986973694707</v>
      </c>
      <c r="K43" s="665">
        <f t="shared" si="6"/>
        <v>245.92986973694707</v>
      </c>
    </row>
    <row r="44" spans="1:11" ht="15" thickBot="1" x14ac:dyDescent="0.35">
      <c r="B44" s="409" t="s">
        <v>22</v>
      </c>
      <c r="C44" s="315" t="s">
        <v>242</v>
      </c>
      <c r="D44" s="315" t="s">
        <v>1</v>
      </c>
      <c r="E44" s="316" t="s">
        <v>2</v>
      </c>
      <c r="G44" s="667">
        <v>16</v>
      </c>
      <c r="H44" s="662">
        <f t="shared" si="3"/>
        <v>352.65</v>
      </c>
      <c r="I44" s="663">
        <f t="shared" si="4"/>
        <v>327.64999999999998</v>
      </c>
      <c r="J44" s="664">
        <f t="shared" si="5"/>
        <v>264.94308056493867</v>
      </c>
      <c r="K44" s="665">
        <f t="shared" si="6"/>
        <v>239.94308056493867</v>
      </c>
    </row>
    <row r="45" spans="1:11" ht="15" thickBot="1" x14ac:dyDescent="0.35">
      <c r="A45" s="31"/>
      <c r="G45" s="667">
        <v>17</v>
      </c>
      <c r="H45" s="662">
        <f t="shared" si="3"/>
        <v>344.68</v>
      </c>
      <c r="I45" s="663">
        <f t="shared" si="4"/>
        <v>319.68</v>
      </c>
      <c r="J45" s="664">
        <f t="shared" si="5"/>
        <v>258.95629139293027</v>
      </c>
      <c r="K45" s="665">
        <f t="shared" si="6"/>
        <v>233.95629139293027</v>
      </c>
    </row>
    <row r="46" spans="1:11" x14ac:dyDescent="0.3">
      <c r="A46" s="29"/>
      <c r="B46" s="285" t="s">
        <v>267</v>
      </c>
      <c r="C46" s="288">
        <f t="shared" ref="C46:E47" si="7">C30</f>
        <v>50</v>
      </c>
      <c r="D46" s="310">
        <f t="shared" si="7"/>
        <v>25</v>
      </c>
      <c r="E46" s="288">
        <f t="shared" si="7"/>
        <v>25</v>
      </c>
      <c r="G46" s="667">
        <v>18</v>
      </c>
      <c r="H46" s="662">
        <f t="shared" si="3"/>
        <v>336.72</v>
      </c>
      <c r="I46" s="663">
        <f t="shared" si="4"/>
        <v>311.72000000000003</v>
      </c>
      <c r="J46" s="664">
        <f t="shared" si="5"/>
        <v>252.96950222092184</v>
      </c>
      <c r="K46" s="665">
        <f t="shared" si="6"/>
        <v>227.96950222092184</v>
      </c>
    </row>
    <row r="47" spans="1:11" x14ac:dyDescent="0.3">
      <c r="A47" s="30"/>
      <c r="B47" s="286" t="s">
        <v>244</v>
      </c>
      <c r="C47" s="289">
        <f t="shared" si="7"/>
        <v>15</v>
      </c>
      <c r="D47" s="311">
        <f t="shared" si="7"/>
        <v>7.5</v>
      </c>
      <c r="E47" s="289">
        <f t="shared" si="7"/>
        <v>7.5</v>
      </c>
      <c r="G47" s="667">
        <v>19</v>
      </c>
      <c r="H47" s="662">
        <f t="shared" si="3"/>
        <v>328.75</v>
      </c>
      <c r="I47" s="663">
        <f t="shared" si="4"/>
        <v>303.75</v>
      </c>
      <c r="J47" s="664">
        <f t="shared" si="5"/>
        <v>246.98271304891347</v>
      </c>
      <c r="K47" s="665">
        <f t="shared" si="6"/>
        <v>221.98271304891347</v>
      </c>
    </row>
    <row r="48" spans="1:11" ht="15.6" x14ac:dyDescent="0.3">
      <c r="B48" s="328" t="s">
        <v>266</v>
      </c>
      <c r="C48" s="290">
        <f>C41</f>
        <v>600.6</v>
      </c>
      <c r="D48" s="312">
        <f>D41</f>
        <v>346.5</v>
      </c>
      <c r="E48" s="290">
        <f>E41</f>
        <v>254.1</v>
      </c>
      <c r="G48" s="667">
        <v>20</v>
      </c>
      <c r="H48" s="662">
        <f t="shared" si="3"/>
        <v>320.77999999999997</v>
      </c>
      <c r="I48" s="663">
        <f t="shared" si="4"/>
        <v>295.77999999999997</v>
      </c>
      <c r="J48" s="664">
        <f t="shared" si="5"/>
        <v>240.99592387690504</v>
      </c>
      <c r="K48" s="665">
        <f t="shared" si="6"/>
        <v>215.99592387690504</v>
      </c>
    </row>
    <row r="49" spans="1:11" x14ac:dyDescent="0.3">
      <c r="B49" s="287" t="s">
        <v>8</v>
      </c>
      <c r="C49" s="289"/>
      <c r="D49" s="311"/>
      <c r="E49" s="289"/>
      <c r="G49" s="667">
        <v>21</v>
      </c>
      <c r="H49" s="662">
        <f t="shared" si="3"/>
        <v>312.81</v>
      </c>
      <c r="I49" s="663">
        <f t="shared" si="4"/>
        <v>287.81</v>
      </c>
      <c r="J49" s="664">
        <f t="shared" si="5"/>
        <v>235.00913470489664</v>
      </c>
      <c r="K49" s="665">
        <f t="shared" si="6"/>
        <v>210.00913470489664</v>
      </c>
    </row>
    <row r="50" spans="1:11" ht="15" thickBot="1" x14ac:dyDescent="0.35">
      <c r="B50" s="326" t="s">
        <v>246</v>
      </c>
      <c r="C50" s="291">
        <f>C42</f>
        <v>284.11</v>
      </c>
      <c r="D50" s="313">
        <f>D42</f>
        <v>166.29</v>
      </c>
      <c r="E50" s="291">
        <f>E42</f>
        <v>117.82</v>
      </c>
      <c r="F50" s="16"/>
      <c r="G50" s="667">
        <v>22</v>
      </c>
      <c r="H50" s="662">
        <f t="shared" si="3"/>
        <v>304.83999999999997</v>
      </c>
      <c r="I50" s="663">
        <f t="shared" si="4"/>
        <v>279.83999999999997</v>
      </c>
      <c r="J50" s="664">
        <f t="shared" si="5"/>
        <v>229.02234553288824</v>
      </c>
      <c r="K50" s="665">
        <f t="shared" si="6"/>
        <v>204.02234553288824</v>
      </c>
    </row>
    <row r="51" spans="1:11" ht="15" customHeight="1" thickBot="1" x14ac:dyDescent="0.35">
      <c r="B51" s="273" t="s">
        <v>268</v>
      </c>
      <c r="C51" s="274">
        <f>C48-C50</f>
        <v>316.49</v>
      </c>
      <c r="D51" s="274">
        <f>D48-D50</f>
        <v>180.21</v>
      </c>
      <c r="E51" s="274">
        <f>E48-E50</f>
        <v>136.28</v>
      </c>
      <c r="G51" s="667">
        <v>23</v>
      </c>
      <c r="H51" s="662">
        <f t="shared" si="3"/>
        <v>296.87</v>
      </c>
      <c r="I51" s="663">
        <f t="shared" si="4"/>
        <v>271.87</v>
      </c>
      <c r="J51" s="664">
        <f t="shared" si="5"/>
        <v>223.03555636087981</v>
      </c>
      <c r="K51" s="665">
        <f t="shared" si="6"/>
        <v>198.03555636087981</v>
      </c>
    </row>
    <row r="52" spans="1:11" ht="15" customHeight="1" thickTop="1" x14ac:dyDescent="0.3">
      <c r="B52" s="282"/>
      <c r="C52" s="282"/>
      <c r="D52" s="282"/>
      <c r="E52" s="282"/>
      <c r="G52" s="667">
        <v>24</v>
      </c>
      <c r="H52" s="662">
        <f t="shared" si="3"/>
        <v>288.89999999999998</v>
      </c>
      <c r="I52" s="663">
        <f t="shared" si="4"/>
        <v>263.89999999999998</v>
      </c>
      <c r="J52" s="664">
        <f t="shared" si="5"/>
        <v>217.04876718887144</v>
      </c>
      <c r="K52" s="665">
        <f t="shared" si="6"/>
        <v>192.04876718887144</v>
      </c>
    </row>
    <row r="53" spans="1:11" ht="15" customHeight="1" x14ac:dyDescent="0.3">
      <c r="B53" s="373" t="s">
        <v>301</v>
      </c>
      <c r="C53" s="374">
        <f>SUM(D53:E53)</f>
        <v>869.99999999999977</v>
      </c>
      <c r="D53" s="374">
        <f>C13*D23</f>
        <v>500.24999999999983</v>
      </c>
      <c r="E53" s="374">
        <f>C13*E23</f>
        <v>369.74999999999994</v>
      </c>
      <c r="F53" s="364"/>
      <c r="G53" s="667">
        <v>25</v>
      </c>
      <c r="H53" s="662">
        <f t="shared" si="3"/>
        <v>280.93</v>
      </c>
      <c r="I53" s="663">
        <f t="shared" si="4"/>
        <v>255.93</v>
      </c>
      <c r="J53" s="664">
        <f t="shared" si="5"/>
        <v>211.06197801686301</v>
      </c>
      <c r="K53" s="665">
        <f t="shared" si="6"/>
        <v>186.06197801686301</v>
      </c>
    </row>
    <row r="54" spans="1:11" x14ac:dyDescent="0.3">
      <c r="B54" s="369" t="s">
        <v>302</v>
      </c>
      <c r="C54" s="371">
        <f>SUM(D54:E54)</f>
        <v>650.6</v>
      </c>
      <c r="D54" s="1824">
        <f>D41+D30</f>
        <v>371.5</v>
      </c>
      <c r="E54" s="1824">
        <f>E41+E30</f>
        <v>279.10000000000002</v>
      </c>
      <c r="G54" s="667">
        <v>26</v>
      </c>
      <c r="H54" s="662">
        <f t="shared" si="3"/>
        <v>272.97000000000003</v>
      </c>
      <c r="I54" s="663">
        <f t="shared" si="4"/>
        <v>247.97</v>
      </c>
      <c r="J54" s="664">
        <f t="shared" si="5"/>
        <v>205.07518884485461</v>
      </c>
      <c r="K54" s="665">
        <f t="shared" si="6"/>
        <v>180.07518884485461</v>
      </c>
    </row>
    <row r="55" spans="1:11" x14ac:dyDescent="0.3">
      <c r="B55" s="7" t="s">
        <v>437</v>
      </c>
      <c r="C55" s="363">
        <f>SUM(D55:E55)</f>
        <v>308.2</v>
      </c>
      <c r="D55" s="363">
        <f>ROUND((D40*(1-D29-D32))*((C37-C38)/C37)*C14/C13,2)</f>
        <v>172.56</v>
      </c>
      <c r="E55" s="363">
        <f>ROUND(E40*(1-E29-E32)*(C37-C38)/C37,2)</f>
        <v>135.63999999999999</v>
      </c>
      <c r="G55" s="667">
        <v>27</v>
      </c>
      <c r="H55" s="662">
        <f t="shared" si="3"/>
        <v>265</v>
      </c>
      <c r="I55" s="663">
        <f t="shared" si="4"/>
        <v>240</v>
      </c>
      <c r="J55" s="664">
        <f t="shared" si="5"/>
        <v>199.08839967284621</v>
      </c>
      <c r="K55" s="665">
        <f t="shared" si="6"/>
        <v>174.08839967284621</v>
      </c>
    </row>
    <row r="56" spans="1:11" ht="24" customHeight="1" x14ac:dyDescent="0.3">
      <c r="B56" s="7" t="s">
        <v>737</v>
      </c>
      <c r="C56" s="16">
        <f>SUM(D56:E56)</f>
        <v>342.4</v>
      </c>
      <c r="D56" s="16">
        <f>D54-D55</f>
        <v>198.94</v>
      </c>
      <c r="E56" s="1789">
        <f>ROUND(E40*(E29+E32)*(C37-C38)/C37,2)</f>
        <v>143.46</v>
      </c>
      <c r="G56" s="667">
        <v>28</v>
      </c>
      <c r="H56" s="662">
        <f t="shared" si="3"/>
        <v>257.02999999999997</v>
      </c>
      <c r="I56" s="663">
        <f t="shared" si="4"/>
        <v>232.03</v>
      </c>
      <c r="J56" s="664">
        <f t="shared" si="5"/>
        <v>193.10161050083778</v>
      </c>
      <c r="K56" s="665">
        <f t="shared" si="6"/>
        <v>168.10161050083778</v>
      </c>
    </row>
    <row r="57" spans="1:11" x14ac:dyDescent="0.3">
      <c r="B57" s="1790" t="s">
        <v>731</v>
      </c>
      <c r="C57" s="1789"/>
      <c r="D57" s="1789"/>
      <c r="E57" s="1789"/>
      <c r="G57" s="667">
        <v>29</v>
      </c>
      <c r="H57" s="662">
        <f t="shared" si="3"/>
        <v>249.06</v>
      </c>
      <c r="I57" s="663">
        <f t="shared" si="4"/>
        <v>224.06</v>
      </c>
      <c r="J57" s="664">
        <f t="shared" si="5"/>
        <v>187.11482132882938</v>
      </c>
      <c r="K57" s="665">
        <f t="shared" si="6"/>
        <v>162.11482132882938</v>
      </c>
    </row>
    <row r="58" spans="1:11" x14ac:dyDescent="0.3">
      <c r="A58" s="1956" t="s">
        <v>724</v>
      </c>
      <c r="B58" s="1791" t="s">
        <v>722</v>
      </c>
      <c r="C58" s="1792">
        <f>SUM(D58:E58)</f>
        <v>43.301815171423243</v>
      </c>
      <c r="D58" s="1792">
        <f>ROUND(D40*D32*(C37-C38)/C37,2)</f>
        <v>25.16</v>
      </c>
      <c r="E58" s="1792">
        <f>E40*E32*(C37-C38)/C37</f>
        <v>18.141815171423247</v>
      </c>
      <c r="G58" s="667">
        <v>30</v>
      </c>
      <c r="H58" s="662">
        <f t="shared" si="3"/>
        <v>241.09</v>
      </c>
      <c r="I58" s="663">
        <f t="shared" si="4"/>
        <v>216.09</v>
      </c>
      <c r="J58" s="664">
        <f t="shared" si="5"/>
        <v>181.12803215682101</v>
      </c>
      <c r="K58" s="665">
        <f t="shared" si="6"/>
        <v>156.12803215682101</v>
      </c>
    </row>
    <row r="59" spans="1:11" ht="15" thickBot="1" x14ac:dyDescent="0.35">
      <c r="A59" s="1956"/>
      <c r="B59" s="41" t="s">
        <v>723</v>
      </c>
      <c r="C59" s="1793">
        <f>SUM(D59:E59)</f>
        <v>299.09818482857679</v>
      </c>
      <c r="D59" s="1793">
        <f>D56-D58</f>
        <v>173.78</v>
      </c>
      <c r="E59" s="1793">
        <f>E56-E58</f>
        <v>125.31818482857676</v>
      </c>
      <c r="F59" s="364"/>
      <c r="G59" s="667">
        <v>31</v>
      </c>
      <c r="H59" s="662">
        <f t="shared" si="3"/>
        <v>233.12</v>
      </c>
      <c r="I59" s="663">
        <f t="shared" si="4"/>
        <v>208.12</v>
      </c>
      <c r="J59" s="664">
        <f t="shared" si="5"/>
        <v>175.14124298481258</v>
      </c>
      <c r="K59" s="665">
        <f t="shared" si="6"/>
        <v>150.14124298481258</v>
      </c>
    </row>
    <row r="60" spans="1:11" ht="15" thickBot="1" x14ac:dyDescent="0.35">
      <c r="B60" s="1801" t="s">
        <v>728</v>
      </c>
      <c r="C60" s="1802">
        <f>C41</f>
        <v>600.6</v>
      </c>
      <c r="D60" s="1802">
        <f>D41</f>
        <v>346.5</v>
      </c>
      <c r="E60" s="1803">
        <f>E41</f>
        <v>254.1</v>
      </c>
      <c r="G60" s="667">
        <v>32</v>
      </c>
      <c r="H60" s="662">
        <f t="shared" si="3"/>
        <v>225.15</v>
      </c>
      <c r="I60" s="663">
        <f t="shared" si="4"/>
        <v>200.15</v>
      </c>
      <c r="J60" s="664">
        <f t="shared" si="5"/>
        <v>169.15445381280418</v>
      </c>
      <c r="K60" s="665">
        <f t="shared" si="6"/>
        <v>144.15445381280418</v>
      </c>
    </row>
    <row r="61" spans="1:11" x14ac:dyDescent="0.3">
      <c r="B61" s="369"/>
      <c r="C61" s="1684" t="b">
        <f>ROUND(SUM(C55:C56),2)=ROUND(C54,2)</f>
        <v>1</v>
      </c>
      <c r="D61" s="1684" t="b">
        <f>ROUND(SUM(D55:D56),2)=ROUND(D54,2)</f>
        <v>1</v>
      </c>
      <c r="E61" s="1684" t="b">
        <f>ROUND(SUM(E55:E56),2)=ROUND(E54,2)</f>
        <v>1</v>
      </c>
      <c r="G61" s="667">
        <v>33</v>
      </c>
      <c r="H61" s="662">
        <f t="shared" si="3"/>
        <v>217.18</v>
      </c>
      <c r="I61" s="663">
        <f t="shared" si="4"/>
        <v>192.18</v>
      </c>
      <c r="J61" s="664">
        <f t="shared" si="5"/>
        <v>163.16766464079578</v>
      </c>
      <c r="K61" s="665">
        <f t="shared" si="6"/>
        <v>138.16766464079578</v>
      </c>
    </row>
    <row r="62" spans="1:11" x14ac:dyDescent="0.3">
      <c r="B62" s="1816" t="s">
        <v>737</v>
      </c>
      <c r="C62" s="1816">
        <v>461.62</v>
      </c>
      <c r="D62" s="1816">
        <v>279.7</v>
      </c>
      <c r="E62" s="1816">
        <v>181.92</v>
      </c>
      <c r="G62" s="667">
        <v>34</v>
      </c>
      <c r="H62" s="662">
        <f t="shared" si="3"/>
        <v>209.22</v>
      </c>
      <c r="I62" s="663">
        <f t="shared" si="4"/>
        <v>184.22</v>
      </c>
      <c r="J62" s="664">
        <f t="shared" si="5"/>
        <v>157.18087546878735</v>
      </c>
      <c r="K62" s="665">
        <f t="shared" si="6"/>
        <v>132.18087546878735</v>
      </c>
    </row>
    <row r="63" spans="1:11" ht="15" thickBot="1" x14ac:dyDescent="0.35">
      <c r="B63" s="1816" t="s">
        <v>723</v>
      </c>
      <c r="C63" s="1817">
        <f>SUM(D63:E63)</f>
        <v>299.11</v>
      </c>
      <c r="D63" s="1817">
        <f>ROUND(D40*D29*(C37-C38)/C37,2)</f>
        <v>173.79</v>
      </c>
      <c r="E63" s="1817">
        <f>ROUND(E40*E29*(C37-C38)/C37,2)</f>
        <v>125.32</v>
      </c>
      <c r="G63" s="667">
        <v>35</v>
      </c>
      <c r="H63" s="662">
        <f t="shared" si="3"/>
        <v>201.25</v>
      </c>
      <c r="I63" s="663">
        <f t="shared" si="4"/>
        <v>176.25</v>
      </c>
      <c r="J63" s="664">
        <f t="shared" si="5"/>
        <v>151.19408629677898</v>
      </c>
      <c r="K63" s="665">
        <f t="shared" si="6"/>
        <v>126.19408629677898</v>
      </c>
    </row>
    <row r="64" spans="1:11" ht="15" thickBot="1" x14ac:dyDescent="0.35">
      <c r="B64" s="1798" t="s">
        <v>743</v>
      </c>
      <c r="C64" s="1796" t="s">
        <v>242</v>
      </c>
      <c r="D64" s="315" t="s">
        <v>1</v>
      </c>
      <c r="E64" s="316" t="s">
        <v>2</v>
      </c>
      <c r="G64" s="667">
        <v>36</v>
      </c>
      <c r="H64" s="662">
        <f t="shared" si="3"/>
        <v>193.28</v>
      </c>
      <c r="I64" s="663">
        <f t="shared" si="4"/>
        <v>168.28</v>
      </c>
      <c r="J64" s="664">
        <f t="shared" si="5"/>
        <v>145.20729712477058</v>
      </c>
      <c r="K64" s="665">
        <f t="shared" si="6"/>
        <v>120.20729712477058</v>
      </c>
    </row>
    <row r="65" spans="1:11" x14ac:dyDescent="0.3">
      <c r="B65" s="4" t="s">
        <v>740</v>
      </c>
      <c r="C65" s="1794">
        <f>IF(C14=0,0,C16/C14)</f>
        <v>0.57367785976611396</v>
      </c>
      <c r="F65" s="1806"/>
      <c r="G65" s="667">
        <v>37</v>
      </c>
      <c r="H65" s="662">
        <f t="shared" si="3"/>
        <v>185.31</v>
      </c>
      <c r="I65" s="663">
        <f t="shared" si="4"/>
        <v>160.31</v>
      </c>
      <c r="J65" s="664">
        <f t="shared" si="5"/>
        <v>139.22050795276215</v>
      </c>
      <c r="K65" s="665">
        <f t="shared" si="6"/>
        <v>114.22050795276215</v>
      </c>
    </row>
    <row r="66" spans="1:11" x14ac:dyDescent="0.3">
      <c r="B66" s="1795" t="s">
        <v>730</v>
      </c>
      <c r="C66" s="371">
        <f>C54*$C$65</f>
        <v>373.23481556383376</v>
      </c>
      <c r="D66" s="371">
        <f>ROUND(D54*$C$65,2)</f>
        <v>213.12</v>
      </c>
      <c r="E66" s="371">
        <f>ROUND(E54*$C$65,2)</f>
        <v>160.11000000000001</v>
      </c>
      <c r="G66" s="667">
        <v>38</v>
      </c>
      <c r="H66" s="662">
        <f t="shared" si="3"/>
        <v>177.34</v>
      </c>
      <c r="I66" s="663">
        <f t="shared" si="4"/>
        <v>152.34</v>
      </c>
      <c r="J66" s="664">
        <f t="shared" si="5"/>
        <v>133.23371878075375</v>
      </c>
      <c r="K66" s="665">
        <f t="shared" si="6"/>
        <v>108.23371878075375</v>
      </c>
    </row>
    <row r="67" spans="1:11" x14ac:dyDescent="0.3">
      <c r="B67" s="7" t="s">
        <v>733</v>
      </c>
      <c r="C67" s="364">
        <f>SUM(D67:E67)</f>
        <v>176.8</v>
      </c>
      <c r="D67" s="364">
        <f>ROUND(D55*$C$65,2)</f>
        <v>98.99</v>
      </c>
      <c r="E67" s="364">
        <f>ROUND(E55*$C$65,2)</f>
        <v>77.81</v>
      </c>
      <c r="G67" s="667">
        <v>39</v>
      </c>
      <c r="H67" s="662">
        <f t="shared" si="3"/>
        <v>169.37</v>
      </c>
      <c r="I67" s="663">
        <f t="shared" si="4"/>
        <v>144.37</v>
      </c>
      <c r="J67" s="664">
        <f t="shared" si="5"/>
        <v>127.24692960874535</v>
      </c>
      <c r="K67" s="665">
        <f t="shared" si="6"/>
        <v>102.24692960874535</v>
      </c>
    </row>
    <row r="68" spans="1:11" x14ac:dyDescent="0.3">
      <c r="B68" s="7" t="s">
        <v>736</v>
      </c>
      <c r="C68" s="364">
        <f>SUM(D68:E68)</f>
        <v>196.43</v>
      </c>
      <c r="D68" s="364">
        <f>D66-D67</f>
        <v>114.13000000000001</v>
      </c>
      <c r="E68" s="364">
        <f>E66-E67</f>
        <v>82.300000000000011</v>
      </c>
      <c r="G68" s="667">
        <v>40</v>
      </c>
      <c r="H68" s="662">
        <f t="shared" si="3"/>
        <v>161.4</v>
      </c>
      <c r="I68" s="663">
        <f t="shared" si="4"/>
        <v>136.4</v>
      </c>
      <c r="J68" s="664">
        <f t="shared" si="5"/>
        <v>121.26014043673695</v>
      </c>
      <c r="K68" s="665">
        <f t="shared" si="6"/>
        <v>96.260140436736947</v>
      </c>
    </row>
    <row r="69" spans="1:11" x14ac:dyDescent="0.3">
      <c r="B69" s="1790" t="s">
        <v>732</v>
      </c>
      <c r="C69" s="364"/>
      <c r="D69" s="364"/>
      <c r="E69" s="364"/>
      <c r="G69" s="667">
        <v>41</v>
      </c>
      <c r="H69" s="662">
        <f t="shared" si="3"/>
        <v>153.43</v>
      </c>
      <c r="I69" s="663">
        <f t="shared" si="4"/>
        <v>128.43</v>
      </c>
      <c r="J69" s="664">
        <f t="shared" si="5"/>
        <v>115.27335126472855</v>
      </c>
      <c r="K69" s="665">
        <f t="shared" si="6"/>
        <v>90.273351264728547</v>
      </c>
    </row>
    <row r="70" spans="1:11" x14ac:dyDescent="0.3">
      <c r="B70" s="1791" t="s">
        <v>734</v>
      </c>
      <c r="C70" s="1797">
        <f>SUM(D70:E70)</f>
        <v>24.84</v>
      </c>
      <c r="D70" s="1797">
        <f>ROUND(D58*$C$65,2)</f>
        <v>14.43</v>
      </c>
      <c r="E70" s="1797">
        <f>ROUND(E58*$C$65,2)</f>
        <v>10.41</v>
      </c>
      <c r="G70" s="667">
        <v>42</v>
      </c>
      <c r="H70" s="662">
        <f t="shared" si="3"/>
        <v>145.47</v>
      </c>
      <c r="I70" s="663">
        <f t="shared" si="4"/>
        <v>120.47</v>
      </c>
      <c r="J70" s="664">
        <f t="shared" si="5"/>
        <v>109.28656209272013</v>
      </c>
      <c r="K70" s="665">
        <f t="shared" si="6"/>
        <v>84.286562092720132</v>
      </c>
    </row>
    <row r="71" spans="1:11" x14ac:dyDescent="0.3">
      <c r="B71" s="41" t="s">
        <v>735</v>
      </c>
      <c r="C71" s="1797">
        <f>SUM(D71:E71)</f>
        <v>171.59000000000003</v>
      </c>
      <c r="D71" s="1797">
        <f>D68-D70</f>
        <v>99.700000000000017</v>
      </c>
      <c r="E71" s="1797">
        <f>E68-E70</f>
        <v>71.890000000000015</v>
      </c>
      <c r="G71" s="667">
        <v>43</v>
      </c>
      <c r="H71" s="662">
        <f t="shared" si="3"/>
        <v>137.5</v>
      </c>
      <c r="I71" s="663">
        <f t="shared" si="4"/>
        <v>112.5</v>
      </c>
      <c r="J71" s="664">
        <f t="shared" si="5"/>
        <v>103.29977292071173</v>
      </c>
      <c r="K71" s="665">
        <f t="shared" si="6"/>
        <v>78.299772920711732</v>
      </c>
    </row>
    <row r="72" spans="1:11" x14ac:dyDescent="0.3">
      <c r="B72" s="41"/>
      <c r="C72" s="1797"/>
      <c r="D72" s="1797"/>
      <c r="E72" s="1797"/>
      <c r="G72" s="667">
        <v>44</v>
      </c>
      <c r="H72" s="662">
        <f t="shared" si="3"/>
        <v>129.53</v>
      </c>
      <c r="I72" s="663">
        <f t="shared" si="4"/>
        <v>104.53</v>
      </c>
      <c r="J72" s="664">
        <f t="shared" si="5"/>
        <v>97.312983748703331</v>
      </c>
      <c r="K72" s="665">
        <f t="shared" si="6"/>
        <v>72.312983748703331</v>
      </c>
    </row>
    <row r="73" spans="1:11" x14ac:dyDescent="0.3">
      <c r="B73" s="1823" t="s">
        <v>767</v>
      </c>
      <c r="C73" s="1804">
        <v>0</v>
      </c>
      <c r="D73" s="1804">
        <v>0</v>
      </c>
      <c r="E73" s="1804">
        <v>0</v>
      </c>
      <c r="G73" s="667">
        <v>45</v>
      </c>
      <c r="H73" s="662">
        <f t="shared" si="3"/>
        <v>121.56</v>
      </c>
      <c r="I73" s="663">
        <f t="shared" si="4"/>
        <v>96.56</v>
      </c>
      <c r="J73" s="664">
        <f t="shared" si="5"/>
        <v>91.326194576694917</v>
      </c>
      <c r="K73" s="665">
        <f t="shared" si="6"/>
        <v>66.326194576694917</v>
      </c>
    </row>
    <row r="74" spans="1:11" ht="35.4" thickBot="1" x14ac:dyDescent="0.6">
      <c r="A74" s="1832" t="s">
        <v>777</v>
      </c>
      <c r="B74" s="1799" t="s">
        <v>741</v>
      </c>
      <c r="C74" s="1800">
        <f>C66-C73</f>
        <v>373.23481556383376</v>
      </c>
      <c r="D74" s="1800">
        <f>D66-D73</f>
        <v>213.12</v>
      </c>
      <c r="E74" s="1800">
        <f>E66-E73</f>
        <v>160.11000000000001</v>
      </c>
      <c r="G74" s="667">
        <v>46</v>
      </c>
      <c r="H74" s="662">
        <f t="shared" si="3"/>
        <v>113.59</v>
      </c>
      <c r="I74" s="663">
        <f t="shared" si="4"/>
        <v>88.59</v>
      </c>
      <c r="J74" s="664">
        <f t="shared" si="5"/>
        <v>85.339405404686516</v>
      </c>
      <c r="K74" s="665">
        <f t="shared" si="6"/>
        <v>60.339405404686516</v>
      </c>
    </row>
    <row r="75" spans="1:11" ht="15" thickTop="1" x14ac:dyDescent="0.3">
      <c r="A75" s="7"/>
      <c r="B75" s="1821" t="s">
        <v>758</v>
      </c>
      <c r="C75" s="1820"/>
      <c r="D75" s="1820"/>
      <c r="E75" s="1820"/>
      <c r="F75" s="7"/>
      <c r="G75" s="667">
        <v>47</v>
      </c>
      <c r="H75" s="662">
        <f t="shared" si="3"/>
        <v>105.62</v>
      </c>
      <c r="I75" s="663">
        <f t="shared" si="4"/>
        <v>80.62</v>
      </c>
      <c r="J75" s="664">
        <f t="shared" si="5"/>
        <v>79.352616232678116</v>
      </c>
      <c r="K75" s="665">
        <f t="shared" si="6"/>
        <v>54.352616232678116</v>
      </c>
    </row>
    <row r="76" spans="1:11" x14ac:dyDescent="0.3">
      <c r="B76" s="41" t="s">
        <v>756</v>
      </c>
      <c r="C76" s="1797">
        <f>C67</f>
        <v>176.8</v>
      </c>
      <c r="D76" s="1797">
        <f>D67</f>
        <v>98.99</v>
      </c>
      <c r="E76" s="1797">
        <f>E67</f>
        <v>77.81</v>
      </c>
      <c r="F76" s="41" t="s">
        <v>761</v>
      </c>
      <c r="G76" s="667">
        <v>48</v>
      </c>
      <c r="H76" s="662">
        <f t="shared" si="3"/>
        <v>97.65</v>
      </c>
      <c r="I76" s="663">
        <f t="shared" si="4"/>
        <v>72.650000000000006</v>
      </c>
      <c r="J76" s="664">
        <f t="shared" si="5"/>
        <v>73.365827060669702</v>
      </c>
      <c r="K76" s="665">
        <f t="shared" si="6"/>
        <v>48.365827060669702</v>
      </c>
    </row>
    <row r="77" spans="1:11" x14ac:dyDescent="0.3">
      <c r="B77" s="1791" t="s">
        <v>765</v>
      </c>
      <c r="C77" s="1830">
        <f>SUM(C79:C80)</f>
        <v>196.43000000000004</v>
      </c>
      <c r="D77" s="1830">
        <f>SUM(D79:D80)</f>
        <v>114.13000000000002</v>
      </c>
      <c r="E77" s="1830">
        <f>SUM(E79:E80)</f>
        <v>82.300000000000011</v>
      </c>
      <c r="F77" s="41" t="s">
        <v>761</v>
      </c>
      <c r="G77" s="667">
        <v>49</v>
      </c>
      <c r="H77" s="662">
        <f t="shared" si="3"/>
        <v>89.68</v>
      </c>
      <c r="I77" s="663">
        <f t="shared" si="4"/>
        <v>64.680000000000007</v>
      </c>
      <c r="J77" s="664">
        <f t="shared" si="5"/>
        <v>67.379037888661301</v>
      </c>
      <c r="K77" s="665">
        <f t="shared" si="6"/>
        <v>42.379037888661301</v>
      </c>
    </row>
    <row r="78" spans="1:11" x14ac:dyDescent="0.3">
      <c r="B78" s="1822" t="s">
        <v>762</v>
      </c>
      <c r="C78" s="1797"/>
      <c r="D78" s="1797"/>
      <c r="E78" s="1797"/>
      <c r="F78" s="41"/>
      <c r="G78" s="667">
        <v>50</v>
      </c>
      <c r="H78" s="662">
        <f t="shared" si="3"/>
        <v>81.72</v>
      </c>
      <c r="I78" s="663">
        <f t="shared" si="4"/>
        <v>56.72</v>
      </c>
      <c r="J78" s="664">
        <f t="shared" si="5"/>
        <v>61.392248716652901</v>
      </c>
      <c r="K78" s="665">
        <f t="shared" si="6"/>
        <v>36.392248716652901</v>
      </c>
    </row>
    <row r="79" spans="1:11" x14ac:dyDescent="0.3">
      <c r="A79" s="1954" t="s">
        <v>757</v>
      </c>
      <c r="B79" s="1818" t="s">
        <v>763</v>
      </c>
      <c r="C79" s="1797">
        <f t="shared" ref="C79:E80" si="8">C70</f>
        <v>24.84</v>
      </c>
      <c r="D79" s="1797">
        <f t="shared" si="8"/>
        <v>14.43</v>
      </c>
      <c r="E79" s="1797">
        <f t="shared" si="8"/>
        <v>10.41</v>
      </c>
      <c r="F79" s="41" t="s">
        <v>759</v>
      </c>
      <c r="G79" s="667">
        <v>51</v>
      </c>
      <c r="H79" s="662">
        <f t="shared" si="3"/>
        <v>73.75</v>
      </c>
      <c r="I79" s="663">
        <f t="shared" si="4"/>
        <v>48.75</v>
      </c>
      <c r="J79" s="664">
        <f t="shared" si="5"/>
        <v>55.405459544644494</v>
      </c>
      <c r="K79" s="665">
        <f t="shared" si="6"/>
        <v>30.405459544644494</v>
      </c>
    </row>
    <row r="80" spans="1:11" x14ac:dyDescent="0.3">
      <c r="A80" s="1954"/>
      <c r="B80" s="1833" t="s">
        <v>764</v>
      </c>
      <c r="C80" s="1834">
        <f t="shared" si="8"/>
        <v>171.59000000000003</v>
      </c>
      <c r="D80" s="1834">
        <f t="shared" si="8"/>
        <v>99.700000000000017</v>
      </c>
      <c r="E80" s="1834">
        <f t="shared" si="8"/>
        <v>71.890000000000015</v>
      </c>
      <c r="F80" s="41" t="s">
        <v>761</v>
      </c>
      <c r="G80" s="667">
        <v>52</v>
      </c>
      <c r="H80" s="662">
        <f t="shared" si="3"/>
        <v>65.78</v>
      </c>
      <c r="I80" s="663">
        <f t="shared" si="4"/>
        <v>40.78</v>
      </c>
      <c r="J80" s="664">
        <f t="shared" si="5"/>
        <v>49.418670372636093</v>
      </c>
      <c r="K80" s="665">
        <f t="shared" si="6"/>
        <v>24.418670372636093</v>
      </c>
    </row>
    <row r="81" spans="1:11" ht="15" thickBot="1" x14ac:dyDescent="0.35">
      <c r="B81" s="41"/>
      <c r="C81" s="1797"/>
      <c r="D81" s="1797"/>
      <c r="E81" s="1797"/>
      <c r="G81" s="667">
        <v>53</v>
      </c>
      <c r="H81" s="662">
        <f t="shared" si="3"/>
        <v>57.81</v>
      </c>
      <c r="I81" s="663">
        <f t="shared" si="4"/>
        <v>32.81</v>
      </c>
      <c r="J81" s="664">
        <f t="shared" si="5"/>
        <v>43.431881200627679</v>
      </c>
      <c r="K81" s="665">
        <f t="shared" si="6"/>
        <v>18.431881200627679</v>
      </c>
    </row>
    <row r="82" spans="1:11" ht="15" thickBot="1" x14ac:dyDescent="0.35">
      <c r="B82" s="1798" t="s">
        <v>744</v>
      </c>
      <c r="C82" s="1796" t="s">
        <v>242</v>
      </c>
      <c r="D82" s="315" t="s">
        <v>1</v>
      </c>
      <c r="E82" s="316" t="s">
        <v>2</v>
      </c>
      <c r="G82" s="667">
        <v>54</v>
      </c>
      <c r="H82" s="662">
        <f t="shared" si="3"/>
        <v>49.84</v>
      </c>
      <c r="I82" s="663">
        <f t="shared" si="4"/>
        <v>24.84</v>
      </c>
      <c r="J82" s="664">
        <f t="shared" si="5"/>
        <v>37.445092028619278</v>
      </c>
      <c r="K82" s="665">
        <f t="shared" si="6"/>
        <v>12.445092028619278</v>
      </c>
    </row>
    <row r="83" spans="1:11" x14ac:dyDescent="0.3">
      <c r="B83" s="4" t="s">
        <v>755</v>
      </c>
      <c r="C83" s="1805">
        <f>1-(C18/(C18+C15))</f>
        <v>0.37601888619221135</v>
      </c>
      <c r="D83" s="1797"/>
      <c r="E83" s="1797"/>
      <c r="G83" s="667">
        <v>55</v>
      </c>
      <c r="H83" s="662">
        <f t="shared" si="3"/>
        <v>41.870000000000005</v>
      </c>
      <c r="I83" s="663">
        <f t="shared" si="4"/>
        <v>16.87</v>
      </c>
      <c r="J83" s="664">
        <f t="shared" si="5"/>
        <v>31.458302856610874</v>
      </c>
      <c r="K83" s="665">
        <f t="shared" si="6"/>
        <v>6.4583028566108744</v>
      </c>
    </row>
    <row r="84" spans="1:11" x14ac:dyDescent="0.3">
      <c r="B84" s="1795" t="s">
        <v>746</v>
      </c>
      <c r="C84" s="1807">
        <f>C54*$C$83</f>
        <v>244.63788735665273</v>
      </c>
      <c r="D84" s="1807">
        <f>ROUND(D54*$C$83,2)</f>
        <v>139.69</v>
      </c>
      <c r="E84" s="1807">
        <f>ROUND(E54*$C$83,2)</f>
        <v>104.95</v>
      </c>
      <c r="G84" s="667">
        <v>56</v>
      </c>
      <c r="H84" s="662">
        <f t="shared" si="3"/>
        <v>33.9</v>
      </c>
      <c r="I84" s="663">
        <f t="shared" si="4"/>
        <v>8.9</v>
      </c>
      <c r="J84" s="664">
        <f t="shared" si="5"/>
        <v>25.471513684602471</v>
      </c>
      <c r="K84" s="665">
        <f t="shared" si="6"/>
        <v>0.47151368460247056</v>
      </c>
    </row>
    <row r="85" spans="1:11" x14ac:dyDescent="0.3">
      <c r="B85" s="7" t="s">
        <v>733</v>
      </c>
      <c r="C85" s="1804">
        <f>SUM(D85:E85)</f>
        <v>115.89</v>
      </c>
      <c r="D85" s="1797">
        <f>ROUND(D55*$C$83,2)</f>
        <v>64.89</v>
      </c>
      <c r="E85" s="1797">
        <f>ROUND(E55*$C$83,2)</f>
        <v>51</v>
      </c>
      <c r="G85" s="667">
        <v>57</v>
      </c>
      <c r="H85" s="662">
        <f t="shared" si="3"/>
        <v>25.94</v>
      </c>
      <c r="I85" s="663">
        <f t="shared" si="4"/>
        <v>0.94</v>
      </c>
      <c r="J85" s="664">
        <f t="shared" si="5"/>
        <v>19.484724512594067</v>
      </c>
      <c r="K85" s="665">
        <f t="shared" si="6"/>
        <v>-5.5152754874059333</v>
      </c>
    </row>
    <row r="86" spans="1:11" x14ac:dyDescent="0.3">
      <c r="B86" s="7" t="s">
        <v>736</v>
      </c>
      <c r="C86" s="364">
        <f>SUM(D86:E86)</f>
        <v>128.75</v>
      </c>
      <c r="D86" s="364">
        <f>D84-D85</f>
        <v>74.8</v>
      </c>
      <c r="E86" s="364">
        <f>E84-E85</f>
        <v>53.95</v>
      </c>
      <c r="G86" s="667">
        <v>58</v>
      </c>
      <c r="H86" s="662">
        <f t="shared" si="3"/>
        <v>17.97</v>
      </c>
      <c r="I86" s="663">
        <f t="shared" si="4"/>
        <v>-7.03</v>
      </c>
      <c r="J86" s="664">
        <f t="shared" si="5"/>
        <v>13.497935340585659</v>
      </c>
      <c r="K86" s="665">
        <f t="shared" si="6"/>
        <v>-11.502064659414341</v>
      </c>
    </row>
    <row r="87" spans="1:11" x14ac:dyDescent="0.3">
      <c r="B87" s="1790" t="s">
        <v>732</v>
      </c>
      <c r="C87" s="1797"/>
      <c r="D87" s="1797"/>
      <c r="E87" s="1797"/>
      <c r="G87" s="667">
        <v>59</v>
      </c>
      <c r="H87" s="662">
        <f t="shared" si="3"/>
        <v>10</v>
      </c>
      <c r="I87" s="663">
        <f t="shared" si="4"/>
        <v>-15</v>
      </c>
      <c r="J87" s="664">
        <f t="shared" si="5"/>
        <v>7.5111461685772554</v>
      </c>
      <c r="K87" s="665">
        <f t="shared" si="6"/>
        <v>-17.488853831422745</v>
      </c>
    </row>
    <row r="88" spans="1:11" x14ac:dyDescent="0.3">
      <c r="B88" s="1791" t="s">
        <v>734</v>
      </c>
      <c r="C88" s="1792">
        <f>SUM(D88:E88)</f>
        <v>16.28</v>
      </c>
      <c r="D88" s="1797">
        <f>ROUND(D58*$C$83,2)</f>
        <v>9.4600000000000009</v>
      </c>
      <c r="E88" s="1797">
        <f>ROUND(E58*$C$83,2)</f>
        <v>6.82</v>
      </c>
      <c r="G88" s="667">
        <v>60</v>
      </c>
      <c r="H88" s="662">
        <f t="shared" si="3"/>
        <v>2.0300000000000011</v>
      </c>
      <c r="I88" s="663">
        <f t="shared" si="4"/>
        <v>-22.97</v>
      </c>
      <c r="J88" s="664">
        <f t="shared" si="5"/>
        <v>1.5243569965688513</v>
      </c>
      <c r="K88" s="665">
        <f t="shared" si="6"/>
        <v>-23.475643003431149</v>
      </c>
    </row>
    <row r="89" spans="1:11" x14ac:dyDescent="0.3">
      <c r="B89" s="41" t="s">
        <v>735</v>
      </c>
      <c r="C89" s="1793">
        <f>SUM(D89:E89)</f>
        <v>112.47</v>
      </c>
      <c r="D89" s="1797">
        <f>D86-D88</f>
        <v>65.34</v>
      </c>
      <c r="E89" s="1797">
        <f>E86-E88</f>
        <v>47.13</v>
      </c>
      <c r="G89" s="667">
        <v>61</v>
      </c>
      <c r="H89" s="662" t="str">
        <f t="shared" si="3"/>
        <v/>
      </c>
      <c r="I89" s="663" t="str">
        <f t="shared" si="4"/>
        <v/>
      </c>
      <c r="J89" s="664" t="str">
        <f>IF(G89&gt;$C$37,"",$E$40*($C$37-G89)/$C$37)</f>
        <v/>
      </c>
      <c r="K89" s="665" t="str">
        <f t="shared" ref="K89:K98" si="9">IF(G89&gt;$C$37,"",J89-$E$30)</f>
        <v/>
      </c>
    </row>
    <row r="90" spans="1:11" x14ac:dyDescent="0.3">
      <c r="B90" s="41"/>
      <c r="C90" s="1797"/>
      <c r="D90" s="1797"/>
      <c r="E90" s="1797"/>
      <c r="G90" s="667">
        <v>62</v>
      </c>
      <c r="H90" s="662" t="str">
        <f t="shared" si="3"/>
        <v/>
      </c>
      <c r="I90" s="663" t="str">
        <f t="shared" si="4"/>
        <v/>
      </c>
      <c r="J90" s="664" t="str">
        <f>IF(G90&gt;$C$37,"",$E$40*($C$37-G90)/$C$37)</f>
        <v/>
      </c>
      <c r="K90" s="665" t="str">
        <f t="shared" si="9"/>
        <v/>
      </c>
    </row>
    <row r="91" spans="1:11" x14ac:dyDescent="0.3">
      <c r="B91" s="4" t="s">
        <v>747</v>
      </c>
      <c r="C91" s="1797">
        <f>C30</f>
        <v>50</v>
      </c>
      <c r="D91" s="1797">
        <f>D30</f>
        <v>25</v>
      </c>
      <c r="E91" s="1797">
        <f>E30</f>
        <v>25</v>
      </c>
      <c r="G91" s="667">
        <v>63</v>
      </c>
      <c r="H91" s="662" t="str">
        <f t="shared" si="3"/>
        <v/>
      </c>
      <c r="I91" s="663" t="str">
        <f t="shared" si="4"/>
        <v/>
      </c>
      <c r="J91" s="664" t="str">
        <f>IF(G91&gt;$C$37,"",$E$40*($C$37-G91)/$C$37)</f>
        <v/>
      </c>
      <c r="K91" s="665" t="str">
        <f t="shared" si="9"/>
        <v/>
      </c>
    </row>
    <row r="92" spans="1:11" ht="35.4" thickBot="1" x14ac:dyDescent="0.6">
      <c r="A92" s="1832" t="s">
        <v>768</v>
      </c>
      <c r="B92" s="1799" t="s">
        <v>745</v>
      </c>
      <c r="C92" s="1800">
        <f>C84-C91</f>
        <v>194.63788735665273</v>
      </c>
      <c r="D92" s="1800">
        <f>D84-D91</f>
        <v>114.69</v>
      </c>
      <c r="E92" s="1800">
        <f>E84-E91</f>
        <v>79.95</v>
      </c>
      <c r="G92" s="667">
        <v>64</v>
      </c>
      <c r="H92" s="662" t="str">
        <f t="shared" si="3"/>
        <v/>
      </c>
      <c r="I92" s="663" t="str">
        <f t="shared" si="4"/>
        <v/>
      </c>
      <c r="J92" s="664" t="str">
        <f>IF(G92&gt;$C$37,"",$E$40*($C$37-G92)/$C$37)</f>
        <v/>
      </c>
      <c r="K92" s="665" t="str">
        <f t="shared" si="9"/>
        <v/>
      </c>
    </row>
    <row r="93" spans="1:11" ht="15" thickTop="1" x14ac:dyDescent="0.3">
      <c r="A93" s="7"/>
      <c r="B93" s="1821" t="s">
        <v>758</v>
      </c>
      <c r="C93" s="1820"/>
      <c r="D93" s="1820"/>
      <c r="E93" s="1820"/>
      <c r="F93" s="7"/>
      <c r="G93" s="667">
        <v>65</v>
      </c>
      <c r="H93" s="662" t="str">
        <f t="shared" si="3"/>
        <v/>
      </c>
      <c r="I93" s="663" t="str">
        <f t="shared" si="4"/>
        <v/>
      </c>
      <c r="J93" s="664" t="str">
        <f>IF(G93&gt;$C$37,"",$E$40*($C$37-G93)/$C$37)</f>
        <v/>
      </c>
      <c r="K93" s="665" t="str">
        <f t="shared" si="9"/>
        <v/>
      </c>
    </row>
    <row r="94" spans="1:11" x14ac:dyDescent="0.3">
      <c r="B94" s="41" t="s">
        <v>756</v>
      </c>
      <c r="C94" s="36">
        <f>C85-(C30-C31)</f>
        <v>80.89</v>
      </c>
      <c r="D94" s="36">
        <f>D85-(D30-D31)</f>
        <v>47.39</v>
      </c>
      <c r="E94" s="36">
        <f>E85-(E30-E31)</f>
        <v>33.5</v>
      </c>
      <c r="G94" s="667">
        <v>66</v>
      </c>
      <c r="H94" s="662" t="str">
        <f t="shared" ref="H94:H149" si="10">IF(G94&gt;$C$37,"",ROUND($D$40*(1-$D$29-$D$32)*(($C$37-G94)/$C$37)*$C$14/$C$13+$D$40*$D$32*($C$37-G94)/$C$37+$D$40*$D$29*($C$37-G94)/$C$37-$D$30,2)+$D$30)</f>
        <v/>
      </c>
      <c r="I94" s="663" t="str">
        <f t="shared" ref="I94:I149" si="11">IF(G94&gt;$C$37,"",ROUND($D$40*(1-$D$29-$D$32)*(($C$37-G94)/$C$37)*$C$14/$C$13+$D$40*$D$32*($C$37-G94)/$C$37+$D$40*$D$29*($C$37-G94)/$C$37-$D$30,2))</f>
        <v/>
      </c>
      <c r="J94" s="664" t="str">
        <f t="shared" ref="J94:J149" si="12">IF(G94&gt;$C$37,"",$E$40*($C$37-G94)/$C$37)</f>
        <v/>
      </c>
      <c r="K94" s="665" t="str">
        <f t="shared" si="9"/>
        <v/>
      </c>
    </row>
    <row r="95" spans="1:11" x14ac:dyDescent="0.3">
      <c r="B95" s="1791" t="s">
        <v>765</v>
      </c>
      <c r="C95" s="1831">
        <f>SUM(C97:C98)</f>
        <v>113.75</v>
      </c>
      <c r="D95" s="1831">
        <f>SUM(D97:D98)</f>
        <v>67.300000000000011</v>
      </c>
      <c r="E95" s="1831">
        <f>SUM(E97:E98)</f>
        <v>46.45</v>
      </c>
      <c r="G95" s="667">
        <v>67</v>
      </c>
      <c r="H95" s="662" t="str">
        <f t="shared" si="10"/>
        <v/>
      </c>
      <c r="I95" s="663" t="str">
        <f t="shared" si="11"/>
        <v/>
      </c>
      <c r="J95" s="664" t="str">
        <f t="shared" si="12"/>
        <v/>
      </c>
      <c r="K95" s="665" t="str">
        <f t="shared" si="9"/>
        <v/>
      </c>
    </row>
    <row r="96" spans="1:11" x14ac:dyDescent="0.3">
      <c r="B96" s="1822" t="s">
        <v>762</v>
      </c>
      <c r="C96" s="36"/>
      <c r="D96" s="36"/>
      <c r="E96" s="36"/>
      <c r="G96" s="667">
        <v>68</v>
      </c>
      <c r="H96" s="662" t="str">
        <f t="shared" si="10"/>
        <v/>
      </c>
      <c r="I96" s="663" t="str">
        <f t="shared" si="11"/>
        <v/>
      </c>
      <c r="J96" s="664" t="str">
        <f t="shared" si="12"/>
        <v/>
      </c>
      <c r="K96" s="665" t="str">
        <f t="shared" si="9"/>
        <v/>
      </c>
    </row>
    <row r="97" spans="1:11" x14ac:dyDescent="0.3">
      <c r="A97" s="1954" t="s">
        <v>757</v>
      </c>
      <c r="B97" s="1818" t="s">
        <v>766</v>
      </c>
      <c r="C97" s="1797">
        <f>C88</f>
        <v>16.28</v>
      </c>
      <c r="D97" s="1797">
        <f>D88</f>
        <v>9.4600000000000009</v>
      </c>
      <c r="E97" s="1797">
        <f>E88</f>
        <v>6.82</v>
      </c>
      <c r="F97" s="41" t="s">
        <v>760</v>
      </c>
      <c r="G97" s="667">
        <v>69</v>
      </c>
      <c r="H97" s="662" t="str">
        <f t="shared" si="10"/>
        <v/>
      </c>
      <c r="I97" s="663" t="str">
        <f t="shared" si="11"/>
        <v/>
      </c>
      <c r="J97" s="664" t="str">
        <f t="shared" si="12"/>
        <v/>
      </c>
      <c r="K97" s="665" t="str">
        <f t="shared" si="9"/>
        <v/>
      </c>
    </row>
    <row r="98" spans="1:11" x14ac:dyDescent="0.3">
      <c r="A98" s="1954"/>
      <c r="B98" s="1833" t="s">
        <v>764</v>
      </c>
      <c r="C98" s="1834">
        <f>C89-C31</f>
        <v>97.47</v>
      </c>
      <c r="D98" s="1834">
        <f>D89-D31</f>
        <v>57.84</v>
      </c>
      <c r="E98" s="1834">
        <f>E89-E31</f>
        <v>39.630000000000003</v>
      </c>
      <c r="G98" s="667">
        <v>70</v>
      </c>
      <c r="H98" s="662" t="str">
        <f t="shared" si="10"/>
        <v/>
      </c>
      <c r="I98" s="663" t="str">
        <f t="shared" si="11"/>
        <v/>
      </c>
      <c r="J98" s="664" t="str">
        <f t="shared" si="12"/>
        <v/>
      </c>
      <c r="K98" s="665" t="str">
        <f t="shared" si="9"/>
        <v/>
      </c>
    </row>
    <row r="99" spans="1:11" x14ac:dyDescent="0.3">
      <c r="A99" s="1819"/>
      <c r="B99" s="41"/>
      <c r="G99" s="667">
        <v>71</v>
      </c>
      <c r="H99" s="662" t="str">
        <f t="shared" si="10"/>
        <v/>
      </c>
      <c r="I99" s="663" t="str">
        <f t="shared" si="11"/>
        <v/>
      </c>
      <c r="J99" s="664" t="str">
        <f t="shared" si="12"/>
        <v/>
      </c>
      <c r="K99" s="665" t="str">
        <f t="shared" ref="K99:K130" si="13">IF(G99&gt;$C$37,"",J99-$E$30)</f>
        <v/>
      </c>
    </row>
    <row r="100" spans="1:11" x14ac:dyDescent="0.3">
      <c r="B100" s="256"/>
      <c r="G100" s="667">
        <v>72</v>
      </c>
      <c r="H100" s="662" t="str">
        <f t="shared" si="10"/>
        <v/>
      </c>
      <c r="I100" s="663" t="str">
        <f t="shared" si="11"/>
        <v/>
      </c>
      <c r="J100" s="363" t="str">
        <f t="shared" si="12"/>
        <v/>
      </c>
      <c r="K100" s="366" t="str">
        <f t="shared" si="13"/>
        <v/>
      </c>
    </row>
    <row r="101" spans="1:11" x14ac:dyDescent="0.3">
      <c r="B101" s="17" t="s">
        <v>12</v>
      </c>
      <c r="G101" s="667">
        <v>73</v>
      </c>
      <c r="H101" s="662" t="str">
        <f t="shared" si="10"/>
        <v/>
      </c>
      <c r="I101" s="663" t="str">
        <f t="shared" si="11"/>
        <v/>
      </c>
      <c r="J101" s="363" t="str">
        <f t="shared" si="12"/>
        <v/>
      </c>
      <c r="K101" s="366" t="str">
        <f t="shared" si="13"/>
        <v/>
      </c>
    </row>
    <row r="102" spans="1:11" x14ac:dyDescent="0.3">
      <c r="B102" s="4" t="s">
        <v>14</v>
      </c>
      <c r="C102" s="658"/>
      <c r="D102" s="658"/>
      <c r="E102" s="658"/>
      <c r="G102" s="667">
        <v>74</v>
      </c>
      <c r="H102" s="662" t="str">
        <f t="shared" si="10"/>
        <v/>
      </c>
      <c r="I102" s="663" t="str">
        <f t="shared" si="11"/>
        <v/>
      </c>
      <c r="J102" s="363" t="str">
        <f t="shared" si="12"/>
        <v/>
      </c>
      <c r="K102" s="366" t="str">
        <f t="shared" si="13"/>
        <v/>
      </c>
    </row>
    <row r="103" spans="1:11" x14ac:dyDescent="0.3">
      <c r="B103" s="4" t="s">
        <v>13</v>
      </c>
      <c r="C103" s="658"/>
      <c r="D103" s="658"/>
      <c r="E103" s="658"/>
      <c r="G103" s="667">
        <v>75</v>
      </c>
      <c r="H103" s="662" t="str">
        <f t="shared" si="10"/>
        <v/>
      </c>
      <c r="I103" s="663" t="str">
        <f t="shared" si="11"/>
        <v/>
      </c>
      <c r="J103" s="363" t="str">
        <f t="shared" si="12"/>
        <v/>
      </c>
      <c r="K103" s="366" t="str">
        <f t="shared" si="13"/>
        <v/>
      </c>
    </row>
    <row r="104" spans="1:11" x14ac:dyDescent="0.3">
      <c r="C104" s="658"/>
      <c r="D104" s="658"/>
      <c r="E104" s="658"/>
      <c r="G104" s="667">
        <v>76</v>
      </c>
      <c r="H104" s="662" t="str">
        <f t="shared" si="10"/>
        <v/>
      </c>
      <c r="I104" s="663" t="str">
        <f t="shared" si="11"/>
        <v/>
      </c>
      <c r="J104" s="363" t="str">
        <f t="shared" si="12"/>
        <v/>
      </c>
      <c r="K104" s="366" t="str">
        <f t="shared" si="13"/>
        <v/>
      </c>
    </row>
    <row r="105" spans="1:11" x14ac:dyDescent="0.3">
      <c r="C105" s="658"/>
      <c r="D105" s="658"/>
      <c r="E105" s="658"/>
      <c r="G105" s="667">
        <v>77</v>
      </c>
      <c r="H105" s="662" t="str">
        <f t="shared" si="10"/>
        <v/>
      </c>
      <c r="I105" s="663" t="str">
        <f t="shared" si="11"/>
        <v/>
      </c>
      <c r="J105" s="363" t="str">
        <f t="shared" si="12"/>
        <v/>
      </c>
      <c r="K105" s="366" t="str">
        <f t="shared" si="13"/>
        <v/>
      </c>
    </row>
    <row r="106" spans="1:11" x14ac:dyDescent="0.3">
      <c r="D106" s="1788"/>
      <c r="E106" s="627"/>
      <c r="G106" s="667">
        <v>78</v>
      </c>
      <c r="H106" s="662" t="str">
        <f t="shared" si="10"/>
        <v/>
      </c>
      <c r="I106" s="663" t="str">
        <f t="shared" si="11"/>
        <v/>
      </c>
      <c r="J106" s="363" t="str">
        <f t="shared" si="12"/>
        <v/>
      </c>
      <c r="K106" s="366" t="str">
        <f t="shared" si="13"/>
        <v/>
      </c>
    </row>
    <row r="107" spans="1:11" x14ac:dyDescent="0.3">
      <c r="A107" s="41" t="s">
        <v>639</v>
      </c>
      <c r="B107" s="904" t="s">
        <v>725</v>
      </c>
      <c r="C107" s="1588">
        <f>D107+E107</f>
        <v>650.60758712457823</v>
      </c>
      <c r="D107" s="1590">
        <f>D26*(C37-C38)/C37*C14/C13+D27*(C37-C38)/C37+D28*(C37-C38)/C37</f>
        <v>371.5027383334513</v>
      </c>
      <c r="E107" s="1590">
        <f>(E26+E27+E28)*(C37-C38)/C37</f>
        <v>279.10484879112687</v>
      </c>
      <c r="G107" s="667">
        <v>79</v>
      </c>
      <c r="H107" s="662" t="str">
        <f t="shared" si="10"/>
        <v/>
      </c>
      <c r="I107" s="663" t="str">
        <f t="shared" si="11"/>
        <v/>
      </c>
      <c r="J107" s="363" t="str">
        <f t="shared" si="12"/>
        <v/>
      </c>
      <c r="K107" s="366" t="str">
        <f t="shared" si="13"/>
        <v/>
      </c>
    </row>
    <row r="108" spans="1:11" x14ac:dyDescent="0.3">
      <c r="B108" s="904" t="s">
        <v>590</v>
      </c>
      <c r="C108" s="627" t="b">
        <f>ROUND(C107,2)=(ROUND(C54,2))</f>
        <v>0</v>
      </c>
      <c r="D108" s="627" t="b">
        <f>ROUND(D107,2)=(ROUND(D54,2))</f>
        <v>1</v>
      </c>
      <c r="E108" s="660" t="b">
        <f>ROUND(E107,2)=(ROUND(E54,2))</f>
        <v>1</v>
      </c>
      <c r="G108" s="667">
        <v>80</v>
      </c>
      <c r="H108" s="662" t="str">
        <f t="shared" si="10"/>
        <v/>
      </c>
      <c r="I108" s="663" t="str">
        <f t="shared" si="11"/>
        <v/>
      </c>
      <c r="J108" s="363" t="str">
        <f t="shared" si="12"/>
        <v/>
      </c>
      <c r="K108" s="366" t="str">
        <f t="shared" si="13"/>
        <v/>
      </c>
    </row>
    <row r="109" spans="1:11" x14ac:dyDescent="0.3">
      <c r="B109" s="904"/>
      <c r="C109" s="627"/>
      <c r="D109" s="627"/>
      <c r="E109" s="660"/>
      <c r="G109" s="667">
        <v>81</v>
      </c>
      <c r="H109" s="662" t="str">
        <f t="shared" si="10"/>
        <v/>
      </c>
      <c r="I109" s="663" t="str">
        <f t="shared" si="11"/>
        <v/>
      </c>
      <c r="J109" s="363" t="str">
        <f t="shared" si="12"/>
        <v/>
      </c>
      <c r="K109" s="366" t="str">
        <f t="shared" si="13"/>
        <v/>
      </c>
    </row>
    <row r="110" spans="1:11" x14ac:dyDescent="0.3">
      <c r="B110" s="905" t="s">
        <v>640</v>
      </c>
      <c r="C110" s="627"/>
      <c r="D110" s="627"/>
      <c r="E110" s="660"/>
      <c r="G110" s="667">
        <v>82</v>
      </c>
      <c r="H110" s="662" t="str">
        <f t="shared" si="10"/>
        <v/>
      </c>
      <c r="I110" s="663" t="str">
        <f t="shared" si="11"/>
        <v/>
      </c>
      <c r="J110" s="363" t="str">
        <f t="shared" si="12"/>
        <v/>
      </c>
      <c r="K110" s="366" t="str">
        <f t="shared" si="13"/>
        <v/>
      </c>
    </row>
    <row r="111" spans="1:11" x14ac:dyDescent="0.3">
      <c r="B111" s="41" t="s">
        <v>738</v>
      </c>
      <c r="C111" s="627"/>
      <c r="D111" s="627"/>
      <c r="E111" s="660"/>
      <c r="G111" s="667">
        <v>83</v>
      </c>
      <c r="H111" s="662" t="str">
        <f t="shared" si="10"/>
        <v/>
      </c>
      <c r="I111" s="663" t="str">
        <f t="shared" si="11"/>
        <v/>
      </c>
      <c r="J111" s="363" t="str">
        <f t="shared" si="12"/>
        <v/>
      </c>
      <c r="K111" s="366" t="str">
        <f t="shared" si="13"/>
        <v/>
      </c>
    </row>
    <row r="112" spans="1:11" x14ac:dyDescent="0.3">
      <c r="A112" s="1955" t="s">
        <v>637</v>
      </c>
      <c r="B112" s="904" t="s">
        <v>631</v>
      </c>
      <c r="C112" s="1588">
        <f>D112+E112</f>
        <v>624.28</v>
      </c>
      <c r="D112" s="1589">
        <f>ROUND(D26*(C37-C38)*(C37-C38+1)/(C37*(C37+1))+(D27+D28)*(C37-C38)/C37,2)</f>
        <v>345.18</v>
      </c>
      <c r="E112" s="1590">
        <f>ROUND((E26+E27+E28)*(C37-C38)/C37,2)</f>
        <v>279.10000000000002</v>
      </c>
      <c r="G112" s="667">
        <v>84</v>
      </c>
      <c r="H112" s="662" t="str">
        <f t="shared" si="10"/>
        <v/>
      </c>
      <c r="I112" s="663" t="str">
        <f t="shared" si="11"/>
        <v/>
      </c>
      <c r="J112" s="363" t="str">
        <f t="shared" si="12"/>
        <v/>
      </c>
      <c r="K112" s="366" t="str">
        <f t="shared" si="13"/>
        <v/>
      </c>
    </row>
    <row r="113" spans="1:11" x14ac:dyDescent="0.3">
      <c r="A113" s="1955"/>
      <c r="B113" s="904" t="s">
        <v>629</v>
      </c>
      <c r="C113" s="1588">
        <f>D113+E113</f>
        <v>618.68000000000006</v>
      </c>
      <c r="D113" s="1589">
        <f>ROUND(D121*(C37-C38)*(C37-C38+1)/(C37*(C37+1))+(D122+D28)*(C37-C38)/C37,2)</f>
        <v>339.58</v>
      </c>
      <c r="E113" s="1590">
        <f>ROUND((E121+E122+E28)*(C37-C38)/C37,2)</f>
        <v>279.10000000000002</v>
      </c>
      <c r="G113" s="667">
        <v>85</v>
      </c>
      <c r="H113" s="662" t="str">
        <f t="shared" si="10"/>
        <v/>
      </c>
      <c r="I113" s="663" t="str">
        <f t="shared" si="11"/>
        <v/>
      </c>
      <c r="J113" s="363" t="str">
        <f t="shared" si="12"/>
        <v/>
      </c>
      <c r="K113" s="366" t="str">
        <f t="shared" si="13"/>
        <v/>
      </c>
    </row>
    <row r="114" spans="1:11" x14ac:dyDescent="0.3">
      <c r="A114" s="1955"/>
      <c r="B114" s="904" t="s">
        <v>630</v>
      </c>
      <c r="C114" s="1588">
        <f>D114+E114</f>
        <v>618.68000000000006</v>
      </c>
      <c r="D114" s="1589">
        <f>ROUND((D26+D27)*(C37-C38)*(C37-C38+1)/(C37*(C37+1))+D28*(C37-C38)/C37,2)</f>
        <v>339.58</v>
      </c>
      <c r="E114" s="1590">
        <f>ROUND((E26+E27+E28)*(C37-C38)/C37,2)</f>
        <v>279.10000000000002</v>
      </c>
      <c r="G114" s="667">
        <v>86</v>
      </c>
      <c r="H114" s="662" t="str">
        <f t="shared" si="10"/>
        <v/>
      </c>
      <c r="I114" s="663" t="str">
        <f t="shared" si="11"/>
        <v/>
      </c>
      <c r="J114" s="363" t="str">
        <f t="shared" si="12"/>
        <v/>
      </c>
      <c r="K114" s="366" t="str">
        <f t="shared" si="13"/>
        <v/>
      </c>
    </row>
    <row r="115" spans="1:11" x14ac:dyDescent="0.3">
      <c r="A115" s="1568"/>
      <c r="B115" s="904"/>
      <c r="C115" s="1588"/>
      <c r="D115" s="1589"/>
      <c r="E115" s="1590"/>
      <c r="G115" s="667">
        <v>87</v>
      </c>
      <c r="H115" s="662" t="str">
        <f t="shared" si="10"/>
        <v/>
      </c>
      <c r="I115" s="663" t="str">
        <f t="shared" si="11"/>
        <v/>
      </c>
      <c r="J115" s="363" t="str">
        <f t="shared" si="12"/>
        <v/>
      </c>
      <c r="K115" s="366" t="str">
        <f t="shared" si="13"/>
        <v/>
      </c>
    </row>
    <row r="116" spans="1:11" x14ac:dyDescent="0.3">
      <c r="A116" s="1568"/>
      <c r="B116" s="41" t="s">
        <v>739</v>
      </c>
      <c r="C116" s="1588"/>
      <c r="D116" s="1589"/>
      <c r="E116" s="1590"/>
      <c r="G116" s="667">
        <v>88</v>
      </c>
      <c r="H116" s="662" t="str">
        <f t="shared" si="10"/>
        <v/>
      </c>
      <c r="I116" s="663" t="str">
        <f t="shared" si="11"/>
        <v/>
      </c>
      <c r="J116" s="363" t="str">
        <f t="shared" si="12"/>
        <v/>
      </c>
      <c r="K116" s="366" t="str">
        <f t="shared" si="13"/>
        <v/>
      </c>
    </row>
    <row r="117" spans="1:11" x14ac:dyDescent="0.3">
      <c r="A117" s="1955" t="s">
        <v>637</v>
      </c>
      <c r="B117" s="904" t="s">
        <v>631</v>
      </c>
      <c r="C117" s="1588">
        <f t="shared" ref="C117:E119" si="14">C112-C$30</f>
        <v>574.28</v>
      </c>
      <c r="D117" s="1588">
        <f t="shared" si="14"/>
        <v>320.18</v>
      </c>
      <c r="E117" s="1588">
        <f t="shared" si="14"/>
        <v>254.10000000000002</v>
      </c>
      <c r="G117" s="667">
        <v>89</v>
      </c>
      <c r="H117" s="662" t="str">
        <f t="shared" si="10"/>
        <v/>
      </c>
      <c r="I117" s="663" t="str">
        <f t="shared" si="11"/>
        <v/>
      </c>
      <c r="J117" s="363" t="str">
        <f t="shared" si="12"/>
        <v/>
      </c>
      <c r="K117" s="366" t="str">
        <f t="shared" si="13"/>
        <v/>
      </c>
    </row>
    <row r="118" spans="1:11" x14ac:dyDescent="0.3">
      <c r="A118" s="1955"/>
      <c r="B118" s="904" t="s">
        <v>629</v>
      </c>
      <c r="C118" s="1588">
        <f t="shared" si="14"/>
        <v>568.68000000000006</v>
      </c>
      <c r="D118" s="1588">
        <f t="shared" si="14"/>
        <v>314.58</v>
      </c>
      <c r="E118" s="1588">
        <f t="shared" si="14"/>
        <v>254.10000000000002</v>
      </c>
      <c r="G118" s="667">
        <v>90</v>
      </c>
      <c r="H118" s="662" t="str">
        <f t="shared" si="10"/>
        <v/>
      </c>
      <c r="I118" s="663" t="str">
        <f t="shared" si="11"/>
        <v/>
      </c>
      <c r="J118" s="363" t="str">
        <f t="shared" si="12"/>
        <v/>
      </c>
      <c r="K118" s="366" t="str">
        <f t="shared" si="13"/>
        <v/>
      </c>
    </row>
    <row r="119" spans="1:11" x14ac:dyDescent="0.3">
      <c r="A119" s="1955"/>
      <c r="B119" s="904" t="s">
        <v>630</v>
      </c>
      <c r="C119" s="1588">
        <f t="shared" si="14"/>
        <v>568.68000000000006</v>
      </c>
      <c r="D119" s="1588">
        <f t="shared" si="14"/>
        <v>314.58</v>
      </c>
      <c r="E119" s="1588">
        <f t="shared" si="14"/>
        <v>254.10000000000002</v>
      </c>
      <c r="G119" s="667">
        <v>91</v>
      </c>
      <c r="H119" s="662" t="str">
        <f t="shared" si="10"/>
        <v/>
      </c>
      <c r="I119" s="663" t="str">
        <f t="shared" si="11"/>
        <v/>
      </c>
      <c r="J119" s="363" t="str">
        <f t="shared" si="12"/>
        <v/>
      </c>
      <c r="K119" s="366" t="str">
        <f t="shared" si="13"/>
        <v/>
      </c>
    </row>
    <row r="120" spans="1:11" x14ac:dyDescent="0.3">
      <c r="B120" s="904"/>
      <c r="C120" s="1588"/>
      <c r="D120" s="1589"/>
      <c r="E120" s="1590"/>
      <c r="G120" s="667">
        <v>92</v>
      </c>
      <c r="H120" s="662" t="str">
        <f t="shared" si="10"/>
        <v/>
      </c>
      <c r="I120" s="663" t="str">
        <f t="shared" si="11"/>
        <v/>
      </c>
      <c r="J120" s="363" t="str">
        <f t="shared" si="12"/>
        <v/>
      </c>
      <c r="K120" s="366" t="str">
        <f t="shared" si="13"/>
        <v/>
      </c>
    </row>
    <row r="121" spans="1:11" x14ac:dyDescent="0.3">
      <c r="B121" s="1591" t="s">
        <v>632</v>
      </c>
      <c r="C121" s="1588">
        <f>SUM(D121:E121)</f>
        <v>474.40092073170717</v>
      </c>
      <c r="D121" s="1589">
        <f>D40*(1-D29-D33)</f>
        <v>275.63774999999987</v>
      </c>
      <c r="E121" s="1589">
        <f>E40*(1-E29-E33)</f>
        <v>198.76317073170728</v>
      </c>
      <c r="G121" s="667">
        <v>93</v>
      </c>
      <c r="H121" s="662" t="str">
        <f t="shared" si="10"/>
        <v/>
      </c>
      <c r="I121" s="663" t="str">
        <f t="shared" si="11"/>
        <v/>
      </c>
      <c r="J121" s="363" t="str">
        <f t="shared" si="12"/>
        <v/>
      </c>
      <c r="K121" s="366" t="str">
        <f t="shared" si="13"/>
        <v/>
      </c>
    </row>
    <row r="122" spans="1:11" x14ac:dyDescent="0.3">
      <c r="B122" s="1591" t="s">
        <v>633</v>
      </c>
      <c r="C122" s="1588">
        <f>SUM(D122:E122)</f>
        <v>0</v>
      </c>
      <c r="D122" s="1589">
        <f>D33*D40</f>
        <v>0</v>
      </c>
      <c r="E122" s="1589">
        <f>E33*E40</f>
        <v>0</v>
      </c>
      <c r="G122" s="667">
        <v>94</v>
      </c>
      <c r="H122" s="662" t="str">
        <f t="shared" si="10"/>
        <v/>
      </c>
      <c r="I122" s="663" t="str">
        <f t="shared" si="11"/>
        <v/>
      </c>
      <c r="J122" s="363" t="str">
        <f t="shared" si="12"/>
        <v/>
      </c>
      <c r="K122" s="366" t="str">
        <f t="shared" si="13"/>
        <v/>
      </c>
    </row>
    <row r="123" spans="1:11" x14ac:dyDescent="0.3">
      <c r="B123" s="904" t="s">
        <v>638</v>
      </c>
      <c r="C123" s="1588">
        <f>C28</f>
        <v>386.58078658536579</v>
      </c>
      <c r="D123" s="1588">
        <f>D28</f>
        <v>224.61224999999993</v>
      </c>
      <c r="E123" s="1588">
        <f>E28</f>
        <v>161.96853658536583</v>
      </c>
      <c r="G123" s="667">
        <v>95</v>
      </c>
      <c r="H123" s="662" t="str">
        <f t="shared" si="10"/>
        <v/>
      </c>
      <c r="I123" s="663" t="str">
        <f t="shared" si="11"/>
        <v/>
      </c>
      <c r="J123" s="363" t="str">
        <f t="shared" si="12"/>
        <v/>
      </c>
      <c r="K123" s="366" t="str">
        <f t="shared" si="13"/>
        <v/>
      </c>
    </row>
    <row r="124" spans="1:11" x14ac:dyDescent="0.3">
      <c r="C124" s="627"/>
      <c r="D124" s="1557"/>
      <c r="E124" s="660"/>
      <c r="G124" s="667">
        <v>96</v>
      </c>
      <c r="H124" s="662" t="str">
        <f t="shared" si="10"/>
        <v/>
      </c>
      <c r="I124" s="663" t="str">
        <f t="shared" si="11"/>
        <v/>
      </c>
      <c r="J124" s="363" t="str">
        <f t="shared" si="12"/>
        <v/>
      </c>
      <c r="K124" s="366" t="str">
        <f t="shared" si="13"/>
        <v/>
      </c>
    </row>
    <row r="125" spans="1:11" x14ac:dyDescent="0.3">
      <c r="C125" s="626"/>
      <c r="D125" s="626"/>
      <c r="E125" s="626"/>
      <c r="G125" s="667">
        <v>97</v>
      </c>
      <c r="H125" s="662" t="str">
        <f t="shared" si="10"/>
        <v/>
      </c>
      <c r="I125" s="663" t="str">
        <f t="shared" si="11"/>
        <v/>
      </c>
      <c r="J125" s="363" t="str">
        <f t="shared" si="12"/>
        <v/>
      </c>
      <c r="K125" s="366" t="str">
        <f t="shared" si="13"/>
        <v/>
      </c>
    </row>
    <row r="126" spans="1:11" x14ac:dyDescent="0.3">
      <c r="G126" s="667">
        <v>98</v>
      </c>
      <c r="H126" s="662" t="str">
        <f t="shared" si="10"/>
        <v/>
      </c>
      <c r="I126" s="663" t="str">
        <f t="shared" si="11"/>
        <v/>
      </c>
      <c r="J126" s="363" t="str">
        <f t="shared" si="12"/>
        <v/>
      </c>
      <c r="K126" s="366" t="str">
        <f t="shared" si="13"/>
        <v/>
      </c>
    </row>
    <row r="127" spans="1:11" x14ac:dyDescent="0.3">
      <c r="G127" s="667">
        <v>99</v>
      </c>
      <c r="H127" s="662" t="str">
        <f t="shared" si="10"/>
        <v/>
      </c>
      <c r="I127" s="663" t="str">
        <f t="shared" si="11"/>
        <v/>
      </c>
      <c r="J127" s="363" t="str">
        <f t="shared" si="12"/>
        <v/>
      </c>
      <c r="K127" s="366" t="str">
        <f t="shared" si="13"/>
        <v/>
      </c>
    </row>
    <row r="128" spans="1:11" x14ac:dyDescent="0.3">
      <c r="G128" s="667">
        <v>100</v>
      </c>
      <c r="H128" s="662" t="str">
        <f t="shared" si="10"/>
        <v/>
      </c>
      <c r="I128" s="663" t="str">
        <f t="shared" si="11"/>
        <v/>
      </c>
      <c r="J128" s="363" t="str">
        <f t="shared" si="12"/>
        <v/>
      </c>
      <c r="K128" s="366" t="str">
        <f t="shared" si="13"/>
        <v/>
      </c>
    </row>
    <row r="129" spans="2:11" x14ac:dyDescent="0.3">
      <c r="G129" s="667">
        <v>101</v>
      </c>
      <c r="H129" s="662" t="str">
        <f t="shared" si="10"/>
        <v/>
      </c>
      <c r="I129" s="663" t="str">
        <f t="shared" si="11"/>
        <v/>
      </c>
      <c r="J129" s="363" t="str">
        <f t="shared" si="12"/>
        <v/>
      </c>
      <c r="K129" s="366" t="str">
        <f t="shared" si="13"/>
        <v/>
      </c>
    </row>
    <row r="130" spans="2:11" x14ac:dyDescent="0.3">
      <c r="G130" s="667">
        <v>102</v>
      </c>
      <c r="H130" s="662" t="str">
        <f t="shared" si="10"/>
        <v/>
      </c>
      <c r="I130" s="663" t="str">
        <f t="shared" si="11"/>
        <v/>
      </c>
      <c r="J130" s="363" t="str">
        <f t="shared" si="12"/>
        <v/>
      </c>
      <c r="K130" s="366" t="str">
        <f t="shared" si="13"/>
        <v/>
      </c>
    </row>
    <row r="131" spans="2:11" x14ac:dyDescent="0.3">
      <c r="G131" s="667">
        <v>103</v>
      </c>
      <c r="H131" s="662" t="str">
        <f t="shared" si="10"/>
        <v/>
      </c>
      <c r="I131" s="663" t="str">
        <f t="shared" si="11"/>
        <v/>
      </c>
      <c r="J131" s="363" t="str">
        <f t="shared" si="12"/>
        <v/>
      </c>
      <c r="K131" s="366" t="str">
        <f t="shared" ref="K131:K149" si="15">IF(G131&gt;$C$37,"",J131-$E$30)</f>
        <v/>
      </c>
    </row>
    <row r="132" spans="2:11" x14ac:dyDescent="0.3">
      <c r="G132" s="667">
        <v>104</v>
      </c>
      <c r="H132" s="662" t="str">
        <f t="shared" si="10"/>
        <v/>
      </c>
      <c r="I132" s="663" t="str">
        <f t="shared" si="11"/>
        <v/>
      </c>
      <c r="J132" s="363" t="str">
        <f t="shared" si="12"/>
        <v/>
      </c>
      <c r="K132" s="366" t="str">
        <f t="shared" si="15"/>
        <v/>
      </c>
    </row>
    <row r="133" spans="2:11" x14ac:dyDescent="0.3">
      <c r="G133" s="667">
        <v>105</v>
      </c>
      <c r="H133" s="662" t="str">
        <f t="shared" si="10"/>
        <v/>
      </c>
      <c r="I133" s="663" t="str">
        <f t="shared" si="11"/>
        <v/>
      </c>
      <c r="J133" s="363" t="str">
        <f t="shared" si="12"/>
        <v/>
      </c>
      <c r="K133" s="366" t="str">
        <f t="shared" si="15"/>
        <v/>
      </c>
    </row>
    <row r="134" spans="2:11" x14ac:dyDescent="0.3">
      <c r="G134" s="667">
        <v>106</v>
      </c>
      <c r="H134" s="662" t="str">
        <f t="shared" si="10"/>
        <v/>
      </c>
      <c r="I134" s="663" t="str">
        <f t="shared" si="11"/>
        <v/>
      </c>
      <c r="J134" s="363" t="str">
        <f t="shared" si="12"/>
        <v/>
      </c>
      <c r="K134" s="366" t="str">
        <f t="shared" si="15"/>
        <v/>
      </c>
    </row>
    <row r="135" spans="2:11" x14ac:dyDescent="0.3">
      <c r="G135" s="667">
        <v>107</v>
      </c>
      <c r="H135" s="662" t="str">
        <f t="shared" si="10"/>
        <v/>
      </c>
      <c r="I135" s="663" t="str">
        <f t="shared" si="11"/>
        <v/>
      </c>
      <c r="J135" s="363" t="str">
        <f t="shared" si="12"/>
        <v/>
      </c>
      <c r="K135" s="366" t="str">
        <f t="shared" si="15"/>
        <v/>
      </c>
    </row>
    <row r="136" spans="2:11" x14ac:dyDescent="0.3">
      <c r="G136" s="667">
        <v>108</v>
      </c>
      <c r="H136" s="662" t="str">
        <f t="shared" si="10"/>
        <v/>
      </c>
      <c r="I136" s="663" t="str">
        <f t="shared" si="11"/>
        <v/>
      </c>
      <c r="J136" s="363" t="str">
        <f t="shared" si="12"/>
        <v/>
      </c>
      <c r="K136" s="366" t="str">
        <f t="shared" si="15"/>
        <v/>
      </c>
    </row>
    <row r="137" spans="2:11" x14ac:dyDescent="0.3">
      <c r="G137" s="667">
        <v>109</v>
      </c>
      <c r="H137" s="662" t="str">
        <f t="shared" si="10"/>
        <v/>
      </c>
      <c r="I137" s="663" t="str">
        <f t="shared" si="11"/>
        <v/>
      </c>
      <c r="J137" s="363" t="str">
        <f t="shared" si="12"/>
        <v/>
      </c>
      <c r="K137" s="366" t="str">
        <f t="shared" si="15"/>
        <v/>
      </c>
    </row>
    <row r="138" spans="2:11" x14ac:dyDescent="0.3">
      <c r="G138" s="667">
        <v>110</v>
      </c>
      <c r="H138" s="662" t="str">
        <f t="shared" si="10"/>
        <v/>
      </c>
      <c r="I138" s="663" t="str">
        <f t="shared" si="11"/>
        <v/>
      </c>
      <c r="J138" s="363" t="str">
        <f t="shared" si="12"/>
        <v/>
      </c>
      <c r="K138" s="366" t="str">
        <f t="shared" si="15"/>
        <v/>
      </c>
    </row>
    <row r="139" spans="2:11" x14ac:dyDescent="0.3">
      <c r="G139" s="667">
        <v>111</v>
      </c>
      <c r="H139" s="662" t="str">
        <f t="shared" si="10"/>
        <v/>
      </c>
      <c r="I139" s="663" t="str">
        <f t="shared" si="11"/>
        <v/>
      </c>
      <c r="J139" s="363" t="str">
        <f t="shared" si="12"/>
        <v/>
      </c>
      <c r="K139" s="366" t="str">
        <f t="shared" si="15"/>
        <v/>
      </c>
    </row>
    <row r="140" spans="2:11" x14ac:dyDescent="0.3">
      <c r="G140" s="667">
        <v>112</v>
      </c>
      <c r="H140" s="662" t="str">
        <f t="shared" si="10"/>
        <v/>
      </c>
      <c r="I140" s="663" t="str">
        <f t="shared" si="11"/>
        <v/>
      </c>
      <c r="J140" s="363" t="str">
        <f t="shared" si="12"/>
        <v/>
      </c>
      <c r="K140" s="366" t="str">
        <f t="shared" si="15"/>
        <v/>
      </c>
    </row>
    <row r="141" spans="2:11" x14ac:dyDescent="0.3">
      <c r="G141" s="667">
        <v>113</v>
      </c>
      <c r="H141" s="662" t="str">
        <f t="shared" si="10"/>
        <v/>
      </c>
      <c r="I141" s="663" t="str">
        <f t="shared" si="11"/>
        <v/>
      </c>
      <c r="J141" s="363" t="str">
        <f t="shared" si="12"/>
        <v/>
      </c>
      <c r="K141" s="366" t="str">
        <f t="shared" si="15"/>
        <v/>
      </c>
    </row>
    <row r="142" spans="2:11" x14ac:dyDescent="0.3">
      <c r="B142" s="4" t="s">
        <v>441</v>
      </c>
      <c r="G142" s="667">
        <v>114</v>
      </c>
      <c r="H142" s="662" t="str">
        <f t="shared" si="10"/>
        <v/>
      </c>
      <c r="I142" s="663" t="str">
        <f t="shared" si="11"/>
        <v/>
      </c>
      <c r="J142" s="363" t="str">
        <f t="shared" si="12"/>
        <v/>
      </c>
      <c r="K142" s="366" t="str">
        <f t="shared" si="15"/>
        <v/>
      </c>
    </row>
    <row r="143" spans="2:11" x14ac:dyDescent="0.3">
      <c r="G143" s="667">
        <v>115</v>
      </c>
      <c r="H143" s="662" t="str">
        <f t="shared" si="10"/>
        <v/>
      </c>
      <c r="I143" s="663" t="str">
        <f t="shared" si="11"/>
        <v/>
      </c>
      <c r="J143" s="363" t="str">
        <f t="shared" si="12"/>
        <v/>
      </c>
      <c r="K143" s="366" t="str">
        <f t="shared" si="15"/>
        <v/>
      </c>
    </row>
    <row r="144" spans="2:11" x14ac:dyDescent="0.3">
      <c r="G144" s="667">
        <v>116</v>
      </c>
      <c r="H144" s="662" t="str">
        <f t="shared" si="10"/>
        <v/>
      </c>
      <c r="I144" s="663" t="str">
        <f t="shared" si="11"/>
        <v/>
      </c>
      <c r="J144" s="363" t="str">
        <f t="shared" si="12"/>
        <v/>
      </c>
      <c r="K144" s="366" t="str">
        <f t="shared" si="15"/>
        <v/>
      </c>
    </row>
    <row r="145" spans="7:11" x14ac:dyDescent="0.3">
      <c r="G145" s="667">
        <v>117</v>
      </c>
      <c r="H145" s="662" t="str">
        <f t="shared" si="10"/>
        <v/>
      </c>
      <c r="I145" s="663" t="str">
        <f t="shared" si="11"/>
        <v/>
      </c>
      <c r="J145" s="363" t="str">
        <f t="shared" si="12"/>
        <v/>
      </c>
      <c r="K145" s="366" t="str">
        <f t="shared" si="15"/>
        <v/>
      </c>
    </row>
    <row r="146" spans="7:11" x14ac:dyDescent="0.3">
      <c r="G146" s="667">
        <v>118</v>
      </c>
      <c r="H146" s="662" t="str">
        <f t="shared" si="10"/>
        <v/>
      </c>
      <c r="I146" s="663" t="str">
        <f t="shared" si="11"/>
        <v/>
      </c>
      <c r="J146" s="363" t="str">
        <f t="shared" si="12"/>
        <v/>
      </c>
      <c r="K146" s="366" t="str">
        <f t="shared" si="15"/>
        <v/>
      </c>
    </row>
    <row r="147" spans="7:11" x14ac:dyDescent="0.3">
      <c r="G147" s="667">
        <v>119</v>
      </c>
      <c r="H147" s="662" t="str">
        <f t="shared" si="10"/>
        <v/>
      </c>
      <c r="I147" s="663" t="str">
        <f t="shared" si="11"/>
        <v/>
      </c>
      <c r="J147" s="363" t="str">
        <f t="shared" si="12"/>
        <v/>
      </c>
      <c r="K147" s="366" t="str">
        <f t="shared" si="15"/>
        <v/>
      </c>
    </row>
    <row r="148" spans="7:11" x14ac:dyDescent="0.3">
      <c r="G148" s="667">
        <v>120</v>
      </c>
      <c r="H148" s="662" t="str">
        <f t="shared" si="10"/>
        <v/>
      </c>
      <c r="I148" s="663" t="str">
        <f t="shared" si="11"/>
        <v/>
      </c>
      <c r="J148" s="363" t="str">
        <f t="shared" si="12"/>
        <v/>
      </c>
      <c r="K148" s="366" t="str">
        <f t="shared" si="15"/>
        <v/>
      </c>
    </row>
    <row r="149" spans="7:11" x14ac:dyDescent="0.3">
      <c r="G149" s="667">
        <v>121</v>
      </c>
      <c r="H149" s="662" t="str">
        <f t="shared" si="10"/>
        <v/>
      </c>
      <c r="I149" s="663" t="str">
        <f t="shared" si="11"/>
        <v/>
      </c>
      <c r="J149" s="363" t="str">
        <f t="shared" si="12"/>
        <v/>
      </c>
      <c r="K149" s="366" t="str">
        <f t="shared" si="15"/>
        <v/>
      </c>
    </row>
  </sheetData>
  <mergeCells count="11">
    <mergeCell ref="B4:E4"/>
    <mergeCell ref="B7:C7"/>
    <mergeCell ref="M27:N27"/>
    <mergeCell ref="K21:L21"/>
    <mergeCell ref="A79:A80"/>
    <mergeCell ref="A97:A98"/>
    <mergeCell ref="A117:A119"/>
    <mergeCell ref="A58:A59"/>
    <mergeCell ref="A112:A114"/>
    <mergeCell ref="J5:O5"/>
    <mergeCell ref="B5:E5"/>
  </mergeCells>
  <pageMargins left="0.7" right="0.7" top="0.75" bottom="0.75" header="0.3" footer="0.3"/>
  <pageSetup paperSize="9" orientation="landscape"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49"/>
  <sheetViews>
    <sheetView showGridLines="0" topLeftCell="A13" zoomScale="85" zoomScaleNormal="85" workbookViewId="0">
      <selection activeCell="D32" sqref="D32"/>
    </sheetView>
  </sheetViews>
  <sheetFormatPr defaultColWidth="9.109375" defaultRowHeight="14.4" x14ac:dyDescent="0.3"/>
  <cols>
    <col min="1" max="1" width="6.44140625" style="4" customWidth="1"/>
    <col min="2" max="2" width="77.109375" style="4" customWidth="1"/>
    <col min="3" max="3" width="15.33203125" style="4" customWidth="1"/>
    <col min="4" max="4" width="20.33203125" style="4" customWidth="1"/>
    <col min="5" max="5" width="16.5546875" style="4" customWidth="1"/>
    <col min="6" max="6" width="9.5546875" style="4" customWidth="1"/>
    <col min="7" max="7" width="13.5546875" style="4" customWidth="1"/>
    <col min="8" max="8" width="59.33203125" style="7" customWidth="1"/>
    <col min="9" max="10" width="59.6640625" style="4" customWidth="1"/>
    <col min="11" max="11" width="51.88671875" style="4" customWidth="1"/>
    <col min="12" max="12" width="17.5546875" style="4" bestFit="1" customWidth="1"/>
    <col min="13" max="13" width="12.5546875" style="4" customWidth="1"/>
    <col min="14" max="14" width="17.5546875" style="4" bestFit="1" customWidth="1"/>
    <col min="15" max="16384" width="9.109375" style="4"/>
  </cols>
  <sheetData>
    <row r="1" spans="2:16" ht="9.75" customHeight="1" x14ac:dyDescent="0.3"/>
    <row r="2" spans="2:16" ht="15" customHeight="1" x14ac:dyDescent="0.3">
      <c r="B2" s="254" t="s">
        <v>256</v>
      </c>
    </row>
    <row r="3" spans="2:16" ht="8.25" customHeight="1" thickBot="1" x14ac:dyDescent="0.35"/>
    <row r="4" spans="2:16" ht="18" x14ac:dyDescent="0.35">
      <c r="B4" s="1850" t="s">
        <v>18</v>
      </c>
      <c r="C4" s="1851"/>
      <c r="D4" s="1851"/>
      <c r="E4" s="1852"/>
      <c r="F4" s="324"/>
      <c r="G4" s="324"/>
    </row>
    <row r="5" spans="2:16" ht="18.600000000000001" thickBot="1" x14ac:dyDescent="0.4">
      <c r="B5" s="1958" t="str">
        <f>VLOOKUP(C9,'Product Map'!$F$4:$BA$106,45,FALSE)</f>
        <v>LEASING CPI 4.5% - IVASS (CBP)</v>
      </c>
      <c r="C5" s="1959"/>
      <c r="D5" s="1959"/>
      <c r="E5" s="1960"/>
      <c r="F5" s="323"/>
      <c r="G5" s="323"/>
      <c r="K5" s="1957"/>
      <c r="L5" s="1957"/>
      <c r="M5" s="1957"/>
      <c r="N5" s="1957"/>
      <c r="O5" s="1957"/>
      <c r="P5" s="1957"/>
    </row>
    <row r="6" spans="2:16" s="7" customFormat="1" ht="3.75" customHeight="1" thickBot="1" x14ac:dyDescent="0.4">
      <c r="B6" s="9"/>
      <c r="C6" s="9"/>
      <c r="D6" s="9"/>
      <c r="E6" s="9"/>
      <c r="F6" s="9"/>
      <c r="G6" s="9"/>
    </row>
    <row r="7" spans="2:16" s="7" customFormat="1" ht="15" customHeight="1" thickBot="1" x14ac:dyDescent="0.4">
      <c r="B7" s="1961" t="s">
        <v>4</v>
      </c>
      <c r="C7" s="1962"/>
      <c r="D7" s="9"/>
      <c r="E7" s="9"/>
      <c r="F7" s="9"/>
      <c r="G7" s="9"/>
    </row>
    <row r="8" spans="2:16" s="7" customFormat="1" ht="4.5" customHeight="1" thickBot="1" x14ac:dyDescent="0.4">
      <c r="B8" s="10"/>
      <c r="C8" s="10"/>
      <c r="D8" s="9"/>
      <c r="E8" s="9"/>
      <c r="F8" s="9"/>
      <c r="G8" s="9"/>
    </row>
    <row r="9" spans="2:16" s="7" customFormat="1" ht="15" customHeight="1" x14ac:dyDescent="0.35">
      <c r="B9" s="257" t="s">
        <v>241</v>
      </c>
      <c r="C9" s="264" t="s">
        <v>224</v>
      </c>
      <c r="D9" s="1542" t="s">
        <v>624</v>
      </c>
      <c r="E9" s="9"/>
      <c r="F9" s="9"/>
      <c r="G9" s="9"/>
    </row>
    <row r="10" spans="2:16" s="7" customFormat="1" ht="15" customHeight="1" x14ac:dyDescent="0.35">
      <c r="B10" s="258" t="s">
        <v>9</v>
      </c>
      <c r="C10" s="259">
        <v>42872</v>
      </c>
      <c r="D10" s="9"/>
      <c r="E10" s="9"/>
      <c r="F10" s="9"/>
      <c r="G10" s="9"/>
    </row>
    <row r="11" spans="2:16" s="7" customFormat="1" ht="15" customHeight="1" x14ac:dyDescent="0.35">
      <c r="B11" s="260" t="s">
        <v>255</v>
      </c>
      <c r="C11" s="261">
        <v>44713</v>
      </c>
      <c r="D11" s="1541"/>
      <c r="E11" s="1541"/>
      <c r="F11" s="1541"/>
      <c r="G11" s="1541"/>
    </row>
    <row r="12" spans="2:16" s="7" customFormat="1" ht="15" customHeight="1" x14ac:dyDescent="0.35">
      <c r="B12" s="260" t="s">
        <v>254</v>
      </c>
      <c r="C12" s="261">
        <v>43075</v>
      </c>
      <c r="D12" s="1541"/>
      <c r="E12" s="1541"/>
      <c r="F12" s="1541"/>
      <c r="G12" s="1541"/>
    </row>
    <row r="13" spans="2:16" s="7" customFormat="1" ht="15" customHeight="1" thickBot="1" x14ac:dyDescent="0.4">
      <c r="B13" s="262" t="s">
        <v>3</v>
      </c>
      <c r="C13" s="263">
        <v>10000</v>
      </c>
      <c r="D13" s="9"/>
      <c r="E13" s="9"/>
      <c r="F13" s="9"/>
      <c r="G13" s="9"/>
    </row>
    <row r="14" spans="2:16" s="7" customFormat="1" ht="11.25" customHeight="1" thickBot="1" x14ac:dyDescent="0.4">
      <c r="B14" s="9"/>
      <c r="C14" s="9"/>
      <c r="D14" s="9"/>
      <c r="E14" s="9"/>
      <c r="F14" s="9"/>
      <c r="G14" s="9"/>
      <c r="H14" s="9"/>
    </row>
    <row r="15" spans="2:16" ht="15" thickBot="1" x14ac:dyDescent="0.35">
      <c r="B15" s="329" t="s">
        <v>0</v>
      </c>
      <c r="C15" s="315" t="s">
        <v>242</v>
      </c>
      <c r="D15" s="315" t="s">
        <v>1</v>
      </c>
      <c r="E15" s="316" t="s">
        <v>2</v>
      </c>
      <c r="G15" s="19"/>
      <c r="H15" s="19"/>
      <c r="I15" s="18"/>
      <c r="J15" s="7"/>
    </row>
    <row r="16" spans="2:16" s="7" customFormat="1" ht="3.75" customHeight="1" thickBot="1" x14ac:dyDescent="0.35">
      <c r="B16" s="314"/>
      <c r="C16" s="19"/>
      <c r="D16" s="19"/>
      <c r="E16" s="19"/>
      <c r="G16" s="19"/>
      <c r="H16" s="19"/>
      <c r="I16" s="18"/>
    </row>
    <row r="17" spans="1:14" x14ac:dyDescent="0.3">
      <c r="B17" s="11" t="s">
        <v>258</v>
      </c>
      <c r="C17" s="317">
        <f>SUM(D17:E17)</f>
        <v>4.4999999999999998E-2</v>
      </c>
      <c r="D17" s="317">
        <f>VLOOKUP($C$9,'Product Map'!$F$4:$BA$106,6,FALSE)</f>
        <v>3.4875000000000003E-2</v>
      </c>
      <c r="E17" s="318">
        <f>VLOOKUP($C$9,'Product Map'!$F$4:$BA$106,7,FALSE)</f>
        <v>1.0124999999999999E-2</v>
      </c>
      <c r="G17" s="7"/>
      <c r="H17" s="6"/>
      <c r="I17" s="7"/>
      <c r="J17" s="7"/>
    </row>
    <row r="18" spans="1:14" x14ac:dyDescent="0.3">
      <c r="B18" s="12" t="s">
        <v>257</v>
      </c>
      <c r="C18" s="26">
        <f>SUM(D18:E18)</f>
        <v>2.5000000000000001E-2</v>
      </c>
      <c r="D18" s="26">
        <f>VLOOKUP($C$9,'Product Map'!$F$4:$BA$106,8,FALSE)</f>
        <v>0</v>
      </c>
      <c r="E18" s="8">
        <f>VLOOKUP($C$9,'Product Map'!$F$4:$BA$106,9,FALSE)</f>
        <v>2.5000000000000001E-2</v>
      </c>
      <c r="G18" s="7"/>
      <c r="H18" s="20"/>
      <c r="I18" s="7"/>
      <c r="J18" s="7"/>
    </row>
    <row r="19" spans="1:14" ht="15.6" x14ac:dyDescent="0.3">
      <c r="A19" s="27" t="s">
        <v>16</v>
      </c>
      <c r="B19" s="267" t="s">
        <v>259</v>
      </c>
      <c r="C19" s="268">
        <f>E19</f>
        <v>0.44900000000000001</v>
      </c>
      <c r="D19" s="268">
        <f>VLOOKUP($C$9,'Product Map'!$F$4:$BA$106,11,FALSE)</f>
        <v>0.44900000000000001</v>
      </c>
      <c r="E19" s="319">
        <f>VLOOKUP($C$9,'Product Map'!$F$4:$BA$106,11,FALSE)</f>
        <v>0.44900000000000001</v>
      </c>
      <c r="G19" s="21"/>
      <c r="H19" s="21"/>
      <c r="I19" s="7"/>
      <c r="J19" s="7"/>
    </row>
    <row r="20" spans="1:14" ht="15.6" x14ac:dyDescent="0.3">
      <c r="A20" s="27" t="s">
        <v>17</v>
      </c>
      <c r="B20" s="13" t="s">
        <v>260</v>
      </c>
      <c r="C20" s="23">
        <f>SUM(D20:E20)</f>
        <v>41</v>
      </c>
      <c r="D20" s="23">
        <f>VLOOKUP($C$9,'Product Map'!$F$4:$BA$106,24,FALSE)</f>
        <v>20.5</v>
      </c>
      <c r="E20" s="252">
        <f>VLOOKUP($C$9,'Product Map'!$F$4:$BA$106,25,FALSE)</f>
        <v>20.5</v>
      </c>
      <c r="G20" s="331"/>
      <c r="H20" s="22"/>
      <c r="I20" s="7"/>
      <c r="J20" s="7"/>
    </row>
    <row r="21" spans="1:14" ht="16.2" thickBot="1" x14ac:dyDescent="0.35">
      <c r="A21" s="27" t="s">
        <v>21</v>
      </c>
      <c r="B21" s="14" t="s">
        <v>261</v>
      </c>
      <c r="C21" s="24">
        <f>SUM(D21:E21)</f>
        <v>15</v>
      </c>
      <c r="D21" s="24">
        <f>VLOOKUP($C$9,'Product Map'!$F$4:$BA$106,27,FALSE)</f>
        <v>7.5</v>
      </c>
      <c r="E21" s="253">
        <f>VLOOKUP($C$9,'Product Map'!$F$4:$BA$106,29,FALSE)</f>
        <v>7.5</v>
      </c>
      <c r="G21" s="331"/>
      <c r="H21" s="4"/>
      <c r="I21" s="7"/>
      <c r="L21" s="1964"/>
      <c r="M21" s="1964"/>
    </row>
    <row r="22" spans="1:14" ht="3.75" customHeight="1" x14ac:dyDescent="0.3">
      <c r="F22" s="5"/>
      <c r="G22" s="5"/>
      <c r="H22" s="4"/>
      <c r="I22" s="7"/>
    </row>
    <row r="23" spans="1:14" ht="15" thickBot="1" x14ac:dyDescent="0.35">
      <c r="E23" s="10"/>
      <c r="F23" s="5"/>
      <c r="G23" s="1966"/>
      <c r="H23" s="1966"/>
      <c r="I23" s="296"/>
      <c r="N23" s="7"/>
    </row>
    <row r="24" spans="1:14" s="7" customFormat="1" ht="15.75" customHeight="1" thickBot="1" x14ac:dyDescent="0.35">
      <c r="B24" s="330" t="s">
        <v>248</v>
      </c>
      <c r="C24" s="315" t="s">
        <v>242</v>
      </c>
      <c r="D24" s="315" t="s">
        <v>1</v>
      </c>
      <c r="E24" s="316" t="s">
        <v>2</v>
      </c>
      <c r="G24" s="10"/>
      <c r="H24" s="10"/>
      <c r="I24" s="33"/>
      <c r="N24" s="255"/>
    </row>
    <row r="25" spans="1:14" s="7" customFormat="1" ht="4.5" customHeight="1" thickBot="1" x14ac:dyDescent="0.35">
      <c r="B25" s="281"/>
      <c r="C25" s="19"/>
      <c r="D25" s="19"/>
      <c r="E25" s="19"/>
      <c r="G25" s="10"/>
      <c r="H25" s="10"/>
      <c r="I25" s="33"/>
      <c r="N25" s="255"/>
    </row>
    <row r="26" spans="1:14" ht="15" customHeight="1" x14ac:dyDescent="0.3">
      <c r="B26" s="38" t="s">
        <v>251</v>
      </c>
      <c r="C26" s="320">
        <f>((C11-C10)/365.25)*12</f>
        <v>60.484599589322379</v>
      </c>
      <c r="D26" s="321"/>
      <c r="E26" s="322"/>
      <c r="G26" s="299"/>
      <c r="H26" s="300"/>
      <c r="I26" s="33"/>
      <c r="J26" s="34"/>
      <c r="N26" s="7"/>
    </row>
    <row r="27" spans="1:14" x14ac:dyDescent="0.3">
      <c r="B27" s="39" t="s">
        <v>252</v>
      </c>
      <c r="C27" s="283">
        <f>((C12-C10)/365.25)*12</f>
        <v>6.669404517453799</v>
      </c>
      <c r="D27" s="302"/>
      <c r="E27" s="305"/>
      <c r="G27" s="1965"/>
      <c r="H27" s="1965"/>
      <c r="I27" s="33"/>
      <c r="J27" s="34"/>
      <c r="N27" s="7"/>
    </row>
    <row r="28" spans="1:14" ht="15" thickBot="1" x14ac:dyDescent="0.35">
      <c r="B28" s="294" t="s">
        <v>253</v>
      </c>
      <c r="C28" s="295">
        <f>IF(C26-C27&lt;0,0,C26-C27)</f>
        <v>53.81519507186858</v>
      </c>
      <c r="D28" s="303"/>
      <c r="E28" s="306"/>
      <c r="G28" s="378" t="s">
        <v>299</v>
      </c>
      <c r="H28" s="365" t="s">
        <v>298</v>
      </c>
      <c r="I28" s="365" t="s">
        <v>300</v>
      </c>
      <c r="J28" s="365" t="s">
        <v>297</v>
      </c>
      <c r="K28" s="365" t="s">
        <v>296</v>
      </c>
      <c r="N28" s="7"/>
    </row>
    <row r="29" spans="1:14" x14ac:dyDescent="0.3">
      <c r="B29" s="292" t="s">
        <v>265</v>
      </c>
      <c r="C29" s="297">
        <f>SUM(D29:E29)</f>
        <v>447.53048780487813</v>
      </c>
      <c r="D29" s="293">
        <f>C13*D17*100%/(100%+D18)</f>
        <v>348.75000000000006</v>
      </c>
      <c r="E29" s="307">
        <f>C13*E17*100%/(100%+E18)</f>
        <v>98.780487804878049</v>
      </c>
      <c r="G29" s="362">
        <v>1</v>
      </c>
      <c r="H29" s="266">
        <f>IF(G29&gt;$C$26,"",($D$29-$D$29*$D$19)*(($C$26-G29+1)*($C$26-G29)/($C$26*($C$26+1)))+$D$29*$D$19*($C$26-G29)/$C$26)</f>
        <v>339.91038558528641</v>
      </c>
      <c r="I29" s="364">
        <f>IF(G29&gt;$C$26,"",H29-$D$20)</f>
        <v>319.41038558528641</v>
      </c>
      <c r="J29" s="363">
        <f>IF(G29&gt;$C$26,"",$E$29*($C$26-G29)/$C$26)</f>
        <v>97.147336746995933</v>
      </c>
      <c r="K29" s="366">
        <f>IF(G29&gt;$C$26,"",J29-$E$20)</f>
        <v>76.647336746995933</v>
      </c>
      <c r="N29" s="256"/>
    </row>
    <row r="30" spans="1:14" ht="15.75" customHeight="1" x14ac:dyDescent="0.3">
      <c r="B30" s="327" t="s">
        <v>264</v>
      </c>
      <c r="C30" s="298">
        <f>SUM(D30:E30)</f>
        <v>338.63717420309013</v>
      </c>
      <c r="D30" s="284">
        <f>(D29-D29*D19)*((C26-C27+1)*(C26-C27)/(C26*(C26+1)))+D29*D19*(C26-C27)/C26-D20</f>
        <v>271.24883144133548</v>
      </c>
      <c r="E30" s="15">
        <f>E29*(C26-C27)/C26-E20</f>
        <v>67.388342761754615</v>
      </c>
      <c r="G30" s="361">
        <v>2</v>
      </c>
      <c r="H30" s="266">
        <f t="shared" ref="H30:H93" si="0">IF(G30&gt;$C$26,"",($D$29-$D$29*$D$19)*(($C$26-G30+1)*($C$26-G30)/($C$26*($C$26+1)))+$D$29*$D$19*($C$26-G30)/$C$26)</f>
        <v>331.17411502412369</v>
      </c>
      <c r="I30" s="364">
        <f t="shared" ref="I30:I93" si="1">IF(G30&gt;$C$26,"",H30-$D$20)</f>
        <v>310.67411502412369</v>
      </c>
      <c r="J30" s="363">
        <f t="shared" ref="J30:J88" si="2">IF(G30&gt;$C$26,"",$E$29*($C$26-G30)/$C$26)</f>
        <v>95.514185689113816</v>
      </c>
      <c r="K30" s="366">
        <f t="shared" ref="K30:K88" si="3">IF(G30&gt;$C$26,"",J30-$E$20)</f>
        <v>75.014185689113816</v>
      </c>
    </row>
    <row r="31" spans="1:14" ht="15.75" customHeight="1" x14ac:dyDescent="0.3">
      <c r="B31" s="355" t="s">
        <v>249</v>
      </c>
      <c r="C31" s="356">
        <f>SUM(D31:E31)</f>
        <v>163.78417578595941</v>
      </c>
      <c r="D31" s="357">
        <f>D29*D19*(C26-C27)/C26-D21</f>
        <v>131.82230988593159</v>
      </c>
      <c r="E31" s="358">
        <f>E29*E19*(C26-C27)/C26-E21</f>
        <v>31.961865900027817</v>
      </c>
      <c r="G31" s="7">
        <v>3</v>
      </c>
      <c r="H31" s="266">
        <f t="shared" si="0"/>
        <v>322.54118831651186</v>
      </c>
      <c r="I31" s="364">
        <f t="shared" si="1"/>
        <v>302.04118831651186</v>
      </c>
      <c r="J31" s="363">
        <f t="shared" si="2"/>
        <v>93.881034631231699</v>
      </c>
      <c r="K31" s="366">
        <f t="shared" si="3"/>
        <v>73.381034631231699</v>
      </c>
    </row>
    <row r="32" spans="1:14" ht="15.75" customHeight="1" thickBot="1" x14ac:dyDescent="0.35">
      <c r="B32" s="351" t="s">
        <v>295</v>
      </c>
      <c r="C32" s="352">
        <f>SUM(D32:E32)</f>
        <v>174.85299841713069</v>
      </c>
      <c r="D32" s="353">
        <f>D29*(1-D19)*((C26-C27+1)*(C26-C27)/(C26*(C26+1)))-D20+D21</f>
        <v>139.42652155540389</v>
      </c>
      <c r="E32" s="354">
        <f>E29*(1-E19)*(C26-C27)/C26-E20+E21</f>
        <v>35.42647686172679</v>
      </c>
      <c r="G32" s="7">
        <v>4</v>
      </c>
      <c r="H32" s="266">
        <f t="shared" si="0"/>
        <v>314.01160546245092</v>
      </c>
      <c r="I32" s="364">
        <f t="shared" si="1"/>
        <v>293.51160546245092</v>
      </c>
      <c r="J32" s="363">
        <f t="shared" si="2"/>
        <v>92.247883573349583</v>
      </c>
      <c r="K32" s="366">
        <f t="shared" si="3"/>
        <v>71.747883573349583</v>
      </c>
    </row>
    <row r="33" spans="1:15" ht="15" thickBot="1" x14ac:dyDescent="0.35">
      <c r="B33" s="304"/>
      <c r="C33" s="42"/>
      <c r="D33" s="42"/>
      <c r="E33" s="42"/>
      <c r="G33" s="7">
        <v>5</v>
      </c>
      <c r="H33" s="266">
        <f t="shared" si="0"/>
        <v>305.58536646194091</v>
      </c>
      <c r="I33" s="364">
        <f t="shared" si="1"/>
        <v>285.08536646194091</v>
      </c>
      <c r="J33" s="363">
        <f t="shared" si="2"/>
        <v>90.61473251546748</v>
      </c>
      <c r="K33" s="366">
        <f t="shared" si="3"/>
        <v>70.11473251546748</v>
      </c>
    </row>
    <row r="34" spans="1:15" ht="15" thickBot="1" x14ac:dyDescent="0.35">
      <c r="A34" s="31"/>
      <c r="B34" s="330" t="s">
        <v>22</v>
      </c>
      <c r="C34" s="315" t="s">
        <v>242</v>
      </c>
      <c r="D34" s="315" t="s">
        <v>1</v>
      </c>
      <c r="E34" s="316" t="s">
        <v>2</v>
      </c>
      <c r="G34" s="7">
        <v>6</v>
      </c>
      <c r="H34" s="266">
        <f t="shared" si="0"/>
        <v>297.26247131498178</v>
      </c>
      <c r="I34" s="364">
        <f t="shared" si="1"/>
        <v>276.76247131498178</v>
      </c>
      <c r="J34" s="363">
        <f t="shared" si="2"/>
        <v>88.981581457585364</v>
      </c>
      <c r="K34" s="366">
        <f t="shared" si="3"/>
        <v>68.481581457585364</v>
      </c>
    </row>
    <row r="35" spans="1:15" ht="18" customHeight="1" thickBot="1" x14ac:dyDescent="0.35">
      <c r="A35" s="32"/>
      <c r="B35" s="10"/>
      <c r="D35" s="10"/>
      <c r="E35" s="282"/>
      <c r="G35" s="7">
        <v>7</v>
      </c>
      <c r="H35" s="266">
        <f t="shared" si="0"/>
        <v>289.04292002157354</v>
      </c>
      <c r="I35" s="364">
        <f t="shared" si="1"/>
        <v>268.54292002157354</v>
      </c>
      <c r="J35" s="363">
        <f t="shared" si="2"/>
        <v>87.348430399703233</v>
      </c>
      <c r="K35" s="366">
        <f t="shared" si="3"/>
        <v>66.848430399703233</v>
      </c>
      <c r="N35" s="266"/>
    </row>
    <row r="36" spans="1:15" x14ac:dyDescent="0.3">
      <c r="A36" s="29"/>
      <c r="B36" s="285" t="s">
        <v>267</v>
      </c>
      <c r="C36" s="288">
        <f t="shared" ref="C36:E37" si="4">C20</f>
        <v>41</v>
      </c>
      <c r="D36" s="310">
        <f t="shared" si="4"/>
        <v>20.5</v>
      </c>
      <c r="E36" s="288">
        <f t="shared" si="4"/>
        <v>20.5</v>
      </c>
      <c r="G36" s="7">
        <v>8</v>
      </c>
      <c r="H36" s="266">
        <f t="shared" si="0"/>
        <v>280.92671258171629</v>
      </c>
      <c r="I36" s="364">
        <f t="shared" si="1"/>
        <v>260.42671258171629</v>
      </c>
      <c r="J36" s="363">
        <f t="shared" si="2"/>
        <v>85.715279341821116</v>
      </c>
      <c r="K36" s="366">
        <f t="shared" si="3"/>
        <v>65.215279341821116</v>
      </c>
    </row>
    <row r="37" spans="1:15" x14ac:dyDescent="0.3">
      <c r="A37" s="30"/>
      <c r="B37" s="286" t="s">
        <v>244</v>
      </c>
      <c r="C37" s="289">
        <f t="shared" si="4"/>
        <v>15</v>
      </c>
      <c r="D37" s="311">
        <f t="shared" si="4"/>
        <v>7.5</v>
      </c>
      <c r="E37" s="289">
        <f t="shared" si="4"/>
        <v>7.5</v>
      </c>
      <c r="G37" s="7">
        <v>9</v>
      </c>
      <c r="H37" s="266">
        <f t="shared" si="0"/>
        <v>272.91384899540981</v>
      </c>
      <c r="I37" s="364">
        <f t="shared" si="1"/>
        <v>252.41384899540981</v>
      </c>
      <c r="J37" s="363">
        <f t="shared" si="2"/>
        <v>84.082128283938999</v>
      </c>
      <c r="K37" s="366">
        <f t="shared" si="3"/>
        <v>63.582128283938999</v>
      </c>
    </row>
    <row r="38" spans="1:15" ht="15.6" x14ac:dyDescent="0.3">
      <c r="B38" s="328" t="s">
        <v>263</v>
      </c>
      <c r="C38" s="290">
        <f>C30</f>
        <v>338.63717420309013</v>
      </c>
      <c r="D38" s="312">
        <f>D30</f>
        <v>271.24883144133548</v>
      </c>
      <c r="E38" s="290">
        <f>E30</f>
        <v>67.388342761754615</v>
      </c>
      <c r="G38" s="7">
        <v>10</v>
      </c>
      <c r="H38" s="266">
        <f t="shared" si="0"/>
        <v>265.00432926265432</v>
      </c>
      <c r="I38" s="364">
        <f t="shared" si="1"/>
        <v>244.50432926265432</v>
      </c>
      <c r="J38" s="363">
        <f t="shared" si="2"/>
        <v>82.448977226056897</v>
      </c>
      <c r="K38" s="366">
        <f t="shared" si="3"/>
        <v>61.948977226056897</v>
      </c>
    </row>
    <row r="39" spans="1:15" x14ac:dyDescent="0.3">
      <c r="B39" s="287" t="s">
        <v>8</v>
      </c>
      <c r="C39" s="289"/>
      <c r="D39" s="311"/>
      <c r="E39" s="289"/>
      <c r="G39" s="7">
        <v>11</v>
      </c>
      <c r="H39" s="266">
        <f t="shared" si="0"/>
        <v>257.19815338344972</v>
      </c>
      <c r="I39" s="364">
        <f t="shared" si="1"/>
        <v>236.69815338344972</v>
      </c>
      <c r="J39" s="363">
        <f t="shared" si="2"/>
        <v>80.81582616817478</v>
      </c>
      <c r="K39" s="366">
        <f t="shared" si="3"/>
        <v>60.31582616817478</v>
      </c>
    </row>
    <row r="40" spans="1:15" ht="15" thickBot="1" x14ac:dyDescent="0.35">
      <c r="B40" s="326" t="s">
        <v>246</v>
      </c>
      <c r="C40" s="291">
        <f>C31</f>
        <v>163.78417578595941</v>
      </c>
      <c r="D40" s="313">
        <f>D31</f>
        <v>131.82230988593159</v>
      </c>
      <c r="E40" s="291">
        <f>E31</f>
        <v>31.961865900027817</v>
      </c>
      <c r="G40" s="7">
        <v>12</v>
      </c>
      <c r="H40" s="266">
        <f t="shared" si="0"/>
        <v>249.49532135779603</v>
      </c>
      <c r="I40" s="364">
        <f t="shared" si="1"/>
        <v>228.99532135779603</v>
      </c>
      <c r="J40" s="363">
        <f t="shared" si="2"/>
        <v>79.182675110292649</v>
      </c>
      <c r="K40" s="366">
        <f t="shared" si="3"/>
        <v>58.682675110292649</v>
      </c>
      <c r="N40" s="41"/>
    </row>
    <row r="41" spans="1:15" ht="17.25" customHeight="1" thickBot="1" x14ac:dyDescent="0.35">
      <c r="B41" s="273" t="s">
        <v>245</v>
      </c>
      <c r="C41" s="274">
        <f>C38-C40</f>
        <v>174.85299841713072</v>
      </c>
      <c r="D41" s="274">
        <f>D38-D40</f>
        <v>139.42652155540389</v>
      </c>
      <c r="E41" s="274">
        <f>E38-E40</f>
        <v>35.426476861726798</v>
      </c>
      <c r="G41" s="7">
        <v>13</v>
      </c>
      <c r="H41" s="266">
        <f t="shared" si="0"/>
        <v>241.89583318569322</v>
      </c>
      <c r="I41" s="364">
        <f t="shared" si="1"/>
        <v>221.39583318569322</v>
      </c>
      <c r="J41" s="363">
        <f t="shared" si="2"/>
        <v>77.549524052410533</v>
      </c>
      <c r="K41" s="366">
        <f t="shared" si="3"/>
        <v>57.049524052410533</v>
      </c>
      <c r="N41" s="36"/>
      <c r="O41" s="28"/>
    </row>
    <row r="42" spans="1:15" ht="16.5" customHeight="1" thickTop="1" x14ac:dyDescent="0.3">
      <c r="B42" s="273"/>
      <c r="C42" s="375"/>
      <c r="D42" s="375"/>
      <c r="E42" s="375"/>
      <c r="F42" s="1544" t="s">
        <v>625</v>
      </c>
      <c r="G42" s="7">
        <v>14</v>
      </c>
      <c r="H42" s="266">
        <f t="shared" si="0"/>
        <v>234.39968886714135</v>
      </c>
      <c r="I42" s="364">
        <f t="shared" si="1"/>
        <v>213.89968886714135</v>
      </c>
      <c r="J42" s="363">
        <f t="shared" si="2"/>
        <v>75.916372994528416</v>
      </c>
      <c r="K42" s="366">
        <f t="shared" si="3"/>
        <v>55.416372994528416</v>
      </c>
      <c r="N42" s="36"/>
    </row>
    <row r="43" spans="1:15" x14ac:dyDescent="0.3">
      <c r="B43" s="373" t="s">
        <v>301</v>
      </c>
      <c r="C43" s="374">
        <f>SUM(D43:E43)</f>
        <v>450.00000000000006</v>
      </c>
      <c r="D43" s="374">
        <f>C13*D17</f>
        <v>348.75000000000006</v>
      </c>
      <c r="E43" s="374">
        <f>C13*E17</f>
        <v>101.24999999999999</v>
      </c>
      <c r="F43" s="1543">
        <f>E43/(1+E18)</f>
        <v>98.780487804878049</v>
      </c>
      <c r="G43" s="7">
        <v>15</v>
      </c>
      <c r="H43" s="266">
        <f t="shared" si="0"/>
        <v>227.00688840214031</v>
      </c>
      <c r="I43" s="364">
        <f t="shared" si="1"/>
        <v>206.50688840214031</v>
      </c>
      <c r="J43" s="363">
        <f t="shared" si="2"/>
        <v>74.283221936646314</v>
      </c>
      <c r="K43" s="366">
        <f t="shared" si="3"/>
        <v>53.783221936646314</v>
      </c>
    </row>
    <row r="44" spans="1:15" x14ac:dyDescent="0.3">
      <c r="B44" s="369" t="s">
        <v>302</v>
      </c>
      <c r="C44" s="371">
        <f>SUM(D44:E44)</f>
        <v>379.63717420309013</v>
      </c>
      <c r="D44" s="372">
        <f>D30+D20</f>
        <v>291.74883144133548</v>
      </c>
      <c r="E44" s="372">
        <f>E30+E20</f>
        <v>87.888342761754615</v>
      </c>
      <c r="F44" s="1545"/>
      <c r="G44" s="7">
        <v>16</v>
      </c>
      <c r="H44" s="266">
        <f t="shared" si="0"/>
        <v>219.71743179069023</v>
      </c>
      <c r="I44" s="364">
        <f t="shared" si="1"/>
        <v>199.21743179069023</v>
      </c>
      <c r="J44" s="363">
        <f t="shared" si="2"/>
        <v>72.650070878764197</v>
      </c>
      <c r="K44" s="366">
        <f t="shared" si="3"/>
        <v>52.150070878764197</v>
      </c>
    </row>
    <row r="45" spans="1:15" x14ac:dyDescent="0.3">
      <c r="B45" s="4" t="s">
        <v>305</v>
      </c>
      <c r="C45" s="16">
        <f>SUM(D45:E45)</f>
        <v>200.85299841713072</v>
      </c>
      <c r="D45" s="16">
        <f>(D29-D29*D19)*((C26-C27+1)*(C26-C27)/(C26*(C26+1)))</f>
        <v>152.42652155540392</v>
      </c>
      <c r="E45" s="16">
        <f>E29*(1-E19)*(C26-C27)/C26</f>
        <v>48.42647686172679</v>
      </c>
      <c r="G45" s="7">
        <v>17</v>
      </c>
      <c r="H45" s="266">
        <f t="shared" si="0"/>
        <v>212.53131903279103</v>
      </c>
      <c r="I45" s="364">
        <f t="shared" si="1"/>
        <v>192.03131903279103</v>
      </c>
      <c r="J45" s="363">
        <f t="shared" si="2"/>
        <v>71.01691982088208</v>
      </c>
      <c r="K45" s="366">
        <f t="shared" si="3"/>
        <v>50.51691982088208</v>
      </c>
    </row>
    <row r="46" spans="1:15" x14ac:dyDescent="0.3">
      <c r="B46" s="4" t="s">
        <v>303</v>
      </c>
      <c r="C46" s="16">
        <f>SUM(D46:E46)</f>
        <v>178.78417578595941</v>
      </c>
      <c r="D46" s="16">
        <f>D29*D19*(C26-C27)/C26</f>
        <v>139.32230988593159</v>
      </c>
      <c r="E46" s="16">
        <f>E29*E19*(C26-C27)/C26</f>
        <v>39.461865900027817</v>
      </c>
      <c r="G46" s="7">
        <v>18</v>
      </c>
      <c r="H46" s="266">
        <f t="shared" si="0"/>
        <v>205.44855012844272</v>
      </c>
      <c r="I46" s="364">
        <f t="shared" si="1"/>
        <v>184.94855012844272</v>
      </c>
      <c r="J46" s="363">
        <f t="shared" si="2"/>
        <v>69.383768762999949</v>
      </c>
      <c r="K46" s="366">
        <f t="shared" si="3"/>
        <v>48.883768762999949</v>
      </c>
    </row>
    <row r="47" spans="1:15" x14ac:dyDescent="0.3">
      <c r="B47" s="369" t="s">
        <v>304</v>
      </c>
      <c r="C47" s="370">
        <f>C30</f>
        <v>338.63717420309013</v>
      </c>
      <c r="D47" s="370">
        <f>D30</f>
        <v>271.24883144133548</v>
      </c>
      <c r="E47" s="370">
        <f>E30</f>
        <v>67.388342761754615</v>
      </c>
      <c r="G47" s="7">
        <v>19</v>
      </c>
      <c r="H47" s="266">
        <f t="shared" si="0"/>
        <v>198.46912507764534</v>
      </c>
      <c r="I47" s="364">
        <f t="shared" si="1"/>
        <v>177.96912507764534</v>
      </c>
      <c r="J47" s="363">
        <f t="shared" si="2"/>
        <v>67.750617705117847</v>
      </c>
      <c r="K47" s="366">
        <f t="shared" si="3"/>
        <v>47.250617705117847</v>
      </c>
    </row>
    <row r="48" spans="1:15" ht="15" thickBot="1" x14ac:dyDescent="0.35">
      <c r="B48" s="377" t="s">
        <v>295</v>
      </c>
      <c r="C48" s="376">
        <f>C32</f>
        <v>174.85299841713069</v>
      </c>
      <c r="D48" s="376">
        <f>D32</f>
        <v>139.42652155540389</v>
      </c>
      <c r="E48" s="376">
        <f>E32</f>
        <v>35.42647686172679</v>
      </c>
      <c r="G48" s="7">
        <v>20</v>
      </c>
      <c r="H48" s="266">
        <f t="shared" si="0"/>
        <v>191.59304388039885</v>
      </c>
      <c r="I48" s="364">
        <f t="shared" si="1"/>
        <v>171.09304388039885</v>
      </c>
      <c r="J48" s="363">
        <f t="shared" si="2"/>
        <v>66.11746664723573</v>
      </c>
      <c r="K48" s="366">
        <f t="shared" si="3"/>
        <v>45.61746664723573</v>
      </c>
    </row>
    <row r="49" spans="2:11" ht="15" thickTop="1" x14ac:dyDescent="0.3">
      <c r="B49" s="273"/>
      <c r="C49" s="375"/>
      <c r="D49" s="375"/>
      <c r="E49" s="375"/>
      <c r="G49" s="7">
        <v>21</v>
      </c>
      <c r="H49" s="266">
        <f t="shared" si="0"/>
        <v>184.82030653670327</v>
      </c>
      <c r="I49" s="364">
        <f t="shared" si="1"/>
        <v>164.32030653670327</v>
      </c>
      <c r="J49" s="363">
        <f t="shared" si="2"/>
        <v>64.484315589353614</v>
      </c>
      <c r="K49" s="366">
        <f t="shared" si="3"/>
        <v>43.984315589353614</v>
      </c>
    </row>
    <row r="50" spans="2:11" x14ac:dyDescent="0.3">
      <c r="G50" s="7">
        <v>22</v>
      </c>
      <c r="H50" s="266">
        <f t="shared" si="0"/>
        <v>178.15091304655857</v>
      </c>
      <c r="I50" s="364">
        <f t="shared" si="1"/>
        <v>157.65091304655857</v>
      </c>
      <c r="J50" s="363">
        <f t="shared" si="2"/>
        <v>62.85116453147149</v>
      </c>
      <c r="K50" s="366">
        <f t="shared" si="3"/>
        <v>42.35116453147149</v>
      </c>
    </row>
    <row r="51" spans="2:11" x14ac:dyDescent="0.3">
      <c r="G51" s="7">
        <v>23</v>
      </c>
      <c r="H51" s="266">
        <f t="shared" si="0"/>
        <v>171.58486340996478</v>
      </c>
      <c r="I51" s="364">
        <f t="shared" si="1"/>
        <v>151.08486340996478</v>
      </c>
      <c r="J51" s="363">
        <f t="shared" si="2"/>
        <v>61.21801347358938</v>
      </c>
      <c r="K51" s="366">
        <f t="shared" si="3"/>
        <v>40.71801347358938</v>
      </c>
    </row>
    <row r="52" spans="2:11" x14ac:dyDescent="0.3">
      <c r="G52" s="7">
        <v>24</v>
      </c>
      <c r="H52" s="266">
        <f t="shared" si="0"/>
        <v>165.12215762692193</v>
      </c>
      <c r="I52" s="364">
        <f t="shared" si="1"/>
        <v>144.62215762692193</v>
      </c>
      <c r="J52" s="363">
        <f t="shared" si="2"/>
        <v>59.584862415707256</v>
      </c>
      <c r="K52" s="366">
        <f t="shared" si="3"/>
        <v>39.084862415707256</v>
      </c>
    </row>
    <row r="53" spans="2:11" x14ac:dyDescent="0.3">
      <c r="G53" s="7">
        <v>25</v>
      </c>
      <c r="H53" s="266">
        <f t="shared" si="0"/>
        <v>158.76279569742994</v>
      </c>
      <c r="I53" s="364">
        <f t="shared" si="1"/>
        <v>138.26279569742994</v>
      </c>
      <c r="J53" s="363">
        <f t="shared" si="2"/>
        <v>57.951711357825147</v>
      </c>
      <c r="K53" s="366">
        <f t="shared" si="3"/>
        <v>37.451711357825147</v>
      </c>
    </row>
    <row r="54" spans="2:11" x14ac:dyDescent="0.3">
      <c r="G54" s="7">
        <v>26</v>
      </c>
      <c r="H54" s="266">
        <f t="shared" si="0"/>
        <v>152.50677762148888</v>
      </c>
      <c r="I54" s="364">
        <f t="shared" si="1"/>
        <v>132.00677762148888</v>
      </c>
      <c r="J54" s="363">
        <f t="shared" si="2"/>
        <v>56.31856029994303</v>
      </c>
      <c r="K54" s="366">
        <f t="shared" si="3"/>
        <v>35.81856029994303</v>
      </c>
    </row>
    <row r="55" spans="2:11" x14ac:dyDescent="0.3">
      <c r="G55" s="7">
        <v>27</v>
      </c>
      <c r="H55" s="266">
        <f t="shared" si="0"/>
        <v>146.3541033990987</v>
      </c>
      <c r="I55" s="364">
        <f t="shared" si="1"/>
        <v>125.8541033990987</v>
      </c>
      <c r="J55" s="363">
        <f t="shared" si="2"/>
        <v>54.685409242060913</v>
      </c>
      <c r="K55" s="366">
        <f t="shared" si="3"/>
        <v>34.185409242060913</v>
      </c>
    </row>
    <row r="56" spans="2:11" x14ac:dyDescent="0.3">
      <c r="G56" s="7">
        <v>28</v>
      </c>
      <c r="H56" s="266">
        <f t="shared" si="0"/>
        <v>140.30477303025941</v>
      </c>
      <c r="I56" s="364">
        <f t="shared" si="1"/>
        <v>119.80477303025941</v>
      </c>
      <c r="J56" s="363">
        <f t="shared" si="2"/>
        <v>53.052258184178797</v>
      </c>
      <c r="K56" s="366">
        <f t="shared" si="3"/>
        <v>32.552258184178797</v>
      </c>
    </row>
    <row r="57" spans="2:11" x14ac:dyDescent="0.3">
      <c r="G57" s="7">
        <v>29</v>
      </c>
      <c r="H57" s="266">
        <f t="shared" si="0"/>
        <v>134.35878651497103</v>
      </c>
      <c r="I57" s="364">
        <f t="shared" si="1"/>
        <v>113.85878651497103</v>
      </c>
      <c r="J57" s="363">
        <f t="shared" si="2"/>
        <v>51.419107126296687</v>
      </c>
      <c r="K57" s="366">
        <f t="shared" si="3"/>
        <v>30.919107126296687</v>
      </c>
    </row>
    <row r="58" spans="2:11" x14ac:dyDescent="0.3">
      <c r="B58" s="17" t="s">
        <v>12</v>
      </c>
      <c r="G58" s="7">
        <v>30</v>
      </c>
      <c r="H58" s="266">
        <f t="shared" si="0"/>
        <v>128.51614385323356</v>
      </c>
      <c r="I58" s="364">
        <f t="shared" si="1"/>
        <v>108.01614385323356</v>
      </c>
      <c r="J58" s="363">
        <f t="shared" si="2"/>
        <v>49.785956068414563</v>
      </c>
      <c r="K58" s="366">
        <f t="shared" si="3"/>
        <v>29.285956068414563</v>
      </c>
    </row>
    <row r="59" spans="2:11" x14ac:dyDescent="0.3">
      <c r="B59" s="4" t="s">
        <v>14</v>
      </c>
      <c r="G59" s="7">
        <v>31</v>
      </c>
      <c r="H59" s="266">
        <f t="shared" si="0"/>
        <v>122.776845045047</v>
      </c>
      <c r="I59" s="364">
        <f t="shared" si="1"/>
        <v>102.276845045047</v>
      </c>
      <c r="J59" s="363">
        <f t="shared" si="2"/>
        <v>48.152805010532447</v>
      </c>
      <c r="K59" s="366">
        <f t="shared" si="3"/>
        <v>27.652805010532447</v>
      </c>
    </row>
    <row r="60" spans="2:11" x14ac:dyDescent="0.3">
      <c r="B60" s="4" t="s">
        <v>13</v>
      </c>
      <c r="G60" s="7">
        <v>32</v>
      </c>
      <c r="H60" s="266">
        <f t="shared" si="0"/>
        <v>117.14089009041135</v>
      </c>
      <c r="I60" s="364">
        <f t="shared" si="1"/>
        <v>96.640890090411347</v>
      </c>
      <c r="J60" s="363">
        <f t="shared" si="2"/>
        <v>46.519653952650337</v>
      </c>
      <c r="K60" s="366">
        <f t="shared" si="3"/>
        <v>26.019653952650337</v>
      </c>
    </row>
    <row r="61" spans="2:11" x14ac:dyDescent="0.3">
      <c r="G61" s="7">
        <v>33</v>
      </c>
      <c r="H61" s="266">
        <f t="shared" si="0"/>
        <v>111.60827898932658</v>
      </c>
      <c r="I61" s="364">
        <f t="shared" si="1"/>
        <v>91.108278989326578</v>
      </c>
      <c r="J61" s="363">
        <f t="shared" si="2"/>
        <v>44.886502894768213</v>
      </c>
      <c r="K61" s="366">
        <f t="shared" si="3"/>
        <v>24.386502894768213</v>
      </c>
    </row>
    <row r="62" spans="2:11" x14ac:dyDescent="0.3">
      <c r="G62" s="7">
        <v>34</v>
      </c>
      <c r="H62" s="266">
        <f t="shared" si="0"/>
        <v>106.17901174179272</v>
      </c>
      <c r="I62" s="364">
        <f t="shared" si="1"/>
        <v>85.679011741792721</v>
      </c>
      <c r="J62" s="363">
        <f t="shared" si="2"/>
        <v>43.253351836886104</v>
      </c>
      <c r="K62" s="366">
        <f t="shared" si="3"/>
        <v>22.753351836886104</v>
      </c>
    </row>
    <row r="63" spans="2:11" x14ac:dyDescent="0.3">
      <c r="G63" s="7">
        <v>35</v>
      </c>
      <c r="H63" s="266">
        <f t="shared" si="0"/>
        <v>100.85308834780976</v>
      </c>
      <c r="I63" s="364">
        <f t="shared" si="1"/>
        <v>80.353088347809759</v>
      </c>
      <c r="J63" s="363">
        <f t="shared" si="2"/>
        <v>41.620200779003987</v>
      </c>
      <c r="K63" s="366">
        <f t="shared" si="3"/>
        <v>21.120200779003987</v>
      </c>
    </row>
    <row r="64" spans="2:11" x14ac:dyDescent="0.3">
      <c r="G64" s="7">
        <v>36</v>
      </c>
      <c r="H64" s="266">
        <f t="shared" si="0"/>
        <v>95.63050880737768</v>
      </c>
      <c r="I64" s="364">
        <f t="shared" si="1"/>
        <v>75.13050880737768</v>
      </c>
      <c r="J64" s="363">
        <f t="shared" si="2"/>
        <v>39.987049721121871</v>
      </c>
      <c r="K64" s="366">
        <f t="shared" si="3"/>
        <v>19.487049721121871</v>
      </c>
    </row>
    <row r="65" spans="7:11" x14ac:dyDescent="0.3">
      <c r="G65" s="7">
        <v>37</v>
      </c>
      <c r="H65" s="266">
        <f t="shared" si="0"/>
        <v>90.51127312049654</v>
      </c>
      <c r="I65" s="364">
        <f t="shared" si="1"/>
        <v>70.01127312049654</v>
      </c>
      <c r="J65" s="363">
        <f t="shared" si="2"/>
        <v>38.353898663239754</v>
      </c>
      <c r="K65" s="366">
        <f t="shared" si="3"/>
        <v>17.853898663239754</v>
      </c>
    </row>
    <row r="66" spans="7:11" x14ac:dyDescent="0.3">
      <c r="G66" s="7">
        <v>38</v>
      </c>
      <c r="H66" s="266">
        <f t="shared" si="0"/>
        <v>85.495381287166296</v>
      </c>
      <c r="I66" s="364">
        <f t="shared" si="1"/>
        <v>64.995381287166296</v>
      </c>
      <c r="J66" s="363">
        <f t="shared" si="2"/>
        <v>36.72074760535763</v>
      </c>
      <c r="K66" s="366">
        <f t="shared" si="3"/>
        <v>16.22074760535763</v>
      </c>
    </row>
    <row r="67" spans="7:11" x14ac:dyDescent="0.3">
      <c r="G67" s="7">
        <v>39</v>
      </c>
      <c r="H67" s="266">
        <f t="shared" si="0"/>
        <v>80.582833307386935</v>
      </c>
      <c r="I67" s="364">
        <f t="shared" si="1"/>
        <v>60.082833307386935</v>
      </c>
      <c r="J67" s="363">
        <f t="shared" si="2"/>
        <v>35.08759654747552</v>
      </c>
      <c r="K67" s="366">
        <f t="shared" si="3"/>
        <v>14.58759654747552</v>
      </c>
    </row>
    <row r="68" spans="7:11" x14ac:dyDescent="0.3">
      <c r="G68" s="7">
        <v>40</v>
      </c>
      <c r="H68" s="266">
        <f t="shared" si="0"/>
        <v>75.773629181158483</v>
      </c>
      <c r="I68" s="364">
        <f t="shared" si="1"/>
        <v>55.273629181158483</v>
      </c>
      <c r="J68" s="363">
        <f t="shared" si="2"/>
        <v>33.454445489593404</v>
      </c>
      <c r="K68" s="366">
        <f t="shared" si="3"/>
        <v>12.954445489593404</v>
      </c>
    </row>
    <row r="69" spans="7:11" x14ac:dyDescent="0.3">
      <c r="G69" s="7">
        <v>41</v>
      </c>
      <c r="H69" s="266">
        <f t="shared" si="0"/>
        <v>71.067768908480943</v>
      </c>
      <c r="I69" s="364">
        <f t="shared" si="1"/>
        <v>50.567768908480943</v>
      </c>
      <c r="J69" s="363">
        <f t="shared" si="2"/>
        <v>31.821294431711291</v>
      </c>
      <c r="K69" s="366">
        <f t="shared" si="3"/>
        <v>11.321294431711291</v>
      </c>
    </row>
    <row r="70" spans="7:11" x14ac:dyDescent="0.3">
      <c r="G70" s="7">
        <v>42</v>
      </c>
      <c r="H70" s="266">
        <f t="shared" si="0"/>
        <v>66.465252489354299</v>
      </c>
      <c r="I70" s="364">
        <f t="shared" si="1"/>
        <v>45.965252489354299</v>
      </c>
      <c r="J70" s="363">
        <f t="shared" si="2"/>
        <v>30.18814337382917</v>
      </c>
      <c r="K70" s="366">
        <f t="shared" si="3"/>
        <v>9.6881433738291705</v>
      </c>
    </row>
    <row r="71" spans="7:11" x14ac:dyDescent="0.3">
      <c r="G71" s="7">
        <v>43</v>
      </c>
      <c r="H71" s="266">
        <f t="shared" si="0"/>
        <v>61.966079923778551</v>
      </c>
      <c r="I71" s="364">
        <f t="shared" si="1"/>
        <v>41.466079923778551</v>
      </c>
      <c r="J71" s="363">
        <f t="shared" si="2"/>
        <v>28.554992315947054</v>
      </c>
      <c r="K71" s="366">
        <f t="shared" si="3"/>
        <v>8.0549923159470538</v>
      </c>
    </row>
    <row r="72" spans="7:11" x14ac:dyDescent="0.3">
      <c r="G72" s="7">
        <v>44</v>
      </c>
      <c r="H72" s="266">
        <f t="shared" si="0"/>
        <v>57.570251211753714</v>
      </c>
      <c r="I72" s="364">
        <f t="shared" si="1"/>
        <v>37.070251211753714</v>
      </c>
      <c r="J72" s="363">
        <f t="shared" si="2"/>
        <v>26.921841258064941</v>
      </c>
      <c r="K72" s="366">
        <f t="shared" si="3"/>
        <v>6.4218412580649407</v>
      </c>
    </row>
    <row r="73" spans="7:11" x14ac:dyDescent="0.3">
      <c r="G73" s="7">
        <v>45</v>
      </c>
      <c r="H73" s="266">
        <f t="shared" si="0"/>
        <v>53.277766353279787</v>
      </c>
      <c r="I73" s="364">
        <f t="shared" si="1"/>
        <v>32.777766353279787</v>
      </c>
      <c r="J73" s="363">
        <f t="shared" si="2"/>
        <v>25.288690200182824</v>
      </c>
      <c r="K73" s="366">
        <f t="shared" si="3"/>
        <v>4.788690200182824</v>
      </c>
    </row>
    <row r="74" spans="7:11" x14ac:dyDescent="0.3">
      <c r="G74" s="7">
        <v>46</v>
      </c>
      <c r="H74" s="266">
        <f t="shared" si="0"/>
        <v>49.088625348356743</v>
      </c>
      <c r="I74" s="364">
        <f t="shared" si="1"/>
        <v>28.588625348356743</v>
      </c>
      <c r="J74" s="363">
        <f t="shared" si="2"/>
        <v>23.655539142300707</v>
      </c>
      <c r="K74" s="366">
        <f t="shared" si="3"/>
        <v>3.1555391423007073</v>
      </c>
    </row>
    <row r="75" spans="7:11" x14ac:dyDescent="0.3">
      <c r="G75" s="7">
        <v>47</v>
      </c>
      <c r="H75" s="266">
        <f t="shared" si="0"/>
        <v>45.002828196984609</v>
      </c>
      <c r="I75" s="364">
        <f t="shared" si="1"/>
        <v>24.502828196984609</v>
      </c>
      <c r="J75" s="363">
        <f t="shared" si="2"/>
        <v>22.022388084418591</v>
      </c>
      <c r="K75" s="366">
        <f t="shared" si="3"/>
        <v>1.5223880844185906</v>
      </c>
    </row>
    <row r="76" spans="7:11" x14ac:dyDescent="0.3">
      <c r="G76" s="7">
        <v>48</v>
      </c>
      <c r="H76" s="266">
        <f t="shared" si="0"/>
        <v>41.020374899163372</v>
      </c>
      <c r="I76" s="364">
        <f t="shared" si="1"/>
        <v>20.520374899163372</v>
      </c>
      <c r="J76" s="363">
        <f t="shared" si="2"/>
        <v>20.389237026536478</v>
      </c>
      <c r="K76" s="366">
        <f t="shared" si="3"/>
        <v>-0.11076297346352248</v>
      </c>
    </row>
    <row r="77" spans="7:11" x14ac:dyDescent="0.3">
      <c r="G77" s="7">
        <v>49</v>
      </c>
      <c r="H77" s="266">
        <f t="shared" si="0"/>
        <v>37.141265454893052</v>
      </c>
      <c r="I77" s="364">
        <f t="shared" si="1"/>
        <v>16.641265454893052</v>
      </c>
      <c r="J77" s="363">
        <f t="shared" si="2"/>
        <v>18.756085968654361</v>
      </c>
      <c r="K77" s="366">
        <f t="shared" si="3"/>
        <v>-1.7439140313456392</v>
      </c>
    </row>
    <row r="78" spans="7:11" x14ac:dyDescent="0.3">
      <c r="G78" s="7">
        <v>50</v>
      </c>
      <c r="H78" s="266">
        <f t="shared" si="0"/>
        <v>33.365499864173621</v>
      </c>
      <c r="I78" s="364">
        <f t="shared" si="1"/>
        <v>12.865499864173621</v>
      </c>
      <c r="J78" s="363">
        <f t="shared" si="2"/>
        <v>17.122934910772241</v>
      </c>
      <c r="K78" s="366">
        <f t="shared" si="3"/>
        <v>-3.3770650892277594</v>
      </c>
    </row>
    <row r="79" spans="7:11" x14ac:dyDescent="0.3">
      <c r="G79" s="7">
        <v>51</v>
      </c>
      <c r="H79" s="266">
        <f t="shared" si="0"/>
        <v>29.693078127005094</v>
      </c>
      <c r="I79" s="364">
        <f t="shared" si="1"/>
        <v>9.1930781270050943</v>
      </c>
      <c r="J79" s="363">
        <f t="shared" si="2"/>
        <v>15.489783852890127</v>
      </c>
      <c r="K79" s="366">
        <f t="shared" si="3"/>
        <v>-5.0102161471098725</v>
      </c>
    </row>
    <row r="80" spans="7:11" x14ac:dyDescent="0.3">
      <c r="G80" s="7">
        <v>52</v>
      </c>
      <c r="H80" s="266">
        <f t="shared" si="0"/>
        <v>26.124000243387474</v>
      </c>
      <c r="I80" s="364">
        <f t="shared" si="1"/>
        <v>5.6240002433874743</v>
      </c>
      <c r="J80" s="363">
        <f t="shared" si="2"/>
        <v>13.856632795008011</v>
      </c>
      <c r="K80" s="366">
        <f t="shared" si="3"/>
        <v>-6.6433672049919892</v>
      </c>
    </row>
    <row r="81" spans="7:11" x14ac:dyDescent="0.3">
      <c r="G81" s="7">
        <v>53</v>
      </c>
      <c r="H81" s="266">
        <f t="shared" si="0"/>
        <v>22.658266213320751</v>
      </c>
      <c r="I81" s="364">
        <f t="shared" si="1"/>
        <v>2.1582662133207506</v>
      </c>
      <c r="J81" s="363">
        <f t="shared" si="2"/>
        <v>12.223481737125894</v>
      </c>
      <c r="K81" s="366">
        <f t="shared" si="3"/>
        <v>-8.2765182628741059</v>
      </c>
    </row>
    <row r="82" spans="7:11" x14ac:dyDescent="0.3">
      <c r="G82" s="7">
        <v>54</v>
      </c>
      <c r="H82" s="266">
        <f t="shared" si="0"/>
        <v>19.295876036804934</v>
      </c>
      <c r="I82" s="364">
        <f t="shared" si="1"/>
        <v>-1.204123963195066</v>
      </c>
      <c r="J82" s="363">
        <f t="shared" si="2"/>
        <v>10.590330679243779</v>
      </c>
      <c r="K82" s="366">
        <f t="shared" si="3"/>
        <v>-9.9096693207562208</v>
      </c>
    </row>
    <row r="83" spans="7:11" x14ac:dyDescent="0.3">
      <c r="G83" s="7">
        <v>55</v>
      </c>
      <c r="H83" s="266">
        <f t="shared" si="0"/>
        <v>16.036829713840014</v>
      </c>
      <c r="I83" s="364">
        <f t="shared" si="1"/>
        <v>-4.4631702861599862</v>
      </c>
      <c r="J83" s="363">
        <f t="shared" si="2"/>
        <v>8.9571796213616626</v>
      </c>
      <c r="K83" s="366">
        <f t="shared" si="3"/>
        <v>-11.542820378638337</v>
      </c>
    </row>
    <row r="84" spans="7:11" x14ac:dyDescent="0.3">
      <c r="G84" s="7">
        <v>56</v>
      </c>
      <c r="H84" s="266">
        <f t="shared" si="0"/>
        <v>12.881127244426001</v>
      </c>
      <c r="I84" s="364">
        <f t="shared" si="1"/>
        <v>-7.6188727555739995</v>
      </c>
      <c r="J84" s="363">
        <f t="shared" si="2"/>
        <v>7.3240285634795468</v>
      </c>
      <c r="K84" s="366">
        <f t="shared" si="3"/>
        <v>-13.175971436520452</v>
      </c>
    </row>
    <row r="85" spans="7:11" x14ac:dyDescent="0.3">
      <c r="G85" s="7">
        <v>57</v>
      </c>
      <c r="H85" s="266">
        <f t="shared" si="0"/>
        <v>9.8287686285628855</v>
      </c>
      <c r="I85" s="364">
        <f t="shared" si="1"/>
        <v>-10.671231371437115</v>
      </c>
      <c r="J85" s="363">
        <f t="shared" si="2"/>
        <v>5.6908775055974301</v>
      </c>
      <c r="K85" s="366">
        <f t="shared" si="3"/>
        <v>-14.809122494402569</v>
      </c>
    </row>
    <row r="86" spans="7:11" x14ac:dyDescent="0.3">
      <c r="G86" s="7">
        <v>58</v>
      </c>
      <c r="H86" s="266">
        <f t="shared" si="0"/>
        <v>6.8797538662506756</v>
      </c>
      <c r="I86" s="364">
        <f t="shared" si="1"/>
        <v>-13.620246133749324</v>
      </c>
      <c r="J86" s="363">
        <f t="shared" si="2"/>
        <v>4.0577264477153134</v>
      </c>
      <c r="K86" s="366">
        <f t="shared" si="3"/>
        <v>-16.442273552284686</v>
      </c>
    </row>
    <row r="87" spans="7:11" x14ac:dyDescent="0.3">
      <c r="G87" s="7">
        <v>59</v>
      </c>
      <c r="H87" s="266">
        <f t="shared" si="0"/>
        <v>4.0340829574893675</v>
      </c>
      <c r="I87" s="364">
        <f t="shared" si="1"/>
        <v>-16.465917042510632</v>
      </c>
      <c r="J87" s="363">
        <f t="shared" si="2"/>
        <v>2.4245753898331976</v>
      </c>
      <c r="K87" s="366">
        <f t="shared" si="3"/>
        <v>-18.075424610166802</v>
      </c>
    </row>
    <row r="88" spans="7:11" x14ac:dyDescent="0.3">
      <c r="G88" s="7">
        <v>60</v>
      </c>
      <c r="H88" s="266">
        <f t="shared" si="0"/>
        <v>1.2917559022789602</v>
      </c>
      <c r="I88" s="364">
        <f t="shared" si="1"/>
        <v>-19.208244097721039</v>
      </c>
      <c r="J88" s="363">
        <f t="shared" si="2"/>
        <v>0.79142433195108175</v>
      </c>
      <c r="K88" s="366">
        <f t="shared" si="3"/>
        <v>-19.708575668048919</v>
      </c>
    </row>
    <row r="89" spans="7:11" x14ac:dyDescent="0.3">
      <c r="G89" s="7">
        <v>61</v>
      </c>
      <c r="H89" s="266" t="str">
        <f t="shared" si="0"/>
        <v/>
      </c>
      <c r="I89" s="364" t="str">
        <f t="shared" si="1"/>
        <v/>
      </c>
      <c r="J89" s="363" t="str">
        <f t="shared" ref="J89:J149" si="5">IF(G89&gt;$C$26,"",$E$29*($C$26-G89)/$C$26)</f>
        <v/>
      </c>
      <c r="K89" s="366" t="str">
        <f t="shared" ref="K89:K149" si="6">IF(G89&gt;$C$26,"",J89-$E$20)</f>
        <v/>
      </c>
    </row>
    <row r="90" spans="7:11" x14ac:dyDescent="0.3">
      <c r="G90" s="7">
        <v>62</v>
      </c>
      <c r="H90" s="266" t="str">
        <f t="shared" si="0"/>
        <v/>
      </c>
      <c r="I90" s="364" t="str">
        <f t="shared" si="1"/>
        <v/>
      </c>
      <c r="J90" s="363" t="str">
        <f t="shared" si="5"/>
        <v/>
      </c>
      <c r="K90" s="366" t="str">
        <f t="shared" si="6"/>
        <v/>
      </c>
    </row>
    <row r="91" spans="7:11" x14ac:dyDescent="0.3">
      <c r="G91" s="7">
        <v>63</v>
      </c>
      <c r="H91" s="266" t="str">
        <f t="shared" si="0"/>
        <v/>
      </c>
      <c r="I91" s="364" t="str">
        <f t="shared" si="1"/>
        <v/>
      </c>
      <c r="J91" s="363" t="str">
        <f t="shared" si="5"/>
        <v/>
      </c>
      <c r="K91" s="366" t="str">
        <f t="shared" si="6"/>
        <v/>
      </c>
    </row>
    <row r="92" spans="7:11" x14ac:dyDescent="0.3">
      <c r="G92" s="7">
        <v>64</v>
      </c>
      <c r="H92" s="266" t="str">
        <f t="shared" si="0"/>
        <v/>
      </c>
      <c r="I92" s="364" t="str">
        <f t="shared" si="1"/>
        <v/>
      </c>
      <c r="J92" s="363" t="str">
        <f t="shared" si="5"/>
        <v/>
      </c>
      <c r="K92" s="366" t="str">
        <f t="shared" si="6"/>
        <v/>
      </c>
    </row>
    <row r="93" spans="7:11" x14ac:dyDescent="0.3">
      <c r="G93" s="7">
        <v>65</v>
      </c>
      <c r="H93" s="266" t="str">
        <f t="shared" si="0"/>
        <v/>
      </c>
      <c r="I93" s="364" t="str">
        <f t="shared" si="1"/>
        <v/>
      </c>
      <c r="J93" s="363" t="str">
        <f t="shared" si="5"/>
        <v/>
      </c>
      <c r="K93" s="366" t="str">
        <f t="shared" si="6"/>
        <v/>
      </c>
    </row>
    <row r="94" spans="7:11" x14ac:dyDescent="0.3">
      <c r="G94" s="7">
        <v>66</v>
      </c>
      <c r="H94" s="266" t="str">
        <f t="shared" ref="H94:H149" si="7">IF(G94&gt;$C$26,"",($D$29-$D$29*$D$19)*(($C$26-G94+1)*($C$26-G94)/($C$26*($C$26+1)))+$D$29*$D$19*($C$26-G94)/$C$26)</f>
        <v/>
      </c>
      <c r="I94" s="364" t="str">
        <f t="shared" ref="I94:I149" si="8">IF(G94&gt;$C$26,"",H94-$D$20)</f>
        <v/>
      </c>
      <c r="J94" s="363" t="str">
        <f t="shared" si="5"/>
        <v/>
      </c>
      <c r="K94" s="366" t="str">
        <f t="shared" si="6"/>
        <v/>
      </c>
    </row>
    <row r="95" spans="7:11" x14ac:dyDescent="0.3">
      <c r="G95" s="7">
        <v>67</v>
      </c>
      <c r="H95" s="266" t="str">
        <f t="shared" si="7"/>
        <v/>
      </c>
      <c r="I95" s="364" t="str">
        <f t="shared" si="8"/>
        <v/>
      </c>
      <c r="J95" s="363" t="str">
        <f t="shared" si="5"/>
        <v/>
      </c>
      <c r="K95" s="366" t="str">
        <f t="shared" si="6"/>
        <v/>
      </c>
    </row>
    <row r="96" spans="7:11" x14ac:dyDescent="0.3">
      <c r="G96" s="7">
        <v>68</v>
      </c>
      <c r="H96" s="266" t="str">
        <f t="shared" si="7"/>
        <v/>
      </c>
      <c r="I96" s="364" t="str">
        <f t="shared" si="8"/>
        <v/>
      </c>
      <c r="J96" s="363" t="str">
        <f t="shared" si="5"/>
        <v/>
      </c>
      <c r="K96" s="366" t="str">
        <f t="shared" si="6"/>
        <v/>
      </c>
    </row>
    <row r="97" spans="7:11" x14ac:dyDescent="0.3">
      <c r="G97" s="7">
        <v>69</v>
      </c>
      <c r="H97" s="266" t="str">
        <f t="shared" si="7"/>
        <v/>
      </c>
      <c r="I97" s="364" t="str">
        <f t="shared" si="8"/>
        <v/>
      </c>
      <c r="J97" s="363" t="str">
        <f t="shared" si="5"/>
        <v/>
      </c>
      <c r="K97" s="366" t="str">
        <f t="shared" si="6"/>
        <v/>
      </c>
    </row>
    <row r="98" spans="7:11" x14ac:dyDescent="0.3">
      <c r="G98" s="7">
        <v>70</v>
      </c>
      <c r="H98" s="266" t="str">
        <f t="shared" si="7"/>
        <v/>
      </c>
      <c r="I98" s="364" t="str">
        <f t="shared" si="8"/>
        <v/>
      </c>
      <c r="J98" s="363" t="str">
        <f t="shared" si="5"/>
        <v/>
      </c>
      <c r="K98" s="366" t="str">
        <f t="shared" si="6"/>
        <v/>
      </c>
    </row>
    <row r="99" spans="7:11" x14ac:dyDescent="0.3">
      <c r="G99" s="7">
        <v>71</v>
      </c>
      <c r="H99" s="266" t="str">
        <f t="shared" si="7"/>
        <v/>
      </c>
      <c r="I99" s="364" t="str">
        <f t="shared" si="8"/>
        <v/>
      </c>
      <c r="J99" s="363" t="str">
        <f t="shared" si="5"/>
        <v/>
      </c>
      <c r="K99" s="366" t="str">
        <f t="shared" si="6"/>
        <v/>
      </c>
    </row>
    <row r="100" spans="7:11" x14ac:dyDescent="0.3">
      <c r="G100" s="7">
        <v>72</v>
      </c>
      <c r="H100" s="266" t="str">
        <f t="shared" si="7"/>
        <v/>
      </c>
      <c r="I100" s="364" t="str">
        <f t="shared" si="8"/>
        <v/>
      </c>
      <c r="J100" s="363" t="str">
        <f t="shared" si="5"/>
        <v/>
      </c>
      <c r="K100" s="366" t="str">
        <f t="shared" si="6"/>
        <v/>
      </c>
    </row>
    <row r="101" spans="7:11" x14ac:dyDescent="0.3">
      <c r="G101" s="7">
        <v>73</v>
      </c>
      <c r="H101" s="266" t="str">
        <f t="shared" si="7"/>
        <v/>
      </c>
      <c r="I101" s="364" t="str">
        <f t="shared" si="8"/>
        <v/>
      </c>
      <c r="J101" s="363" t="str">
        <f t="shared" si="5"/>
        <v/>
      </c>
      <c r="K101" s="366" t="str">
        <f t="shared" si="6"/>
        <v/>
      </c>
    </row>
    <row r="102" spans="7:11" x14ac:dyDescent="0.3">
      <c r="G102" s="7">
        <v>74</v>
      </c>
      <c r="H102" s="266" t="str">
        <f t="shared" si="7"/>
        <v/>
      </c>
      <c r="I102" s="364" t="str">
        <f t="shared" si="8"/>
        <v/>
      </c>
      <c r="J102" s="363" t="str">
        <f t="shared" si="5"/>
        <v/>
      </c>
      <c r="K102" s="366" t="str">
        <f t="shared" si="6"/>
        <v/>
      </c>
    </row>
    <row r="103" spans="7:11" x14ac:dyDescent="0.3">
      <c r="G103" s="7">
        <v>75</v>
      </c>
      <c r="H103" s="266" t="str">
        <f t="shared" si="7"/>
        <v/>
      </c>
      <c r="I103" s="364" t="str">
        <f t="shared" si="8"/>
        <v/>
      </c>
      <c r="J103" s="363" t="str">
        <f t="shared" si="5"/>
        <v/>
      </c>
      <c r="K103" s="366" t="str">
        <f t="shared" si="6"/>
        <v/>
      </c>
    </row>
    <row r="104" spans="7:11" x14ac:dyDescent="0.3">
      <c r="G104" s="7">
        <v>76</v>
      </c>
      <c r="H104" s="266" t="str">
        <f t="shared" si="7"/>
        <v/>
      </c>
      <c r="I104" s="364" t="str">
        <f t="shared" si="8"/>
        <v/>
      </c>
      <c r="J104" s="363" t="str">
        <f t="shared" si="5"/>
        <v/>
      </c>
      <c r="K104" s="366" t="str">
        <f t="shared" si="6"/>
        <v/>
      </c>
    </row>
    <row r="105" spans="7:11" x14ac:dyDescent="0.3">
      <c r="G105" s="7">
        <v>77</v>
      </c>
      <c r="H105" s="266" t="str">
        <f t="shared" si="7"/>
        <v/>
      </c>
      <c r="I105" s="364" t="str">
        <f t="shared" si="8"/>
        <v/>
      </c>
      <c r="J105" s="363" t="str">
        <f t="shared" si="5"/>
        <v/>
      </c>
      <c r="K105" s="366" t="str">
        <f t="shared" si="6"/>
        <v/>
      </c>
    </row>
    <row r="106" spans="7:11" x14ac:dyDescent="0.3">
      <c r="G106" s="7">
        <v>78</v>
      </c>
      <c r="H106" s="266" t="str">
        <f t="shared" si="7"/>
        <v/>
      </c>
      <c r="I106" s="364" t="str">
        <f t="shared" si="8"/>
        <v/>
      </c>
      <c r="J106" s="363" t="str">
        <f t="shared" si="5"/>
        <v/>
      </c>
      <c r="K106" s="366" t="str">
        <f t="shared" si="6"/>
        <v/>
      </c>
    </row>
    <row r="107" spans="7:11" x14ac:dyDescent="0.3">
      <c r="G107" s="7">
        <v>79</v>
      </c>
      <c r="H107" s="266" t="str">
        <f t="shared" si="7"/>
        <v/>
      </c>
      <c r="I107" s="364" t="str">
        <f t="shared" si="8"/>
        <v/>
      </c>
      <c r="J107" s="363" t="str">
        <f t="shared" si="5"/>
        <v/>
      </c>
      <c r="K107" s="366" t="str">
        <f t="shared" si="6"/>
        <v/>
      </c>
    </row>
    <row r="108" spans="7:11" x14ac:dyDescent="0.3">
      <c r="G108" s="7">
        <v>80</v>
      </c>
      <c r="H108" s="266" t="str">
        <f t="shared" si="7"/>
        <v/>
      </c>
      <c r="I108" s="364" t="str">
        <f t="shared" si="8"/>
        <v/>
      </c>
      <c r="J108" s="363" t="str">
        <f t="shared" si="5"/>
        <v/>
      </c>
      <c r="K108" s="366" t="str">
        <f t="shared" si="6"/>
        <v/>
      </c>
    </row>
    <row r="109" spans="7:11" x14ac:dyDescent="0.3">
      <c r="G109" s="7">
        <v>81</v>
      </c>
      <c r="H109" s="266" t="str">
        <f t="shared" si="7"/>
        <v/>
      </c>
      <c r="I109" s="364" t="str">
        <f t="shared" si="8"/>
        <v/>
      </c>
      <c r="J109" s="363" t="str">
        <f t="shared" si="5"/>
        <v/>
      </c>
      <c r="K109" s="366" t="str">
        <f t="shared" si="6"/>
        <v/>
      </c>
    </row>
    <row r="110" spans="7:11" x14ac:dyDescent="0.3">
      <c r="G110" s="7">
        <v>82</v>
      </c>
      <c r="H110" s="266" t="str">
        <f t="shared" si="7"/>
        <v/>
      </c>
      <c r="I110" s="364" t="str">
        <f t="shared" si="8"/>
        <v/>
      </c>
      <c r="J110" s="363" t="str">
        <f t="shared" si="5"/>
        <v/>
      </c>
      <c r="K110" s="366" t="str">
        <f t="shared" si="6"/>
        <v/>
      </c>
    </row>
    <row r="111" spans="7:11" x14ac:dyDescent="0.3">
      <c r="G111" s="7">
        <v>83</v>
      </c>
      <c r="H111" s="266" t="str">
        <f t="shared" si="7"/>
        <v/>
      </c>
      <c r="I111" s="364" t="str">
        <f t="shared" si="8"/>
        <v/>
      </c>
      <c r="J111" s="363" t="str">
        <f t="shared" si="5"/>
        <v/>
      </c>
      <c r="K111" s="366" t="str">
        <f t="shared" si="6"/>
        <v/>
      </c>
    </row>
    <row r="112" spans="7:11" x14ac:dyDescent="0.3">
      <c r="G112" s="7">
        <v>84</v>
      </c>
      <c r="H112" s="266" t="str">
        <f t="shared" si="7"/>
        <v/>
      </c>
      <c r="I112" s="364" t="str">
        <f t="shared" si="8"/>
        <v/>
      </c>
      <c r="J112" s="363" t="str">
        <f t="shared" si="5"/>
        <v/>
      </c>
      <c r="K112" s="366" t="str">
        <f t="shared" si="6"/>
        <v/>
      </c>
    </row>
    <row r="113" spans="7:11" x14ac:dyDescent="0.3">
      <c r="G113" s="7">
        <v>85</v>
      </c>
      <c r="H113" s="266" t="str">
        <f t="shared" si="7"/>
        <v/>
      </c>
      <c r="I113" s="364" t="str">
        <f t="shared" si="8"/>
        <v/>
      </c>
      <c r="J113" s="363" t="str">
        <f t="shared" si="5"/>
        <v/>
      </c>
      <c r="K113" s="366" t="str">
        <f t="shared" si="6"/>
        <v/>
      </c>
    </row>
    <row r="114" spans="7:11" x14ac:dyDescent="0.3">
      <c r="G114" s="7">
        <v>86</v>
      </c>
      <c r="H114" s="266" t="str">
        <f t="shared" si="7"/>
        <v/>
      </c>
      <c r="I114" s="364" t="str">
        <f t="shared" si="8"/>
        <v/>
      </c>
      <c r="J114" s="363" t="str">
        <f t="shared" si="5"/>
        <v/>
      </c>
      <c r="K114" s="366" t="str">
        <f t="shared" si="6"/>
        <v/>
      </c>
    </row>
    <row r="115" spans="7:11" x14ac:dyDescent="0.3">
      <c r="G115" s="7">
        <v>87</v>
      </c>
      <c r="H115" s="266" t="str">
        <f t="shared" si="7"/>
        <v/>
      </c>
      <c r="I115" s="364" t="str">
        <f t="shared" si="8"/>
        <v/>
      </c>
      <c r="J115" s="363" t="str">
        <f t="shared" si="5"/>
        <v/>
      </c>
      <c r="K115" s="366" t="str">
        <f t="shared" si="6"/>
        <v/>
      </c>
    </row>
    <row r="116" spans="7:11" x14ac:dyDescent="0.3">
      <c r="G116" s="7">
        <v>88</v>
      </c>
      <c r="H116" s="266" t="str">
        <f t="shared" si="7"/>
        <v/>
      </c>
      <c r="I116" s="364" t="str">
        <f t="shared" si="8"/>
        <v/>
      </c>
      <c r="J116" s="363" t="str">
        <f t="shared" si="5"/>
        <v/>
      </c>
      <c r="K116" s="366" t="str">
        <f t="shared" si="6"/>
        <v/>
      </c>
    </row>
    <row r="117" spans="7:11" x14ac:dyDescent="0.3">
      <c r="G117" s="7">
        <v>89</v>
      </c>
      <c r="H117" s="266" t="str">
        <f t="shared" si="7"/>
        <v/>
      </c>
      <c r="I117" s="364" t="str">
        <f t="shared" si="8"/>
        <v/>
      </c>
      <c r="J117" s="363" t="str">
        <f t="shared" si="5"/>
        <v/>
      </c>
      <c r="K117" s="366" t="str">
        <f t="shared" si="6"/>
        <v/>
      </c>
    </row>
    <row r="118" spans="7:11" x14ac:dyDescent="0.3">
      <c r="G118" s="7">
        <v>90</v>
      </c>
      <c r="H118" s="266" t="str">
        <f t="shared" si="7"/>
        <v/>
      </c>
      <c r="I118" s="364" t="str">
        <f t="shared" si="8"/>
        <v/>
      </c>
      <c r="J118" s="363" t="str">
        <f t="shared" si="5"/>
        <v/>
      </c>
      <c r="K118" s="366" t="str">
        <f t="shared" si="6"/>
        <v/>
      </c>
    </row>
    <row r="119" spans="7:11" x14ac:dyDescent="0.3">
      <c r="G119" s="7">
        <v>91</v>
      </c>
      <c r="H119" s="266" t="str">
        <f t="shared" si="7"/>
        <v/>
      </c>
      <c r="I119" s="364" t="str">
        <f t="shared" si="8"/>
        <v/>
      </c>
      <c r="J119" s="363" t="str">
        <f t="shared" si="5"/>
        <v/>
      </c>
      <c r="K119" s="366" t="str">
        <f t="shared" si="6"/>
        <v/>
      </c>
    </row>
    <row r="120" spans="7:11" x14ac:dyDescent="0.3">
      <c r="G120" s="7">
        <v>92</v>
      </c>
      <c r="H120" s="266" t="str">
        <f t="shared" si="7"/>
        <v/>
      </c>
      <c r="I120" s="364" t="str">
        <f t="shared" si="8"/>
        <v/>
      </c>
      <c r="J120" s="363" t="str">
        <f t="shared" si="5"/>
        <v/>
      </c>
      <c r="K120" s="366" t="str">
        <f t="shared" si="6"/>
        <v/>
      </c>
    </row>
    <row r="121" spans="7:11" x14ac:dyDescent="0.3">
      <c r="G121" s="7">
        <v>93</v>
      </c>
      <c r="H121" s="266" t="str">
        <f t="shared" si="7"/>
        <v/>
      </c>
      <c r="I121" s="364" t="str">
        <f t="shared" si="8"/>
        <v/>
      </c>
      <c r="J121" s="363" t="str">
        <f t="shared" si="5"/>
        <v/>
      </c>
      <c r="K121" s="366" t="str">
        <f t="shared" si="6"/>
        <v/>
      </c>
    </row>
    <row r="122" spans="7:11" x14ac:dyDescent="0.3">
      <c r="G122" s="7">
        <v>94</v>
      </c>
      <c r="H122" s="266" t="str">
        <f t="shared" si="7"/>
        <v/>
      </c>
      <c r="I122" s="364" t="str">
        <f t="shared" si="8"/>
        <v/>
      </c>
      <c r="J122" s="363" t="str">
        <f t="shared" si="5"/>
        <v/>
      </c>
      <c r="K122" s="366" t="str">
        <f t="shared" si="6"/>
        <v/>
      </c>
    </row>
    <row r="123" spans="7:11" x14ac:dyDescent="0.3">
      <c r="G123" s="7">
        <v>95</v>
      </c>
      <c r="H123" s="266" t="str">
        <f t="shared" si="7"/>
        <v/>
      </c>
      <c r="I123" s="364" t="str">
        <f t="shared" si="8"/>
        <v/>
      </c>
      <c r="J123" s="363" t="str">
        <f t="shared" si="5"/>
        <v/>
      </c>
      <c r="K123" s="366" t="str">
        <f t="shared" si="6"/>
        <v/>
      </c>
    </row>
    <row r="124" spans="7:11" x14ac:dyDescent="0.3">
      <c r="G124" s="7">
        <v>96</v>
      </c>
      <c r="H124" s="266" t="str">
        <f t="shared" si="7"/>
        <v/>
      </c>
      <c r="I124" s="364" t="str">
        <f t="shared" si="8"/>
        <v/>
      </c>
      <c r="J124" s="363" t="str">
        <f t="shared" si="5"/>
        <v/>
      </c>
      <c r="K124" s="366" t="str">
        <f t="shared" si="6"/>
        <v/>
      </c>
    </row>
    <row r="125" spans="7:11" x14ac:dyDescent="0.3">
      <c r="G125" s="7">
        <v>97</v>
      </c>
      <c r="H125" s="266" t="str">
        <f t="shared" si="7"/>
        <v/>
      </c>
      <c r="I125" s="364" t="str">
        <f t="shared" si="8"/>
        <v/>
      </c>
      <c r="J125" s="363" t="str">
        <f t="shared" si="5"/>
        <v/>
      </c>
      <c r="K125" s="366" t="str">
        <f t="shared" si="6"/>
        <v/>
      </c>
    </row>
    <row r="126" spans="7:11" x14ac:dyDescent="0.3">
      <c r="G126" s="7">
        <v>98</v>
      </c>
      <c r="H126" s="266" t="str">
        <f t="shared" si="7"/>
        <v/>
      </c>
      <c r="I126" s="364" t="str">
        <f t="shared" si="8"/>
        <v/>
      </c>
      <c r="J126" s="363" t="str">
        <f t="shared" si="5"/>
        <v/>
      </c>
      <c r="K126" s="366" t="str">
        <f t="shared" si="6"/>
        <v/>
      </c>
    </row>
    <row r="127" spans="7:11" x14ac:dyDescent="0.3">
      <c r="G127" s="7">
        <v>99</v>
      </c>
      <c r="H127" s="266" t="str">
        <f t="shared" si="7"/>
        <v/>
      </c>
      <c r="I127" s="364" t="str">
        <f t="shared" si="8"/>
        <v/>
      </c>
      <c r="J127" s="363" t="str">
        <f t="shared" si="5"/>
        <v/>
      </c>
      <c r="K127" s="366" t="str">
        <f t="shared" si="6"/>
        <v/>
      </c>
    </row>
    <row r="128" spans="7:11" x14ac:dyDescent="0.3">
      <c r="G128" s="7">
        <v>100</v>
      </c>
      <c r="H128" s="266" t="str">
        <f t="shared" si="7"/>
        <v/>
      </c>
      <c r="I128" s="364" t="str">
        <f t="shared" si="8"/>
        <v/>
      </c>
      <c r="J128" s="363" t="str">
        <f t="shared" si="5"/>
        <v/>
      </c>
      <c r="K128" s="366" t="str">
        <f t="shared" si="6"/>
        <v/>
      </c>
    </row>
    <row r="129" spans="7:11" x14ac:dyDescent="0.3">
      <c r="G129" s="7">
        <v>101</v>
      </c>
      <c r="H129" s="266" t="str">
        <f t="shared" si="7"/>
        <v/>
      </c>
      <c r="I129" s="364" t="str">
        <f t="shared" si="8"/>
        <v/>
      </c>
      <c r="J129" s="363" t="str">
        <f t="shared" si="5"/>
        <v/>
      </c>
      <c r="K129" s="366" t="str">
        <f t="shared" si="6"/>
        <v/>
      </c>
    </row>
    <row r="130" spans="7:11" x14ac:dyDescent="0.3">
      <c r="G130" s="7">
        <v>102</v>
      </c>
      <c r="H130" s="266" t="str">
        <f t="shared" si="7"/>
        <v/>
      </c>
      <c r="I130" s="364" t="str">
        <f t="shared" si="8"/>
        <v/>
      </c>
      <c r="J130" s="363" t="str">
        <f t="shared" si="5"/>
        <v/>
      </c>
      <c r="K130" s="366" t="str">
        <f t="shared" si="6"/>
        <v/>
      </c>
    </row>
    <row r="131" spans="7:11" x14ac:dyDescent="0.3">
      <c r="G131" s="7">
        <v>103</v>
      </c>
      <c r="H131" s="266" t="str">
        <f t="shared" si="7"/>
        <v/>
      </c>
      <c r="I131" s="364" t="str">
        <f t="shared" si="8"/>
        <v/>
      </c>
      <c r="J131" s="363" t="str">
        <f t="shared" si="5"/>
        <v/>
      </c>
      <c r="K131" s="366" t="str">
        <f t="shared" si="6"/>
        <v/>
      </c>
    </row>
    <row r="132" spans="7:11" x14ac:dyDescent="0.3">
      <c r="G132" s="7">
        <v>104</v>
      </c>
      <c r="H132" s="266" t="str">
        <f t="shared" si="7"/>
        <v/>
      </c>
      <c r="I132" s="364" t="str">
        <f t="shared" si="8"/>
        <v/>
      </c>
      <c r="J132" s="363" t="str">
        <f t="shared" si="5"/>
        <v/>
      </c>
      <c r="K132" s="366" t="str">
        <f t="shared" si="6"/>
        <v/>
      </c>
    </row>
    <row r="133" spans="7:11" x14ac:dyDescent="0.3">
      <c r="G133" s="7">
        <v>105</v>
      </c>
      <c r="H133" s="266" t="str">
        <f t="shared" si="7"/>
        <v/>
      </c>
      <c r="I133" s="364" t="str">
        <f t="shared" si="8"/>
        <v/>
      </c>
      <c r="J133" s="363" t="str">
        <f t="shared" si="5"/>
        <v/>
      </c>
      <c r="K133" s="366" t="str">
        <f t="shared" si="6"/>
        <v/>
      </c>
    </row>
    <row r="134" spans="7:11" x14ac:dyDescent="0.3">
      <c r="G134" s="7">
        <v>106</v>
      </c>
      <c r="H134" s="266" t="str">
        <f t="shared" si="7"/>
        <v/>
      </c>
      <c r="I134" s="364" t="str">
        <f t="shared" si="8"/>
        <v/>
      </c>
      <c r="J134" s="363" t="str">
        <f t="shared" si="5"/>
        <v/>
      </c>
      <c r="K134" s="366" t="str">
        <f t="shared" si="6"/>
        <v/>
      </c>
    </row>
    <row r="135" spans="7:11" x14ac:dyDescent="0.3">
      <c r="G135" s="7">
        <v>107</v>
      </c>
      <c r="H135" s="266" t="str">
        <f t="shared" si="7"/>
        <v/>
      </c>
      <c r="I135" s="364" t="str">
        <f t="shared" si="8"/>
        <v/>
      </c>
      <c r="J135" s="363" t="str">
        <f t="shared" si="5"/>
        <v/>
      </c>
      <c r="K135" s="366" t="str">
        <f t="shared" si="6"/>
        <v/>
      </c>
    </row>
    <row r="136" spans="7:11" x14ac:dyDescent="0.3">
      <c r="G136" s="7">
        <v>108</v>
      </c>
      <c r="H136" s="266" t="str">
        <f t="shared" si="7"/>
        <v/>
      </c>
      <c r="I136" s="364" t="str">
        <f t="shared" si="8"/>
        <v/>
      </c>
      <c r="J136" s="363" t="str">
        <f t="shared" si="5"/>
        <v/>
      </c>
      <c r="K136" s="366" t="str">
        <f t="shared" si="6"/>
        <v/>
      </c>
    </row>
    <row r="137" spans="7:11" x14ac:dyDescent="0.3">
      <c r="G137" s="7">
        <v>109</v>
      </c>
      <c r="H137" s="266" t="str">
        <f t="shared" si="7"/>
        <v/>
      </c>
      <c r="I137" s="364" t="str">
        <f t="shared" si="8"/>
        <v/>
      </c>
      <c r="J137" s="363" t="str">
        <f t="shared" si="5"/>
        <v/>
      </c>
      <c r="K137" s="366" t="str">
        <f t="shared" si="6"/>
        <v/>
      </c>
    </row>
    <row r="138" spans="7:11" x14ac:dyDescent="0.3">
      <c r="G138" s="7">
        <v>110</v>
      </c>
      <c r="H138" s="266" t="str">
        <f t="shared" si="7"/>
        <v/>
      </c>
      <c r="I138" s="364" t="str">
        <f t="shared" si="8"/>
        <v/>
      </c>
      <c r="J138" s="363" t="str">
        <f t="shared" si="5"/>
        <v/>
      </c>
      <c r="K138" s="366" t="str">
        <f t="shared" si="6"/>
        <v/>
      </c>
    </row>
    <row r="139" spans="7:11" x14ac:dyDescent="0.3">
      <c r="G139" s="7">
        <v>111</v>
      </c>
      <c r="H139" s="266" t="str">
        <f t="shared" si="7"/>
        <v/>
      </c>
      <c r="I139" s="364" t="str">
        <f t="shared" si="8"/>
        <v/>
      </c>
      <c r="J139" s="363" t="str">
        <f t="shared" si="5"/>
        <v/>
      </c>
      <c r="K139" s="366" t="str">
        <f t="shared" si="6"/>
        <v/>
      </c>
    </row>
    <row r="140" spans="7:11" x14ac:dyDescent="0.3">
      <c r="G140" s="7">
        <v>112</v>
      </c>
      <c r="H140" s="266" t="str">
        <f t="shared" si="7"/>
        <v/>
      </c>
      <c r="I140" s="364" t="str">
        <f t="shared" si="8"/>
        <v/>
      </c>
      <c r="J140" s="363" t="str">
        <f t="shared" si="5"/>
        <v/>
      </c>
      <c r="K140" s="366" t="str">
        <f t="shared" si="6"/>
        <v/>
      </c>
    </row>
    <row r="141" spans="7:11" x14ac:dyDescent="0.3">
      <c r="G141" s="7">
        <v>113</v>
      </c>
      <c r="H141" s="266" t="str">
        <f t="shared" si="7"/>
        <v/>
      </c>
      <c r="I141" s="364" t="str">
        <f t="shared" si="8"/>
        <v/>
      </c>
      <c r="J141" s="363" t="str">
        <f t="shared" si="5"/>
        <v/>
      </c>
      <c r="K141" s="366" t="str">
        <f t="shared" si="6"/>
        <v/>
      </c>
    </row>
    <row r="142" spans="7:11" x14ac:dyDescent="0.3">
      <c r="G142" s="7">
        <v>114</v>
      </c>
      <c r="H142" s="266" t="str">
        <f t="shared" si="7"/>
        <v/>
      </c>
      <c r="I142" s="364" t="str">
        <f t="shared" si="8"/>
        <v/>
      </c>
      <c r="J142" s="363" t="str">
        <f t="shared" si="5"/>
        <v/>
      </c>
      <c r="K142" s="366" t="str">
        <f t="shared" si="6"/>
        <v/>
      </c>
    </row>
    <row r="143" spans="7:11" x14ac:dyDescent="0.3">
      <c r="G143" s="7">
        <v>115</v>
      </c>
      <c r="H143" s="266" t="str">
        <f t="shared" si="7"/>
        <v/>
      </c>
      <c r="I143" s="364" t="str">
        <f t="shared" si="8"/>
        <v/>
      </c>
      <c r="J143" s="363" t="str">
        <f t="shared" si="5"/>
        <v/>
      </c>
      <c r="K143" s="366" t="str">
        <f t="shared" si="6"/>
        <v/>
      </c>
    </row>
    <row r="144" spans="7:11" x14ac:dyDescent="0.3">
      <c r="G144" s="7">
        <v>116</v>
      </c>
      <c r="H144" s="266" t="str">
        <f t="shared" si="7"/>
        <v/>
      </c>
      <c r="I144" s="364" t="str">
        <f t="shared" si="8"/>
        <v/>
      </c>
      <c r="J144" s="363" t="str">
        <f t="shared" si="5"/>
        <v/>
      </c>
      <c r="K144" s="366" t="str">
        <f t="shared" si="6"/>
        <v/>
      </c>
    </row>
    <row r="145" spans="7:11" x14ac:dyDescent="0.3">
      <c r="G145" s="7">
        <v>117</v>
      </c>
      <c r="H145" s="266" t="str">
        <f t="shared" si="7"/>
        <v/>
      </c>
      <c r="I145" s="364" t="str">
        <f t="shared" si="8"/>
        <v/>
      </c>
      <c r="J145" s="363" t="str">
        <f t="shared" si="5"/>
        <v/>
      </c>
      <c r="K145" s="366" t="str">
        <f t="shared" si="6"/>
        <v/>
      </c>
    </row>
    <row r="146" spans="7:11" x14ac:dyDescent="0.3">
      <c r="G146" s="7">
        <v>118</v>
      </c>
      <c r="H146" s="266" t="str">
        <f t="shared" si="7"/>
        <v/>
      </c>
      <c r="I146" s="364" t="str">
        <f t="shared" si="8"/>
        <v/>
      </c>
      <c r="J146" s="363" t="str">
        <f t="shared" si="5"/>
        <v/>
      </c>
      <c r="K146" s="366" t="str">
        <f t="shared" si="6"/>
        <v/>
      </c>
    </row>
    <row r="147" spans="7:11" x14ac:dyDescent="0.3">
      <c r="G147" s="7">
        <v>119</v>
      </c>
      <c r="H147" s="266" t="str">
        <f t="shared" si="7"/>
        <v/>
      </c>
      <c r="I147" s="364" t="str">
        <f t="shared" si="8"/>
        <v/>
      </c>
      <c r="J147" s="363" t="str">
        <f t="shared" si="5"/>
        <v/>
      </c>
      <c r="K147" s="366" t="str">
        <f t="shared" si="6"/>
        <v/>
      </c>
    </row>
    <row r="148" spans="7:11" x14ac:dyDescent="0.3">
      <c r="G148" s="7">
        <v>120</v>
      </c>
      <c r="H148" s="266" t="str">
        <f t="shared" si="7"/>
        <v/>
      </c>
      <c r="I148" s="364" t="str">
        <f t="shared" si="8"/>
        <v/>
      </c>
      <c r="J148" s="363" t="str">
        <f t="shared" si="5"/>
        <v/>
      </c>
      <c r="K148" s="366" t="str">
        <f t="shared" si="6"/>
        <v/>
      </c>
    </row>
    <row r="149" spans="7:11" x14ac:dyDescent="0.3">
      <c r="G149" s="7">
        <v>121</v>
      </c>
      <c r="H149" s="266" t="str">
        <f t="shared" si="7"/>
        <v/>
      </c>
      <c r="I149" s="364" t="str">
        <f t="shared" si="8"/>
        <v/>
      </c>
      <c r="J149" s="363" t="str">
        <f t="shared" si="5"/>
        <v/>
      </c>
      <c r="K149" s="366" t="str">
        <f t="shared" si="6"/>
        <v/>
      </c>
    </row>
  </sheetData>
  <mergeCells count="7">
    <mergeCell ref="G27:H27"/>
    <mergeCell ref="B4:E4"/>
    <mergeCell ref="B5:E5"/>
    <mergeCell ref="K5:P5"/>
    <mergeCell ref="B7:C7"/>
    <mergeCell ref="L21:M21"/>
    <mergeCell ref="G23:H23"/>
  </mergeCells>
  <pageMargins left="0.7" right="0.7" top="0.75" bottom="0.75" header="0.3" footer="0.3"/>
  <pageSetup paperSize="9" orientation="landscape"/>
  <headerFooter alignWithMargin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59"/>
  <sheetViews>
    <sheetView zoomScale="90" zoomScaleNormal="90" workbookViewId="0">
      <selection activeCell="B6" sqref="B6"/>
    </sheetView>
  </sheetViews>
  <sheetFormatPr defaultRowHeight="14.4" x14ac:dyDescent="0.3"/>
  <cols>
    <col min="1" max="1" width="3.5546875" customWidth="1"/>
    <col min="2" max="2" width="30.88671875" customWidth="1"/>
    <col min="3" max="3" width="32.5546875" customWidth="1"/>
    <col min="4" max="4" width="27" customWidth="1"/>
    <col min="5" max="5" width="29.109375" customWidth="1"/>
    <col min="6" max="6" width="28.5546875" style="1553" customWidth="1"/>
    <col min="7" max="7" width="14.6640625" customWidth="1"/>
  </cols>
  <sheetData>
    <row r="1" spans="1:7" ht="21" customHeight="1" x14ac:dyDescent="0.3">
      <c r="B1" s="1967" t="s">
        <v>642</v>
      </c>
      <c r="C1" s="1967"/>
      <c r="D1" s="1967"/>
      <c r="E1" s="1967"/>
    </row>
    <row r="2" spans="1:7" ht="21" customHeight="1" x14ac:dyDescent="0.3">
      <c r="B2" s="1967"/>
      <c r="C2" s="1967"/>
      <c r="D2" s="1967"/>
      <c r="E2" s="1967"/>
    </row>
    <row r="3" spans="1:7" ht="33" customHeight="1" x14ac:dyDescent="0.3">
      <c r="B3" s="1968" t="s">
        <v>643</v>
      </c>
      <c r="C3" s="1968"/>
      <c r="D3" s="1968"/>
      <c r="E3" s="1968"/>
    </row>
    <row r="5" spans="1:7" x14ac:dyDescent="0.3">
      <c r="B5" t="s">
        <v>256</v>
      </c>
    </row>
    <row r="6" spans="1:7" x14ac:dyDescent="0.3">
      <c r="B6" s="634" t="s">
        <v>751</v>
      </c>
      <c r="C6" s="634" t="s">
        <v>428</v>
      </c>
      <c r="D6" s="634" t="s">
        <v>429</v>
      </c>
      <c r="F6" s="1554"/>
    </row>
    <row r="7" spans="1:7" x14ac:dyDescent="0.3">
      <c r="B7" s="635">
        <f>'Refund calculator (Other) - NEW'!C13</f>
        <v>14500</v>
      </c>
      <c r="C7" s="1686">
        <f>ROUND('Refund calculator (Other) - NEW'!C37,1)</f>
        <v>60.3</v>
      </c>
      <c r="D7" s="636">
        <v>0.08</v>
      </c>
    </row>
    <row r="8" spans="1:7" x14ac:dyDescent="0.3">
      <c r="F8" s="1553" t="s">
        <v>636</v>
      </c>
    </row>
    <row r="9" spans="1:7" x14ac:dyDescent="0.3">
      <c r="B9" s="637"/>
      <c r="C9" s="637"/>
      <c r="D9" s="637"/>
    </row>
    <row r="10" spans="1:7" ht="15" thickBot="1" x14ac:dyDescent="0.35">
      <c r="B10" s="638" t="s">
        <v>641</v>
      </c>
      <c r="C10" s="639" t="s">
        <v>430</v>
      </c>
      <c r="D10" s="639" t="s">
        <v>431</v>
      </c>
      <c r="E10" s="639" t="s">
        <v>432</v>
      </c>
      <c r="F10" s="1556" t="s">
        <v>627</v>
      </c>
    </row>
    <row r="11" spans="1:7" ht="15" thickBot="1" x14ac:dyDescent="0.35">
      <c r="A11">
        <v>0</v>
      </c>
      <c r="E11" s="644">
        <f>B7</f>
        <v>14500</v>
      </c>
      <c r="F11" s="1555">
        <f>E11/$E$11</f>
        <v>1</v>
      </c>
      <c r="G11" s="640"/>
    </row>
    <row r="12" spans="1:7" x14ac:dyDescent="0.3">
      <c r="A12">
        <v>1</v>
      </c>
      <c r="B12" s="641">
        <f t="shared" ref="B12:B43" si="0">-PMT($D$7/12,$C$7,$E$11,0,0)</f>
        <v>292.81732236072583</v>
      </c>
      <c r="C12" s="637">
        <f t="shared" ref="C12:C43" si="1">-PPMT($D$7/12,A12,$C$7,$E$11,0)</f>
        <v>196.15065569405914</v>
      </c>
      <c r="D12" s="637">
        <f>B12-C12</f>
        <v>96.666666666666686</v>
      </c>
      <c r="E12" s="642">
        <f>E11-C12</f>
        <v>14303.849344305941</v>
      </c>
      <c r="F12" s="1555">
        <f>E12/$E$11</f>
        <v>0.9864723685728235</v>
      </c>
    </row>
    <row r="13" spans="1:7" x14ac:dyDescent="0.3">
      <c r="A13">
        <v>2</v>
      </c>
      <c r="B13" s="641">
        <f t="shared" si="0"/>
        <v>292.81732236072583</v>
      </c>
      <c r="C13" s="637">
        <f t="shared" si="1"/>
        <v>197.45832673201957</v>
      </c>
      <c r="D13" s="637">
        <f t="shared" ref="D13:D76" si="2">B13-C13</f>
        <v>95.358995628706253</v>
      </c>
      <c r="E13" s="642">
        <f>E12-C13</f>
        <v>14106.391017573922</v>
      </c>
      <c r="F13" s="1555">
        <f t="shared" ref="F13:F76" si="3">E13/$E$11</f>
        <v>0.97285455293613254</v>
      </c>
    </row>
    <row r="14" spans="1:7" x14ac:dyDescent="0.3">
      <c r="A14">
        <v>3</v>
      </c>
      <c r="B14" s="641">
        <f t="shared" si="0"/>
        <v>292.81732236072583</v>
      </c>
      <c r="C14" s="637">
        <f t="shared" si="1"/>
        <v>198.77471557689967</v>
      </c>
      <c r="D14" s="637">
        <f t="shared" si="2"/>
        <v>94.042606783826159</v>
      </c>
      <c r="E14" s="642">
        <f t="shared" ref="E14:E77" si="4">E13-C14</f>
        <v>13907.616301997023</v>
      </c>
      <c r="F14" s="1555">
        <f t="shared" si="3"/>
        <v>0.95914595186186369</v>
      </c>
    </row>
    <row r="15" spans="1:7" x14ac:dyDescent="0.3">
      <c r="A15">
        <v>4</v>
      </c>
      <c r="B15" s="641">
        <f t="shared" si="0"/>
        <v>292.81732236072583</v>
      </c>
      <c r="C15" s="637">
        <f t="shared" si="1"/>
        <v>200.09988034741235</v>
      </c>
      <c r="D15" s="637">
        <f t="shared" si="2"/>
        <v>92.717442013313473</v>
      </c>
      <c r="E15" s="642">
        <f t="shared" si="4"/>
        <v>13707.51642164961</v>
      </c>
      <c r="F15" s="1555">
        <f t="shared" si="3"/>
        <v>0.94534596011376626</v>
      </c>
    </row>
    <row r="16" spans="1:7" x14ac:dyDescent="0.3">
      <c r="A16">
        <v>5</v>
      </c>
      <c r="B16" s="641">
        <f t="shared" si="0"/>
        <v>292.81732236072583</v>
      </c>
      <c r="C16" s="637">
        <f t="shared" si="1"/>
        <v>201.43387954972843</v>
      </c>
      <c r="D16" s="637">
        <f t="shared" si="2"/>
        <v>91.383442810997394</v>
      </c>
      <c r="E16" s="642">
        <f t="shared" si="4"/>
        <v>13506.082542099883</v>
      </c>
      <c r="F16" s="1555">
        <f t="shared" si="3"/>
        <v>0.93145396842068151</v>
      </c>
    </row>
    <row r="17" spans="1:6" x14ac:dyDescent="0.3">
      <c r="A17">
        <v>6</v>
      </c>
      <c r="B17" s="641">
        <f t="shared" si="0"/>
        <v>292.81732236072583</v>
      </c>
      <c r="C17" s="637">
        <f t="shared" si="1"/>
        <v>202.77677208005994</v>
      </c>
      <c r="D17" s="637">
        <f t="shared" si="2"/>
        <v>90.040550280665883</v>
      </c>
      <c r="E17" s="642">
        <f t="shared" si="4"/>
        <v>13303.305770019822</v>
      </c>
      <c r="F17" s="1555">
        <f t="shared" si="3"/>
        <v>0.91746936344964292</v>
      </c>
    </row>
    <row r="18" spans="1:6" x14ac:dyDescent="0.3">
      <c r="A18">
        <v>7</v>
      </c>
      <c r="B18" s="641">
        <f t="shared" si="0"/>
        <v>292.81732236072583</v>
      </c>
      <c r="C18" s="637">
        <f t="shared" si="1"/>
        <v>204.12861722726038</v>
      </c>
      <c r="D18" s="637">
        <f t="shared" si="2"/>
        <v>88.688705133465447</v>
      </c>
      <c r="E18" s="642">
        <f t="shared" si="4"/>
        <v>13099.177152792561</v>
      </c>
      <c r="F18" s="1555">
        <f t="shared" si="3"/>
        <v>0.90339152777879728</v>
      </c>
    </row>
    <row r="19" spans="1:6" x14ac:dyDescent="0.3">
      <c r="A19">
        <v>8</v>
      </c>
      <c r="B19" s="641">
        <f t="shared" si="0"/>
        <v>292.81732236072583</v>
      </c>
      <c r="C19" s="637">
        <f t="shared" si="1"/>
        <v>205.4894746754421</v>
      </c>
      <c r="D19" s="637">
        <f t="shared" si="2"/>
        <v>87.327847685283729</v>
      </c>
      <c r="E19" s="642">
        <f t="shared" si="4"/>
        <v>12893.68767811712</v>
      </c>
      <c r="F19" s="1555">
        <f t="shared" si="3"/>
        <v>0.88921983987014619</v>
      </c>
    </row>
    <row r="20" spans="1:6" x14ac:dyDescent="0.3">
      <c r="A20">
        <v>9</v>
      </c>
      <c r="B20" s="641">
        <f t="shared" si="0"/>
        <v>292.81732236072583</v>
      </c>
      <c r="C20" s="637">
        <f t="shared" si="1"/>
        <v>206.8594045066117</v>
      </c>
      <c r="D20" s="637">
        <f t="shared" si="2"/>
        <v>85.957917854114129</v>
      </c>
      <c r="E20" s="642">
        <f t="shared" si="4"/>
        <v>12686.828273610508</v>
      </c>
      <c r="F20" s="1555">
        <f t="shared" si="3"/>
        <v>0.874953674042104</v>
      </c>
    </row>
    <row r="21" spans="1:6" x14ac:dyDescent="0.3">
      <c r="A21">
        <v>10</v>
      </c>
      <c r="B21" s="641">
        <f t="shared" si="0"/>
        <v>292.81732236072583</v>
      </c>
      <c r="C21" s="637">
        <f t="shared" si="1"/>
        <v>208.23846720332244</v>
      </c>
      <c r="D21" s="637">
        <f t="shared" si="2"/>
        <v>84.578855157403382</v>
      </c>
      <c r="E21" s="642">
        <f t="shared" si="4"/>
        <v>12478.589806407186</v>
      </c>
      <c r="F21" s="1555">
        <f t="shared" si="3"/>
        <v>0.86059240044187491</v>
      </c>
    </row>
    <row r="22" spans="1:6" x14ac:dyDescent="0.3">
      <c r="A22">
        <v>11</v>
      </c>
      <c r="B22" s="641">
        <f t="shared" si="0"/>
        <v>292.81732236072583</v>
      </c>
      <c r="C22" s="637">
        <f t="shared" si="1"/>
        <v>209.62672365134458</v>
      </c>
      <c r="D22" s="637">
        <f t="shared" si="2"/>
        <v>83.190598709381248</v>
      </c>
      <c r="E22" s="642">
        <f t="shared" si="4"/>
        <v>12268.963082755841</v>
      </c>
      <c r="F22" s="1555">
        <f t="shared" si="3"/>
        <v>0.84613538501764418</v>
      </c>
    </row>
    <row r="23" spans="1:6" x14ac:dyDescent="0.3">
      <c r="A23">
        <v>12</v>
      </c>
      <c r="B23" s="641">
        <f t="shared" si="0"/>
        <v>292.81732236072583</v>
      </c>
      <c r="C23" s="637">
        <f t="shared" si="1"/>
        <v>211.02423514235358</v>
      </c>
      <c r="D23" s="637">
        <f t="shared" si="2"/>
        <v>81.79308721837225</v>
      </c>
      <c r="E23" s="642">
        <f t="shared" si="4"/>
        <v>12057.938847613488</v>
      </c>
      <c r="F23" s="1555">
        <f t="shared" si="3"/>
        <v>0.83158198949058537</v>
      </c>
    </row>
    <row r="24" spans="1:6" x14ac:dyDescent="0.3">
      <c r="A24">
        <v>13</v>
      </c>
      <c r="B24" s="641">
        <f t="shared" si="0"/>
        <v>292.81732236072583</v>
      </c>
      <c r="C24" s="637">
        <f t="shared" si="1"/>
        <v>212.4310633766359</v>
      </c>
      <c r="D24" s="637">
        <f t="shared" si="2"/>
        <v>80.38625898408992</v>
      </c>
      <c r="E24" s="642">
        <f t="shared" si="4"/>
        <v>11845.507784236852</v>
      </c>
      <c r="F24" s="1555">
        <f t="shared" si="3"/>
        <v>0.81693157132667948</v>
      </c>
    </row>
    <row r="25" spans="1:6" x14ac:dyDescent="0.3">
      <c r="A25">
        <v>14</v>
      </c>
      <c r="B25" s="641">
        <f t="shared" si="0"/>
        <v>292.81732236072583</v>
      </c>
      <c r="C25" s="637">
        <f t="shared" si="1"/>
        <v>213.84727046581347</v>
      </c>
      <c r="D25" s="637">
        <f t="shared" si="2"/>
        <v>78.970051894912359</v>
      </c>
      <c r="E25" s="642">
        <f t="shared" si="4"/>
        <v>11631.660513771038</v>
      </c>
      <c r="F25" s="1555">
        <f t="shared" si="3"/>
        <v>0.80218348370834747</v>
      </c>
    </row>
    <row r="26" spans="1:6" x14ac:dyDescent="0.3">
      <c r="A26">
        <v>15</v>
      </c>
      <c r="B26" s="641">
        <f t="shared" si="0"/>
        <v>292.81732236072583</v>
      </c>
      <c r="C26" s="637">
        <f t="shared" si="1"/>
        <v>215.27291893558558</v>
      </c>
      <c r="D26" s="637">
        <f t="shared" si="2"/>
        <v>77.544403425140246</v>
      </c>
      <c r="E26" s="642">
        <f t="shared" si="4"/>
        <v>11416.387594835453</v>
      </c>
      <c r="F26" s="1555">
        <f t="shared" si="3"/>
        <v>0.78733707550589327</v>
      </c>
    </row>
    <row r="27" spans="1:6" x14ac:dyDescent="0.3">
      <c r="A27">
        <v>16</v>
      </c>
      <c r="B27" s="641">
        <f t="shared" si="0"/>
        <v>292.81732236072583</v>
      </c>
      <c r="C27" s="637">
        <f t="shared" si="1"/>
        <v>216.70807172848947</v>
      </c>
      <c r="D27" s="637">
        <f t="shared" si="2"/>
        <v>76.109250632236353</v>
      </c>
      <c r="E27" s="642">
        <f t="shared" si="4"/>
        <v>11199.679523106963</v>
      </c>
      <c r="F27" s="1555">
        <f t="shared" si="3"/>
        <v>0.77239169124875606</v>
      </c>
    </row>
    <row r="28" spans="1:6" x14ac:dyDescent="0.3">
      <c r="A28">
        <v>17</v>
      </c>
      <c r="B28" s="641">
        <f t="shared" si="0"/>
        <v>292.81732236072583</v>
      </c>
      <c r="C28" s="637">
        <f t="shared" si="1"/>
        <v>218.15279220667941</v>
      </c>
      <c r="D28" s="637">
        <f t="shared" si="2"/>
        <v>74.664530154046417</v>
      </c>
      <c r="E28" s="642">
        <f t="shared" si="4"/>
        <v>10981.526730900283</v>
      </c>
      <c r="F28" s="1555">
        <f t="shared" si="3"/>
        <v>0.75734667109657128</v>
      </c>
    </row>
    <row r="29" spans="1:6" x14ac:dyDescent="0.3">
      <c r="A29">
        <v>18</v>
      </c>
      <c r="B29" s="641">
        <f t="shared" si="0"/>
        <v>292.81732236072583</v>
      </c>
      <c r="C29" s="637">
        <f t="shared" si="1"/>
        <v>219.60714415472395</v>
      </c>
      <c r="D29" s="637">
        <f t="shared" si="2"/>
        <v>73.210178206001871</v>
      </c>
      <c r="E29" s="642">
        <f t="shared" si="4"/>
        <v>10761.919586745558</v>
      </c>
      <c r="F29" s="1555">
        <f t="shared" si="3"/>
        <v>0.74220135081003846</v>
      </c>
    </row>
    <row r="30" spans="1:6" x14ac:dyDescent="0.3">
      <c r="A30">
        <v>19</v>
      </c>
      <c r="B30" s="641">
        <f t="shared" si="0"/>
        <v>292.81732236072583</v>
      </c>
      <c r="C30" s="637">
        <f t="shared" si="1"/>
        <v>221.07119178242206</v>
      </c>
      <c r="D30" s="637">
        <f t="shared" si="2"/>
        <v>71.746130578303763</v>
      </c>
      <c r="E30" s="642">
        <f t="shared" si="4"/>
        <v>10540.848394963135</v>
      </c>
      <c r="F30" s="1555">
        <f t="shared" si="3"/>
        <v>0.72695506172159552</v>
      </c>
    </row>
    <row r="31" spans="1:6" x14ac:dyDescent="0.3">
      <c r="A31">
        <v>20</v>
      </c>
      <c r="B31" s="641">
        <f t="shared" si="0"/>
        <v>292.81732236072583</v>
      </c>
      <c r="C31" s="637">
        <f t="shared" si="1"/>
        <v>222.54499972763827</v>
      </c>
      <c r="D31" s="637">
        <f t="shared" si="2"/>
        <v>70.272322633087555</v>
      </c>
      <c r="E31" s="642">
        <f t="shared" si="4"/>
        <v>10318.303395235496</v>
      </c>
      <c r="F31" s="1555">
        <f t="shared" si="3"/>
        <v>0.71160713070589632</v>
      </c>
    </row>
    <row r="32" spans="1:6" x14ac:dyDescent="0.3">
      <c r="A32">
        <v>21</v>
      </c>
      <c r="B32" s="641">
        <f t="shared" si="0"/>
        <v>292.81732236072583</v>
      </c>
      <c r="C32" s="637">
        <f t="shared" si="1"/>
        <v>224.02863305915585</v>
      </c>
      <c r="D32" s="637">
        <f t="shared" si="2"/>
        <v>68.788689301569974</v>
      </c>
      <c r="E32" s="642">
        <f t="shared" si="4"/>
        <v>10094.274762176341</v>
      </c>
      <c r="F32" s="1555">
        <f t="shared" si="3"/>
        <v>0.69615688015009247</v>
      </c>
    </row>
    <row r="33" spans="1:6" x14ac:dyDescent="0.3">
      <c r="A33">
        <v>22</v>
      </c>
      <c r="B33" s="641">
        <f t="shared" si="0"/>
        <v>292.81732236072583</v>
      </c>
      <c r="C33" s="637">
        <f t="shared" si="1"/>
        <v>225.52215727955021</v>
      </c>
      <c r="D33" s="637">
        <f t="shared" si="2"/>
        <v>67.295165081175611</v>
      </c>
      <c r="E33" s="642">
        <f t="shared" si="4"/>
        <v>9868.7526048967902</v>
      </c>
      <c r="F33" s="1555">
        <f t="shared" si="3"/>
        <v>0.6806036279239166</v>
      </c>
    </row>
    <row r="34" spans="1:6" x14ac:dyDescent="0.3">
      <c r="A34">
        <v>23</v>
      </c>
      <c r="B34" s="641">
        <f t="shared" si="0"/>
        <v>292.81732236072583</v>
      </c>
      <c r="C34" s="637">
        <f t="shared" si="1"/>
        <v>227.02563832808053</v>
      </c>
      <c r="D34" s="637">
        <f t="shared" si="2"/>
        <v>65.791684032645293</v>
      </c>
      <c r="E34" s="642">
        <f t="shared" si="4"/>
        <v>9641.726966568709</v>
      </c>
      <c r="F34" s="1555">
        <f t="shared" si="3"/>
        <v>0.66494668734956619</v>
      </c>
    </row>
    <row r="35" spans="1:6" x14ac:dyDescent="0.3">
      <c r="A35">
        <v>24</v>
      </c>
      <c r="B35" s="641">
        <f t="shared" si="0"/>
        <v>292.81732236072583</v>
      </c>
      <c r="C35" s="637">
        <f t="shared" si="1"/>
        <v>228.53914258360106</v>
      </c>
      <c r="D35" s="637">
        <f t="shared" si="2"/>
        <v>64.278179777124762</v>
      </c>
      <c r="E35" s="642">
        <f t="shared" si="4"/>
        <v>9413.1878239851085</v>
      </c>
      <c r="F35" s="1555">
        <f t="shared" si="3"/>
        <v>0.64918536717138675</v>
      </c>
    </row>
    <row r="36" spans="1:6" x14ac:dyDescent="0.3">
      <c r="A36">
        <v>25</v>
      </c>
      <c r="B36" s="641">
        <f t="shared" si="0"/>
        <v>292.81732236072583</v>
      </c>
      <c r="C36" s="637">
        <f t="shared" si="1"/>
        <v>230.06273686749174</v>
      </c>
      <c r="D36" s="637">
        <f t="shared" si="2"/>
        <v>62.754585493234089</v>
      </c>
      <c r="E36" s="642">
        <f t="shared" si="4"/>
        <v>9183.1250871176162</v>
      </c>
      <c r="F36" s="1555">
        <f t="shared" si="3"/>
        <v>0.63331897152535288</v>
      </c>
    </row>
    <row r="37" spans="1:6" x14ac:dyDescent="0.3">
      <c r="A37">
        <v>26</v>
      </c>
      <c r="B37" s="641">
        <f t="shared" si="0"/>
        <v>292.81732236072583</v>
      </c>
      <c r="C37" s="637">
        <f t="shared" si="1"/>
        <v>231.59648844660833</v>
      </c>
      <c r="D37" s="637">
        <f t="shared" si="2"/>
        <v>61.220833914117492</v>
      </c>
      <c r="E37" s="642">
        <f t="shared" si="4"/>
        <v>8951.5285986710078</v>
      </c>
      <c r="F37" s="1555">
        <f t="shared" si="3"/>
        <v>0.6173467999083454</v>
      </c>
    </row>
    <row r="38" spans="1:6" x14ac:dyDescent="0.3">
      <c r="A38">
        <v>27</v>
      </c>
      <c r="B38" s="641">
        <f t="shared" si="0"/>
        <v>292.81732236072583</v>
      </c>
      <c r="C38" s="637">
        <f t="shared" si="1"/>
        <v>233.14046503625244</v>
      </c>
      <c r="D38" s="637">
        <f t="shared" si="2"/>
        <v>59.676857324473389</v>
      </c>
      <c r="E38" s="642">
        <f t="shared" si="4"/>
        <v>8718.3881336347549</v>
      </c>
      <c r="F38" s="1555">
        <f t="shared" si="3"/>
        <v>0.60126814714722443</v>
      </c>
    </row>
    <row r="39" spans="1:6" x14ac:dyDescent="0.3">
      <c r="A39">
        <v>28</v>
      </c>
      <c r="B39" s="641">
        <f t="shared" si="0"/>
        <v>292.81732236072583</v>
      </c>
      <c r="C39" s="637">
        <f t="shared" si="1"/>
        <v>234.6947348031608</v>
      </c>
      <c r="D39" s="637">
        <f t="shared" si="2"/>
        <v>58.122587557565026</v>
      </c>
      <c r="E39" s="642">
        <f t="shared" si="4"/>
        <v>8483.6933988315941</v>
      </c>
      <c r="F39" s="1555">
        <f t="shared" si="3"/>
        <v>0.58508230336769618</v>
      </c>
    </row>
    <row r="40" spans="1:6" x14ac:dyDescent="0.3">
      <c r="A40">
        <v>29</v>
      </c>
      <c r="B40" s="641">
        <f t="shared" si="0"/>
        <v>292.81732236072583</v>
      </c>
      <c r="C40" s="637">
        <f t="shared" si="1"/>
        <v>236.2593663685152</v>
      </c>
      <c r="D40" s="637">
        <f t="shared" si="2"/>
        <v>56.557955992210623</v>
      </c>
      <c r="E40" s="642">
        <f t="shared" si="4"/>
        <v>8247.4340324630793</v>
      </c>
      <c r="F40" s="1555">
        <f t="shared" si="3"/>
        <v>0.56878855396297101</v>
      </c>
    </row>
    <row r="41" spans="1:6" x14ac:dyDescent="0.3">
      <c r="A41">
        <v>30</v>
      </c>
      <c r="B41" s="641">
        <f t="shared" si="0"/>
        <v>292.81732236072583</v>
      </c>
      <c r="C41" s="637">
        <f t="shared" si="1"/>
        <v>237.83442881097193</v>
      </c>
      <c r="D41" s="637">
        <f t="shared" si="2"/>
        <v>54.982893549753896</v>
      </c>
      <c r="E41" s="642">
        <f t="shared" si="4"/>
        <v>8009.5996036521074</v>
      </c>
      <c r="F41" s="1555">
        <f t="shared" si="3"/>
        <v>0.55238617956221425</v>
      </c>
    </row>
    <row r="42" spans="1:6" x14ac:dyDescent="0.3">
      <c r="A42">
        <v>31</v>
      </c>
      <c r="B42" s="641">
        <f t="shared" si="0"/>
        <v>292.81732236072583</v>
      </c>
      <c r="C42" s="637">
        <f t="shared" si="1"/>
        <v>239.41999166971175</v>
      </c>
      <c r="D42" s="637">
        <f t="shared" si="2"/>
        <v>53.397330691014076</v>
      </c>
      <c r="E42" s="642">
        <f t="shared" si="4"/>
        <v>7770.1796119823957</v>
      </c>
      <c r="F42" s="1555">
        <f t="shared" si="3"/>
        <v>0.53587445599878591</v>
      </c>
    </row>
    <row r="43" spans="1:6" x14ac:dyDescent="0.3">
      <c r="A43">
        <v>32</v>
      </c>
      <c r="B43" s="641">
        <f t="shared" si="0"/>
        <v>292.81732236072583</v>
      </c>
      <c r="C43" s="637">
        <f t="shared" si="1"/>
        <v>241.01612494750984</v>
      </c>
      <c r="D43" s="637">
        <f t="shared" si="2"/>
        <v>51.801197413215988</v>
      </c>
      <c r="E43" s="642">
        <f t="shared" si="4"/>
        <v>7529.1634870348862</v>
      </c>
      <c r="F43" s="1555">
        <f t="shared" si="3"/>
        <v>0.51925265427826806</v>
      </c>
    </row>
    <row r="44" spans="1:6" x14ac:dyDescent="0.3">
      <c r="A44">
        <v>33</v>
      </c>
      <c r="B44" s="641">
        <f t="shared" ref="B44:B75" si="5">-PMT($D$7/12,$C$7,$E$11,0,0)</f>
        <v>292.81732236072583</v>
      </c>
      <c r="C44" s="637">
        <f t="shared" ref="C44:C75" si="6">-PPMT($D$7/12,A44,$C$7,$E$11,0)</f>
        <v>242.62289911382658</v>
      </c>
      <c r="D44" s="637">
        <f t="shared" si="2"/>
        <v>50.194423246899248</v>
      </c>
      <c r="E44" s="642">
        <f t="shared" si="4"/>
        <v>7286.5405879210593</v>
      </c>
      <c r="F44" s="1555">
        <f t="shared" si="3"/>
        <v>0.50252004054627997</v>
      </c>
    </row>
    <row r="45" spans="1:6" x14ac:dyDescent="0.3">
      <c r="A45">
        <v>34</v>
      </c>
      <c r="B45" s="641">
        <f t="shared" si="5"/>
        <v>292.81732236072583</v>
      </c>
      <c r="C45" s="637">
        <f t="shared" si="6"/>
        <v>244.24038510791877</v>
      </c>
      <c r="D45" s="637">
        <f t="shared" si="2"/>
        <v>48.576937252807056</v>
      </c>
      <c r="E45" s="642">
        <f t="shared" si="4"/>
        <v>7042.3002028131405</v>
      </c>
      <c r="F45" s="1555">
        <f t="shared" si="3"/>
        <v>0.48567587605607865</v>
      </c>
    </row>
    <row r="46" spans="1:6" x14ac:dyDescent="0.3">
      <c r="A46">
        <v>35</v>
      </c>
      <c r="B46" s="641">
        <f t="shared" si="5"/>
        <v>292.81732236072583</v>
      </c>
      <c r="C46" s="637">
        <f t="shared" si="6"/>
        <v>245.86865434197156</v>
      </c>
      <c r="D46" s="637">
        <f t="shared" si="2"/>
        <v>46.948668018754262</v>
      </c>
      <c r="E46" s="642">
        <f t="shared" si="4"/>
        <v>6796.4315484711688</v>
      </c>
      <c r="F46" s="1555">
        <f t="shared" si="3"/>
        <v>0.46871941713594267</v>
      </c>
    </row>
    <row r="47" spans="1:6" x14ac:dyDescent="0.3">
      <c r="A47">
        <v>36</v>
      </c>
      <c r="B47" s="641">
        <f t="shared" si="5"/>
        <v>292.81732236072583</v>
      </c>
      <c r="C47" s="637">
        <f t="shared" si="6"/>
        <v>247.50777870425136</v>
      </c>
      <c r="D47" s="637">
        <f t="shared" si="2"/>
        <v>45.30954365647446</v>
      </c>
      <c r="E47" s="642">
        <f t="shared" si="4"/>
        <v>6548.9237697669178</v>
      </c>
      <c r="F47" s="1555">
        <f t="shared" si="3"/>
        <v>0.45164991515633918</v>
      </c>
    </row>
    <row r="48" spans="1:6" x14ac:dyDescent="0.3">
      <c r="A48">
        <v>37</v>
      </c>
      <c r="B48" s="641">
        <f t="shared" si="5"/>
        <v>292.81732236072583</v>
      </c>
      <c r="C48" s="637">
        <f t="shared" si="6"/>
        <v>249.15783056227971</v>
      </c>
      <c r="D48" s="637">
        <f t="shared" si="2"/>
        <v>43.659491798446112</v>
      </c>
      <c r="E48" s="642">
        <f t="shared" si="4"/>
        <v>6299.765939204638</v>
      </c>
      <c r="F48" s="1555">
        <f t="shared" si="3"/>
        <v>0.43446661649687157</v>
      </c>
    </row>
    <row r="49" spans="1:6" x14ac:dyDescent="0.3">
      <c r="A49">
        <v>38</v>
      </c>
      <c r="B49" s="641">
        <f t="shared" si="5"/>
        <v>292.81732236072583</v>
      </c>
      <c r="C49" s="637">
        <f t="shared" si="6"/>
        <v>250.81888276602822</v>
      </c>
      <c r="D49" s="637">
        <f t="shared" si="2"/>
        <v>41.998439594697601</v>
      </c>
      <c r="E49" s="642">
        <f t="shared" si="4"/>
        <v>6048.9470564386102</v>
      </c>
      <c r="F49" s="1555">
        <f t="shared" si="3"/>
        <v>0.41716876251300761</v>
      </c>
    </row>
    <row r="50" spans="1:6" x14ac:dyDescent="0.3">
      <c r="A50">
        <v>39</v>
      </c>
      <c r="B50" s="641">
        <f t="shared" si="5"/>
        <v>292.81732236072583</v>
      </c>
      <c r="C50" s="637">
        <f t="shared" si="6"/>
        <v>252.49100865113508</v>
      </c>
      <c r="D50" s="637">
        <f t="shared" si="2"/>
        <v>40.32631370959075</v>
      </c>
      <c r="E50" s="642">
        <f t="shared" si="4"/>
        <v>5796.4560477874747</v>
      </c>
      <c r="F50" s="1555">
        <f t="shared" si="3"/>
        <v>0.39975558950258444</v>
      </c>
    </row>
    <row r="51" spans="1:6" x14ac:dyDescent="0.3">
      <c r="A51">
        <v>40</v>
      </c>
      <c r="B51" s="641">
        <f t="shared" si="5"/>
        <v>292.81732236072583</v>
      </c>
      <c r="C51" s="637">
        <f t="shared" si="6"/>
        <v>254.17428204214266</v>
      </c>
      <c r="D51" s="637">
        <f t="shared" si="2"/>
        <v>38.643040318583161</v>
      </c>
      <c r="E51" s="642">
        <f t="shared" si="4"/>
        <v>5542.2817657453325</v>
      </c>
      <c r="F51" s="1555">
        <f t="shared" si="3"/>
        <v>0.38222632867209189</v>
      </c>
    </row>
    <row r="52" spans="1:6" x14ac:dyDescent="0.3">
      <c r="A52">
        <v>41</v>
      </c>
      <c r="B52" s="641">
        <f t="shared" si="5"/>
        <v>292.81732236072583</v>
      </c>
      <c r="C52" s="637">
        <f t="shared" si="6"/>
        <v>255.86877725575692</v>
      </c>
      <c r="D52" s="637">
        <f t="shared" si="2"/>
        <v>36.9485451049689</v>
      </c>
      <c r="E52" s="642">
        <f t="shared" si="4"/>
        <v>5286.4129884895756</v>
      </c>
      <c r="F52" s="1555">
        <f t="shared" si="3"/>
        <v>0.36458020610272934</v>
      </c>
    </row>
    <row r="53" spans="1:6" x14ac:dyDescent="0.3">
      <c r="A53">
        <v>42</v>
      </c>
      <c r="B53" s="641">
        <f t="shared" si="5"/>
        <v>292.81732236072583</v>
      </c>
      <c r="C53" s="637">
        <f t="shared" si="6"/>
        <v>257.57456910412867</v>
      </c>
      <c r="D53" s="637">
        <f t="shared" si="2"/>
        <v>35.242753256597155</v>
      </c>
      <c r="E53" s="642">
        <f t="shared" si="4"/>
        <v>5028.8384193854472</v>
      </c>
      <c r="F53" s="1555">
        <f t="shared" si="3"/>
        <v>0.34681644271623774</v>
      </c>
    </row>
    <row r="54" spans="1:6" x14ac:dyDescent="0.3">
      <c r="A54">
        <v>43</v>
      </c>
      <c r="B54" s="641">
        <f t="shared" si="5"/>
        <v>292.81732236072583</v>
      </c>
      <c r="C54" s="637">
        <f t="shared" si="6"/>
        <v>259.29173289815617</v>
      </c>
      <c r="D54" s="637">
        <f t="shared" si="2"/>
        <v>33.525589462569656</v>
      </c>
      <c r="E54" s="642">
        <f t="shared" si="4"/>
        <v>4769.5466864872906</v>
      </c>
      <c r="F54" s="1555">
        <f t="shared" si="3"/>
        <v>0.32893425424050282</v>
      </c>
    </row>
    <row r="55" spans="1:6" x14ac:dyDescent="0.3">
      <c r="A55">
        <v>44</v>
      </c>
      <c r="B55" s="641">
        <f t="shared" si="5"/>
        <v>292.81732236072583</v>
      </c>
      <c r="C55" s="637">
        <f t="shared" si="6"/>
        <v>261.02034445081051</v>
      </c>
      <c r="D55" s="637">
        <f t="shared" si="2"/>
        <v>31.796977909915313</v>
      </c>
      <c r="E55" s="642">
        <f t="shared" si="4"/>
        <v>4508.5263420364799</v>
      </c>
      <c r="F55" s="1555">
        <f t="shared" si="3"/>
        <v>0.31093285117492964</v>
      </c>
    </row>
    <row r="56" spans="1:6" x14ac:dyDescent="0.3">
      <c r="A56">
        <v>45</v>
      </c>
      <c r="B56" s="641">
        <f t="shared" si="5"/>
        <v>292.81732236072583</v>
      </c>
      <c r="C56" s="637">
        <f t="shared" si="6"/>
        <v>262.76048008048264</v>
      </c>
      <c r="D56" s="637">
        <f t="shared" si="2"/>
        <v>30.056842280243188</v>
      </c>
      <c r="E56" s="642">
        <f t="shared" si="4"/>
        <v>4245.765861955997</v>
      </c>
      <c r="F56" s="1555">
        <f t="shared" si="3"/>
        <v>0.29281143875558602</v>
      </c>
    </row>
    <row r="57" spans="1:6" x14ac:dyDescent="0.3">
      <c r="A57">
        <v>46</v>
      </c>
      <c r="B57" s="641">
        <f t="shared" si="5"/>
        <v>292.81732236072583</v>
      </c>
      <c r="C57" s="637">
        <f t="shared" si="6"/>
        <v>264.5122166143525</v>
      </c>
      <c r="D57" s="637">
        <f t="shared" si="2"/>
        <v>28.305105746373329</v>
      </c>
      <c r="E57" s="642">
        <f t="shared" si="4"/>
        <v>3981.2536453416446</v>
      </c>
      <c r="F57" s="1555">
        <f t="shared" si="3"/>
        <v>0.27456921692011343</v>
      </c>
    </row>
    <row r="58" spans="1:6" x14ac:dyDescent="0.3">
      <c r="A58">
        <v>47</v>
      </c>
      <c r="B58" s="641">
        <f t="shared" si="5"/>
        <v>292.81732236072583</v>
      </c>
      <c r="C58" s="637">
        <f t="shared" si="6"/>
        <v>266.27563139178153</v>
      </c>
      <c r="D58" s="637">
        <f t="shared" si="2"/>
        <v>26.541690968944295</v>
      </c>
      <c r="E58" s="642">
        <f t="shared" si="4"/>
        <v>3714.978013949863</v>
      </c>
      <c r="F58" s="1555">
        <f t="shared" si="3"/>
        <v>0.25620538027240436</v>
      </c>
    </row>
    <row r="59" spans="1:6" x14ac:dyDescent="0.3">
      <c r="A59">
        <v>48</v>
      </c>
      <c r="B59" s="641">
        <f t="shared" si="5"/>
        <v>292.81732236072583</v>
      </c>
      <c r="C59" s="637">
        <f t="shared" si="6"/>
        <v>268.05080226772674</v>
      </c>
      <c r="D59" s="637">
        <f t="shared" si="2"/>
        <v>24.766520092999087</v>
      </c>
      <c r="E59" s="642">
        <f t="shared" si="4"/>
        <v>3446.9272116821362</v>
      </c>
      <c r="F59" s="1555">
        <f t="shared" si="3"/>
        <v>0.23771911804704388</v>
      </c>
    </row>
    <row r="60" spans="1:6" x14ac:dyDescent="0.3">
      <c r="A60">
        <v>49</v>
      </c>
      <c r="B60" s="641">
        <f t="shared" si="5"/>
        <v>292.81732236072583</v>
      </c>
      <c r="C60" s="637">
        <f t="shared" si="6"/>
        <v>269.83780761617822</v>
      </c>
      <c r="D60" s="637">
        <f t="shared" si="2"/>
        <v>22.9795147445476</v>
      </c>
      <c r="E60" s="642">
        <f t="shared" si="4"/>
        <v>3177.0894040659578</v>
      </c>
      <c r="F60" s="1555">
        <f t="shared" si="3"/>
        <v>0.21910961407351431</v>
      </c>
    </row>
    <row r="61" spans="1:6" x14ac:dyDescent="0.3">
      <c r="A61">
        <v>50</v>
      </c>
      <c r="B61" s="641">
        <f t="shared" si="5"/>
        <v>292.81732236072583</v>
      </c>
      <c r="C61" s="637">
        <f t="shared" si="6"/>
        <v>271.63672633361944</v>
      </c>
      <c r="D61" s="637">
        <f t="shared" si="2"/>
        <v>21.18059602710639</v>
      </c>
      <c r="E61" s="642">
        <f t="shared" si="4"/>
        <v>2905.4526777323381</v>
      </c>
      <c r="F61" s="1555">
        <f t="shared" si="3"/>
        <v>0.20037604674016124</v>
      </c>
    </row>
    <row r="62" spans="1:6" x14ac:dyDescent="0.3">
      <c r="A62">
        <v>51</v>
      </c>
      <c r="B62" s="641">
        <f t="shared" si="5"/>
        <v>292.81732236072583</v>
      </c>
      <c r="C62" s="637">
        <f t="shared" si="6"/>
        <v>273.44763784251023</v>
      </c>
      <c r="D62" s="637">
        <f t="shared" si="2"/>
        <v>19.369684518215593</v>
      </c>
      <c r="E62" s="642">
        <f t="shared" si="4"/>
        <v>2632.0050398898279</v>
      </c>
      <c r="F62" s="1555">
        <f t="shared" si="3"/>
        <v>0.18151758895791917</v>
      </c>
    </row>
    <row r="63" spans="1:6" x14ac:dyDescent="0.3">
      <c r="A63">
        <v>52</v>
      </c>
      <c r="B63" s="641">
        <f t="shared" si="5"/>
        <v>292.81732236072583</v>
      </c>
      <c r="C63" s="637">
        <f t="shared" si="6"/>
        <v>275.27062209479362</v>
      </c>
      <c r="D63" s="637">
        <f t="shared" si="2"/>
        <v>17.546700265932202</v>
      </c>
      <c r="E63" s="642">
        <f t="shared" si="4"/>
        <v>2356.7344177950345</v>
      </c>
      <c r="F63" s="1555">
        <f t="shared" si="3"/>
        <v>0.16253340812379549</v>
      </c>
    </row>
    <row r="64" spans="1:6" x14ac:dyDescent="0.3">
      <c r="A64">
        <v>53</v>
      </c>
      <c r="B64" s="641">
        <f t="shared" si="5"/>
        <v>292.81732236072583</v>
      </c>
      <c r="C64" s="637">
        <f t="shared" si="6"/>
        <v>277.10575957542557</v>
      </c>
      <c r="D64" s="637">
        <f t="shared" si="2"/>
        <v>15.711562785300259</v>
      </c>
      <c r="E64" s="642">
        <f t="shared" si="4"/>
        <v>2079.628658219609</v>
      </c>
      <c r="F64" s="1555">
        <f t="shared" si="3"/>
        <v>0.14342266608411097</v>
      </c>
    </row>
    <row r="65" spans="1:6" x14ac:dyDescent="0.3">
      <c r="A65">
        <v>54</v>
      </c>
      <c r="B65" s="641">
        <f t="shared" si="5"/>
        <v>292.81732236072583</v>
      </c>
      <c r="C65" s="637">
        <f t="shared" si="6"/>
        <v>278.95313130592842</v>
      </c>
      <c r="D65" s="637">
        <f t="shared" si="2"/>
        <v>13.864191054797402</v>
      </c>
      <c r="E65" s="642">
        <f t="shared" si="4"/>
        <v>1800.6755269136806</v>
      </c>
      <c r="F65" s="1555">
        <f t="shared" si="3"/>
        <v>0.12418451909749521</v>
      </c>
    </row>
    <row r="66" spans="1:6" x14ac:dyDescent="0.3">
      <c r="A66">
        <v>55</v>
      </c>
      <c r="B66" s="641">
        <f t="shared" si="5"/>
        <v>292.81732236072583</v>
      </c>
      <c r="C66" s="637">
        <f t="shared" si="6"/>
        <v>280.81281884796795</v>
      </c>
      <c r="D66" s="637">
        <f t="shared" si="2"/>
        <v>12.004503512757879</v>
      </c>
      <c r="E66" s="642">
        <f t="shared" si="4"/>
        <v>1519.8627080657127</v>
      </c>
      <c r="F66" s="1555">
        <f t="shared" si="3"/>
        <v>0.10481811779763536</v>
      </c>
    </row>
    <row r="67" spans="1:6" x14ac:dyDescent="0.3">
      <c r="A67">
        <v>56</v>
      </c>
      <c r="B67" s="641">
        <f t="shared" si="5"/>
        <v>292.81732236072583</v>
      </c>
      <c r="C67" s="637">
        <f t="shared" si="6"/>
        <v>282.68490430695437</v>
      </c>
      <c r="D67" s="637">
        <f t="shared" si="2"/>
        <v>10.13241805377146</v>
      </c>
      <c r="E67" s="642">
        <f t="shared" si="4"/>
        <v>1237.1778037587583</v>
      </c>
      <c r="F67" s="1555">
        <f t="shared" si="3"/>
        <v>8.5322607155776428E-2</v>
      </c>
    </row>
    <row r="68" spans="1:6" x14ac:dyDescent="0.3">
      <c r="A68">
        <v>57</v>
      </c>
      <c r="B68" s="641">
        <f t="shared" si="5"/>
        <v>292.81732236072583</v>
      </c>
      <c r="C68" s="637">
        <f t="shared" si="6"/>
        <v>284.56947033566746</v>
      </c>
      <c r="D68" s="637">
        <f t="shared" si="2"/>
        <v>8.2478520250583642</v>
      </c>
      <c r="E68" s="642">
        <f t="shared" si="4"/>
        <v>952.60833342309081</v>
      </c>
      <c r="F68" s="1555">
        <f t="shared" si="3"/>
        <v>6.5697126442971779E-2</v>
      </c>
    </row>
    <row r="69" spans="1:6" x14ac:dyDescent="0.3">
      <c r="A69">
        <v>58</v>
      </c>
      <c r="B69" s="641">
        <f t="shared" si="5"/>
        <v>292.81732236072583</v>
      </c>
      <c r="C69" s="637">
        <f t="shared" si="6"/>
        <v>286.46660013790523</v>
      </c>
      <c r="D69" s="637">
        <f t="shared" si="2"/>
        <v>6.3507222228205933</v>
      </c>
      <c r="E69" s="642">
        <f t="shared" si="4"/>
        <v>666.14173328518564</v>
      </c>
      <c r="F69" s="1555">
        <f t="shared" si="3"/>
        <v>4.5940809192081766E-2</v>
      </c>
    </row>
    <row r="70" spans="1:6" x14ac:dyDescent="0.3">
      <c r="A70">
        <v>59</v>
      </c>
      <c r="B70" s="641">
        <f t="shared" si="5"/>
        <v>292.81732236072583</v>
      </c>
      <c r="C70" s="637">
        <f t="shared" si="6"/>
        <v>288.37637747215791</v>
      </c>
      <c r="D70" s="637">
        <f t="shared" si="2"/>
        <v>4.4409448885679126</v>
      </c>
      <c r="E70" s="642">
        <f t="shared" si="4"/>
        <v>377.76535581302772</v>
      </c>
      <c r="F70" s="1555">
        <f t="shared" si="3"/>
        <v>2.6052783159519154E-2</v>
      </c>
    </row>
    <row r="71" spans="1:6" x14ac:dyDescent="0.3">
      <c r="A71">
        <v>60</v>
      </c>
      <c r="B71" s="641">
        <f t="shared" si="5"/>
        <v>292.81732236072583</v>
      </c>
      <c r="C71" s="637">
        <f t="shared" si="6"/>
        <v>290.29888665530564</v>
      </c>
      <c r="D71" s="637">
        <f t="shared" si="2"/>
        <v>2.5184357054201882</v>
      </c>
      <c r="E71" s="642">
        <f t="shared" si="4"/>
        <v>87.466469157722088</v>
      </c>
      <c r="F71" s="1555">
        <f t="shared" si="3"/>
        <v>6.0321702867394541E-3</v>
      </c>
    </row>
    <row r="72" spans="1:6" x14ac:dyDescent="0.3">
      <c r="A72">
        <v>61</v>
      </c>
      <c r="B72" s="641">
        <f t="shared" si="5"/>
        <v>292.81732236072583</v>
      </c>
      <c r="C72" s="637">
        <f t="shared" si="6"/>
        <v>292.234212566341</v>
      </c>
      <c r="D72" s="637">
        <f t="shared" si="2"/>
        <v>0.58310979438482491</v>
      </c>
      <c r="E72" s="642">
        <f t="shared" si="4"/>
        <v>-204.76774340861891</v>
      </c>
      <c r="F72" s="1555">
        <f t="shared" si="3"/>
        <v>-1.4121913338525442E-2</v>
      </c>
    </row>
    <row r="73" spans="1:6" x14ac:dyDescent="0.3">
      <c r="A73">
        <v>62</v>
      </c>
      <c r="B73" s="641">
        <f t="shared" si="5"/>
        <v>292.81732236072583</v>
      </c>
      <c r="C73" s="637" t="e">
        <f t="shared" si="6"/>
        <v>#NUM!</v>
      </c>
      <c r="D73" s="637" t="e">
        <f t="shared" si="2"/>
        <v>#NUM!</v>
      </c>
      <c r="E73" s="642" t="e">
        <f t="shared" si="4"/>
        <v>#NUM!</v>
      </c>
      <c r="F73" s="1555" t="e">
        <f t="shared" si="3"/>
        <v>#NUM!</v>
      </c>
    </row>
    <row r="74" spans="1:6" x14ac:dyDescent="0.3">
      <c r="A74">
        <v>63</v>
      </c>
      <c r="B74" s="641">
        <f t="shared" si="5"/>
        <v>292.81732236072583</v>
      </c>
      <c r="C74" s="637" t="e">
        <f t="shared" si="6"/>
        <v>#NUM!</v>
      </c>
      <c r="D74" s="637" t="e">
        <f t="shared" si="2"/>
        <v>#NUM!</v>
      </c>
      <c r="E74" s="642" t="e">
        <f t="shared" si="4"/>
        <v>#NUM!</v>
      </c>
      <c r="F74" s="1555" t="e">
        <f t="shared" si="3"/>
        <v>#NUM!</v>
      </c>
    </row>
    <row r="75" spans="1:6" x14ac:dyDescent="0.3">
      <c r="A75">
        <v>64</v>
      </c>
      <c r="B75" s="641">
        <f t="shared" si="5"/>
        <v>292.81732236072583</v>
      </c>
      <c r="C75" s="637" t="e">
        <f t="shared" si="6"/>
        <v>#NUM!</v>
      </c>
      <c r="D75" s="637" t="e">
        <f t="shared" si="2"/>
        <v>#NUM!</v>
      </c>
      <c r="E75" s="642" t="e">
        <f t="shared" si="4"/>
        <v>#NUM!</v>
      </c>
      <c r="F75" s="1555" t="e">
        <f t="shared" si="3"/>
        <v>#NUM!</v>
      </c>
    </row>
    <row r="76" spans="1:6" x14ac:dyDescent="0.3">
      <c r="A76">
        <v>65</v>
      </c>
      <c r="B76" s="641">
        <f t="shared" ref="B76:B107" si="7">-PMT($D$7/12,$C$7,$E$11,0,0)</f>
        <v>292.81732236072583</v>
      </c>
      <c r="C76" s="637" t="e">
        <f t="shared" ref="C76:C107" si="8">-PPMT($D$7/12,A76,$C$7,$E$11,0)</f>
        <v>#NUM!</v>
      </c>
      <c r="D76" s="637" t="e">
        <f t="shared" si="2"/>
        <v>#NUM!</v>
      </c>
      <c r="E76" s="642" t="e">
        <f t="shared" si="4"/>
        <v>#NUM!</v>
      </c>
      <c r="F76" s="1555" t="e">
        <f t="shared" si="3"/>
        <v>#NUM!</v>
      </c>
    </row>
    <row r="77" spans="1:6" x14ac:dyDescent="0.3">
      <c r="A77">
        <v>66</v>
      </c>
      <c r="B77" s="641">
        <f t="shared" si="7"/>
        <v>292.81732236072583</v>
      </c>
      <c r="C77" s="637" t="e">
        <f t="shared" si="8"/>
        <v>#NUM!</v>
      </c>
      <c r="D77" s="637" t="e">
        <f t="shared" ref="D77:D132" si="9">B77-C77</f>
        <v>#NUM!</v>
      </c>
      <c r="E77" s="642" t="e">
        <f t="shared" si="4"/>
        <v>#NUM!</v>
      </c>
      <c r="F77" s="1555" t="e">
        <f t="shared" ref="F77:F132" si="10">E77/$E$11</f>
        <v>#NUM!</v>
      </c>
    </row>
    <row r="78" spans="1:6" x14ac:dyDescent="0.3">
      <c r="A78">
        <v>67</v>
      </c>
      <c r="B78" s="641">
        <f t="shared" si="7"/>
        <v>292.81732236072583</v>
      </c>
      <c r="C78" s="637" t="e">
        <f t="shared" si="8"/>
        <v>#NUM!</v>
      </c>
      <c r="D78" s="637" t="e">
        <f t="shared" si="9"/>
        <v>#NUM!</v>
      </c>
      <c r="E78" s="642" t="e">
        <f t="shared" ref="E78:E132" si="11">E77-C78</f>
        <v>#NUM!</v>
      </c>
      <c r="F78" s="1555" t="e">
        <f t="shared" si="10"/>
        <v>#NUM!</v>
      </c>
    </row>
    <row r="79" spans="1:6" x14ac:dyDescent="0.3">
      <c r="A79">
        <v>68</v>
      </c>
      <c r="B79" s="641">
        <f t="shared" si="7"/>
        <v>292.81732236072583</v>
      </c>
      <c r="C79" s="637" t="e">
        <f t="shared" si="8"/>
        <v>#NUM!</v>
      </c>
      <c r="D79" s="637" t="e">
        <f t="shared" si="9"/>
        <v>#NUM!</v>
      </c>
      <c r="E79" s="642" t="e">
        <f t="shared" si="11"/>
        <v>#NUM!</v>
      </c>
      <c r="F79" s="1555" t="e">
        <f t="shared" si="10"/>
        <v>#NUM!</v>
      </c>
    </row>
    <row r="80" spans="1:6" x14ac:dyDescent="0.3">
      <c r="A80">
        <v>69</v>
      </c>
      <c r="B80" s="641">
        <f t="shared" si="7"/>
        <v>292.81732236072583</v>
      </c>
      <c r="C80" s="637" t="e">
        <f t="shared" si="8"/>
        <v>#NUM!</v>
      </c>
      <c r="D80" s="637" t="e">
        <f t="shared" si="9"/>
        <v>#NUM!</v>
      </c>
      <c r="E80" s="642" t="e">
        <f t="shared" si="11"/>
        <v>#NUM!</v>
      </c>
      <c r="F80" s="1555" t="e">
        <f t="shared" si="10"/>
        <v>#NUM!</v>
      </c>
    </row>
    <row r="81" spans="1:6" x14ac:dyDescent="0.3">
      <c r="A81">
        <v>70</v>
      </c>
      <c r="B81" s="641">
        <f t="shared" si="7"/>
        <v>292.81732236072583</v>
      </c>
      <c r="C81" s="637" t="e">
        <f t="shared" si="8"/>
        <v>#NUM!</v>
      </c>
      <c r="D81" s="637" t="e">
        <f t="shared" si="9"/>
        <v>#NUM!</v>
      </c>
      <c r="E81" s="642" t="e">
        <f t="shared" si="11"/>
        <v>#NUM!</v>
      </c>
      <c r="F81" s="1555" t="e">
        <f t="shared" si="10"/>
        <v>#NUM!</v>
      </c>
    </row>
    <row r="82" spans="1:6" x14ac:dyDescent="0.3">
      <c r="A82">
        <v>71</v>
      </c>
      <c r="B82" s="641">
        <f t="shared" si="7"/>
        <v>292.81732236072583</v>
      </c>
      <c r="C82" s="637" t="e">
        <f t="shared" si="8"/>
        <v>#NUM!</v>
      </c>
      <c r="D82" s="637" t="e">
        <f t="shared" si="9"/>
        <v>#NUM!</v>
      </c>
      <c r="E82" s="642" t="e">
        <f t="shared" si="11"/>
        <v>#NUM!</v>
      </c>
      <c r="F82" s="1555" t="e">
        <f t="shared" si="10"/>
        <v>#NUM!</v>
      </c>
    </row>
    <row r="83" spans="1:6" x14ac:dyDescent="0.3">
      <c r="A83">
        <v>72</v>
      </c>
      <c r="B83" s="641">
        <f t="shared" si="7"/>
        <v>292.81732236072583</v>
      </c>
      <c r="C83" s="637" t="e">
        <f t="shared" si="8"/>
        <v>#NUM!</v>
      </c>
      <c r="D83" s="637" t="e">
        <f t="shared" si="9"/>
        <v>#NUM!</v>
      </c>
      <c r="E83" s="642" t="e">
        <f t="shared" si="11"/>
        <v>#NUM!</v>
      </c>
      <c r="F83" s="1555" t="e">
        <f t="shared" si="10"/>
        <v>#NUM!</v>
      </c>
    </row>
    <row r="84" spans="1:6" x14ac:dyDescent="0.3">
      <c r="A84">
        <v>73</v>
      </c>
      <c r="B84" s="641">
        <f t="shared" si="7"/>
        <v>292.81732236072583</v>
      </c>
      <c r="C84" s="637" t="e">
        <f t="shared" si="8"/>
        <v>#NUM!</v>
      </c>
      <c r="D84" s="637" t="e">
        <f t="shared" si="9"/>
        <v>#NUM!</v>
      </c>
      <c r="E84" s="642" t="e">
        <f t="shared" si="11"/>
        <v>#NUM!</v>
      </c>
      <c r="F84" s="1555" t="e">
        <f t="shared" si="10"/>
        <v>#NUM!</v>
      </c>
    </row>
    <row r="85" spans="1:6" x14ac:dyDescent="0.3">
      <c r="A85">
        <v>74</v>
      </c>
      <c r="B85" s="641">
        <f t="shared" si="7"/>
        <v>292.81732236072583</v>
      </c>
      <c r="C85" s="637" t="e">
        <f t="shared" si="8"/>
        <v>#NUM!</v>
      </c>
      <c r="D85" s="637" t="e">
        <f t="shared" si="9"/>
        <v>#NUM!</v>
      </c>
      <c r="E85" s="642" t="e">
        <f t="shared" si="11"/>
        <v>#NUM!</v>
      </c>
      <c r="F85" s="1555" t="e">
        <f t="shared" si="10"/>
        <v>#NUM!</v>
      </c>
    </row>
    <row r="86" spans="1:6" x14ac:dyDescent="0.3">
      <c r="A86">
        <v>75</v>
      </c>
      <c r="B86" s="641">
        <f t="shared" si="7"/>
        <v>292.81732236072583</v>
      </c>
      <c r="C86" s="637" t="e">
        <f t="shared" si="8"/>
        <v>#NUM!</v>
      </c>
      <c r="D86" s="637" t="e">
        <f t="shared" si="9"/>
        <v>#NUM!</v>
      </c>
      <c r="E86" s="642" t="e">
        <f t="shared" si="11"/>
        <v>#NUM!</v>
      </c>
      <c r="F86" s="1555" t="e">
        <f t="shared" si="10"/>
        <v>#NUM!</v>
      </c>
    </row>
    <row r="87" spans="1:6" x14ac:dyDescent="0.3">
      <c r="A87">
        <v>76</v>
      </c>
      <c r="B87" s="641">
        <f t="shared" si="7"/>
        <v>292.81732236072583</v>
      </c>
      <c r="C87" s="637" t="e">
        <f t="shared" si="8"/>
        <v>#NUM!</v>
      </c>
      <c r="D87" s="637" t="e">
        <f t="shared" si="9"/>
        <v>#NUM!</v>
      </c>
      <c r="E87" s="642" t="e">
        <f t="shared" si="11"/>
        <v>#NUM!</v>
      </c>
      <c r="F87" s="1555" t="e">
        <f t="shared" si="10"/>
        <v>#NUM!</v>
      </c>
    </row>
    <row r="88" spans="1:6" x14ac:dyDescent="0.3">
      <c r="A88">
        <v>77</v>
      </c>
      <c r="B88" s="641">
        <f t="shared" si="7"/>
        <v>292.81732236072583</v>
      </c>
      <c r="C88" s="637" t="e">
        <f t="shared" si="8"/>
        <v>#NUM!</v>
      </c>
      <c r="D88" s="637" t="e">
        <f t="shared" si="9"/>
        <v>#NUM!</v>
      </c>
      <c r="E88" s="642" t="e">
        <f t="shared" si="11"/>
        <v>#NUM!</v>
      </c>
      <c r="F88" s="1555" t="e">
        <f t="shared" si="10"/>
        <v>#NUM!</v>
      </c>
    </row>
    <row r="89" spans="1:6" x14ac:dyDescent="0.3">
      <c r="A89">
        <v>78</v>
      </c>
      <c r="B89" s="641">
        <f t="shared" si="7"/>
        <v>292.81732236072583</v>
      </c>
      <c r="C89" s="637" t="e">
        <f t="shared" si="8"/>
        <v>#NUM!</v>
      </c>
      <c r="D89" s="637" t="e">
        <f t="shared" si="9"/>
        <v>#NUM!</v>
      </c>
      <c r="E89" s="642" t="e">
        <f t="shared" si="11"/>
        <v>#NUM!</v>
      </c>
      <c r="F89" s="1555" t="e">
        <f t="shared" si="10"/>
        <v>#NUM!</v>
      </c>
    </row>
    <row r="90" spans="1:6" x14ac:dyDescent="0.3">
      <c r="A90">
        <v>79</v>
      </c>
      <c r="B90" s="641">
        <f t="shared" si="7"/>
        <v>292.81732236072583</v>
      </c>
      <c r="C90" s="637" t="e">
        <f t="shared" si="8"/>
        <v>#NUM!</v>
      </c>
      <c r="D90" s="637" t="e">
        <f t="shared" si="9"/>
        <v>#NUM!</v>
      </c>
      <c r="E90" s="642" t="e">
        <f t="shared" si="11"/>
        <v>#NUM!</v>
      </c>
      <c r="F90" s="1555" t="e">
        <f t="shared" si="10"/>
        <v>#NUM!</v>
      </c>
    </row>
    <row r="91" spans="1:6" x14ac:dyDescent="0.3">
      <c r="A91">
        <v>80</v>
      </c>
      <c r="B91" s="641">
        <f t="shared" si="7"/>
        <v>292.81732236072583</v>
      </c>
      <c r="C91" s="637" t="e">
        <f t="shared" si="8"/>
        <v>#NUM!</v>
      </c>
      <c r="D91" s="637" t="e">
        <f t="shared" si="9"/>
        <v>#NUM!</v>
      </c>
      <c r="E91" s="642" t="e">
        <f t="shared" si="11"/>
        <v>#NUM!</v>
      </c>
      <c r="F91" s="1555" t="e">
        <f t="shared" si="10"/>
        <v>#NUM!</v>
      </c>
    </row>
    <row r="92" spans="1:6" x14ac:dyDescent="0.3">
      <c r="A92">
        <v>81</v>
      </c>
      <c r="B92" s="641">
        <f t="shared" si="7"/>
        <v>292.81732236072583</v>
      </c>
      <c r="C92" s="637" t="e">
        <f t="shared" si="8"/>
        <v>#NUM!</v>
      </c>
      <c r="D92" s="637" t="e">
        <f t="shared" si="9"/>
        <v>#NUM!</v>
      </c>
      <c r="E92" s="642" t="e">
        <f t="shared" si="11"/>
        <v>#NUM!</v>
      </c>
      <c r="F92" s="1555" t="e">
        <f t="shared" si="10"/>
        <v>#NUM!</v>
      </c>
    </row>
    <row r="93" spans="1:6" x14ac:dyDescent="0.3">
      <c r="A93">
        <v>82</v>
      </c>
      <c r="B93" s="641">
        <f t="shared" si="7"/>
        <v>292.81732236072583</v>
      </c>
      <c r="C93" s="637" t="e">
        <f t="shared" si="8"/>
        <v>#NUM!</v>
      </c>
      <c r="D93" s="637" t="e">
        <f t="shared" si="9"/>
        <v>#NUM!</v>
      </c>
      <c r="E93" s="642" t="e">
        <f t="shared" si="11"/>
        <v>#NUM!</v>
      </c>
      <c r="F93" s="1555" t="e">
        <f t="shared" si="10"/>
        <v>#NUM!</v>
      </c>
    </row>
    <row r="94" spans="1:6" x14ac:dyDescent="0.3">
      <c r="A94">
        <v>83</v>
      </c>
      <c r="B94" s="641">
        <f t="shared" si="7"/>
        <v>292.81732236072583</v>
      </c>
      <c r="C94" s="637" t="e">
        <f t="shared" si="8"/>
        <v>#NUM!</v>
      </c>
      <c r="D94" s="637" t="e">
        <f t="shared" si="9"/>
        <v>#NUM!</v>
      </c>
      <c r="E94" s="642" t="e">
        <f t="shared" si="11"/>
        <v>#NUM!</v>
      </c>
      <c r="F94" s="1555" t="e">
        <f t="shared" si="10"/>
        <v>#NUM!</v>
      </c>
    </row>
    <row r="95" spans="1:6" x14ac:dyDescent="0.3">
      <c r="A95">
        <v>84</v>
      </c>
      <c r="B95" s="641">
        <f t="shared" si="7"/>
        <v>292.81732236072583</v>
      </c>
      <c r="C95" s="637" t="e">
        <f t="shared" si="8"/>
        <v>#NUM!</v>
      </c>
      <c r="D95" s="637" t="e">
        <f t="shared" si="9"/>
        <v>#NUM!</v>
      </c>
      <c r="E95" s="642" t="e">
        <f t="shared" si="11"/>
        <v>#NUM!</v>
      </c>
      <c r="F95" s="1555" t="e">
        <f t="shared" si="10"/>
        <v>#NUM!</v>
      </c>
    </row>
    <row r="96" spans="1:6" x14ac:dyDescent="0.3">
      <c r="A96">
        <v>85</v>
      </c>
      <c r="B96" s="641">
        <f t="shared" si="7"/>
        <v>292.81732236072583</v>
      </c>
      <c r="C96" s="637" t="e">
        <f t="shared" si="8"/>
        <v>#NUM!</v>
      </c>
      <c r="D96" s="637" t="e">
        <f t="shared" si="9"/>
        <v>#NUM!</v>
      </c>
      <c r="E96" s="642" t="e">
        <f t="shared" si="11"/>
        <v>#NUM!</v>
      </c>
      <c r="F96" s="1555" t="e">
        <f t="shared" si="10"/>
        <v>#NUM!</v>
      </c>
    </row>
    <row r="97" spans="1:6" x14ac:dyDescent="0.3">
      <c r="A97">
        <v>86</v>
      </c>
      <c r="B97" s="641">
        <f t="shared" si="7"/>
        <v>292.81732236072583</v>
      </c>
      <c r="C97" s="637" t="e">
        <f t="shared" si="8"/>
        <v>#NUM!</v>
      </c>
      <c r="D97" s="637" t="e">
        <f t="shared" si="9"/>
        <v>#NUM!</v>
      </c>
      <c r="E97" s="642" t="e">
        <f t="shared" si="11"/>
        <v>#NUM!</v>
      </c>
      <c r="F97" s="1555" t="e">
        <f t="shared" si="10"/>
        <v>#NUM!</v>
      </c>
    </row>
    <row r="98" spans="1:6" x14ac:dyDescent="0.3">
      <c r="A98">
        <v>87</v>
      </c>
      <c r="B98" s="641">
        <f t="shared" si="7"/>
        <v>292.81732236072583</v>
      </c>
      <c r="C98" s="637" t="e">
        <f t="shared" si="8"/>
        <v>#NUM!</v>
      </c>
      <c r="D98" s="637" t="e">
        <f t="shared" si="9"/>
        <v>#NUM!</v>
      </c>
      <c r="E98" s="642" t="e">
        <f t="shared" si="11"/>
        <v>#NUM!</v>
      </c>
      <c r="F98" s="1555" t="e">
        <f t="shared" si="10"/>
        <v>#NUM!</v>
      </c>
    </row>
    <row r="99" spans="1:6" x14ac:dyDescent="0.3">
      <c r="A99">
        <v>88</v>
      </c>
      <c r="B99" s="641">
        <f t="shared" si="7"/>
        <v>292.81732236072583</v>
      </c>
      <c r="C99" s="637" t="e">
        <f t="shared" si="8"/>
        <v>#NUM!</v>
      </c>
      <c r="D99" s="637" t="e">
        <f t="shared" si="9"/>
        <v>#NUM!</v>
      </c>
      <c r="E99" s="642" t="e">
        <f t="shared" si="11"/>
        <v>#NUM!</v>
      </c>
      <c r="F99" s="1555" t="e">
        <f t="shared" si="10"/>
        <v>#NUM!</v>
      </c>
    </row>
    <row r="100" spans="1:6" x14ac:dyDescent="0.3">
      <c r="A100">
        <v>89</v>
      </c>
      <c r="B100" s="641">
        <f t="shared" si="7"/>
        <v>292.81732236072583</v>
      </c>
      <c r="C100" s="637" t="e">
        <f t="shared" si="8"/>
        <v>#NUM!</v>
      </c>
      <c r="D100" s="637" t="e">
        <f t="shared" si="9"/>
        <v>#NUM!</v>
      </c>
      <c r="E100" s="642" t="e">
        <f t="shared" si="11"/>
        <v>#NUM!</v>
      </c>
      <c r="F100" s="1555" t="e">
        <f t="shared" si="10"/>
        <v>#NUM!</v>
      </c>
    </row>
    <row r="101" spans="1:6" x14ac:dyDescent="0.3">
      <c r="A101">
        <v>90</v>
      </c>
      <c r="B101" s="641">
        <f t="shared" si="7"/>
        <v>292.81732236072583</v>
      </c>
      <c r="C101" s="637" t="e">
        <f t="shared" si="8"/>
        <v>#NUM!</v>
      </c>
      <c r="D101" s="637" t="e">
        <f t="shared" si="9"/>
        <v>#NUM!</v>
      </c>
      <c r="E101" s="642" t="e">
        <f t="shared" si="11"/>
        <v>#NUM!</v>
      </c>
      <c r="F101" s="1555" t="e">
        <f t="shared" si="10"/>
        <v>#NUM!</v>
      </c>
    </row>
    <row r="102" spans="1:6" x14ac:dyDescent="0.3">
      <c r="A102">
        <v>91</v>
      </c>
      <c r="B102" s="641">
        <f t="shared" si="7"/>
        <v>292.81732236072583</v>
      </c>
      <c r="C102" s="637" t="e">
        <f t="shared" si="8"/>
        <v>#NUM!</v>
      </c>
      <c r="D102" s="637" t="e">
        <f t="shared" si="9"/>
        <v>#NUM!</v>
      </c>
      <c r="E102" s="642" t="e">
        <f t="shared" si="11"/>
        <v>#NUM!</v>
      </c>
      <c r="F102" s="1555" t="e">
        <f t="shared" si="10"/>
        <v>#NUM!</v>
      </c>
    </row>
    <row r="103" spans="1:6" x14ac:dyDescent="0.3">
      <c r="A103">
        <v>92</v>
      </c>
      <c r="B103" s="641">
        <f t="shared" si="7"/>
        <v>292.81732236072583</v>
      </c>
      <c r="C103" s="637" t="e">
        <f t="shared" si="8"/>
        <v>#NUM!</v>
      </c>
      <c r="D103" s="637" t="e">
        <f t="shared" si="9"/>
        <v>#NUM!</v>
      </c>
      <c r="E103" s="642" t="e">
        <f t="shared" si="11"/>
        <v>#NUM!</v>
      </c>
      <c r="F103" s="1555" t="e">
        <f t="shared" si="10"/>
        <v>#NUM!</v>
      </c>
    </row>
    <row r="104" spans="1:6" x14ac:dyDescent="0.3">
      <c r="A104">
        <v>93</v>
      </c>
      <c r="B104" s="641">
        <f t="shared" si="7"/>
        <v>292.81732236072583</v>
      </c>
      <c r="C104" s="637" t="e">
        <f t="shared" si="8"/>
        <v>#NUM!</v>
      </c>
      <c r="D104" s="637" t="e">
        <f t="shared" si="9"/>
        <v>#NUM!</v>
      </c>
      <c r="E104" s="642" t="e">
        <f t="shared" si="11"/>
        <v>#NUM!</v>
      </c>
      <c r="F104" s="1555" t="e">
        <f t="shared" si="10"/>
        <v>#NUM!</v>
      </c>
    </row>
    <row r="105" spans="1:6" x14ac:dyDescent="0.3">
      <c r="A105">
        <v>94</v>
      </c>
      <c r="B105" s="641">
        <f t="shared" si="7"/>
        <v>292.81732236072583</v>
      </c>
      <c r="C105" s="637" t="e">
        <f t="shared" si="8"/>
        <v>#NUM!</v>
      </c>
      <c r="D105" s="637" t="e">
        <f t="shared" si="9"/>
        <v>#NUM!</v>
      </c>
      <c r="E105" s="642" t="e">
        <f t="shared" si="11"/>
        <v>#NUM!</v>
      </c>
      <c r="F105" s="1555" t="e">
        <f t="shared" si="10"/>
        <v>#NUM!</v>
      </c>
    </row>
    <row r="106" spans="1:6" x14ac:dyDescent="0.3">
      <c r="A106">
        <v>95</v>
      </c>
      <c r="B106" s="641">
        <f t="shared" si="7"/>
        <v>292.81732236072583</v>
      </c>
      <c r="C106" s="637" t="e">
        <f t="shared" si="8"/>
        <v>#NUM!</v>
      </c>
      <c r="D106" s="637" t="e">
        <f t="shared" si="9"/>
        <v>#NUM!</v>
      </c>
      <c r="E106" s="642" t="e">
        <f t="shared" si="11"/>
        <v>#NUM!</v>
      </c>
      <c r="F106" s="1555" t="e">
        <f t="shared" si="10"/>
        <v>#NUM!</v>
      </c>
    </row>
    <row r="107" spans="1:6" x14ac:dyDescent="0.3">
      <c r="A107">
        <v>96</v>
      </c>
      <c r="B107" s="641">
        <f t="shared" si="7"/>
        <v>292.81732236072583</v>
      </c>
      <c r="C107" s="637" t="e">
        <f t="shared" si="8"/>
        <v>#NUM!</v>
      </c>
      <c r="D107" s="637" t="e">
        <f t="shared" si="9"/>
        <v>#NUM!</v>
      </c>
      <c r="E107" s="642" t="e">
        <f t="shared" si="11"/>
        <v>#NUM!</v>
      </c>
      <c r="F107" s="1555" t="e">
        <f t="shared" si="10"/>
        <v>#NUM!</v>
      </c>
    </row>
    <row r="108" spans="1:6" x14ac:dyDescent="0.3">
      <c r="A108">
        <v>97</v>
      </c>
      <c r="B108" s="641">
        <f t="shared" ref="B108:B132" si="12">-PMT($D$7/12,$C$7,$E$11,0,0)</f>
        <v>292.81732236072583</v>
      </c>
      <c r="C108" s="637" t="e">
        <f t="shared" ref="C108:C132" si="13">-PPMT($D$7/12,A108,$C$7,$E$11,0)</f>
        <v>#NUM!</v>
      </c>
      <c r="D108" s="637" t="e">
        <f t="shared" si="9"/>
        <v>#NUM!</v>
      </c>
      <c r="E108" s="642" t="e">
        <f t="shared" si="11"/>
        <v>#NUM!</v>
      </c>
      <c r="F108" s="1555" t="e">
        <f t="shared" si="10"/>
        <v>#NUM!</v>
      </c>
    </row>
    <row r="109" spans="1:6" x14ac:dyDescent="0.3">
      <c r="A109">
        <v>98</v>
      </c>
      <c r="B109" s="641">
        <f t="shared" si="12"/>
        <v>292.81732236072583</v>
      </c>
      <c r="C109" s="637" t="e">
        <f t="shared" si="13"/>
        <v>#NUM!</v>
      </c>
      <c r="D109" s="637" t="e">
        <f t="shared" si="9"/>
        <v>#NUM!</v>
      </c>
      <c r="E109" s="642" t="e">
        <f t="shared" si="11"/>
        <v>#NUM!</v>
      </c>
      <c r="F109" s="1555" t="e">
        <f t="shared" si="10"/>
        <v>#NUM!</v>
      </c>
    </row>
    <row r="110" spans="1:6" x14ac:dyDescent="0.3">
      <c r="A110">
        <v>99</v>
      </c>
      <c r="B110" s="641">
        <f t="shared" si="12"/>
        <v>292.81732236072583</v>
      </c>
      <c r="C110" s="637" t="e">
        <f t="shared" si="13"/>
        <v>#NUM!</v>
      </c>
      <c r="D110" s="637" t="e">
        <f t="shared" si="9"/>
        <v>#NUM!</v>
      </c>
      <c r="E110" s="642" t="e">
        <f t="shared" si="11"/>
        <v>#NUM!</v>
      </c>
      <c r="F110" s="1555" t="e">
        <f t="shared" si="10"/>
        <v>#NUM!</v>
      </c>
    </row>
    <row r="111" spans="1:6" x14ac:dyDescent="0.3">
      <c r="A111">
        <v>100</v>
      </c>
      <c r="B111" s="641">
        <f t="shared" si="12"/>
        <v>292.81732236072583</v>
      </c>
      <c r="C111" s="637" t="e">
        <f t="shared" si="13"/>
        <v>#NUM!</v>
      </c>
      <c r="D111" s="637" t="e">
        <f t="shared" si="9"/>
        <v>#NUM!</v>
      </c>
      <c r="E111" s="642" t="e">
        <f t="shared" si="11"/>
        <v>#NUM!</v>
      </c>
      <c r="F111" s="1555" t="e">
        <f t="shared" si="10"/>
        <v>#NUM!</v>
      </c>
    </row>
    <row r="112" spans="1:6" x14ac:dyDescent="0.3">
      <c r="A112">
        <v>101</v>
      </c>
      <c r="B112" s="641">
        <f t="shared" si="12"/>
        <v>292.81732236072583</v>
      </c>
      <c r="C112" s="637" t="e">
        <f t="shared" si="13"/>
        <v>#NUM!</v>
      </c>
      <c r="D112" s="637" t="e">
        <f t="shared" si="9"/>
        <v>#NUM!</v>
      </c>
      <c r="E112" s="642" t="e">
        <f t="shared" si="11"/>
        <v>#NUM!</v>
      </c>
      <c r="F112" s="1555" t="e">
        <f t="shared" si="10"/>
        <v>#NUM!</v>
      </c>
    </row>
    <row r="113" spans="1:6" x14ac:dyDescent="0.3">
      <c r="A113">
        <v>102</v>
      </c>
      <c r="B113" s="641">
        <f t="shared" si="12"/>
        <v>292.81732236072583</v>
      </c>
      <c r="C113" s="637" t="e">
        <f t="shared" si="13"/>
        <v>#NUM!</v>
      </c>
      <c r="D113" s="637" t="e">
        <f t="shared" si="9"/>
        <v>#NUM!</v>
      </c>
      <c r="E113" s="642" t="e">
        <f t="shared" si="11"/>
        <v>#NUM!</v>
      </c>
      <c r="F113" s="1555" t="e">
        <f t="shared" si="10"/>
        <v>#NUM!</v>
      </c>
    </row>
    <row r="114" spans="1:6" x14ac:dyDescent="0.3">
      <c r="A114">
        <v>103</v>
      </c>
      <c r="B114" s="641">
        <f t="shared" si="12"/>
        <v>292.81732236072583</v>
      </c>
      <c r="C114" s="637" t="e">
        <f t="shared" si="13"/>
        <v>#NUM!</v>
      </c>
      <c r="D114" s="637" t="e">
        <f t="shared" si="9"/>
        <v>#NUM!</v>
      </c>
      <c r="E114" s="642" t="e">
        <f t="shared" si="11"/>
        <v>#NUM!</v>
      </c>
      <c r="F114" s="1555" t="e">
        <f t="shared" si="10"/>
        <v>#NUM!</v>
      </c>
    </row>
    <row r="115" spans="1:6" x14ac:dyDescent="0.3">
      <c r="A115">
        <v>104</v>
      </c>
      <c r="B115" s="641">
        <f t="shared" si="12"/>
        <v>292.81732236072583</v>
      </c>
      <c r="C115" s="637" t="e">
        <f t="shared" si="13"/>
        <v>#NUM!</v>
      </c>
      <c r="D115" s="637" t="e">
        <f t="shared" si="9"/>
        <v>#NUM!</v>
      </c>
      <c r="E115" s="642" t="e">
        <f t="shared" si="11"/>
        <v>#NUM!</v>
      </c>
      <c r="F115" s="1555" t="e">
        <f t="shared" si="10"/>
        <v>#NUM!</v>
      </c>
    </row>
    <row r="116" spans="1:6" x14ac:dyDescent="0.3">
      <c r="A116">
        <v>105</v>
      </c>
      <c r="B116" s="641">
        <f t="shared" si="12"/>
        <v>292.81732236072583</v>
      </c>
      <c r="C116" s="637" t="e">
        <f t="shared" si="13"/>
        <v>#NUM!</v>
      </c>
      <c r="D116" s="637" t="e">
        <f t="shared" si="9"/>
        <v>#NUM!</v>
      </c>
      <c r="E116" s="642" t="e">
        <f t="shared" si="11"/>
        <v>#NUM!</v>
      </c>
      <c r="F116" s="1555" t="e">
        <f t="shared" si="10"/>
        <v>#NUM!</v>
      </c>
    </row>
    <row r="117" spans="1:6" x14ac:dyDescent="0.3">
      <c r="A117">
        <v>106</v>
      </c>
      <c r="B117" s="641">
        <f t="shared" si="12"/>
        <v>292.81732236072583</v>
      </c>
      <c r="C117" s="637" t="e">
        <f t="shared" si="13"/>
        <v>#NUM!</v>
      </c>
      <c r="D117" s="637" t="e">
        <f t="shared" si="9"/>
        <v>#NUM!</v>
      </c>
      <c r="E117" s="642" t="e">
        <f t="shared" si="11"/>
        <v>#NUM!</v>
      </c>
      <c r="F117" s="1555" t="e">
        <f t="shared" si="10"/>
        <v>#NUM!</v>
      </c>
    </row>
    <row r="118" spans="1:6" x14ac:dyDescent="0.3">
      <c r="A118">
        <v>107</v>
      </c>
      <c r="B118" s="641">
        <f t="shared" si="12"/>
        <v>292.81732236072583</v>
      </c>
      <c r="C118" s="637" t="e">
        <f t="shared" si="13"/>
        <v>#NUM!</v>
      </c>
      <c r="D118" s="637" t="e">
        <f t="shared" si="9"/>
        <v>#NUM!</v>
      </c>
      <c r="E118" s="642" t="e">
        <f t="shared" si="11"/>
        <v>#NUM!</v>
      </c>
      <c r="F118" s="1555" t="e">
        <f t="shared" si="10"/>
        <v>#NUM!</v>
      </c>
    </row>
    <row r="119" spans="1:6" x14ac:dyDescent="0.3">
      <c r="A119">
        <v>108</v>
      </c>
      <c r="B119" s="641">
        <f t="shared" si="12"/>
        <v>292.81732236072583</v>
      </c>
      <c r="C119" s="637" t="e">
        <f t="shared" si="13"/>
        <v>#NUM!</v>
      </c>
      <c r="D119" s="637" t="e">
        <f t="shared" si="9"/>
        <v>#NUM!</v>
      </c>
      <c r="E119" s="642" t="e">
        <f t="shared" si="11"/>
        <v>#NUM!</v>
      </c>
      <c r="F119" s="1555" t="e">
        <f t="shared" si="10"/>
        <v>#NUM!</v>
      </c>
    </row>
    <row r="120" spans="1:6" x14ac:dyDescent="0.3">
      <c r="A120">
        <v>109</v>
      </c>
      <c r="B120" s="641">
        <f t="shared" si="12"/>
        <v>292.81732236072583</v>
      </c>
      <c r="C120" s="637" t="e">
        <f t="shared" si="13"/>
        <v>#NUM!</v>
      </c>
      <c r="D120" s="637" t="e">
        <f t="shared" si="9"/>
        <v>#NUM!</v>
      </c>
      <c r="E120" s="642" t="e">
        <f t="shared" si="11"/>
        <v>#NUM!</v>
      </c>
      <c r="F120" s="1555" t="e">
        <f t="shared" si="10"/>
        <v>#NUM!</v>
      </c>
    </row>
    <row r="121" spans="1:6" x14ac:dyDescent="0.3">
      <c r="A121">
        <v>110</v>
      </c>
      <c r="B121" s="641">
        <f t="shared" si="12"/>
        <v>292.81732236072583</v>
      </c>
      <c r="C121" s="637" t="e">
        <f t="shared" si="13"/>
        <v>#NUM!</v>
      </c>
      <c r="D121" s="637" t="e">
        <f t="shared" si="9"/>
        <v>#NUM!</v>
      </c>
      <c r="E121" s="642" t="e">
        <f t="shared" si="11"/>
        <v>#NUM!</v>
      </c>
      <c r="F121" s="1555" t="e">
        <f t="shared" si="10"/>
        <v>#NUM!</v>
      </c>
    </row>
    <row r="122" spans="1:6" x14ac:dyDescent="0.3">
      <c r="A122">
        <v>111</v>
      </c>
      <c r="B122" s="641">
        <f t="shared" si="12"/>
        <v>292.81732236072583</v>
      </c>
      <c r="C122" s="637" t="e">
        <f t="shared" si="13"/>
        <v>#NUM!</v>
      </c>
      <c r="D122" s="637" t="e">
        <f t="shared" si="9"/>
        <v>#NUM!</v>
      </c>
      <c r="E122" s="642" t="e">
        <f t="shared" si="11"/>
        <v>#NUM!</v>
      </c>
      <c r="F122" s="1555" t="e">
        <f t="shared" si="10"/>
        <v>#NUM!</v>
      </c>
    </row>
    <row r="123" spans="1:6" x14ac:dyDescent="0.3">
      <c r="A123">
        <v>112</v>
      </c>
      <c r="B123" s="641">
        <f t="shared" si="12"/>
        <v>292.81732236072583</v>
      </c>
      <c r="C123" s="637" t="e">
        <f t="shared" si="13"/>
        <v>#NUM!</v>
      </c>
      <c r="D123" s="637" t="e">
        <f t="shared" si="9"/>
        <v>#NUM!</v>
      </c>
      <c r="E123" s="642" t="e">
        <f t="shared" si="11"/>
        <v>#NUM!</v>
      </c>
      <c r="F123" s="1555" t="e">
        <f t="shared" si="10"/>
        <v>#NUM!</v>
      </c>
    </row>
    <row r="124" spans="1:6" x14ac:dyDescent="0.3">
      <c r="A124">
        <v>113</v>
      </c>
      <c r="B124" s="641">
        <f t="shared" si="12"/>
        <v>292.81732236072583</v>
      </c>
      <c r="C124" s="637" t="e">
        <f t="shared" si="13"/>
        <v>#NUM!</v>
      </c>
      <c r="D124" s="637" t="e">
        <f t="shared" si="9"/>
        <v>#NUM!</v>
      </c>
      <c r="E124" s="642" t="e">
        <f t="shared" si="11"/>
        <v>#NUM!</v>
      </c>
      <c r="F124" s="1555" t="e">
        <f t="shared" si="10"/>
        <v>#NUM!</v>
      </c>
    </row>
    <row r="125" spans="1:6" x14ac:dyDescent="0.3">
      <c r="A125">
        <v>114</v>
      </c>
      <c r="B125" s="641">
        <f t="shared" si="12"/>
        <v>292.81732236072583</v>
      </c>
      <c r="C125" s="637" t="e">
        <f t="shared" si="13"/>
        <v>#NUM!</v>
      </c>
      <c r="D125" s="637" t="e">
        <f t="shared" si="9"/>
        <v>#NUM!</v>
      </c>
      <c r="E125" s="642" t="e">
        <f t="shared" si="11"/>
        <v>#NUM!</v>
      </c>
      <c r="F125" s="1555" t="e">
        <f t="shared" si="10"/>
        <v>#NUM!</v>
      </c>
    </row>
    <row r="126" spans="1:6" x14ac:dyDescent="0.3">
      <c r="A126">
        <v>115</v>
      </c>
      <c r="B126" s="641">
        <f t="shared" si="12"/>
        <v>292.81732236072583</v>
      </c>
      <c r="C126" s="637" t="e">
        <f t="shared" si="13"/>
        <v>#NUM!</v>
      </c>
      <c r="D126" s="637" t="e">
        <f t="shared" si="9"/>
        <v>#NUM!</v>
      </c>
      <c r="E126" s="642" t="e">
        <f t="shared" si="11"/>
        <v>#NUM!</v>
      </c>
      <c r="F126" s="1555" t="e">
        <f t="shared" si="10"/>
        <v>#NUM!</v>
      </c>
    </row>
    <row r="127" spans="1:6" x14ac:dyDescent="0.3">
      <c r="A127">
        <v>116</v>
      </c>
      <c r="B127" s="641">
        <f t="shared" si="12"/>
        <v>292.81732236072583</v>
      </c>
      <c r="C127" s="637" t="e">
        <f t="shared" si="13"/>
        <v>#NUM!</v>
      </c>
      <c r="D127" s="637" t="e">
        <f t="shared" si="9"/>
        <v>#NUM!</v>
      </c>
      <c r="E127" s="642" t="e">
        <f t="shared" si="11"/>
        <v>#NUM!</v>
      </c>
      <c r="F127" s="1555" t="e">
        <f t="shared" si="10"/>
        <v>#NUM!</v>
      </c>
    </row>
    <row r="128" spans="1:6" x14ac:dyDescent="0.3">
      <c r="A128">
        <v>117</v>
      </c>
      <c r="B128" s="641">
        <f t="shared" si="12"/>
        <v>292.81732236072583</v>
      </c>
      <c r="C128" s="637" t="e">
        <f t="shared" si="13"/>
        <v>#NUM!</v>
      </c>
      <c r="D128" s="637" t="e">
        <f t="shared" si="9"/>
        <v>#NUM!</v>
      </c>
      <c r="E128" s="642" t="e">
        <f t="shared" si="11"/>
        <v>#NUM!</v>
      </c>
      <c r="F128" s="1555" t="e">
        <f t="shared" si="10"/>
        <v>#NUM!</v>
      </c>
    </row>
    <row r="129" spans="1:6" x14ac:dyDescent="0.3">
      <c r="A129">
        <v>118</v>
      </c>
      <c r="B129" s="641">
        <f t="shared" si="12"/>
        <v>292.81732236072583</v>
      </c>
      <c r="C129" s="637" t="e">
        <f t="shared" si="13"/>
        <v>#NUM!</v>
      </c>
      <c r="D129" s="637" t="e">
        <f t="shared" si="9"/>
        <v>#NUM!</v>
      </c>
      <c r="E129" s="642" t="e">
        <f t="shared" si="11"/>
        <v>#NUM!</v>
      </c>
      <c r="F129" s="1555" t="e">
        <f t="shared" si="10"/>
        <v>#NUM!</v>
      </c>
    </row>
    <row r="130" spans="1:6" x14ac:dyDescent="0.3">
      <c r="A130">
        <v>119</v>
      </c>
      <c r="B130" s="641">
        <f t="shared" si="12"/>
        <v>292.81732236072583</v>
      </c>
      <c r="C130" s="637" t="e">
        <f t="shared" si="13"/>
        <v>#NUM!</v>
      </c>
      <c r="D130" s="637" t="e">
        <f t="shared" si="9"/>
        <v>#NUM!</v>
      </c>
      <c r="E130" s="642" t="e">
        <f t="shared" si="11"/>
        <v>#NUM!</v>
      </c>
      <c r="F130" s="1555" t="e">
        <f t="shared" si="10"/>
        <v>#NUM!</v>
      </c>
    </row>
    <row r="131" spans="1:6" x14ac:dyDescent="0.3">
      <c r="A131">
        <v>120</v>
      </c>
      <c r="B131" s="641">
        <f t="shared" si="12"/>
        <v>292.81732236072583</v>
      </c>
      <c r="C131" s="637" t="e">
        <f t="shared" si="13"/>
        <v>#NUM!</v>
      </c>
      <c r="D131" s="637" t="e">
        <f t="shared" si="9"/>
        <v>#NUM!</v>
      </c>
      <c r="E131" s="642" t="e">
        <f t="shared" si="11"/>
        <v>#NUM!</v>
      </c>
      <c r="F131" s="1555" t="e">
        <f t="shared" si="10"/>
        <v>#NUM!</v>
      </c>
    </row>
    <row r="132" spans="1:6" x14ac:dyDescent="0.3">
      <c r="A132">
        <v>121</v>
      </c>
      <c r="B132" s="641">
        <f t="shared" si="12"/>
        <v>292.81732236072583</v>
      </c>
      <c r="C132" s="637" t="e">
        <f t="shared" si="13"/>
        <v>#NUM!</v>
      </c>
      <c r="D132" s="637" t="e">
        <f t="shared" si="9"/>
        <v>#NUM!</v>
      </c>
      <c r="E132" s="642" t="e">
        <f t="shared" si="11"/>
        <v>#NUM!</v>
      </c>
      <c r="F132" s="1555" t="e">
        <f t="shared" si="10"/>
        <v>#NUM!</v>
      </c>
    </row>
    <row r="133" spans="1:6" x14ac:dyDescent="0.3">
      <c r="B133" s="641"/>
      <c r="C133" s="637"/>
      <c r="D133" s="637"/>
      <c r="E133" s="643"/>
    </row>
    <row r="134" spans="1:6" x14ac:dyDescent="0.3">
      <c r="B134" s="641"/>
      <c r="C134" s="637"/>
      <c r="D134" s="637"/>
      <c r="E134" s="643"/>
    </row>
    <row r="135" spans="1:6" x14ac:dyDescent="0.3">
      <c r="B135" s="641"/>
      <c r="C135" s="637"/>
      <c r="D135" s="637"/>
      <c r="E135" s="643"/>
    </row>
    <row r="136" spans="1:6" x14ac:dyDescent="0.3">
      <c r="B136" s="641"/>
      <c r="C136" s="637"/>
      <c r="D136" s="637"/>
      <c r="E136" s="643"/>
    </row>
    <row r="137" spans="1:6" x14ac:dyDescent="0.3">
      <c r="B137" s="641"/>
      <c r="C137" s="637"/>
      <c r="D137" s="637"/>
      <c r="E137" s="643"/>
    </row>
    <row r="138" spans="1:6" x14ac:dyDescent="0.3">
      <c r="B138" s="641"/>
      <c r="C138" s="637"/>
      <c r="D138" s="637"/>
      <c r="E138" s="643"/>
    </row>
    <row r="139" spans="1:6" x14ac:dyDescent="0.3">
      <c r="B139" s="641"/>
      <c r="C139" s="637"/>
      <c r="D139" s="637"/>
      <c r="E139" s="643"/>
    </row>
    <row r="140" spans="1:6" x14ac:dyDescent="0.3">
      <c r="B140" s="641"/>
      <c r="C140" s="637"/>
      <c r="D140" s="637"/>
      <c r="E140" s="643"/>
    </row>
    <row r="141" spans="1:6" x14ac:dyDescent="0.3">
      <c r="B141" s="641"/>
      <c r="C141" s="637"/>
      <c r="D141" s="637"/>
      <c r="E141" s="643"/>
    </row>
    <row r="142" spans="1:6" x14ac:dyDescent="0.3">
      <c r="B142" s="641"/>
      <c r="C142" s="637"/>
      <c r="D142" s="637"/>
      <c r="E142" s="643"/>
    </row>
    <row r="143" spans="1:6" x14ac:dyDescent="0.3">
      <c r="B143" s="641"/>
      <c r="C143" s="637"/>
      <c r="D143" s="637"/>
      <c r="E143" s="643"/>
    </row>
    <row r="144" spans="1:6" x14ac:dyDescent="0.3">
      <c r="B144" s="641"/>
      <c r="C144" s="637"/>
      <c r="D144" s="637"/>
      <c r="E144" s="643"/>
    </row>
    <row r="145" spans="2:5" x14ac:dyDescent="0.3">
      <c r="B145" s="641"/>
      <c r="C145" s="637"/>
      <c r="D145" s="637"/>
      <c r="E145" s="643"/>
    </row>
    <row r="146" spans="2:5" x14ac:dyDescent="0.3">
      <c r="B146" s="641"/>
      <c r="C146" s="637"/>
      <c r="D146" s="637"/>
      <c r="E146" s="643"/>
    </row>
    <row r="147" spans="2:5" x14ac:dyDescent="0.3">
      <c r="B147" s="641"/>
      <c r="C147" s="637"/>
      <c r="D147" s="637"/>
      <c r="E147" s="643"/>
    </row>
    <row r="148" spans="2:5" x14ac:dyDescent="0.3">
      <c r="B148" s="641"/>
      <c r="C148" s="637"/>
      <c r="D148" s="637"/>
      <c r="E148" s="643"/>
    </row>
    <row r="149" spans="2:5" x14ac:dyDescent="0.3">
      <c r="B149" s="641"/>
      <c r="C149" s="637"/>
      <c r="D149" s="637"/>
      <c r="E149" s="643"/>
    </row>
    <row r="150" spans="2:5" x14ac:dyDescent="0.3">
      <c r="B150" s="641"/>
      <c r="C150" s="637"/>
      <c r="D150" s="637"/>
      <c r="E150" s="643"/>
    </row>
    <row r="151" spans="2:5" x14ac:dyDescent="0.3">
      <c r="B151" s="641"/>
      <c r="C151" s="637"/>
      <c r="D151" s="637"/>
      <c r="E151" s="643"/>
    </row>
    <row r="152" spans="2:5" x14ac:dyDescent="0.3">
      <c r="B152" s="641"/>
      <c r="C152" s="637"/>
      <c r="D152" s="637"/>
      <c r="E152" s="643"/>
    </row>
    <row r="153" spans="2:5" x14ac:dyDescent="0.3">
      <c r="B153" s="641"/>
      <c r="C153" s="637"/>
      <c r="D153" s="637"/>
      <c r="E153" s="643"/>
    </row>
    <row r="154" spans="2:5" x14ac:dyDescent="0.3">
      <c r="B154" s="641"/>
      <c r="C154" s="637"/>
      <c r="D154" s="637"/>
      <c r="E154" s="643"/>
    </row>
    <row r="155" spans="2:5" x14ac:dyDescent="0.3">
      <c r="B155" s="641"/>
      <c r="C155" s="637"/>
      <c r="D155" s="637"/>
      <c r="E155" s="643"/>
    </row>
    <row r="156" spans="2:5" x14ac:dyDescent="0.3">
      <c r="B156" s="641"/>
      <c r="C156" s="637"/>
      <c r="D156" s="637"/>
      <c r="E156" s="643"/>
    </row>
    <row r="157" spans="2:5" x14ac:dyDescent="0.3">
      <c r="B157" s="641"/>
      <c r="C157" s="637"/>
      <c r="D157" s="637"/>
      <c r="E157" s="643"/>
    </row>
    <row r="158" spans="2:5" x14ac:dyDescent="0.3">
      <c r="B158" s="641"/>
      <c r="C158" s="637"/>
      <c r="D158" s="637"/>
      <c r="E158" s="643"/>
    </row>
    <row r="159" spans="2:5" x14ac:dyDescent="0.3">
      <c r="B159" s="641"/>
      <c r="C159" s="637"/>
      <c r="D159" s="637"/>
      <c r="E159" s="643"/>
    </row>
    <row r="160" spans="2:5" x14ac:dyDescent="0.3">
      <c r="B160" s="641"/>
      <c r="C160" s="637"/>
      <c r="D160" s="637"/>
      <c r="E160" s="643"/>
    </row>
    <row r="161" spans="2:5" x14ac:dyDescent="0.3">
      <c r="B161" s="641"/>
      <c r="C161" s="637"/>
      <c r="D161" s="637"/>
      <c r="E161" s="643"/>
    </row>
    <row r="162" spans="2:5" x14ac:dyDescent="0.3">
      <c r="B162" s="641"/>
      <c r="C162" s="637"/>
      <c r="D162" s="637"/>
      <c r="E162" s="643"/>
    </row>
    <row r="163" spans="2:5" x14ac:dyDescent="0.3">
      <c r="B163" s="641"/>
      <c r="C163" s="637"/>
      <c r="D163" s="637"/>
      <c r="E163" s="643"/>
    </row>
    <row r="164" spans="2:5" x14ac:dyDescent="0.3">
      <c r="B164" s="641"/>
      <c r="C164" s="637"/>
      <c r="D164" s="637"/>
      <c r="E164" s="643"/>
    </row>
    <row r="165" spans="2:5" x14ac:dyDescent="0.3">
      <c r="B165" s="641"/>
      <c r="C165" s="637"/>
      <c r="D165" s="637"/>
      <c r="E165" s="643"/>
    </row>
    <row r="166" spans="2:5" x14ac:dyDescent="0.3">
      <c r="B166" s="641"/>
      <c r="C166" s="637"/>
      <c r="D166" s="637"/>
      <c r="E166" s="643"/>
    </row>
    <row r="167" spans="2:5" x14ac:dyDescent="0.3">
      <c r="B167" s="641"/>
      <c r="C167" s="637"/>
      <c r="D167" s="637"/>
      <c r="E167" s="643"/>
    </row>
    <row r="168" spans="2:5" x14ac:dyDescent="0.3">
      <c r="B168" s="641"/>
      <c r="C168" s="637"/>
      <c r="D168" s="637"/>
      <c r="E168" s="643"/>
    </row>
    <row r="169" spans="2:5" x14ac:dyDescent="0.3">
      <c r="B169" s="641"/>
      <c r="C169" s="637"/>
      <c r="D169" s="637"/>
      <c r="E169" s="643"/>
    </row>
    <row r="170" spans="2:5" x14ac:dyDescent="0.3">
      <c r="B170" s="641"/>
      <c r="C170" s="637"/>
      <c r="D170" s="637"/>
      <c r="E170" s="643"/>
    </row>
    <row r="171" spans="2:5" x14ac:dyDescent="0.3">
      <c r="B171" s="641"/>
      <c r="C171" s="637"/>
      <c r="D171" s="637"/>
      <c r="E171" s="643"/>
    </row>
    <row r="172" spans="2:5" x14ac:dyDescent="0.3">
      <c r="B172" s="641"/>
      <c r="C172" s="637"/>
      <c r="D172" s="637"/>
      <c r="E172" s="643"/>
    </row>
    <row r="173" spans="2:5" x14ac:dyDescent="0.3">
      <c r="B173" s="641"/>
      <c r="C173" s="637"/>
      <c r="D173" s="637"/>
      <c r="E173" s="643"/>
    </row>
    <row r="174" spans="2:5" x14ac:dyDescent="0.3">
      <c r="B174" s="641"/>
      <c r="C174" s="637"/>
      <c r="D174" s="637"/>
      <c r="E174" s="643"/>
    </row>
    <row r="175" spans="2:5" x14ac:dyDescent="0.3">
      <c r="B175" s="641"/>
      <c r="C175" s="637"/>
      <c r="D175" s="637"/>
      <c r="E175" s="643"/>
    </row>
    <row r="176" spans="2:5" x14ac:dyDescent="0.3">
      <c r="B176" s="641"/>
      <c r="C176" s="637"/>
      <c r="D176" s="637"/>
      <c r="E176" s="643"/>
    </row>
    <row r="177" spans="2:5" x14ac:dyDescent="0.3">
      <c r="B177" s="641"/>
      <c r="C177" s="637"/>
      <c r="D177" s="637"/>
      <c r="E177" s="643"/>
    </row>
    <row r="178" spans="2:5" x14ac:dyDescent="0.3">
      <c r="B178" s="641"/>
      <c r="C178" s="637"/>
      <c r="D178" s="637"/>
      <c r="E178" s="643"/>
    </row>
    <row r="179" spans="2:5" x14ac:dyDescent="0.3">
      <c r="B179" s="641"/>
      <c r="C179" s="637"/>
      <c r="D179" s="637"/>
      <c r="E179" s="643"/>
    </row>
    <row r="180" spans="2:5" x14ac:dyDescent="0.3">
      <c r="B180" s="641"/>
      <c r="C180" s="637"/>
      <c r="D180" s="637"/>
      <c r="E180" s="643"/>
    </row>
    <row r="181" spans="2:5" x14ac:dyDescent="0.3">
      <c r="B181" s="641"/>
      <c r="C181" s="637"/>
      <c r="D181" s="637"/>
      <c r="E181" s="643"/>
    </row>
    <row r="182" spans="2:5" x14ac:dyDescent="0.3">
      <c r="B182" s="641"/>
      <c r="C182" s="637"/>
      <c r="D182" s="637"/>
      <c r="E182" s="643"/>
    </row>
    <row r="183" spans="2:5" x14ac:dyDescent="0.3">
      <c r="B183" s="641"/>
      <c r="C183" s="637"/>
      <c r="D183" s="637"/>
      <c r="E183" s="643"/>
    </row>
    <row r="184" spans="2:5" x14ac:dyDescent="0.3">
      <c r="B184" s="641"/>
      <c r="C184" s="637"/>
      <c r="D184" s="637"/>
      <c r="E184" s="643"/>
    </row>
    <row r="185" spans="2:5" x14ac:dyDescent="0.3">
      <c r="B185" s="641"/>
      <c r="C185" s="637"/>
      <c r="D185" s="637"/>
      <c r="E185" s="643"/>
    </row>
    <row r="186" spans="2:5" x14ac:dyDescent="0.3">
      <c r="B186" s="641"/>
      <c r="C186" s="637"/>
      <c r="D186" s="637"/>
      <c r="E186" s="643"/>
    </row>
    <row r="187" spans="2:5" x14ac:dyDescent="0.3">
      <c r="B187" s="641"/>
      <c r="C187" s="637"/>
      <c r="D187" s="637"/>
      <c r="E187" s="643"/>
    </row>
    <row r="188" spans="2:5" x14ac:dyDescent="0.3">
      <c r="B188" s="641"/>
      <c r="C188" s="637"/>
      <c r="D188" s="637"/>
      <c r="E188" s="643"/>
    </row>
    <row r="189" spans="2:5" x14ac:dyDescent="0.3">
      <c r="B189" s="641"/>
      <c r="C189" s="637"/>
      <c r="D189" s="637"/>
      <c r="E189" s="643"/>
    </row>
    <row r="190" spans="2:5" x14ac:dyDescent="0.3">
      <c r="B190" s="641"/>
      <c r="C190" s="637"/>
      <c r="D190" s="637"/>
      <c r="E190" s="643"/>
    </row>
    <row r="191" spans="2:5" x14ac:dyDescent="0.3">
      <c r="B191" s="641"/>
      <c r="C191" s="637"/>
      <c r="D191" s="637"/>
      <c r="E191" s="643"/>
    </row>
    <row r="192" spans="2:5" x14ac:dyDescent="0.3">
      <c r="B192" s="641"/>
      <c r="C192" s="637"/>
      <c r="D192" s="637"/>
      <c r="E192" s="643"/>
    </row>
    <row r="193" spans="2:5" x14ac:dyDescent="0.3">
      <c r="B193" s="641"/>
      <c r="C193" s="637"/>
      <c r="D193" s="637"/>
      <c r="E193" s="643"/>
    </row>
    <row r="194" spans="2:5" x14ac:dyDescent="0.3">
      <c r="B194" s="641"/>
      <c r="C194" s="637"/>
      <c r="D194" s="637"/>
      <c r="E194" s="643"/>
    </row>
    <row r="195" spans="2:5" x14ac:dyDescent="0.3">
      <c r="B195" s="641"/>
      <c r="C195" s="637"/>
      <c r="D195" s="637"/>
      <c r="E195" s="643"/>
    </row>
    <row r="196" spans="2:5" x14ac:dyDescent="0.3">
      <c r="B196" s="641"/>
      <c r="C196" s="637"/>
      <c r="D196" s="637"/>
      <c r="E196" s="643"/>
    </row>
    <row r="197" spans="2:5" x14ac:dyDescent="0.3">
      <c r="B197" s="641"/>
      <c r="C197" s="637"/>
      <c r="D197" s="637"/>
      <c r="E197" s="643"/>
    </row>
    <row r="198" spans="2:5" x14ac:dyDescent="0.3">
      <c r="B198" s="641"/>
      <c r="C198" s="637"/>
      <c r="D198" s="637"/>
      <c r="E198" s="643"/>
    </row>
    <row r="199" spans="2:5" x14ac:dyDescent="0.3">
      <c r="B199" s="641"/>
      <c r="C199" s="637"/>
      <c r="D199" s="637"/>
      <c r="E199" s="643"/>
    </row>
    <row r="200" spans="2:5" x14ac:dyDescent="0.3">
      <c r="B200" s="641"/>
      <c r="C200" s="637"/>
      <c r="D200" s="637"/>
      <c r="E200" s="643"/>
    </row>
    <row r="201" spans="2:5" x14ac:dyDescent="0.3">
      <c r="B201" s="641"/>
      <c r="C201" s="637"/>
      <c r="D201" s="637"/>
      <c r="E201" s="643"/>
    </row>
    <row r="202" spans="2:5" x14ac:dyDescent="0.3">
      <c r="B202" s="641"/>
      <c r="C202" s="637"/>
      <c r="D202" s="637"/>
      <c r="E202" s="643"/>
    </row>
    <row r="203" spans="2:5" x14ac:dyDescent="0.3">
      <c r="B203" s="641"/>
      <c r="C203" s="637"/>
      <c r="D203" s="637"/>
      <c r="E203" s="643"/>
    </row>
    <row r="204" spans="2:5" x14ac:dyDescent="0.3">
      <c r="B204" s="641"/>
      <c r="C204" s="637"/>
      <c r="D204" s="637"/>
      <c r="E204" s="643"/>
    </row>
    <row r="205" spans="2:5" x14ac:dyDescent="0.3">
      <c r="B205" s="641"/>
      <c r="C205" s="637"/>
      <c r="D205" s="637"/>
      <c r="E205" s="643"/>
    </row>
    <row r="206" spans="2:5" x14ac:dyDescent="0.3">
      <c r="B206" s="641"/>
      <c r="C206" s="637"/>
      <c r="D206" s="637"/>
      <c r="E206" s="643"/>
    </row>
    <row r="207" spans="2:5" x14ac:dyDescent="0.3">
      <c r="B207" s="641"/>
      <c r="C207" s="637"/>
      <c r="D207" s="637"/>
      <c r="E207" s="643"/>
    </row>
    <row r="208" spans="2:5" x14ac:dyDescent="0.3">
      <c r="B208" s="641"/>
      <c r="C208" s="637"/>
      <c r="D208" s="637"/>
      <c r="E208" s="643"/>
    </row>
    <row r="209" spans="2:5" x14ac:dyDescent="0.3">
      <c r="B209" s="641"/>
      <c r="C209" s="637"/>
      <c r="D209" s="637"/>
      <c r="E209" s="643"/>
    </row>
    <row r="210" spans="2:5" x14ac:dyDescent="0.3">
      <c r="B210" s="641"/>
      <c r="C210" s="637"/>
      <c r="D210" s="637"/>
      <c r="E210" s="643"/>
    </row>
    <row r="211" spans="2:5" x14ac:dyDescent="0.3">
      <c r="B211" s="641"/>
      <c r="C211" s="637"/>
      <c r="D211" s="637"/>
      <c r="E211" s="643"/>
    </row>
    <row r="212" spans="2:5" x14ac:dyDescent="0.3">
      <c r="B212" s="641"/>
      <c r="C212" s="637"/>
      <c r="D212" s="637"/>
      <c r="E212" s="643"/>
    </row>
    <row r="213" spans="2:5" x14ac:dyDescent="0.3">
      <c r="B213" s="641"/>
      <c r="C213" s="637"/>
      <c r="D213" s="637"/>
      <c r="E213" s="643"/>
    </row>
    <row r="214" spans="2:5" x14ac:dyDescent="0.3">
      <c r="B214" s="641"/>
      <c r="C214" s="637"/>
      <c r="D214" s="637"/>
      <c r="E214" s="643"/>
    </row>
    <row r="215" spans="2:5" x14ac:dyDescent="0.3">
      <c r="B215" s="641"/>
      <c r="C215" s="637"/>
      <c r="D215" s="637"/>
      <c r="E215" s="643"/>
    </row>
    <row r="216" spans="2:5" x14ac:dyDescent="0.3">
      <c r="B216" s="641"/>
      <c r="C216" s="637"/>
      <c r="D216" s="637"/>
      <c r="E216" s="643"/>
    </row>
    <row r="217" spans="2:5" x14ac:dyDescent="0.3">
      <c r="B217" s="641"/>
      <c r="C217" s="637"/>
      <c r="D217" s="637"/>
      <c r="E217" s="643"/>
    </row>
    <row r="218" spans="2:5" x14ac:dyDescent="0.3">
      <c r="B218" s="641"/>
      <c r="C218" s="637"/>
      <c r="D218" s="637"/>
      <c r="E218" s="643"/>
    </row>
    <row r="219" spans="2:5" x14ac:dyDescent="0.3">
      <c r="B219" s="641"/>
      <c r="C219" s="637"/>
      <c r="D219" s="637"/>
      <c r="E219" s="643"/>
    </row>
    <row r="220" spans="2:5" x14ac:dyDescent="0.3">
      <c r="B220" s="641"/>
      <c r="C220" s="637"/>
      <c r="D220" s="637"/>
      <c r="E220" s="643"/>
    </row>
    <row r="221" spans="2:5" x14ac:dyDescent="0.3">
      <c r="B221" s="641"/>
      <c r="C221" s="637"/>
      <c r="D221" s="637"/>
      <c r="E221" s="643"/>
    </row>
    <row r="222" spans="2:5" x14ac:dyDescent="0.3">
      <c r="B222" s="641"/>
      <c r="C222" s="637"/>
      <c r="D222" s="637"/>
      <c r="E222" s="643"/>
    </row>
    <row r="223" spans="2:5" x14ac:dyDescent="0.3">
      <c r="B223" s="641"/>
      <c r="C223" s="637"/>
      <c r="D223" s="637"/>
      <c r="E223" s="643"/>
    </row>
    <row r="224" spans="2:5" x14ac:dyDescent="0.3">
      <c r="B224" s="641"/>
      <c r="C224" s="637"/>
      <c r="D224" s="637"/>
      <c r="E224" s="643"/>
    </row>
    <row r="225" spans="2:5" x14ac:dyDescent="0.3">
      <c r="B225" s="641"/>
      <c r="C225" s="637"/>
      <c r="D225" s="637"/>
      <c r="E225" s="643"/>
    </row>
    <row r="226" spans="2:5" x14ac:dyDescent="0.3">
      <c r="B226" s="641"/>
      <c r="C226" s="637"/>
      <c r="D226" s="637"/>
      <c r="E226" s="643"/>
    </row>
    <row r="227" spans="2:5" x14ac:dyDescent="0.3">
      <c r="B227" s="641"/>
      <c r="C227" s="637"/>
      <c r="D227" s="637"/>
      <c r="E227" s="643"/>
    </row>
    <row r="228" spans="2:5" x14ac:dyDescent="0.3">
      <c r="B228" s="641"/>
      <c r="C228" s="637"/>
      <c r="D228" s="637"/>
      <c r="E228" s="643"/>
    </row>
    <row r="229" spans="2:5" x14ac:dyDescent="0.3">
      <c r="B229" s="641"/>
      <c r="C229" s="637"/>
      <c r="D229" s="637"/>
      <c r="E229" s="643"/>
    </row>
    <row r="230" spans="2:5" x14ac:dyDescent="0.3">
      <c r="B230" s="641"/>
      <c r="C230" s="637"/>
      <c r="D230" s="637"/>
      <c r="E230" s="643"/>
    </row>
    <row r="231" spans="2:5" x14ac:dyDescent="0.3">
      <c r="B231" s="641"/>
      <c r="C231" s="637"/>
      <c r="D231" s="637"/>
      <c r="E231" s="643"/>
    </row>
    <row r="232" spans="2:5" x14ac:dyDescent="0.3">
      <c r="B232" s="641"/>
      <c r="C232" s="637"/>
      <c r="D232" s="637"/>
      <c r="E232" s="643"/>
    </row>
    <row r="233" spans="2:5" x14ac:dyDescent="0.3">
      <c r="B233" s="641"/>
      <c r="C233" s="637"/>
      <c r="D233" s="637"/>
      <c r="E233" s="643"/>
    </row>
    <row r="234" spans="2:5" x14ac:dyDescent="0.3">
      <c r="B234" s="641"/>
      <c r="C234" s="637"/>
      <c r="D234" s="637"/>
      <c r="E234" s="643"/>
    </row>
    <row r="235" spans="2:5" x14ac:dyDescent="0.3">
      <c r="B235" s="641"/>
      <c r="C235" s="637"/>
      <c r="D235" s="637"/>
      <c r="E235" s="643"/>
    </row>
    <row r="236" spans="2:5" x14ac:dyDescent="0.3">
      <c r="B236" s="641"/>
      <c r="C236" s="637"/>
      <c r="D236" s="637"/>
      <c r="E236" s="643"/>
    </row>
    <row r="237" spans="2:5" x14ac:dyDescent="0.3">
      <c r="B237" s="641"/>
      <c r="C237" s="637"/>
      <c r="D237" s="637"/>
      <c r="E237" s="643"/>
    </row>
    <row r="238" spans="2:5" x14ac:dyDescent="0.3">
      <c r="B238" s="641"/>
      <c r="C238" s="637"/>
      <c r="D238" s="637"/>
      <c r="E238" s="643"/>
    </row>
    <row r="239" spans="2:5" x14ac:dyDescent="0.3">
      <c r="B239" s="641"/>
      <c r="C239" s="637"/>
      <c r="D239" s="637"/>
      <c r="E239" s="643"/>
    </row>
    <row r="240" spans="2:5" x14ac:dyDescent="0.3">
      <c r="B240" s="641"/>
      <c r="C240" s="637"/>
      <c r="D240" s="637"/>
      <c r="E240" s="643"/>
    </row>
    <row r="241" spans="2:5" x14ac:dyDescent="0.3">
      <c r="B241" s="641"/>
      <c r="C241" s="637"/>
      <c r="D241" s="637"/>
      <c r="E241" s="643"/>
    </row>
    <row r="242" spans="2:5" x14ac:dyDescent="0.3">
      <c r="B242" s="641"/>
      <c r="C242" s="637"/>
      <c r="D242" s="637"/>
      <c r="E242" s="643"/>
    </row>
    <row r="243" spans="2:5" x14ac:dyDescent="0.3">
      <c r="B243" s="641"/>
      <c r="C243" s="637"/>
      <c r="D243" s="637"/>
      <c r="E243" s="643"/>
    </row>
    <row r="244" spans="2:5" x14ac:dyDescent="0.3">
      <c r="B244" s="641"/>
      <c r="C244" s="637"/>
      <c r="D244" s="637"/>
      <c r="E244" s="643"/>
    </row>
    <row r="245" spans="2:5" x14ac:dyDescent="0.3">
      <c r="B245" s="641"/>
      <c r="C245" s="637"/>
      <c r="D245" s="637"/>
      <c r="E245" s="643"/>
    </row>
    <row r="246" spans="2:5" x14ac:dyDescent="0.3">
      <c r="B246" s="641"/>
      <c r="C246" s="637"/>
      <c r="D246" s="637"/>
      <c r="E246" s="643"/>
    </row>
    <row r="247" spans="2:5" x14ac:dyDescent="0.3">
      <c r="B247" s="641"/>
      <c r="C247" s="637"/>
      <c r="D247" s="637"/>
      <c r="E247" s="643"/>
    </row>
    <row r="248" spans="2:5" x14ac:dyDescent="0.3">
      <c r="B248" s="641"/>
      <c r="C248" s="637"/>
      <c r="D248" s="637"/>
      <c r="E248" s="643"/>
    </row>
    <row r="249" spans="2:5" x14ac:dyDescent="0.3">
      <c r="B249" s="641"/>
      <c r="C249" s="637"/>
      <c r="D249" s="637"/>
      <c r="E249" s="643"/>
    </row>
    <row r="250" spans="2:5" x14ac:dyDescent="0.3">
      <c r="B250" s="641"/>
      <c r="C250" s="637"/>
      <c r="D250" s="637"/>
      <c r="E250" s="643"/>
    </row>
    <row r="251" spans="2:5" x14ac:dyDescent="0.3">
      <c r="B251" s="641"/>
      <c r="C251" s="637"/>
      <c r="D251" s="637"/>
      <c r="E251" s="643"/>
    </row>
    <row r="252" spans="2:5" x14ac:dyDescent="0.3">
      <c r="B252" s="641"/>
      <c r="C252" s="637"/>
      <c r="D252" s="637"/>
      <c r="E252" s="643"/>
    </row>
    <row r="253" spans="2:5" x14ac:dyDescent="0.3">
      <c r="B253" s="641"/>
      <c r="C253" s="637"/>
      <c r="D253" s="637"/>
      <c r="E253" s="643"/>
    </row>
    <row r="254" spans="2:5" x14ac:dyDescent="0.3">
      <c r="B254" s="641"/>
      <c r="C254" s="637"/>
      <c r="D254" s="637"/>
      <c r="E254" s="643"/>
    </row>
    <row r="255" spans="2:5" x14ac:dyDescent="0.3">
      <c r="B255" s="641"/>
      <c r="C255" s="637"/>
      <c r="D255" s="637"/>
      <c r="E255" s="643"/>
    </row>
    <row r="256" spans="2:5" x14ac:dyDescent="0.3">
      <c r="B256" s="641"/>
      <c r="C256" s="637"/>
      <c r="D256" s="637"/>
      <c r="E256" s="643"/>
    </row>
    <row r="257" spans="2:5" x14ac:dyDescent="0.3">
      <c r="B257" s="641"/>
      <c r="C257" s="637"/>
      <c r="D257" s="637"/>
      <c r="E257" s="643"/>
    </row>
    <row r="258" spans="2:5" x14ac:dyDescent="0.3">
      <c r="B258" s="641"/>
      <c r="C258" s="637"/>
      <c r="D258" s="637"/>
      <c r="E258" s="643"/>
    </row>
    <row r="259" spans="2:5" x14ac:dyDescent="0.3">
      <c r="B259" s="641"/>
      <c r="C259" s="637"/>
      <c r="D259" s="637"/>
      <c r="E259" s="643"/>
    </row>
  </sheetData>
  <mergeCells count="2">
    <mergeCell ref="B1:E2"/>
    <mergeCell ref="B3:E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Rules-Pre-IVASS Cardif (OLD)</vt:lpstr>
      <vt:lpstr>Rules-IVASS products(OLD)</vt:lpstr>
      <vt:lpstr>Rules - NEW from 18.02.2019</vt:lpstr>
      <vt:lpstr>Loadings issue- CARDIF</vt:lpstr>
      <vt:lpstr>Product Map</vt:lpstr>
      <vt:lpstr>Refund calculator (Other) - NEW</vt:lpstr>
      <vt:lpstr>Refund calculator (Leasing)</vt:lpstr>
      <vt:lpstr>Loan simulator-estimates ONLY</vt:lpstr>
    </vt:vector>
  </TitlesOfParts>
  <Company>CNP Assurances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prottma1a</dc:creator>
  <cp:lastModifiedBy>Nicola Donadio</cp:lastModifiedBy>
  <cp:lastPrinted>2014-02-11T15:03:53Z</cp:lastPrinted>
  <dcterms:created xsi:type="dcterms:W3CDTF">2011-01-07T09:12:23Z</dcterms:created>
  <dcterms:modified xsi:type="dcterms:W3CDTF">2020-05-12T12:16:12Z</dcterms:modified>
</cp:coreProperties>
</file>