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drawings/drawing4.xml" ContentType="application/vnd.openxmlformats-officedocument.drawing+xml"/>
  <Override PartName="/xl/comments4.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5.xml" ContentType="application/vnd.openxmlformats-officedocument.drawing+xml"/>
  <Override PartName="/xl/comments5.xml" ContentType="application/vnd.openxmlformats-officedocument.spreadsheetml.comments+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drawings/drawing6.xml" ContentType="application/vnd.openxmlformats-officedocument.drawing+xml"/>
  <Override PartName="/xl/charts/chart1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66925"/>
  <mc:AlternateContent xmlns:mc="http://schemas.openxmlformats.org/markup-compatibility/2006">
    <mc:Choice Requires="x15">
      <x15ac:absPath xmlns:x15ac="http://schemas.microsoft.com/office/spreadsheetml/2010/11/ac" url="E:\Progetti\cbp_monthly_gap\CBP\Modellini\"/>
    </mc:Choice>
  </mc:AlternateContent>
  <xr:revisionPtr revIDLastSave="0" documentId="13_ncr:1_{6CDA67B6-4B91-4ED2-8BB0-6D41E9431144}" xr6:coauthVersionLast="47" xr6:coauthVersionMax="47" xr10:uidLastSave="{00000000-0000-0000-0000-000000000000}"/>
  <bookViews>
    <workbookView xWindow="-108" yWindow="-108" windowWidth="23256" windowHeight="14016" firstSheet="2" activeTab="5" xr2:uid="{00000000-000D-0000-FFFF-FFFF00000000}"/>
  </bookViews>
  <sheets>
    <sheet name="Rules - NEW from 18.02.2019" sheetId="2" r:id="rId1"/>
    <sheet name="Loadings issue- CARDIF" sheetId="3" r:id="rId2"/>
    <sheet name="Pricing GAP" sheetId="4" r:id="rId3"/>
    <sheet name="Product Map" sheetId="5" r:id="rId4"/>
    <sheet name="Refund calculator (GAP only)" sheetId="6" r:id="rId5"/>
    <sheet name="Refund calculator (Other) - NEW" sheetId="7" r:id="rId6"/>
    <sheet name="Refund calculator (Leasing)" sheetId="8" r:id="rId7"/>
    <sheet name="Loan simulator-estimates ONLY" sheetId="9" r:id="rId8"/>
    <sheet name="Sheet1" sheetId="1" r:id="rId9"/>
  </sheets>
  <definedNames>
    <definedName name="Duration_Band_GAP">'Pricing GAP'!$B$14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1" i="6" l="1"/>
  <c r="C28" i="6"/>
  <c r="C27" i="6"/>
  <c r="C26" i="6"/>
  <c r="E29" i="6" l="1"/>
  <c r="E43" i="6"/>
  <c r="B14" i="4"/>
  <c r="B13" i="4"/>
  <c r="C23" i="6" l="1"/>
  <c r="D13" i="6"/>
  <c r="C131" i="9" l="1"/>
  <c r="C130" i="9"/>
  <c r="C128" i="9"/>
  <c r="B126" i="9"/>
  <c r="B124" i="9"/>
  <c r="C122" i="9"/>
  <c r="B122" i="9"/>
  <c r="D122" i="9" s="1"/>
  <c r="C120" i="9"/>
  <c r="B120" i="9"/>
  <c r="D120" i="9" s="1"/>
  <c r="B118" i="9"/>
  <c r="B116" i="9"/>
  <c r="B114" i="9"/>
  <c r="C113" i="9"/>
  <c r="B112" i="9"/>
  <c r="C111" i="9"/>
  <c r="B111" i="9"/>
  <c r="C109" i="9"/>
  <c r="B109" i="9"/>
  <c r="D109" i="9" s="1"/>
  <c r="C107" i="9"/>
  <c r="C105" i="9"/>
  <c r="C103" i="9"/>
  <c r="B103" i="9"/>
  <c r="C101" i="9"/>
  <c r="B101" i="9"/>
  <c r="D101" i="9" s="1"/>
  <c r="C99" i="9"/>
  <c r="C98" i="9"/>
  <c r="C96" i="9"/>
  <c r="B94" i="9"/>
  <c r="B92" i="9"/>
  <c r="C90" i="9"/>
  <c r="B90" i="9"/>
  <c r="D90" i="9" s="1"/>
  <c r="C88" i="9"/>
  <c r="B88" i="9"/>
  <c r="D88" i="9" s="1"/>
  <c r="B86" i="9"/>
  <c r="B84" i="9"/>
  <c r="B82" i="9"/>
  <c r="C81" i="9"/>
  <c r="B80" i="9"/>
  <c r="C79" i="9"/>
  <c r="B79" i="9"/>
  <c r="C77" i="9"/>
  <c r="B77" i="9"/>
  <c r="C75" i="9"/>
  <c r="C73" i="9"/>
  <c r="C71" i="9"/>
  <c r="B71" i="9"/>
  <c r="C69" i="9"/>
  <c r="B69" i="9"/>
  <c r="D69" i="9" s="1"/>
  <c r="C67" i="9"/>
  <c r="C66" i="9"/>
  <c r="C64" i="9"/>
  <c r="B62" i="9"/>
  <c r="B60" i="9"/>
  <c r="C58" i="9"/>
  <c r="B58" i="9"/>
  <c r="D58" i="9" s="1"/>
  <c r="C56" i="9"/>
  <c r="B56" i="9"/>
  <c r="D56" i="9" s="1"/>
  <c r="B54" i="9"/>
  <c r="B52" i="9"/>
  <c r="B50" i="9"/>
  <c r="C49" i="9"/>
  <c r="B48" i="9"/>
  <c r="C47" i="9"/>
  <c r="B47" i="9"/>
  <c r="C45" i="9"/>
  <c r="B45" i="9"/>
  <c r="D45" i="9" s="1"/>
  <c r="C43" i="9"/>
  <c r="B42" i="9"/>
  <c r="C40" i="9"/>
  <c r="B40" i="9"/>
  <c r="D40" i="9" s="1"/>
  <c r="C38" i="9"/>
  <c r="B38" i="9"/>
  <c r="D38" i="9" s="1"/>
  <c r="B36" i="9"/>
  <c r="C34" i="9"/>
  <c r="B34" i="9"/>
  <c r="D34" i="9" s="1"/>
  <c r="C32" i="9"/>
  <c r="B31" i="9"/>
  <c r="C29" i="9"/>
  <c r="B29" i="9"/>
  <c r="D29" i="9" s="1"/>
  <c r="C27" i="9"/>
  <c r="B27" i="9"/>
  <c r="D27" i="9" s="1"/>
  <c r="C25" i="9"/>
  <c r="C23" i="9"/>
  <c r="B23" i="9"/>
  <c r="B22" i="9"/>
  <c r="C21" i="9"/>
  <c r="B20" i="9"/>
  <c r="C18" i="9"/>
  <c r="B18" i="9"/>
  <c r="C16" i="9"/>
  <c r="B16" i="9"/>
  <c r="D16" i="9" s="1"/>
  <c r="C14" i="9"/>
  <c r="B14" i="9"/>
  <c r="B12" i="9"/>
  <c r="E11" i="9"/>
  <c r="C127" i="9" s="1"/>
  <c r="H150" i="8"/>
  <c r="J146" i="8"/>
  <c r="K142" i="8"/>
  <c r="K138" i="8"/>
  <c r="J135" i="8"/>
  <c r="K131" i="8"/>
  <c r="K128" i="8"/>
  <c r="J125" i="8"/>
  <c r="H122" i="8"/>
  <c r="I119" i="8"/>
  <c r="K115" i="8"/>
  <c r="H114" i="8"/>
  <c r="K112" i="8"/>
  <c r="I111" i="8"/>
  <c r="J109" i="8"/>
  <c r="K107" i="8"/>
  <c r="H106" i="8"/>
  <c r="K104" i="8"/>
  <c r="I103" i="8"/>
  <c r="J101" i="8"/>
  <c r="K99" i="8"/>
  <c r="H98" i="8"/>
  <c r="H97" i="8"/>
  <c r="H96" i="8"/>
  <c r="H95" i="8"/>
  <c r="H94" i="8"/>
  <c r="H93" i="8"/>
  <c r="H92" i="8"/>
  <c r="H91" i="8"/>
  <c r="H90" i="8"/>
  <c r="H89" i="8"/>
  <c r="H88" i="8"/>
  <c r="H87" i="8"/>
  <c r="H86" i="8"/>
  <c r="H85" i="8"/>
  <c r="H84" i="8"/>
  <c r="H83" i="8"/>
  <c r="H82" i="8"/>
  <c r="H81" i="8"/>
  <c r="H80" i="8"/>
  <c r="H79" i="8"/>
  <c r="H78" i="8"/>
  <c r="H77" i="8"/>
  <c r="H76" i="8"/>
  <c r="H75" i="8"/>
  <c r="H74" i="8"/>
  <c r="H73" i="8"/>
  <c r="H72" i="8"/>
  <c r="H71" i="8"/>
  <c r="H70" i="8"/>
  <c r="H69" i="8"/>
  <c r="H68" i="8"/>
  <c r="H67" i="8"/>
  <c r="H66" i="8"/>
  <c r="H65" i="8"/>
  <c r="H64" i="8"/>
  <c r="H63" i="8"/>
  <c r="H62" i="8"/>
  <c r="H61" i="8"/>
  <c r="H60" i="8"/>
  <c r="H59" i="8"/>
  <c r="H58" i="8"/>
  <c r="H57" i="8"/>
  <c r="H56" i="8"/>
  <c r="H55" i="8"/>
  <c r="H54" i="8"/>
  <c r="H53" i="8"/>
  <c r="H52" i="8"/>
  <c r="H51" i="8"/>
  <c r="H50" i="8"/>
  <c r="H49" i="8"/>
  <c r="D47" i="8"/>
  <c r="H45" i="8"/>
  <c r="F44" i="8"/>
  <c r="E44" i="8"/>
  <c r="D44" i="8"/>
  <c r="C44" i="8"/>
  <c r="H38" i="8"/>
  <c r="E38" i="8"/>
  <c r="D38" i="8"/>
  <c r="E37" i="8"/>
  <c r="D37" i="8"/>
  <c r="H31" i="8"/>
  <c r="E30" i="8"/>
  <c r="J34" i="8" s="1"/>
  <c r="D30" i="8"/>
  <c r="D46" i="8" s="1"/>
  <c r="C28" i="8"/>
  <c r="D33" i="8" s="1"/>
  <c r="C27" i="8"/>
  <c r="I147" i="8" s="1"/>
  <c r="C22" i="8"/>
  <c r="C38" i="8" s="1"/>
  <c r="C21" i="8"/>
  <c r="C37" i="8" s="1"/>
  <c r="C20" i="8"/>
  <c r="C19" i="8"/>
  <c r="C18" i="8"/>
  <c r="I146" i="7"/>
  <c r="I142" i="7"/>
  <c r="I139" i="7"/>
  <c r="I137" i="7"/>
  <c r="I135" i="7"/>
  <c r="I133" i="7"/>
  <c r="I131" i="7"/>
  <c r="I129" i="7"/>
  <c r="I127" i="7"/>
  <c r="I125" i="7"/>
  <c r="I123" i="7"/>
  <c r="H122" i="7"/>
  <c r="J119" i="7"/>
  <c r="I118" i="7"/>
  <c r="H117" i="7"/>
  <c r="K115" i="7"/>
  <c r="H110" i="7"/>
  <c r="H108" i="7"/>
  <c r="E107" i="7"/>
  <c r="J105" i="7"/>
  <c r="K104" i="7"/>
  <c r="J103" i="7"/>
  <c r="K102" i="7"/>
  <c r="J101" i="7"/>
  <c r="I96" i="7"/>
  <c r="H95" i="7"/>
  <c r="I91" i="7"/>
  <c r="E91" i="7"/>
  <c r="D91" i="7"/>
  <c r="H90" i="7"/>
  <c r="I89" i="7"/>
  <c r="H88" i="7"/>
  <c r="I84" i="7"/>
  <c r="H83" i="7"/>
  <c r="C83" i="7"/>
  <c r="H82" i="7"/>
  <c r="I81" i="7"/>
  <c r="H80" i="7"/>
  <c r="I76" i="7"/>
  <c r="H75" i="7"/>
  <c r="I74" i="7"/>
  <c r="H73" i="7"/>
  <c r="H71" i="7"/>
  <c r="J70" i="7"/>
  <c r="I69" i="7"/>
  <c r="I67" i="7"/>
  <c r="H66" i="7"/>
  <c r="J65" i="7"/>
  <c r="C65" i="7"/>
  <c r="H63" i="7"/>
  <c r="I59" i="7"/>
  <c r="H58" i="7"/>
  <c r="I54" i="7"/>
  <c r="H53" i="7"/>
  <c r="E53" i="7"/>
  <c r="D53" i="7"/>
  <c r="C53" i="7" s="1"/>
  <c r="J50" i="7"/>
  <c r="I49" i="7"/>
  <c r="H48" i="7"/>
  <c r="E47" i="7"/>
  <c r="D47" i="7"/>
  <c r="E46" i="7"/>
  <c r="D46" i="7"/>
  <c r="J45" i="7"/>
  <c r="I44" i="7"/>
  <c r="J43" i="7"/>
  <c r="I42" i="7"/>
  <c r="H41" i="7"/>
  <c r="E40" i="7"/>
  <c r="E121" i="7" s="1"/>
  <c r="D40" i="7"/>
  <c r="D122" i="7" s="1"/>
  <c r="J39" i="7"/>
  <c r="K39" i="7" s="1"/>
  <c r="H38" i="7"/>
  <c r="C38" i="7"/>
  <c r="D42" i="7" s="1"/>
  <c r="H37" i="7"/>
  <c r="C37" i="7"/>
  <c r="J36" i="7"/>
  <c r="I36" i="7"/>
  <c r="I35" i="7"/>
  <c r="H35" i="7"/>
  <c r="J34" i="7"/>
  <c r="I34" i="7"/>
  <c r="J33" i="7"/>
  <c r="I33" i="7"/>
  <c r="H33" i="7"/>
  <c r="C33" i="7"/>
  <c r="K32" i="7"/>
  <c r="J32" i="7"/>
  <c r="C32" i="7"/>
  <c r="K31" i="7"/>
  <c r="J31" i="7"/>
  <c r="H31" i="7"/>
  <c r="C31" i="7"/>
  <c r="C47" i="7" s="1"/>
  <c r="I30" i="7"/>
  <c r="H30" i="7"/>
  <c r="C30" i="7"/>
  <c r="J29" i="7"/>
  <c r="I29" i="7"/>
  <c r="H29" i="7"/>
  <c r="C29" i="7"/>
  <c r="E28" i="7"/>
  <c r="E123" i="7" s="1"/>
  <c r="D28" i="7"/>
  <c r="D123" i="7" s="1"/>
  <c r="C28" i="7"/>
  <c r="C123" i="7" s="1"/>
  <c r="E27" i="7"/>
  <c r="D27" i="7"/>
  <c r="C27" i="7"/>
  <c r="E26" i="7"/>
  <c r="D26" i="7"/>
  <c r="C26" i="7"/>
  <c r="E25" i="7"/>
  <c r="D25" i="7"/>
  <c r="C25" i="7" s="1"/>
  <c r="C24" i="7"/>
  <c r="C23" i="7"/>
  <c r="D48" i="6"/>
  <c r="D47" i="6"/>
  <c r="D41" i="6"/>
  <c r="D40" i="6"/>
  <c r="D38" i="6"/>
  <c r="D37" i="6"/>
  <c r="D36" i="6"/>
  <c r="E21" i="6"/>
  <c r="C21" i="6" s="1"/>
  <c r="C37" i="6" s="1"/>
  <c r="E20" i="6"/>
  <c r="E36" i="6" s="1"/>
  <c r="E19" i="6"/>
  <c r="C19" i="6" s="1"/>
  <c r="E18" i="6"/>
  <c r="C18" i="6" s="1"/>
  <c r="B5" i="6"/>
  <c r="AW133" i="5"/>
  <c r="AV133" i="5"/>
  <c r="AR133" i="5"/>
  <c r="AM133" i="5"/>
  <c r="AW132" i="5"/>
  <c r="AV132" i="5"/>
  <c r="AR132" i="5"/>
  <c r="AM132" i="5"/>
  <c r="AW131" i="5"/>
  <c r="AV131" i="5"/>
  <c r="AR131" i="5"/>
  <c r="AM131" i="5"/>
  <c r="AW130" i="5"/>
  <c r="AV130" i="5"/>
  <c r="AR130" i="5"/>
  <c r="AM130" i="5"/>
  <c r="AW129" i="5"/>
  <c r="AV129" i="5"/>
  <c r="AR129" i="5"/>
  <c r="AM129" i="5"/>
  <c r="AW128" i="5"/>
  <c r="AV128" i="5"/>
  <c r="AR128" i="5"/>
  <c r="AM128" i="5"/>
  <c r="AW127" i="5"/>
  <c r="AV127" i="5"/>
  <c r="AR127" i="5"/>
  <c r="AM127" i="5"/>
  <c r="AW126" i="5"/>
  <c r="AV126" i="5"/>
  <c r="AR126" i="5"/>
  <c r="AM126" i="5"/>
  <c r="AW125" i="5"/>
  <c r="AV125" i="5"/>
  <c r="AR125" i="5"/>
  <c r="AM125" i="5"/>
  <c r="AW124" i="5"/>
  <c r="AV124" i="5"/>
  <c r="AR124" i="5"/>
  <c r="AM124" i="5"/>
  <c r="AW123" i="5"/>
  <c r="AV123" i="5"/>
  <c r="AR123" i="5"/>
  <c r="AM123" i="5"/>
  <c r="AW122" i="5"/>
  <c r="AV122" i="5"/>
  <c r="AR122" i="5"/>
  <c r="AM122" i="5"/>
  <c r="AW121" i="5"/>
  <c r="AV121" i="5"/>
  <c r="AR121" i="5"/>
  <c r="AM121" i="5"/>
  <c r="AW120" i="5"/>
  <c r="AV120" i="5"/>
  <c r="AR120" i="5"/>
  <c r="AM120" i="5"/>
  <c r="AW119" i="5"/>
  <c r="AV119" i="5"/>
  <c r="AR119" i="5"/>
  <c r="AM119" i="5"/>
  <c r="AW118" i="5"/>
  <c r="AV118" i="5"/>
  <c r="AR118" i="5"/>
  <c r="AM118" i="5"/>
  <c r="AW117" i="5"/>
  <c r="AV117" i="5"/>
  <c r="AR117" i="5"/>
  <c r="AM117" i="5"/>
  <c r="AW116" i="5"/>
  <c r="AV116" i="5"/>
  <c r="AR116" i="5"/>
  <c r="AM116" i="5"/>
  <c r="AW115" i="5"/>
  <c r="AV115" i="5"/>
  <c r="AR115" i="5"/>
  <c r="AM115" i="5"/>
  <c r="AW114" i="5"/>
  <c r="AV114" i="5"/>
  <c r="AR114" i="5"/>
  <c r="AM114" i="5"/>
  <c r="AW113" i="5"/>
  <c r="AV113" i="5"/>
  <c r="AR113" i="5"/>
  <c r="AM113" i="5"/>
  <c r="AW112" i="5"/>
  <c r="AV112" i="5"/>
  <c r="AR112" i="5"/>
  <c r="AM112" i="5"/>
  <c r="AW111" i="5"/>
  <c r="AV111" i="5"/>
  <c r="AR111" i="5"/>
  <c r="AM111" i="5"/>
  <c r="AW110" i="5"/>
  <c r="AV110" i="5"/>
  <c r="AR110" i="5"/>
  <c r="AM110" i="5"/>
  <c r="AW109" i="5"/>
  <c r="AV109" i="5"/>
  <c r="AR109" i="5"/>
  <c r="AM109" i="5"/>
  <c r="AW108" i="5"/>
  <c r="AV108" i="5"/>
  <c r="AR108" i="5"/>
  <c r="AM108" i="5"/>
  <c r="AW107" i="5"/>
  <c r="AV107" i="5"/>
  <c r="AR107" i="5"/>
  <c r="AM107" i="5"/>
  <c r="AR106" i="5"/>
  <c r="AR105" i="5"/>
  <c r="AR104" i="5"/>
  <c r="CI25" i="5"/>
  <c r="CE25" i="5"/>
  <c r="CA25" i="5"/>
  <c r="BW25" i="5"/>
  <c r="CI24" i="5"/>
  <c r="CE24" i="5"/>
  <c r="CA24" i="5"/>
  <c r="BW24" i="5"/>
  <c r="CI23" i="5"/>
  <c r="CE23" i="5"/>
  <c r="CA23" i="5"/>
  <c r="BW23" i="5"/>
  <c r="CI22" i="5"/>
  <c r="CE22" i="5"/>
  <c r="CA22" i="5"/>
  <c r="BW22" i="5"/>
  <c r="CI21" i="5"/>
  <c r="CE21" i="5"/>
  <c r="CA21" i="5"/>
  <c r="BW21" i="5"/>
  <c r="CI20" i="5"/>
  <c r="CE20" i="5"/>
  <c r="CA20" i="5"/>
  <c r="BW20" i="5"/>
  <c r="CI19" i="5"/>
  <c r="CE19" i="5"/>
  <c r="CA19" i="5"/>
  <c r="BW19" i="5"/>
  <c r="CI18" i="5"/>
  <c r="CE18" i="5"/>
  <c r="CA18" i="5"/>
  <c r="BW18" i="5"/>
  <c r="CI17" i="5"/>
  <c r="CE17" i="5"/>
  <c r="CA17" i="5"/>
  <c r="BW17" i="5"/>
  <c r="CI16" i="5"/>
  <c r="CE16" i="5"/>
  <c r="CA16" i="5"/>
  <c r="BW16" i="5"/>
  <c r="CI15" i="5"/>
  <c r="CE15" i="5"/>
  <c r="CA15" i="5"/>
  <c r="BW15" i="5"/>
  <c r="CI14" i="5"/>
  <c r="CE14" i="5"/>
  <c r="CA14" i="5"/>
  <c r="BW14" i="5"/>
  <c r="CI13" i="5"/>
  <c r="CE13" i="5"/>
  <c r="CA13" i="5"/>
  <c r="BW13" i="5"/>
  <c r="CI12" i="5"/>
  <c r="CE12" i="5"/>
  <c r="CA12" i="5"/>
  <c r="BW12" i="5"/>
  <c r="CI11" i="5"/>
  <c r="CE11" i="5"/>
  <c r="CA11" i="5"/>
  <c r="BW11" i="5"/>
  <c r="CI10" i="5"/>
  <c r="CE10" i="5"/>
  <c r="CA10" i="5"/>
  <c r="BW10" i="5"/>
  <c r="CI9" i="5"/>
  <c r="CE9" i="5"/>
  <c r="CA9" i="5"/>
  <c r="BW9" i="5"/>
  <c r="CI8" i="5"/>
  <c r="CE8" i="5"/>
  <c r="CA8" i="5"/>
  <c r="BW8" i="5"/>
  <c r="CI7" i="5"/>
  <c r="CE7" i="5"/>
  <c r="CA7" i="5"/>
  <c r="BW7" i="5"/>
  <c r="CI6" i="5"/>
  <c r="CE6" i="5"/>
  <c r="CA6" i="5"/>
  <c r="BW6" i="5"/>
  <c r="E17" i="6" l="1" a="1"/>
  <c r="E17" i="6" s="1"/>
  <c r="D50" i="7"/>
  <c r="E37" i="6"/>
  <c r="C91" i="7"/>
  <c r="C46" i="7"/>
  <c r="J52" i="7"/>
  <c r="J77" i="7"/>
  <c r="J92" i="7"/>
  <c r="J57" i="7"/>
  <c r="J62" i="7"/>
  <c r="J99" i="7"/>
  <c r="K99" i="7" s="1"/>
  <c r="C20" i="6"/>
  <c r="C36" i="6" s="1"/>
  <c r="J68" i="7"/>
  <c r="D112" i="7"/>
  <c r="D114" i="7"/>
  <c r="D107" i="7"/>
  <c r="E42" i="7"/>
  <c r="E50" i="7" s="1"/>
  <c r="E63" i="7"/>
  <c r="E58" i="7"/>
  <c r="E55" i="7"/>
  <c r="E56" i="7"/>
  <c r="E59" i="7" s="1"/>
  <c r="E122" i="7"/>
  <c r="E113" i="7" s="1"/>
  <c r="E118" i="7" s="1"/>
  <c r="E41" i="7"/>
  <c r="J85" i="7"/>
  <c r="E112" i="7"/>
  <c r="E117" i="7" s="1"/>
  <c r="E114" i="7"/>
  <c r="E119" i="7" s="1"/>
  <c r="D49" i="8"/>
  <c r="J55" i="7"/>
  <c r="J60" i="7"/>
  <c r="J87" i="7"/>
  <c r="J97" i="7"/>
  <c r="I149" i="7"/>
  <c r="I147" i="7"/>
  <c r="H149" i="7"/>
  <c r="H147" i="7"/>
  <c r="H145" i="7"/>
  <c r="H143" i="7"/>
  <c r="H141" i="7"/>
  <c r="K148" i="7"/>
  <c r="K146" i="7"/>
  <c r="K144" i="7"/>
  <c r="K142" i="7"/>
  <c r="K140" i="7"/>
  <c r="I148" i="7"/>
  <c r="H148" i="7"/>
  <c r="H146" i="7"/>
  <c r="H144" i="7"/>
  <c r="H142" i="7"/>
  <c r="K149" i="7"/>
  <c r="K147" i="7"/>
  <c r="K145" i="7"/>
  <c r="K143" i="7"/>
  <c r="K141" i="7"/>
  <c r="J38" i="7"/>
  <c r="K38" i="7" s="1"/>
  <c r="H42" i="7"/>
  <c r="H44" i="7"/>
  <c r="I52" i="7"/>
  <c r="J53" i="7"/>
  <c r="K53" i="7" s="1"/>
  <c r="I57" i="7"/>
  <c r="J58" i="7"/>
  <c r="K58" i="7" s="1"/>
  <c r="I62" i="7"/>
  <c r="J63" i="7"/>
  <c r="K63" i="7" s="1"/>
  <c r="I65" i="7"/>
  <c r="J66" i="7"/>
  <c r="K66" i="7" s="1"/>
  <c r="H69" i="7"/>
  <c r="I70" i="7"/>
  <c r="J71" i="7"/>
  <c r="K71" i="7" s="1"/>
  <c r="J73" i="7"/>
  <c r="K73" i="7" s="1"/>
  <c r="H76" i="7"/>
  <c r="I77" i="7"/>
  <c r="J83" i="7"/>
  <c r="K83" i="7" s="1"/>
  <c r="I87" i="7"/>
  <c r="J88" i="7"/>
  <c r="K88" i="7" s="1"/>
  <c r="H91" i="7"/>
  <c r="I92" i="7"/>
  <c r="I99" i="7"/>
  <c r="I101" i="7"/>
  <c r="I103" i="7"/>
  <c r="I105" i="7"/>
  <c r="K109" i="7"/>
  <c r="K111" i="7"/>
  <c r="J115" i="7"/>
  <c r="H118" i="7"/>
  <c r="I119" i="7"/>
  <c r="D121" i="7"/>
  <c r="H123" i="7"/>
  <c r="H125" i="7"/>
  <c r="H127" i="7"/>
  <c r="H129" i="7"/>
  <c r="H131" i="7"/>
  <c r="H133" i="7"/>
  <c r="H135" i="7"/>
  <c r="H137" i="7"/>
  <c r="H139" i="7"/>
  <c r="J141" i="7"/>
  <c r="J145" i="7"/>
  <c r="D77" i="9"/>
  <c r="J35" i="7"/>
  <c r="K35" i="7" s="1"/>
  <c r="I37" i="7"/>
  <c r="C39" i="7"/>
  <c r="H40" i="7"/>
  <c r="I41" i="7"/>
  <c r="J42" i="7"/>
  <c r="K42" i="7" s="1"/>
  <c r="J44" i="7"/>
  <c r="H47" i="7"/>
  <c r="I48" i="7"/>
  <c r="K52" i="7"/>
  <c r="D55" i="7"/>
  <c r="K57" i="7"/>
  <c r="K62" i="7"/>
  <c r="H64" i="7"/>
  <c r="K65" i="7"/>
  <c r="J69" i="7"/>
  <c r="K70" i="7"/>
  <c r="H72" i="7"/>
  <c r="I75" i="7"/>
  <c r="J76" i="7"/>
  <c r="K77" i="7"/>
  <c r="H79" i="7"/>
  <c r="I80" i="7"/>
  <c r="I82" i="7"/>
  <c r="K87" i="7"/>
  <c r="I90" i="7"/>
  <c r="J91" i="7"/>
  <c r="K92" i="7"/>
  <c r="H94" i="7"/>
  <c r="I95" i="7"/>
  <c r="K101" i="7"/>
  <c r="K103" i="7"/>
  <c r="K105" i="7"/>
  <c r="H107" i="7"/>
  <c r="I108" i="7"/>
  <c r="I110" i="7"/>
  <c r="H114" i="7"/>
  <c r="H116" i="7"/>
  <c r="I117" i="7"/>
  <c r="J118" i="7"/>
  <c r="K119" i="7"/>
  <c r="H121" i="7"/>
  <c r="I122" i="7"/>
  <c r="J123" i="7"/>
  <c r="J125" i="7"/>
  <c r="J127" i="7"/>
  <c r="J129" i="7"/>
  <c r="J131" i="7"/>
  <c r="J133" i="7"/>
  <c r="J135" i="7"/>
  <c r="J137" i="7"/>
  <c r="J139" i="7"/>
  <c r="J142" i="7"/>
  <c r="J146" i="7"/>
  <c r="J41" i="8"/>
  <c r="J30" i="7"/>
  <c r="H32" i="7"/>
  <c r="K33" i="7"/>
  <c r="J37" i="7"/>
  <c r="K37" i="7" s="1"/>
  <c r="H39" i="7"/>
  <c r="I40" i="7"/>
  <c r="J41" i="7"/>
  <c r="K44" i="7"/>
  <c r="H46" i="7"/>
  <c r="I47" i="7"/>
  <c r="J48" i="7"/>
  <c r="K48" i="7" s="1"/>
  <c r="H51" i="7"/>
  <c r="H56" i="7"/>
  <c r="H61" i="7"/>
  <c r="I64" i="7"/>
  <c r="K69" i="7"/>
  <c r="I72" i="7"/>
  <c r="J75" i="7"/>
  <c r="K76" i="7"/>
  <c r="H78" i="7"/>
  <c r="I79" i="7"/>
  <c r="J80" i="7"/>
  <c r="K80" i="7" s="1"/>
  <c r="J82" i="7"/>
  <c r="H86" i="7"/>
  <c r="J90" i="7"/>
  <c r="K91" i="7"/>
  <c r="H93" i="7"/>
  <c r="I94" i="7"/>
  <c r="J95" i="7"/>
  <c r="H98" i="7"/>
  <c r="H100" i="7"/>
  <c r="H102" i="7"/>
  <c r="H104" i="7"/>
  <c r="H106" i="7"/>
  <c r="I107" i="7"/>
  <c r="J108" i="7"/>
  <c r="J110" i="7"/>
  <c r="H113" i="7"/>
  <c r="I114" i="7"/>
  <c r="I116" i="7"/>
  <c r="J117" i="7"/>
  <c r="K118" i="7"/>
  <c r="H120" i="7"/>
  <c r="I121" i="7"/>
  <c r="J122" i="7"/>
  <c r="K123" i="7"/>
  <c r="K125" i="7"/>
  <c r="K127" i="7"/>
  <c r="K129" i="7"/>
  <c r="K131" i="7"/>
  <c r="K133" i="7"/>
  <c r="K135" i="7"/>
  <c r="K137" i="7"/>
  <c r="K139" i="7"/>
  <c r="I143" i="7"/>
  <c r="J147" i="7"/>
  <c r="D14" i="9"/>
  <c r="D124" i="9"/>
  <c r="K30" i="7"/>
  <c r="I32" i="7"/>
  <c r="H34" i="7"/>
  <c r="H36" i="7"/>
  <c r="I39" i="7"/>
  <c r="J40" i="7"/>
  <c r="K41" i="7"/>
  <c r="H43" i="7"/>
  <c r="H45" i="7"/>
  <c r="I46" i="7"/>
  <c r="J47" i="7"/>
  <c r="H50" i="7"/>
  <c r="I51" i="7"/>
  <c r="H55" i="7"/>
  <c r="I56" i="7"/>
  <c r="D58" i="7"/>
  <c r="H60" i="7"/>
  <c r="I61" i="7"/>
  <c r="D63" i="7"/>
  <c r="C63" i="7" s="1"/>
  <c r="J64" i="7"/>
  <c r="H68" i="7"/>
  <c r="J72" i="7"/>
  <c r="K72" i="7" s="1"/>
  <c r="K75" i="7"/>
  <c r="I78" i="7"/>
  <c r="J79" i="7"/>
  <c r="K79" i="7" s="1"/>
  <c r="K82" i="7"/>
  <c r="H85" i="7"/>
  <c r="I86" i="7"/>
  <c r="K90" i="7"/>
  <c r="I93" i="7"/>
  <c r="J94" i="7"/>
  <c r="K95" i="7"/>
  <c r="H97" i="7"/>
  <c r="I98" i="7"/>
  <c r="I100" i="7"/>
  <c r="I102" i="7"/>
  <c r="I104" i="7"/>
  <c r="I106" i="7"/>
  <c r="J107" i="7"/>
  <c r="K108" i="7"/>
  <c r="K110" i="7"/>
  <c r="H112" i="7"/>
  <c r="I113" i="7"/>
  <c r="J114" i="7"/>
  <c r="J116" i="7"/>
  <c r="K117" i="7"/>
  <c r="I120" i="7"/>
  <c r="J121" i="7"/>
  <c r="K122" i="7"/>
  <c r="H124" i="7"/>
  <c r="H126" i="7"/>
  <c r="H128" i="7"/>
  <c r="H130" i="7"/>
  <c r="H132" i="7"/>
  <c r="H134" i="7"/>
  <c r="H136" i="7"/>
  <c r="H138" i="7"/>
  <c r="H140" i="7"/>
  <c r="J143" i="7"/>
  <c r="J148" i="7"/>
  <c r="J33" i="8"/>
  <c r="K40" i="7"/>
  <c r="I43" i="7"/>
  <c r="I45" i="7"/>
  <c r="J46" i="7"/>
  <c r="K46" i="7" s="1"/>
  <c r="K47" i="7"/>
  <c r="H49" i="7"/>
  <c r="I50" i="7"/>
  <c r="J51" i="7"/>
  <c r="K51" i="7" s="1"/>
  <c r="H54" i="7"/>
  <c r="I55" i="7"/>
  <c r="J56" i="7"/>
  <c r="K56" i="7" s="1"/>
  <c r="H59" i="7"/>
  <c r="I60" i="7"/>
  <c r="J61" i="7"/>
  <c r="K61" i="7" s="1"/>
  <c r="K64" i="7"/>
  <c r="H67" i="7"/>
  <c r="I68" i="7"/>
  <c r="H74" i="7"/>
  <c r="J78" i="7"/>
  <c r="K78" i="7" s="1"/>
  <c r="H81" i="7"/>
  <c r="H84" i="7"/>
  <c r="I85" i="7"/>
  <c r="J86" i="7"/>
  <c r="K86" i="7" s="1"/>
  <c r="H89" i="7"/>
  <c r="J93" i="7"/>
  <c r="K93" i="7" s="1"/>
  <c r="K94" i="7"/>
  <c r="H96" i="7"/>
  <c r="I97" i="7"/>
  <c r="J98" i="7"/>
  <c r="K98" i="7" s="1"/>
  <c r="J100" i="7"/>
  <c r="K100" i="7" s="1"/>
  <c r="J102" i="7"/>
  <c r="J104" i="7"/>
  <c r="J106" i="7"/>
  <c r="K107" i="7"/>
  <c r="H109" i="7"/>
  <c r="H111" i="7"/>
  <c r="I112" i="7"/>
  <c r="J113" i="7"/>
  <c r="K114" i="7"/>
  <c r="K116" i="7"/>
  <c r="J120" i="7"/>
  <c r="K121" i="7"/>
  <c r="I124" i="7"/>
  <c r="I126" i="7"/>
  <c r="I128" i="7"/>
  <c r="I130" i="7"/>
  <c r="I132" i="7"/>
  <c r="I134" i="7"/>
  <c r="I136" i="7"/>
  <c r="I138" i="7"/>
  <c r="I140" i="7"/>
  <c r="I144" i="7"/>
  <c r="J149" i="7"/>
  <c r="K106" i="7"/>
  <c r="I109" i="7"/>
  <c r="I111" i="7"/>
  <c r="J112" i="7"/>
  <c r="K113" i="7"/>
  <c r="H115" i="7"/>
  <c r="K120" i="7"/>
  <c r="J124" i="7"/>
  <c r="J126" i="7"/>
  <c r="J128" i="7"/>
  <c r="J130" i="7"/>
  <c r="J132" i="7"/>
  <c r="J134" i="7"/>
  <c r="J136" i="7"/>
  <c r="J138" i="7"/>
  <c r="J140" i="7"/>
  <c r="J144" i="7"/>
  <c r="E46" i="8"/>
  <c r="C46" i="8" s="1"/>
  <c r="E47" i="8"/>
  <c r="E31" i="8"/>
  <c r="E32" i="8"/>
  <c r="E41" i="8" s="1"/>
  <c r="E33" i="8"/>
  <c r="E49" i="8" s="1"/>
  <c r="J35" i="8"/>
  <c r="C47" i="8"/>
  <c r="K29" i="7"/>
  <c r="I31" i="7"/>
  <c r="K34" i="7"/>
  <c r="K36" i="7"/>
  <c r="I38" i="7"/>
  <c r="C40" i="7"/>
  <c r="D41" i="7"/>
  <c r="K43" i="7"/>
  <c r="K45" i="7"/>
  <c r="J49" i="7"/>
  <c r="K49" i="7" s="1"/>
  <c r="K50" i="7"/>
  <c r="H52" i="7"/>
  <c r="I53" i="7"/>
  <c r="J54" i="7"/>
  <c r="K54" i="7" s="1"/>
  <c r="K55" i="7"/>
  <c r="H57" i="7"/>
  <c r="I58" i="7"/>
  <c r="J59" i="7"/>
  <c r="K59" i="7" s="1"/>
  <c r="K60" i="7"/>
  <c r="H62" i="7"/>
  <c r="I63" i="7"/>
  <c r="H65" i="7"/>
  <c r="I66" i="7"/>
  <c r="J67" i="7"/>
  <c r="K67" i="7" s="1"/>
  <c r="K68" i="7"/>
  <c r="H70" i="7"/>
  <c r="I71" i="7"/>
  <c r="I73" i="7"/>
  <c r="J74" i="7"/>
  <c r="K74" i="7" s="1"/>
  <c r="H77" i="7"/>
  <c r="J81" i="7"/>
  <c r="K81" i="7" s="1"/>
  <c r="I83" i="7"/>
  <c r="J84" i="7"/>
  <c r="K84" i="7" s="1"/>
  <c r="K85" i="7"/>
  <c r="H87" i="7"/>
  <c r="I88" i="7"/>
  <c r="J89" i="7"/>
  <c r="K89" i="7" s="1"/>
  <c r="H92" i="7"/>
  <c r="J96" i="7"/>
  <c r="K96" i="7" s="1"/>
  <c r="K97" i="7"/>
  <c r="H99" i="7"/>
  <c r="H101" i="7"/>
  <c r="H103" i="7"/>
  <c r="H105" i="7"/>
  <c r="J109" i="7"/>
  <c r="J111" i="7"/>
  <c r="K112" i="7"/>
  <c r="I115" i="7"/>
  <c r="H119" i="7"/>
  <c r="K124" i="7"/>
  <c r="K126" i="7"/>
  <c r="K128" i="7"/>
  <c r="K130" i="7"/>
  <c r="K132" i="7"/>
  <c r="K134" i="7"/>
  <c r="K136" i="7"/>
  <c r="K138" i="7"/>
  <c r="I141" i="7"/>
  <c r="I145" i="7"/>
  <c r="J36" i="8"/>
  <c r="J47" i="8"/>
  <c r="C29" i="8"/>
  <c r="D32" i="8"/>
  <c r="K34" i="8"/>
  <c r="K36" i="8"/>
  <c r="J40" i="8"/>
  <c r="K41" i="8"/>
  <c r="H43" i="8"/>
  <c r="H44" i="8"/>
  <c r="I44" i="8" s="1"/>
  <c r="I45" i="8"/>
  <c r="J46" i="8"/>
  <c r="K47" i="8"/>
  <c r="I50" i="8"/>
  <c r="I52" i="8"/>
  <c r="I54" i="8"/>
  <c r="I56" i="8"/>
  <c r="I58" i="8"/>
  <c r="I60" i="8"/>
  <c r="I62" i="8"/>
  <c r="I64" i="8"/>
  <c r="I66" i="8"/>
  <c r="I68" i="8"/>
  <c r="I70" i="8"/>
  <c r="I72" i="8"/>
  <c r="I74" i="8"/>
  <c r="I76" i="8"/>
  <c r="I78" i="8"/>
  <c r="I80" i="8"/>
  <c r="I82" i="8"/>
  <c r="I84" i="8"/>
  <c r="I86" i="8"/>
  <c r="I88" i="8"/>
  <c r="I90" i="8"/>
  <c r="I92" i="8"/>
  <c r="I94" i="8"/>
  <c r="I96" i="8"/>
  <c r="K98" i="8"/>
  <c r="K101" i="8"/>
  <c r="I105" i="8"/>
  <c r="H108" i="8"/>
  <c r="J111" i="8"/>
  <c r="K114" i="8"/>
  <c r="K117" i="8"/>
  <c r="I121" i="8"/>
  <c r="H124" i="8"/>
  <c r="J127" i="8"/>
  <c r="K130" i="8"/>
  <c r="H134" i="8"/>
  <c r="H138" i="8"/>
  <c r="H141" i="8"/>
  <c r="H145" i="8"/>
  <c r="K148" i="8"/>
  <c r="D71" i="9"/>
  <c r="C30" i="8"/>
  <c r="D31" i="8"/>
  <c r="H33" i="8"/>
  <c r="H35" i="8"/>
  <c r="I35" i="8" s="1"/>
  <c r="K40" i="8"/>
  <c r="I43" i="8"/>
  <c r="J45" i="8"/>
  <c r="K45" i="8" s="1"/>
  <c r="K46" i="8"/>
  <c r="J50" i="8"/>
  <c r="J52" i="8"/>
  <c r="J54" i="8"/>
  <c r="K54" i="8" s="1"/>
  <c r="J56" i="8"/>
  <c r="K56" i="8" s="1"/>
  <c r="J58" i="8"/>
  <c r="J60" i="8"/>
  <c r="J62" i="8"/>
  <c r="K62" i="8" s="1"/>
  <c r="J64" i="8"/>
  <c r="J66" i="8"/>
  <c r="J68" i="8"/>
  <c r="J70" i="8"/>
  <c r="K70" i="8" s="1"/>
  <c r="J72" i="8"/>
  <c r="K72" i="8" s="1"/>
  <c r="J74" i="8"/>
  <c r="J76" i="8"/>
  <c r="J78" i="8"/>
  <c r="K78" i="8" s="1"/>
  <c r="J80" i="8"/>
  <c r="J82" i="8"/>
  <c r="J84" i="8"/>
  <c r="J86" i="8"/>
  <c r="K86" i="8" s="1"/>
  <c r="J88" i="8"/>
  <c r="K88" i="8" s="1"/>
  <c r="J90" i="8"/>
  <c r="J92" i="8"/>
  <c r="J94" i="8"/>
  <c r="J96" i="8"/>
  <c r="I99" i="8"/>
  <c r="H102" i="8"/>
  <c r="J105" i="8"/>
  <c r="K108" i="8"/>
  <c r="K111" i="8"/>
  <c r="I115" i="8"/>
  <c r="H118" i="8"/>
  <c r="J121" i="8"/>
  <c r="K124" i="8"/>
  <c r="K127" i="8"/>
  <c r="I131" i="8"/>
  <c r="I134" i="8"/>
  <c r="I138" i="8"/>
  <c r="H142" i="8"/>
  <c r="I145" i="8"/>
  <c r="I149" i="8"/>
  <c r="D50" i="9"/>
  <c r="D114" i="9"/>
  <c r="H32" i="8"/>
  <c r="I32" i="8" s="1"/>
  <c r="I33" i="8"/>
  <c r="H39" i="8"/>
  <c r="I39" i="8" s="1"/>
  <c r="J43" i="8"/>
  <c r="K43" i="8" s="1"/>
  <c r="J44" i="8"/>
  <c r="K44" i="8" s="1"/>
  <c r="K50" i="8"/>
  <c r="K52" i="8"/>
  <c r="K58" i="8"/>
  <c r="K60" i="8"/>
  <c r="K64" i="8"/>
  <c r="K66" i="8"/>
  <c r="K68" i="8"/>
  <c r="K74" i="8"/>
  <c r="K76" i="8"/>
  <c r="K80" i="8"/>
  <c r="K82" i="8"/>
  <c r="K84" i="8"/>
  <c r="K90" i="8"/>
  <c r="K92" i="8"/>
  <c r="K94" i="8"/>
  <c r="K96" i="8"/>
  <c r="J99" i="8"/>
  <c r="K102" i="8"/>
  <c r="K105" i="8"/>
  <c r="I109" i="8"/>
  <c r="H112" i="8"/>
  <c r="J115" i="8"/>
  <c r="K118" i="8"/>
  <c r="K121" i="8"/>
  <c r="I125" i="8"/>
  <c r="H128" i="8"/>
  <c r="J131" i="8"/>
  <c r="H135" i="8"/>
  <c r="J138" i="8"/>
  <c r="J142" i="8"/>
  <c r="J145" i="8"/>
  <c r="J149" i="8"/>
  <c r="D47" i="9"/>
  <c r="D111" i="9"/>
  <c r="H30" i="8"/>
  <c r="I31" i="8"/>
  <c r="J32" i="8"/>
  <c r="K32" i="8" s="1"/>
  <c r="K33" i="8"/>
  <c r="K35" i="8"/>
  <c r="H37" i="8"/>
  <c r="I38" i="8"/>
  <c r="J39" i="8"/>
  <c r="H42" i="8"/>
  <c r="H48" i="8"/>
  <c r="I49" i="8"/>
  <c r="I51" i="8"/>
  <c r="I53" i="8"/>
  <c r="I55" i="8"/>
  <c r="I57" i="8"/>
  <c r="I59" i="8"/>
  <c r="I61" i="8"/>
  <c r="I63" i="8"/>
  <c r="I65" i="8"/>
  <c r="I67" i="8"/>
  <c r="I69" i="8"/>
  <c r="I71" i="8"/>
  <c r="I73" i="8"/>
  <c r="I75" i="8"/>
  <c r="I77" i="8"/>
  <c r="I79" i="8"/>
  <c r="I81" i="8"/>
  <c r="I83" i="8"/>
  <c r="I85" i="8"/>
  <c r="I87" i="8"/>
  <c r="I89" i="8"/>
  <c r="I91" i="8"/>
  <c r="I93" i="8"/>
  <c r="I95" i="8"/>
  <c r="I97" i="8"/>
  <c r="H100" i="8"/>
  <c r="J103" i="8"/>
  <c r="K106" i="8"/>
  <c r="K109" i="8"/>
  <c r="I113" i="8"/>
  <c r="H116" i="8"/>
  <c r="J119" i="8"/>
  <c r="K122" i="8"/>
  <c r="K125" i="8"/>
  <c r="I129" i="8"/>
  <c r="H132" i="8"/>
  <c r="H136" i="8"/>
  <c r="J139" i="8"/>
  <c r="H143" i="8"/>
  <c r="H147" i="8"/>
  <c r="I150" i="8"/>
  <c r="D18" i="9"/>
  <c r="D103" i="9"/>
  <c r="I30" i="8"/>
  <c r="J31" i="8"/>
  <c r="K31" i="8" s="1"/>
  <c r="H34" i="8"/>
  <c r="H36" i="8"/>
  <c r="I37" i="8"/>
  <c r="J38" i="8"/>
  <c r="K38" i="8" s="1"/>
  <c r="K39" i="8"/>
  <c r="H41" i="8"/>
  <c r="I42" i="8"/>
  <c r="H47" i="8"/>
  <c r="I48" i="8"/>
  <c r="J49" i="8"/>
  <c r="J51" i="8"/>
  <c r="K51" i="8" s="1"/>
  <c r="J53" i="8"/>
  <c r="K53" i="8" s="1"/>
  <c r="J55" i="8"/>
  <c r="J57" i="8"/>
  <c r="J59" i="8"/>
  <c r="K59" i="8" s="1"/>
  <c r="J61" i="8"/>
  <c r="J63" i="8"/>
  <c r="J65" i="8"/>
  <c r="J67" i="8"/>
  <c r="K67" i="8" s="1"/>
  <c r="J69" i="8"/>
  <c r="K69" i="8" s="1"/>
  <c r="J71" i="8"/>
  <c r="J73" i="8"/>
  <c r="J75" i="8"/>
  <c r="K75" i="8" s="1"/>
  <c r="J77" i="8"/>
  <c r="J79" i="8"/>
  <c r="J81" i="8"/>
  <c r="J83" i="8"/>
  <c r="K83" i="8" s="1"/>
  <c r="J85" i="8"/>
  <c r="K85" i="8" s="1"/>
  <c r="J87" i="8"/>
  <c r="J89" i="8"/>
  <c r="J91" i="8"/>
  <c r="J93" i="8"/>
  <c r="J95" i="8"/>
  <c r="J97" i="8"/>
  <c r="K100" i="8"/>
  <c r="K103" i="8"/>
  <c r="I107" i="8"/>
  <c r="H110" i="8"/>
  <c r="J113" i="8"/>
  <c r="K116" i="8"/>
  <c r="K119" i="8"/>
  <c r="I123" i="8"/>
  <c r="H126" i="8"/>
  <c r="J129" i="8"/>
  <c r="K132" i="8"/>
  <c r="I136" i="8"/>
  <c r="I140" i="8"/>
  <c r="I143" i="8"/>
  <c r="D82" i="9"/>
  <c r="K149" i="8"/>
  <c r="K147" i="8"/>
  <c r="K145" i="8"/>
  <c r="K143" i="8"/>
  <c r="K141" i="8"/>
  <c r="K139" i="8"/>
  <c r="K137" i="8"/>
  <c r="K135" i="8"/>
  <c r="K133" i="8"/>
  <c r="H149" i="8"/>
  <c r="K146" i="8"/>
  <c r="J144" i="8"/>
  <c r="I142" i="8"/>
  <c r="H140" i="8"/>
  <c r="J137" i="8"/>
  <c r="I135" i="8"/>
  <c r="H133" i="8"/>
  <c r="H131" i="8"/>
  <c r="H129" i="8"/>
  <c r="H127" i="8"/>
  <c r="H125" i="8"/>
  <c r="H123" i="8"/>
  <c r="H121" i="8"/>
  <c r="H119" i="8"/>
  <c r="H117" i="8"/>
  <c r="H115" i="8"/>
  <c r="H113" i="8"/>
  <c r="H111" i="8"/>
  <c r="H109" i="8"/>
  <c r="H107" i="8"/>
  <c r="H105" i="8"/>
  <c r="H103" i="8"/>
  <c r="H101" i="8"/>
  <c r="H99" i="8"/>
  <c r="K150" i="8"/>
  <c r="J148" i="8"/>
  <c r="I146" i="8"/>
  <c r="H144" i="8"/>
  <c r="J141" i="8"/>
  <c r="I139" i="8"/>
  <c r="H137" i="8"/>
  <c r="K134" i="8"/>
  <c r="J132" i="8"/>
  <c r="J130" i="8"/>
  <c r="J128" i="8"/>
  <c r="J126" i="8"/>
  <c r="J124" i="8"/>
  <c r="J122" i="8"/>
  <c r="J120" i="8"/>
  <c r="J118" i="8"/>
  <c r="J116" i="8"/>
  <c r="J114" i="8"/>
  <c r="J112" i="8"/>
  <c r="J110" i="8"/>
  <c r="J108" i="8"/>
  <c r="J106" i="8"/>
  <c r="J104" i="8"/>
  <c r="J102" i="8"/>
  <c r="J100" i="8"/>
  <c r="J98" i="8"/>
  <c r="J150" i="8"/>
  <c r="I148" i="8"/>
  <c r="H146" i="8"/>
  <c r="J143" i="8"/>
  <c r="I141" i="8"/>
  <c r="H139" i="8"/>
  <c r="K136" i="8"/>
  <c r="J134" i="8"/>
  <c r="I132" i="8"/>
  <c r="I130" i="8"/>
  <c r="I128" i="8"/>
  <c r="I126" i="8"/>
  <c r="I124" i="8"/>
  <c r="I122" i="8"/>
  <c r="I120" i="8"/>
  <c r="I118" i="8"/>
  <c r="I116" i="8"/>
  <c r="I114" i="8"/>
  <c r="I112" i="8"/>
  <c r="I110" i="8"/>
  <c r="I108" i="8"/>
  <c r="I106" i="8"/>
  <c r="I104" i="8"/>
  <c r="I102" i="8"/>
  <c r="I100" i="8"/>
  <c r="I98" i="8"/>
  <c r="J30" i="8"/>
  <c r="K30" i="8" s="1"/>
  <c r="I34" i="8"/>
  <c r="I36" i="8"/>
  <c r="J37" i="8"/>
  <c r="K37" i="8" s="1"/>
  <c r="H40" i="8"/>
  <c r="I40" i="8" s="1"/>
  <c r="I41" i="8"/>
  <c r="J42" i="8"/>
  <c r="K42" i="8" s="1"/>
  <c r="H46" i="8"/>
  <c r="I46" i="8" s="1"/>
  <c r="I47" i="8"/>
  <c r="J48" i="8"/>
  <c r="K48" i="8" s="1"/>
  <c r="K49" i="8"/>
  <c r="K55" i="8"/>
  <c r="K57" i="8"/>
  <c r="K61" i="8"/>
  <c r="K63" i="8"/>
  <c r="K65" i="8"/>
  <c r="K71" i="8"/>
  <c r="K73" i="8"/>
  <c r="K77" i="8"/>
  <c r="K79" i="8"/>
  <c r="K81" i="8"/>
  <c r="K87" i="8"/>
  <c r="K89" i="8"/>
  <c r="K91" i="8"/>
  <c r="K93" i="8"/>
  <c r="K95" i="8"/>
  <c r="K97" i="8"/>
  <c r="I101" i="8"/>
  <c r="H104" i="8"/>
  <c r="J107" i="8"/>
  <c r="K110" i="8"/>
  <c r="K113" i="8"/>
  <c r="I117" i="8"/>
  <c r="H120" i="8"/>
  <c r="J123" i="8"/>
  <c r="K126" i="8"/>
  <c r="K129" i="8"/>
  <c r="I133" i="8"/>
  <c r="J136" i="8"/>
  <c r="J140" i="8"/>
  <c r="I144" i="8"/>
  <c r="J147" i="8"/>
  <c r="D23" i="9"/>
  <c r="D79" i="9"/>
  <c r="J117" i="8"/>
  <c r="K120" i="8"/>
  <c r="K123" i="8"/>
  <c r="I127" i="8"/>
  <c r="H130" i="8"/>
  <c r="J133" i="8"/>
  <c r="I137" i="8"/>
  <c r="K140" i="8"/>
  <c r="K144" i="8"/>
  <c r="H148" i="8"/>
  <c r="B13" i="9"/>
  <c r="C22" i="9"/>
  <c r="D22" i="9" s="1"/>
  <c r="B24" i="9"/>
  <c r="D24" i="9" s="1"/>
  <c r="C31" i="9"/>
  <c r="D31" i="9" s="1"/>
  <c r="C33" i="9"/>
  <c r="B35" i="9"/>
  <c r="C42" i="9"/>
  <c r="D42" i="9" s="1"/>
  <c r="B44" i="9"/>
  <c r="D44" i="9" s="1"/>
  <c r="B46" i="9"/>
  <c r="C48" i="9"/>
  <c r="D48" i="9" s="1"/>
  <c r="C50" i="9"/>
  <c r="B61" i="9"/>
  <c r="B63" i="9"/>
  <c r="C65" i="9"/>
  <c r="B78" i="9"/>
  <c r="D78" i="9" s="1"/>
  <c r="C80" i="9"/>
  <c r="D80" i="9" s="1"/>
  <c r="C82" i="9"/>
  <c r="B93" i="9"/>
  <c r="B95" i="9"/>
  <c r="D95" i="9" s="1"/>
  <c r="C97" i="9"/>
  <c r="B110" i="9"/>
  <c r="C112" i="9"/>
  <c r="D112" i="9" s="1"/>
  <c r="C114" i="9"/>
  <c r="B125" i="9"/>
  <c r="D125" i="9" s="1"/>
  <c r="B127" i="9"/>
  <c r="D127" i="9" s="1"/>
  <c r="C129" i="9"/>
  <c r="C13" i="9"/>
  <c r="B15" i="9"/>
  <c r="C24" i="9"/>
  <c r="B26" i="9"/>
  <c r="C35" i="9"/>
  <c r="B37" i="9"/>
  <c r="D37" i="9" s="1"/>
  <c r="C59" i="9"/>
  <c r="C61" i="9"/>
  <c r="C63" i="9"/>
  <c r="B72" i="9"/>
  <c r="B74" i="9"/>
  <c r="B76" i="9"/>
  <c r="C91" i="9"/>
  <c r="C93" i="9"/>
  <c r="C95" i="9"/>
  <c r="B104" i="9"/>
  <c r="B106" i="9"/>
  <c r="D106" i="9" s="1"/>
  <c r="B108" i="9"/>
  <c r="C123" i="9"/>
  <c r="C125" i="9"/>
  <c r="B131" i="9"/>
  <c r="D131" i="9" s="1"/>
  <c r="C126" i="9"/>
  <c r="D126" i="9" s="1"/>
  <c r="B123" i="9"/>
  <c r="D123" i="9" s="1"/>
  <c r="C118" i="9"/>
  <c r="D118" i="9" s="1"/>
  <c r="B115" i="9"/>
  <c r="D115" i="9" s="1"/>
  <c r="C110" i="9"/>
  <c r="B107" i="9"/>
  <c r="D107" i="9" s="1"/>
  <c r="C102" i="9"/>
  <c r="B99" i="9"/>
  <c r="D99" i="9" s="1"/>
  <c r="C94" i="9"/>
  <c r="D94" i="9" s="1"/>
  <c r="B91" i="9"/>
  <c r="C86" i="9"/>
  <c r="D86" i="9" s="1"/>
  <c r="B83" i="9"/>
  <c r="D83" i="9" s="1"/>
  <c r="C78" i="9"/>
  <c r="B75" i="9"/>
  <c r="D75" i="9" s="1"/>
  <c r="C70" i="9"/>
  <c r="B67" i="9"/>
  <c r="D67" i="9" s="1"/>
  <c r="C62" i="9"/>
  <c r="D62" i="9" s="1"/>
  <c r="B59" i="9"/>
  <c r="D59" i="9" s="1"/>
  <c r="C54" i="9"/>
  <c r="D54" i="9" s="1"/>
  <c r="B51" i="9"/>
  <c r="C46" i="9"/>
  <c r="C132" i="9"/>
  <c r="B129" i="9"/>
  <c r="D129" i="9" s="1"/>
  <c r="C124" i="9"/>
  <c r="B121" i="9"/>
  <c r="D121" i="9" s="1"/>
  <c r="C116" i="9"/>
  <c r="D116" i="9" s="1"/>
  <c r="B113" i="9"/>
  <c r="D113" i="9" s="1"/>
  <c r="C108" i="9"/>
  <c r="B105" i="9"/>
  <c r="D105" i="9" s="1"/>
  <c r="C100" i="9"/>
  <c r="B97" i="9"/>
  <c r="D97" i="9" s="1"/>
  <c r="C92" i="9"/>
  <c r="D92" i="9" s="1"/>
  <c r="B89" i="9"/>
  <c r="D89" i="9" s="1"/>
  <c r="C84" i="9"/>
  <c r="D84" i="9" s="1"/>
  <c r="B81" i="9"/>
  <c r="D81" i="9" s="1"/>
  <c r="C76" i="9"/>
  <c r="B73" i="9"/>
  <c r="D73" i="9" s="1"/>
  <c r="C68" i="9"/>
  <c r="B65" i="9"/>
  <c r="D65" i="9" s="1"/>
  <c r="C60" i="9"/>
  <c r="D60" i="9" s="1"/>
  <c r="B57" i="9"/>
  <c r="D57" i="9" s="1"/>
  <c r="C52" i="9"/>
  <c r="D52" i="9" s="1"/>
  <c r="B49" i="9"/>
  <c r="D49" i="9" s="1"/>
  <c r="C44" i="9"/>
  <c r="B41" i="9"/>
  <c r="C36" i="9"/>
  <c r="D36" i="9" s="1"/>
  <c r="B33" i="9"/>
  <c r="D33" i="9" s="1"/>
  <c r="C28" i="9"/>
  <c r="B25" i="9"/>
  <c r="D25" i="9" s="1"/>
  <c r="C20" i="9"/>
  <c r="D20" i="9" s="1"/>
  <c r="B17" i="9"/>
  <c r="D17" i="9" s="1"/>
  <c r="C12" i="9"/>
  <c r="C15" i="9"/>
  <c r="C17" i="9"/>
  <c r="B19" i="9"/>
  <c r="C26" i="9"/>
  <c r="B28" i="9"/>
  <c r="D28" i="9" s="1"/>
  <c r="B30" i="9"/>
  <c r="C37" i="9"/>
  <c r="B39" i="9"/>
  <c r="B53" i="9"/>
  <c r="B55" i="9"/>
  <c r="C57" i="9"/>
  <c r="B70" i="9"/>
  <c r="D70" i="9" s="1"/>
  <c r="C72" i="9"/>
  <c r="C74" i="9"/>
  <c r="B85" i="9"/>
  <c r="B87" i="9"/>
  <c r="C89" i="9"/>
  <c r="B102" i="9"/>
  <c r="D102" i="9" s="1"/>
  <c r="C104" i="9"/>
  <c r="C106" i="9"/>
  <c r="B117" i="9"/>
  <c r="D117" i="9" s="1"/>
  <c r="B119" i="9"/>
  <c r="C121" i="9"/>
  <c r="F11" i="9"/>
  <c r="C19" i="9"/>
  <c r="B21" i="9"/>
  <c r="D21" i="9" s="1"/>
  <c r="C30" i="9"/>
  <c r="B32" i="9"/>
  <c r="D32" i="9" s="1"/>
  <c r="C39" i="9"/>
  <c r="C41" i="9"/>
  <c r="B43" i="9"/>
  <c r="D43" i="9" s="1"/>
  <c r="C51" i="9"/>
  <c r="C53" i="9"/>
  <c r="C55" i="9"/>
  <c r="B64" i="9"/>
  <c r="D64" i="9" s="1"/>
  <c r="B66" i="9"/>
  <c r="D66" i="9" s="1"/>
  <c r="B68" i="9"/>
  <c r="D68" i="9" s="1"/>
  <c r="C83" i="9"/>
  <c r="C85" i="9"/>
  <c r="C87" i="9"/>
  <c r="B96" i="9"/>
  <c r="D96" i="9" s="1"/>
  <c r="B98" i="9"/>
  <c r="D98" i="9" s="1"/>
  <c r="B100" i="9"/>
  <c r="D100" i="9" s="1"/>
  <c r="C115" i="9"/>
  <c r="C117" i="9"/>
  <c r="C119" i="9"/>
  <c r="B128" i="9"/>
  <c r="D128" i="9" s="1"/>
  <c r="B130" i="9"/>
  <c r="D130" i="9" s="1"/>
  <c r="B132" i="9"/>
  <c r="D132" i="9" s="1"/>
  <c r="H128" i="6" l="1"/>
  <c r="I128" i="6" s="1"/>
  <c r="C29" i="6"/>
  <c r="H127" i="6"/>
  <c r="I127" i="6" s="1"/>
  <c r="H122" i="6"/>
  <c r="I122" i="6" s="1"/>
  <c r="H145" i="6"/>
  <c r="I145" i="6" s="1"/>
  <c r="H113" i="6"/>
  <c r="I113" i="6" s="1"/>
  <c r="H124" i="6"/>
  <c r="I124" i="6" s="1"/>
  <c r="H104" i="6"/>
  <c r="I104" i="6" s="1"/>
  <c r="H144" i="6"/>
  <c r="I144" i="6" s="1"/>
  <c r="H123" i="6"/>
  <c r="I123" i="6" s="1"/>
  <c r="H118" i="6"/>
  <c r="I118" i="6" s="1"/>
  <c r="H141" i="6"/>
  <c r="I141" i="6" s="1"/>
  <c r="H109" i="6"/>
  <c r="I109" i="6" s="1"/>
  <c r="H108" i="6"/>
  <c r="I108" i="6" s="1"/>
  <c r="E30" i="6"/>
  <c r="E44" i="6" s="1"/>
  <c r="E45" i="6" s="1"/>
  <c r="H147" i="6"/>
  <c r="I147" i="6" s="1"/>
  <c r="H112" i="6"/>
  <c r="I112" i="6" s="1"/>
  <c r="H146" i="6"/>
  <c r="I146" i="6" s="1"/>
  <c r="H137" i="6"/>
  <c r="I137" i="6" s="1"/>
  <c r="H115" i="6"/>
  <c r="I115" i="6" s="1"/>
  <c r="H101" i="6"/>
  <c r="I101" i="6" s="1"/>
  <c r="H143" i="6"/>
  <c r="I143" i="6" s="1"/>
  <c r="H111" i="6"/>
  <c r="I111" i="6" s="1"/>
  <c r="H138" i="6"/>
  <c r="I138" i="6" s="1"/>
  <c r="H106" i="6"/>
  <c r="I106" i="6" s="1"/>
  <c r="H129" i="6"/>
  <c r="I129" i="6" s="1"/>
  <c r="H132" i="6"/>
  <c r="I132" i="6" s="1"/>
  <c r="H119" i="6"/>
  <c r="I119" i="6" s="1"/>
  <c r="H142" i="6"/>
  <c r="I142" i="6" s="1"/>
  <c r="H133" i="6"/>
  <c r="I133" i="6" s="1"/>
  <c r="H148" i="6"/>
  <c r="I148" i="6" s="1"/>
  <c r="H139" i="6"/>
  <c r="I139" i="6" s="1"/>
  <c r="H107" i="6"/>
  <c r="I107" i="6" s="1"/>
  <c r="H134" i="6"/>
  <c r="I134" i="6" s="1"/>
  <c r="H102" i="6"/>
  <c r="I102" i="6" s="1"/>
  <c r="H125" i="6"/>
  <c r="I125" i="6" s="1"/>
  <c r="H116" i="6"/>
  <c r="I116" i="6" s="1"/>
  <c r="H114" i="6"/>
  <c r="I114" i="6" s="1"/>
  <c r="H105" i="6"/>
  <c r="I105" i="6" s="1"/>
  <c r="H110" i="6"/>
  <c r="I110" i="6" s="1"/>
  <c r="H135" i="6"/>
  <c r="I135" i="6" s="1"/>
  <c r="H103" i="6"/>
  <c r="I103" i="6" s="1"/>
  <c r="H130" i="6"/>
  <c r="I130" i="6" s="1"/>
  <c r="H121" i="6"/>
  <c r="I121" i="6" s="1"/>
  <c r="H136" i="6"/>
  <c r="I136" i="6" s="1"/>
  <c r="H131" i="6"/>
  <c r="I131" i="6" s="1"/>
  <c r="H126" i="6"/>
  <c r="I126" i="6" s="1"/>
  <c r="H149" i="6"/>
  <c r="I149" i="6" s="1"/>
  <c r="H117" i="6"/>
  <c r="I117" i="6" s="1"/>
  <c r="H140" i="6"/>
  <c r="I140" i="6" s="1"/>
  <c r="H120" i="6"/>
  <c r="I120" i="6" s="1"/>
  <c r="C17" i="6"/>
  <c r="F43" i="6"/>
  <c r="D39" i="9"/>
  <c r="D119" i="9"/>
  <c r="D30" i="9"/>
  <c r="D91" i="9"/>
  <c r="D46" i="9"/>
  <c r="D13" i="9"/>
  <c r="C32" i="8"/>
  <c r="C41" i="8" s="1"/>
  <c r="D41" i="8"/>
  <c r="E54" i="7"/>
  <c r="E60" i="7"/>
  <c r="E48" i="7"/>
  <c r="E51" i="7" s="1"/>
  <c r="C114" i="7"/>
  <c r="C119" i="7" s="1"/>
  <c r="D119" i="7"/>
  <c r="C122" i="7"/>
  <c r="D117" i="7"/>
  <c r="C112" i="7"/>
  <c r="C117" i="7" s="1"/>
  <c r="D19" i="9"/>
  <c r="D76" i="9"/>
  <c r="D26" i="9"/>
  <c r="D35" i="9"/>
  <c r="C121" i="7"/>
  <c r="D113" i="7"/>
  <c r="C33" i="8"/>
  <c r="C49" i="8" s="1"/>
  <c r="E67" i="7"/>
  <c r="E76" i="7" s="1"/>
  <c r="E85" i="7"/>
  <c r="E94" i="7" s="1"/>
  <c r="D48" i="7"/>
  <c r="D51" i="7" s="1"/>
  <c r="D54" i="7"/>
  <c r="D108" i="7" s="1"/>
  <c r="D60" i="7"/>
  <c r="C41" i="7"/>
  <c r="D55" i="9"/>
  <c r="D74" i="9"/>
  <c r="D110" i="9"/>
  <c r="D63" i="9"/>
  <c r="D45" i="8"/>
  <c r="D48" i="8"/>
  <c r="D39" i="8"/>
  <c r="D42" i="8" s="1"/>
  <c r="C31" i="8"/>
  <c r="D67" i="7"/>
  <c r="D85" i="7"/>
  <c r="C55" i="7"/>
  <c r="E88" i="7"/>
  <c r="E97" i="7" s="1"/>
  <c r="E70" i="7"/>
  <c r="E79" i="7" s="1"/>
  <c r="D53" i="9"/>
  <c r="D41" i="9"/>
  <c r="D108" i="9"/>
  <c r="D72" i="9"/>
  <c r="D15" i="9"/>
  <c r="D61" i="9"/>
  <c r="E45" i="8"/>
  <c r="E39" i="8"/>
  <c r="E42" i="8" s="1"/>
  <c r="E48" i="8"/>
  <c r="C42" i="7"/>
  <c r="C50" i="7" s="1"/>
  <c r="D87" i="9"/>
  <c r="D12" i="9"/>
  <c r="E12" i="9"/>
  <c r="D51" i="9"/>
  <c r="D85" i="9"/>
  <c r="D104" i="9"/>
  <c r="D93" i="9"/>
  <c r="D70" i="7"/>
  <c r="D88" i="7"/>
  <c r="C58" i="7"/>
  <c r="C107" i="7"/>
  <c r="H93" i="6" l="1"/>
  <c r="I93" i="6" s="1"/>
  <c r="H92" i="6"/>
  <c r="I92" i="6" s="1"/>
  <c r="H97" i="6"/>
  <c r="I97" i="6" s="1"/>
  <c r="H94" i="6"/>
  <c r="I94" i="6" s="1"/>
  <c r="H89" i="6"/>
  <c r="I89" i="6" s="1"/>
  <c r="H90" i="6"/>
  <c r="I90" i="6" s="1"/>
  <c r="H99" i="6"/>
  <c r="I99" i="6" s="1"/>
  <c r="H96" i="6"/>
  <c r="I96" i="6" s="1"/>
  <c r="H98" i="6"/>
  <c r="I98" i="6" s="1"/>
  <c r="H91" i="6"/>
  <c r="I91" i="6" s="1"/>
  <c r="H100" i="6"/>
  <c r="I100" i="6" s="1"/>
  <c r="H95" i="6"/>
  <c r="I95" i="6" s="1"/>
  <c r="H68" i="6"/>
  <c r="I68" i="6" s="1"/>
  <c r="H84" i="6"/>
  <c r="I84" i="6" s="1"/>
  <c r="H64" i="6"/>
  <c r="I64" i="6" s="1"/>
  <c r="H60" i="6"/>
  <c r="I60" i="6" s="1"/>
  <c r="H65" i="6"/>
  <c r="I65" i="6" s="1"/>
  <c r="H74" i="6"/>
  <c r="I74" i="6" s="1"/>
  <c r="H63" i="6"/>
  <c r="I63" i="6" s="1"/>
  <c r="H80" i="6"/>
  <c r="I80" i="6" s="1"/>
  <c r="H76" i="6"/>
  <c r="I76" i="6" s="1"/>
  <c r="H69" i="6"/>
  <c r="I69" i="6" s="1"/>
  <c r="H78" i="6"/>
  <c r="I78" i="6" s="1"/>
  <c r="H67" i="6"/>
  <c r="I67" i="6" s="1"/>
  <c r="H73" i="6"/>
  <c r="I73" i="6" s="1"/>
  <c r="H82" i="6"/>
  <c r="I82" i="6" s="1"/>
  <c r="H71" i="6"/>
  <c r="I71" i="6" s="1"/>
  <c r="H56" i="6"/>
  <c r="I56" i="6" s="1"/>
  <c r="H77" i="6"/>
  <c r="I77" i="6" s="1"/>
  <c r="H54" i="6"/>
  <c r="I54" i="6" s="1"/>
  <c r="H86" i="6"/>
  <c r="I86" i="6" s="1"/>
  <c r="H75" i="6"/>
  <c r="I75" i="6" s="1"/>
  <c r="H57" i="6"/>
  <c r="I57" i="6" s="1"/>
  <c r="H61" i="6"/>
  <c r="I61" i="6" s="1"/>
  <c r="H72" i="6"/>
  <c r="I72" i="6" s="1"/>
  <c r="H81" i="6"/>
  <c r="I81" i="6" s="1"/>
  <c r="H58" i="6"/>
  <c r="I58" i="6" s="1"/>
  <c r="H79" i="6"/>
  <c r="I79" i="6" s="1"/>
  <c r="H87" i="6"/>
  <c r="I87" i="6" s="1"/>
  <c r="H59" i="6"/>
  <c r="I59" i="6" s="1"/>
  <c r="H88" i="6"/>
  <c r="I88" i="6" s="1"/>
  <c r="H53" i="6"/>
  <c r="I53" i="6" s="1"/>
  <c r="H85" i="6"/>
  <c r="I85" i="6" s="1"/>
  <c r="H62" i="6"/>
  <c r="I62" i="6" s="1"/>
  <c r="H83" i="6"/>
  <c r="I83" i="6" s="1"/>
  <c r="H66" i="6"/>
  <c r="I66" i="6" s="1"/>
  <c r="H55" i="6"/>
  <c r="I55" i="6" s="1"/>
  <c r="H70" i="6"/>
  <c r="I70" i="6" s="1"/>
  <c r="H48" i="6"/>
  <c r="I48" i="6" s="1"/>
  <c r="H45" i="6"/>
  <c r="I45" i="6" s="1"/>
  <c r="H31" i="6"/>
  <c r="I31" i="6" s="1"/>
  <c r="H49" i="6"/>
  <c r="I49" i="6" s="1"/>
  <c r="H47" i="6"/>
  <c r="I47" i="6" s="1"/>
  <c r="H40" i="6"/>
  <c r="I40" i="6" s="1"/>
  <c r="H52" i="6"/>
  <c r="I52" i="6" s="1"/>
  <c r="H50" i="6"/>
  <c r="I50" i="6" s="1"/>
  <c r="H46" i="6"/>
  <c r="I46" i="6" s="1"/>
  <c r="H30" i="6"/>
  <c r="I30" i="6" s="1"/>
  <c r="H42" i="6"/>
  <c r="I42" i="6" s="1"/>
  <c r="H41" i="6"/>
  <c r="I41" i="6" s="1"/>
  <c r="H43" i="6"/>
  <c r="I43" i="6" s="1"/>
  <c r="H35" i="6"/>
  <c r="I35" i="6" s="1"/>
  <c r="H32" i="6"/>
  <c r="I32" i="6" s="1"/>
  <c r="H33" i="6"/>
  <c r="I33" i="6" s="1"/>
  <c r="H36" i="6"/>
  <c r="I36" i="6" s="1"/>
  <c r="H44" i="6"/>
  <c r="I44" i="6" s="1"/>
  <c r="H37" i="6"/>
  <c r="I37" i="6" s="1"/>
  <c r="H39" i="6"/>
  <c r="I39" i="6" s="1"/>
  <c r="H51" i="6"/>
  <c r="I51" i="6" s="1"/>
  <c r="H38" i="6"/>
  <c r="I38" i="6" s="1"/>
  <c r="H34" i="6"/>
  <c r="I34" i="6" s="1"/>
  <c r="H29" i="6"/>
  <c r="I29" i="6" s="1"/>
  <c r="C43" i="6"/>
  <c r="C45" i="8"/>
  <c r="D66" i="7"/>
  <c r="D84" i="7"/>
  <c r="C54" i="7"/>
  <c r="C108" i="7" s="1"/>
  <c r="D61" i="7"/>
  <c r="D56" i="7"/>
  <c r="C88" i="7"/>
  <c r="C97" i="7" s="1"/>
  <c r="D97" i="7"/>
  <c r="C70" i="7"/>
  <c r="C79" i="7" s="1"/>
  <c r="D79" i="7"/>
  <c r="D94" i="7"/>
  <c r="C85" i="7"/>
  <c r="C94" i="7" s="1"/>
  <c r="E13" i="9"/>
  <c r="F12" i="9"/>
  <c r="C67" i="7"/>
  <c r="C76" i="7" s="1"/>
  <c r="D76" i="7"/>
  <c r="D118" i="7"/>
  <c r="C113" i="7"/>
  <c r="C118" i="7" s="1"/>
  <c r="E66" i="7"/>
  <c r="E84" i="7"/>
  <c r="E61" i="7"/>
  <c r="E108" i="7"/>
  <c r="C48" i="8"/>
  <c r="C39" i="8"/>
  <c r="C42" i="8" s="1"/>
  <c r="C60" i="7"/>
  <c r="C48" i="7"/>
  <c r="C51" i="7" s="1"/>
  <c r="C31" i="6" l="1"/>
  <c r="C40" i="6" s="1"/>
  <c r="E32" i="6"/>
  <c r="C32" i="6" s="1"/>
  <c r="C48" i="6" s="1"/>
  <c r="C44" i="6"/>
  <c r="E47" i="6"/>
  <c r="E40" i="6"/>
  <c r="E38" i="6"/>
  <c r="C30" i="6"/>
  <c r="C47" i="6" s="1"/>
  <c r="D92" i="7"/>
  <c r="D86" i="7"/>
  <c r="D74" i="7"/>
  <c r="D68" i="7"/>
  <c r="E86" i="7"/>
  <c r="E89" i="7" s="1"/>
  <c r="E98" i="7" s="1"/>
  <c r="E95" i="7" s="1"/>
  <c r="E92" i="7"/>
  <c r="E74" i="7"/>
  <c r="E68" i="7"/>
  <c r="E71" i="7" s="1"/>
  <c r="E80" i="7" s="1"/>
  <c r="E77" i="7" s="1"/>
  <c r="D59" i="7"/>
  <c r="C59" i="7" s="1"/>
  <c r="C56" i="7"/>
  <c r="F13" i="9"/>
  <c r="E14" i="9"/>
  <c r="C66" i="7"/>
  <c r="C74" i="7" s="1"/>
  <c r="C84" i="7"/>
  <c r="C92" i="7" s="1"/>
  <c r="C61" i="7"/>
  <c r="E41" i="6" l="1"/>
  <c r="F30" i="6"/>
  <c r="E48" i="6"/>
  <c r="C45" i="6"/>
  <c r="E46" i="6"/>
  <c r="C38" i="6"/>
  <c r="C41" i="6" s="1"/>
  <c r="D71" i="7"/>
  <c r="C68" i="7"/>
  <c r="E15" i="9"/>
  <c r="F14" i="9"/>
  <c r="D89" i="7"/>
  <c r="C86" i="7"/>
  <c r="E49" i="6" l="1"/>
  <c r="C46" i="6"/>
  <c r="C49" i="6" s="1"/>
  <c r="C89" i="7"/>
  <c r="C98" i="7" s="1"/>
  <c r="C95" i="7" s="1"/>
  <c r="D98" i="7"/>
  <c r="D95" i="7" s="1"/>
  <c r="E16" i="9"/>
  <c r="F15" i="9"/>
  <c r="D80" i="7"/>
  <c r="D77" i="7" s="1"/>
  <c r="C71" i="7"/>
  <c r="C80" i="7" s="1"/>
  <c r="C77" i="7" s="1"/>
  <c r="F16" i="9" l="1"/>
  <c r="E17" i="9"/>
  <c r="E18" i="9" l="1"/>
  <c r="F17" i="9"/>
  <c r="F18" i="9" l="1"/>
  <c r="E19" i="9"/>
  <c r="E20" i="9" l="1"/>
  <c r="F19" i="9"/>
  <c r="F20" i="9" l="1"/>
  <c r="E21" i="9"/>
  <c r="F21" i="9" l="1"/>
  <c r="E22" i="9"/>
  <c r="F22" i="9" l="1"/>
  <c r="E23" i="9"/>
  <c r="E24" i="9" l="1"/>
  <c r="F23" i="9"/>
  <c r="E25" i="9" l="1"/>
  <c r="F24" i="9"/>
  <c r="E26" i="9" l="1"/>
  <c r="F25" i="9"/>
  <c r="E27" i="9" l="1"/>
  <c r="F26" i="9"/>
  <c r="F27" i="9" l="1"/>
  <c r="E28" i="9"/>
  <c r="E29" i="9" l="1"/>
  <c r="F28" i="9"/>
  <c r="F29" i="9" l="1"/>
  <c r="E30" i="9"/>
  <c r="E31" i="9" l="1"/>
  <c r="F30" i="9"/>
  <c r="F31" i="9" l="1"/>
  <c r="E32" i="9"/>
  <c r="E33" i="9" l="1"/>
  <c r="F32" i="9"/>
  <c r="E34" i="9" l="1"/>
  <c r="F33" i="9"/>
  <c r="E35" i="9" l="1"/>
  <c r="F34" i="9"/>
  <c r="E36" i="9" l="1"/>
  <c r="F35" i="9"/>
  <c r="F36" i="9" l="1"/>
  <c r="E37" i="9"/>
  <c r="F37" i="9" l="1"/>
  <c r="E38" i="9"/>
  <c r="F38" i="9" l="1"/>
  <c r="E39" i="9"/>
  <c r="E40" i="9" l="1"/>
  <c r="F39" i="9"/>
  <c r="F40" i="9" l="1"/>
  <c r="E41" i="9"/>
  <c r="E42" i="9" l="1"/>
  <c r="F41" i="9"/>
  <c r="F42" i="9" l="1"/>
  <c r="E43" i="9"/>
  <c r="E44" i="9" l="1"/>
  <c r="F43" i="9"/>
  <c r="F44" i="9" l="1"/>
  <c r="E45" i="9"/>
  <c r="F45" i="9" l="1"/>
  <c r="E46" i="9"/>
  <c r="F46" i="9" l="1"/>
  <c r="E47" i="9"/>
  <c r="F47" i="9" l="1"/>
  <c r="E48" i="9"/>
  <c r="F48" i="9" l="1"/>
  <c r="E49" i="9"/>
  <c r="E50" i="9" l="1"/>
  <c r="F49" i="9"/>
  <c r="F50" i="9" l="1"/>
  <c r="E51" i="9"/>
  <c r="E52" i="9" l="1"/>
  <c r="F51" i="9"/>
  <c r="F52" i="9" l="1"/>
  <c r="E53" i="9"/>
  <c r="F53" i="9" l="1"/>
  <c r="E54" i="9"/>
  <c r="F54" i="9" l="1"/>
  <c r="E55" i="9"/>
  <c r="F55" i="9" l="1"/>
  <c r="E56" i="9"/>
  <c r="E57" i="9" l="1"/>
  <c r="F56" i="9"/>
  <c r="E58" i="9" l="1"/>
  <c r="F57" i="9"/>
  <c r="E59" i="9" l="1"/>
  <c r="F58" i="9"/>
  <c r="E60" i="9" l="1"/>
  <c r="F59" i="9"/>
  <c r="E61" i="9" l="1"/>
  <c r="F60" i="9"/>
  <c r="F61" i="9" l="1"/>
  <c r="E62" i="9"/>
  <c r="E63" i="9" l="1"/>
  <c r="F62" i="9"/>
  <c r="F63" i="9" l="1"/>
  <c r="E64" i="9"/>
  <c r="E65" i="9" l="1"/>
  <c r="F64" i="9"/>
  <c r="E66" i="9" l="1"/>
  <c r="F65" i="9"/>
  <c r="E67" i="9" l="1"/>
  <c r="F66" i="9"/>
  <c r="E68" i="9" l="1"/>
  <c r="F67" i="9"/>
  <c r="E69" i="9" l="1"/>
  <c r="F68" i="9"/>
  <c r="F69" i="9" l="1"/>
  <c r="E70" i="9"/>
  <c r="E71" i="9" l="1"/>
  <c r="F70" i="9"/>
  <c r="F71" i="9" l="1"/>
  <c r="E72" i="9"/>
  <c r="E73" i="9" l="1"/>
  <c r="F72" i="9"/>
  <c r="E74" i="9" l="1"/>
  <c r="F73" i="9"/>
  <c r="F74" i="9" l="1"/>
  <c r="E75" i="9"/>
  <c r="E76" i="9" l="1"/>
  <c r="F75" i="9"/>
  <c r="F76" i="9" l="1"/>
  <c r="E77" i="9"/>
  <c r="F77" i="9" l="1"/>
  <c r="E78" i="9"/>
  <c r="F78" i="9" l="1"/>
  <c r="E79" i="9"/>
  <c r="F79" i="9" l="1"/>
  <c r="E80" i="9"/>
  <c r="F80" i="9" l="1"/>
  <c r="E81" i="9"/>
  <c r="E82" i="9" l="1"/>
  <c r="F81" i="9"/>
  <c r="F82" i="9" l="1"/>
  <c r="E83" i="9"/>
  <c r="E84" i="9" l="1"/>
  <c r="F83" i="9"/>
  <c r="F84" i="9" l="1"/>
  <c r="E85" i="9"/>
  <c r="F85" i="9" l="1"/>
  <c r="E86" i="9"/>
  <c r="F86" i="9" l="1"/>
  <c r="E87" i="9"/>
  <c r="F87" i="9" l="1"/>
  <c r="E88" i="9"/>
  <c r="E89" i="9" l="1"/>
  <c r="F88" i="9"/>
  <c r="E90" i="9" l="1"/>
  <c r="F89" i="9"/>
  <c r="E91" i="9" l="1"/>
  <c r="F90" i="9"/>
  <c r="E92" i="9" l="1"/>
  <c r="F91" i="9"/>
  <c r="E93" i="9" l="1"/>
  <c r="F92" i="9"/>
  <c r="F93" i="9" l="1"/>
  <c r="E94" i="9"/>
  <c r="E95" i="9" l="1"/>
  <c r="F94" i="9"/>
  <c r="F95" i="9" l="1"/>
  <c r="E96" i="9"/>
  <c r="E97" i="9" l="1"/>
  <c r="F96" i="9"/>
  <c r="E98" i="9" l="1"/>
  <c r="F97" i="9"/>
  <c r="E99" i="9" l="1"/>
  <c r="F98" i="9"/>
  <c r="E100" i="9" l="1"/>
  <c r="F99" i="9"/>
  <c r="E101" i="9" l="1"/>
  <c r="F100" i="9"/>
  <c r="F101" i="9" l="1"/>
  <c r="E102" i="9"/>
  <c r="E103" i="9" l="1"/>
  <c r="F102" i="9"/>
  <c r="F103" i="9" l="1"/>
  <c r="E104" i="9"/>
  <c r="F104" i="9" l="1"/>
  <c r="E105" i="9"/>
  <c r="E106" i="9" l="1"/>
  <c r="F105" i="9"/>
  <c r="E107" i="9" l="1"/>
  <c r="F106" i="9"/>
  <c r="E108" i="9" l="1"/>
  <c r="F107" i="9"/>
  <c r="F108" i="9" l="1"/>
  <c r="E109" i="9"/>
  <c r="F109" i="9" l="1"/>
  <c r="E110" i="9"/>
  <c r="F110" i="9" l="1"/>
  <c r="E111" i="9"/>
  <c r="F111" i="9" l="1"/>
  <c r="E112" i="9"/>
  <c r="F112" i="9" l="1"/>
  <c r="E113" i="9"/>
  <c r="E114" i="9" l="1"/>
  <c r="F113" i="9"/>
  <c r="F114" i="9" l="1"/>
  <c r="E115" i="9"/>
  <c r="E116" i="9" l="1"/>
  <c r="F115" i="9"/>
  <c r="F116" i="9" l="1"/>
  <c r="E117" i="9"/>
  <c r="F117" i="9" l="1"/>
  <c r="E118" i="9"/>
  <c r="F118" i="9" l="1"/>
  <c r="E119" i="9"/>
  <c r="F119" i="9" l="1"/>
  <c r="E120" i="9"/>
  <c r="E121" i="9" l="1"/>
  <c r="F120" i="9"/>
  <c r="E122" i="9" l="1"/>
  <c r="F121" i="9"/>
  <c r="E123" i="9" l="1"/>
  <c r="F122" i="9"/>
  <c r="E124" i="9" l="1"/>
  <c r="F123" i="9"/>
  <c r="E125" i="9" l="1"/>
  <c r="F124" i="9"/>
  <c r="F125" i="9" l="1"/>
  <c r="E126" i="9"/>
  <c r="E127" i="9" l="1"/>
  <c r="F126" i="9"/>
  <c r="F127" i="9" l="1"/>
  <c r="E128" i="9"/>
  <c r="E129" i="9" l="1"/>
  <c r="F128" i="9"/>
  <c r="E130" i="9" l="1"/>
  <c r="F129" i="9"/>
  <c r="E131" i="9" l="1"/>
  <c r="F130" i="9"/>
  <c r="E132" i="9" l="1"/>
  <c r="F132" i="9" s="1"/>
  <c r="F131"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Haberka, Anna</author>
  </authors>
  <commentList>
    <comment ref="B4" authorId="0" shapeId="0" xr:uid="{8F2ED58D-714F-40EE-AF9E-AA07B974AE29}">
      <text>
        <r>
          <rPr>
            <b/>
            <sz val="9"/>
            <color indexed="81"/>
            <rFont val="Tahoma"/>
            <family val="2"/>
          </rPr>
          <t>Haberka, Anna:</t>
        </r>
        <r>
          <rPr>
            <sz val="9"/>
            <color indexed="81"/>
            <rFont val="Tahoma"/>
            <family val="2"/>
          </rPr>
          <t xml:space="preserve">
Single Premium Products (Non-Leasing)
</t>
        </r>
      </text>
    </comment>
    <comment ref="B32" authorId="0" shapeId="0" xr:uid="{7EE395F7-9075-47BC-9291-08A0A9F94D59}">
      <text>
        <r>
          <rPr>
            <b/>
            <sz val="9"/>
            <color indexed="81"/>
            <rFont val="Tahoma"/>
            <family val="2"/>
          </rPr>
          <t>Haberka, Anna:</t>
        </r>
        <r>
          <rPr>
            <sz val="9"/>
            <color indexed="81"/>
            <rFont val="Tahoma"/>
            <family val="2"/>
          </rPr>
          <t xml:space="preserve">
Products with a Single Premium paid in advance by the Contractor (Leasing)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Haberka, Anna</author>
    <author>Haberka, Anna (CNP Santander)</author>
    <author>Anna Haberka</author>
  </authors>
  <commentList>
    <comment ref="U4" authorId="0" shapeId="0" xr:uid="{4067FF96-FB82-47F1-BD71-A4007F9B56C8}">
      <text>
        <r>
          <rPr>
            <b/>
            <sz val="9"/>
            <color indexed="81"/>
            <rFont val="Tahoma"/>
            <family val="2"/>
          </rPr>
          <t>Haberka, Anna:</t>
        </r>
        <r>
          <rPr>
            <sz val="9"/>
            <color indexed="81"/>
            <rFont val="Tahoma"/>
            <family val="2"/>
          </rPr>
          <t xml:space="preserve">
</t>
        </r>
        <r>
          <rPr>
            <sz val="12"/>
            <color indexed="81"/>
            <rFont val="Tahoma"/>
            <family val="2"/>
          </rPr>
          <t>Cooling off period also know as Withrawal period
The cooling off period for the old products sold prior 22nd February 2016 was initially 30 days and then for different products at differen times was extended to 60 months. Please refer to the old Product Library for details.</t>
        </r>
      </text>
    </comment>
    <comment ref="BD4" authorId="0" shapeId="0" xr:uid="{2D93B34E-6538-479F-8F2B-45AD5EFC1C3F}">
      <text>
        <r>
          <rPr>
            <b/>
            <sz val="9"/>
            <color indexed="81"/>
            <rFont val="Tahoma"/>
            <family val="2"/>
          </rPr>
          <t>Haberka, Anna:</t>
        </r>
        <r>
          <rPr>
            <sz val="9"/>
            <color indexed="81"/>
            <rFont val="Tahoma"/>
            <family val="2"/>
          </rPr>
          <t xml:space="preserve">
</t>
        </r>
        <r>
          <rPr>
            <sz val="11"/>
            <color indexed="81"/>
            <rFont val="Tahoma"/>
            <family val="2"/>
          </rPr>
          <t>Loading as % of taxable premiums issued during the period</t>
        </r>
      </text>
    </comment>
    <comment ref="BE4" authorId="0" shapeId="0" xr:uid="{6B9FB093-6251-4BA1-8475-B50ECDFCC34D}">
      <text>
        <r>
          <rPr>
            <b/>
            <sz val="9"/>
            <color indexed="81"/>
            <rFont val="Tahoma"/>
            <family val="2"/>
          </rPr>
          <t>Haberka, Anna:</t>
        </r>
        <r>
          <rPr>
            <sz val="9"/>
            <color indexed="81"/>
            <rFont val="Tahoma"/>
            <family val="2"/>
          </rPr>
          <t xml:space="preserve">
 </t>
        </r>
        <r>
          <rPr>
            <sz val="11"/>
            <color indexed="81"/>
            <rFont val="Tahoma"/>
            <family val="2"/>
          </rPr>
          <t xml:space="preserve"> Loading as % of taxable premiums accrued to the period</t>
        </r>
      </text>
    </comment>
    <comment ref="D7" authorId="0" shapeId="0" xr:uid="{06F8429E-653C-4D13-B305-7D5E25A99CB6}">
      <text>
        <r>
          <rPr>
            <b/>
            <sz val="8"/>
            <color indexed="81"/>
            <rFont val="Tahoma"/>
            <family val="2"/>
          </rPr>
          <t>Haberka, Anna:</t>
        </r>
        <r>
          <rPr>
            <sz val="8"/>
            <color indexed="81"/>
            <rFont val="Tahoma"/>
            <family val="2"/>
          </rPr>
          <t xml:space="preserve">
</t>
        </r>
        <r>
          <rPr>
            <sz val="12"/>
            <color indexed="81"/>
            <rFont val="Tahoma"/>
            <family val="2"/>
          </rPr>
          <t xml:space="preserve">CL4FP: This special code was reserved for a subset of CL45P loans provided not by SCB directly but by Finanzia, a controlled company of SCB, immediately closed after few months from beginning of operations.  (Jan 2012)
In the Premium Letters this tariff was given the code: CL45FP
</t>
        </r>
      </text>
    </comment>
    <comment ref="F7" authorId="1" shapeId="0" xr:uid="{D5DB1456-046F-4534-9EE0-9B415D91AFE2}">
      <text>
        <r>
          <rPr>
            <b/>
            <sz val="9"/>
            <color indexed="81"/>
            <rFont val="Tahoma"/>
            <family val="2"/>
          </rPr>
          <t>Haberka, Anna (CNP Santander):</t>
        </r>
        <r>
          <rPr>
            <sz val="9"/>
            <color indexed="81"/>
            <rFont val="Tahoma"/>
            <family val="2"/>
          </rPr>
          <t xml:space="preserve">
</t>
        </r>
        <r>
          <rPr>
            <sz val="12"/>
            <color indexed="81"/>
            <rFont val="Tahoma"/>
            <family val="2"/>
          </rPr>
          <t>In IP we use Product code: CL45P</t>
        </r>
      </text>
    </comment>
    <comment ref="D8" authorId="0" shapeId="0" xr:uid="{8A356EE0-E241-4105-A485-F87733B2A55D}">
      <text>
        <r>
          <rPr>
            <b/>
            <sz val="8"/>
            <color indexed="81"/>
            <rFont val="Tahoma"/>
            <family val="2"/>
          </rPr>
          <t>Haberka, Anna:</t>
        </r>
        <r>
          <rPr>
            <sz val="8"/>
            <color indexed="81"/>
            <rFont val="Tahoma"/>
            <family val="2"/>
          </rPr>
          <t xml:space="preserve">
</t>
        </r>
        <r>
          <rPr>
            <sz val="12"/>
            <color indexed="81"/>
            <rFont val="Tahoma"/>
            <family val="2"/>
          </rPr>
          <t xml:space="preserve">CL4FP: This special code was reserved for a subset of CL45P loans provided not by SCB directly but by Finanzia, a controlled company of SCB, immediately closed after few months from beginning of operations.  (Jan 2012)
In the Premium Letters this tariff was given the code: CL45FP
</t>
        </r>
      </text>
    </comment>
    <comment ref="F8" authorId="1" shapeId="0" xr:uid="{2D134DF9-DFB3-448E-A638-0B93E904D8A2}">
      <text>
        <r>
          <rPr>
            <b/>
            <sz val="9"/>
            <color indexed="81"/>
            <rFont val="Tahoma"/>
            <family val="2"/>
          </rPr>
          <t>Haberka, Anna (CNP Santander):</t>
        </r>
        <r>
          <rPr>
            <sz val="9"/>
            <color indexed="81"/>
            <rFont val="Tahoma"/>
            <family val="2"/>
          </rPr>
          <t xml:space="preserve">
</t>
        </r>
        <r>
          <rPr>
            <sz val="12"/>
            <color indexed="81"/>
            <rFont val="Tahoma"/>
            <family val="2"/>
          </rPr>
          <t>In IP we use Product code: CL45P</t>
        </r>
      </text>
    </comment>
    <comment ref="D11" authorId="0" shapeId="0" xr:uid="{C24325E7-B206-4306-95D3-5B14027BA378}">
      <text>
        <r>
          <rPr>
            <b/>
            <sz val="8"/>
            <color indexed="81"/>
            <rFont val="Tahoma"/>
            <family val="2"/>
          </rPr>
          <t>Haberka, Anna:</t>
        </r>
        <r>
          <rPr>
            <sz val="8"/>
            <color indexed="81"/>
            <rFont val="Tahoma"/>
            <family val="2"/>
          </rPr>
          <t xml:space="preserve">
</t>
        </r>
        <r>
          <rPr>
            <sz val="12"/>
            <color indexed="81"/>
            <rFont val="Tahoma"/>
            <family val="2"/>
          </rPr>
          <t>Offered from  December 2012.</t>
        </r>
      </text>
    </comment>
    <comment ref="D12" authorId="0" shapeId="0" xr:uid="{5BD8F163-60CC-4845-8CFD-9654A0E428B8}">
      <text>
        <r>
          <rPr>
            <b/>
            <sz val="8"/>
            <color indexed="81"/>
            <rFont val="Tahoma"/>
            <family val="2"/>
          </rPr>
          <t>Haberka, Anna:</t>
        </r>
        <r>
          <rPr>
            <sz val="8"/>
            <color indexed="81"/>
            <rFont val="Tahoma"/>
            <family val="2"/>
          </rPr>
          <t xml:space="preserve">
</t>
        </r>
        <r>
          <rPr>
            <sz val="12"/>
            <color indexed="81"/>
            <rFont val="Tahoma"/>
            <family val="2"/>
          </rPr>
          <t>Tariff discontinued from 19/05/2014. Instead tariff CL45A will be offered for all duration from 0 to 48 months rather than for durations 24 - 48 months as previously.</t>
        </r>
      </text>
    </comment>
    <comment ref="D13" authorId="0" shapeId="0" xr:uid="{F432B95A-32D7-4C0F-93FD-A40066A976F6}">
      <text>
        <r>
          <rPr>
            <b/>
            <sz val="8"/>
            <color indexed="81"/>
            <rFont val="Tahoma"/>
            <family val="2"/>
          </rPr>
          <t>Haberka, Anna:</t>
        </r>
        <r>
          <rPr>
            <sz val="8"/>
            <color indexed="81"/>
            <rFont val="Tahoma"/>
            <family val="2"/>
          </rPr>
          <t xml:space="preserve">
</t>
        </r>
        <r>
          <rPr>
            <sz val="12"/>
            <color indexed="81"/>
            <rFont val="Tahoma"/>
            <family val="2"/>
          </rPr>
          <t>From 19/05/2014 this tariff is offered for all duration from 0 to 48 months rather for durations 25 - 48 months as previously.</t>
        </r>
      </text>
    </comment>
    <comment ref="AQ16" authorId="1" shapeId="0" xr:uid="{AD60D2C1-65D8-4326-B51F-150C9C13FE39}">
      <text>
        <r>
          <rPr>
            <b/>
            <sz val="9"/>
            <color indexed="81"/>
            <rFont val="Tahoma"/>
            <family val="2"/>
          </rPr>
          <t>Haberka, Anna (CNP Santander):</t>
        </r>
        <r>
          <rPr>
            <sz val="9"/>
            <color indexed="81"/>
            <rFont val="Tahoma"/>
            <family val="2"/>
          </rPr>
          <t xml:space="preserve">
</t>
        </r>
        <r>
          <rPr>
            <b/>
            <sz val="11"/>
            <color indexed="81"/>
            <rFont val="Tahoma"/>
            <family val="2"/>
          </rPr>
          <t>CI =</t>
        </r>
        <r>
          <rPr>
            <sz val="11"/>
            <color indexed="81"/>
            <rFont val="Tahoma"/>
            <family val="2"/>
          </rPr>
          <t xml:space="preserve"> Criticall Illness for Auto CPI+ products</t>
        </r>
      </text>
    </comment>
    <comment ref="AU16" authorId="1" shapeId="0" xr:uid="{7C7D0304-C8FB-4E08-8313-EE5897473186}">
      <text>
        <r>
          <rPr>
            <b/>
            <sz val="9"/>
            <color indexed="81"/>
            <rFont val="Tahoma"/>
            <family val="2"/>
          </rPr>
          <t>Haberka, Anna (CNP Santander):</t>
        </r>
        <r>
          <rPr>
            <sz val="9"/>
            <color indexed="81"/>
            <rFont val="Tahoma"/>
            <family val="2"/>
          </rPr>
          <t xml:space="preserve">
</t>
        </r>
        <r>
          <rPr>
            <b/>
            <sz val="11"/>
            <color indexed="81"/>
            <rFont val="Tahoma"/>
            <family val="2"/>
          </rPr>
          <t>CI =</t>
        </r>
        <r>
          <rPr>
            <sz val="11"/>
            <color indexed="81"/>
            <rFont val="Tahoma"/>
            <family val="2"/>
          </rPr>
          <t xml:space="preserve"> Criticall Illness for Auto CPI+ products</t>
        </r>
      </text>
    </comment>
    <comment ref="BA16" authorId="1" shapeId="0" xr:uid="{29446D37-833A-4CE8-8E88-F066D90F259B}">
      <text>
        <r>
          <rPr>
            <b/>
            <sz val="9"/>
            <color indexed="81"/>
            <rFont val="Tahoma"/>
            <family val="2"/>
          </rPr>
          <t>Haberka, Anna (CNP Santander):</t>
        </r>
        <r>
          <rPr>
            <sz val="9"/>
            <color indexed="81"/>
            <rFont val="Tahoma"/>
            <family val="2"/>
          </rPr>
          <t xml:space="preserve">
</t>
        </r>
        <r>
          <rPr>
            <sz val="12"/>
            <color indexed="81"/>
            <rFont val="Tahoma"/>
            <family val="2"/>
          </rPr>
          <t>The Re Loading Rate for Auto CPI+ products applies firstly from:  01/04/2015 as those products were launched on 15/05/2015. The Reinsurer's Loadings depend on the QS.</t>
        </r>
      </text>
    </comment>
    <comment ref="AQ17" authorId="1" shapeId="0" xr:uid="{66DAC277-6E59-43B0-9B07-C9C08F1EE954}">
      <text>
        <r>
          <rPr>
            <b/>
            <sz val="9"/>
            <color indexed="81"/>
            <rFont val="Tahoma"/>
            <family val="2"/>
          </rPr>
          <t>Haberka, Anna (CNP Santander):</t>
        </r>
        <r>
          <rPr>
            <sz val="9"/>
            <color indexed="81"/>
            <rFont val="Tahoma"/>
            <family val="2"/>
          </rPr>
          <t xml:space="preserve">
</t>
        </r>
        <r>
          <rPr>
            <b/>
            <sz val="11"/>
            <color indexed="81"/>
            <rFont val="Tahoma"/>
            <family val="2"/>
          </rPr>
          <t>CI =</t>
        </r>
        <r>
          <rPr>
            <sz val="11"/>
            <color indexed="81"/>
            <rFont val="Tahoma"/>
            <family val="2"/>
          </rPr>
          <t xml:space="preserve"> Criticall Illness for Auto CPI+ products</t>
        </r>
      </text>
    </comment>
    <comment ref="AU17" authorId="1" shapeId="0" xr:uid="{21AA6F7F-6870-4ABF-80E2-7E176305D639}">
      <text>
        <r>
          <rPr>
            <b/>
            <sz val="9"/>
            <color indexed="81"/>
            <rFont val="Tahoma"/>
            <family val="2"/>
          </rPr>
          <t>Haberka, Anna (CNP Santander):</t>
        </r>
        <r>
          <rPr>
            <sz val="9"/>
            <color indexed="81"/>
            <rFont val="Tahoma"/>
            <family val="2"/>
          </rPr>
          <t xml:space="preserve">
</t>
        </r>
        <r>
          <rPr>
            <b/>
            <sz val="11"/>
            <color indexed="81"/>
            <rFont val="Tahoma"/>
            <family val="2"/>
          </rPr>
          <t>CI =</t>
        </r>
        <r>
          <rPr>
            <sz val="11"/>
            <color indexed="81"/>
            <rFont val="Tahoma"/>
            <family val="2"/>
          </rPr>
          <t xml:space="preserve"> Criticall Illness for Auto CPI+ products</t>
        </r>
      </text>
    </comment>
    <comment ref="BA17" authorId="1" shapeId="0" xr:uid="{DA30281C-3462-4DD5-A574-AB0463230FB1}">
      <text>
        <r>
          <rPr>
            <b/>
            <sz val="9"/>
            <color indexed="81"/>
            <rFont val="Tahoma"/>
            <family val="2"/>
          </rPr>
          <t>Haberka, Anna (CNP Santander):</t>
        </r>
        <r>
          <rPr>
            <sz val="9"/>
            <color indexed="81"/>
            <rFont val="Tahoma"/>
            <family val="2"/>
          </rPr>
          <t xml:space="preserve">
</t>
        </r>
        <r>
          <rPr>
            <sz val="12"/>
            <color indexed="81"/>
            <rFont val="Tahoma"/>
            <family val="2"/>
          </rPr>
          <t>The Re Loading Rate for Auto CPI+ products applies firstly from:  01/04/2015 as those products were launched on 15/05/2015. The Reinsurer's Loadings depend on the QS.</t>
        </r>
      </text>
    </comment>
    <comment ref="AQ18" authorId="1" shapeId="0" xr:uid="{273E4D88-61DC-4D83-94A6-72B96BEC1FDF}">
      <text>
        <r>
          <rPr>
            <b/>
            <sz val="9"/>
            <color indexed="81"/>
            <rFont val="Tahoma"/>
            <family val="2"/>
          </rPr>
          <t>Haberka, Anna (CNP Santander):</t>
        </r>
        <r>
          <rPr>
            <sz val="9"/>
            <color indexed="81"/>
            <rFont val="Tahoma"/>
            <family val="2"/>
          </rPr>
          <t xml:space="preserve">
</t>
        </r>
        <r>
          <rPr>
            <b/>
            <sz val="11"/>
            <color indexed="81"/>
            <rFont val="Tahoma"/>
            <family val="2"/>
          </rPr>
          <t>CI =</t>
        </r>
        <r>
          <rPr>
            <sz val="11"/>
            <color indexed="81"/>
            <rFont val="Tahoma"/>
            <family val="2"/>
          </rPr>
          <t xml:space="preserve"> Criticall Illness for Auto CPI+ products</t>
        </r>
      </text>
    </comment>
    <comment ref="AU18" authorId="1" shapeId="0" xr:uid="{759C5399-63D7-4030-BBB6-6C58FF0CFF64}">
      <text>
        <r>
          <rPr>
            <b/>
            <sz val="9"/>
            <color indexed="81"/>
            <rFont val="Tahoma"/>
            <family val="2"/>
          </rPr>
          <t>Haberka, Anna (CNP Santander):</t>
        </r>
        <r>
          <rPr>
            <sz val="9"/>
            <color indexed="81"/>
            <rFont val="Tahoma"/>
            <family val="2"/>
          </rPr>
          <t xml:space="preserve">
</t>
        </r>
        <r>
          <rPr>
            <b/>
            <sz val="11"/>
            <color indexed="81"/>
            <rFont val="Tahoma"/>
            <family val="2"/>
          </rPr>
          <t>CI =</t>
        </r>
        <r>
          <rPr>
            <sz val="11"/>
            <color indexed="81"/>
            <rFont val="Tahoma"/>
            <family val="2"/>
          </rPr>
          <t xml:space="preserve"> Criticall Illness for Auto CPI+ products</t>
        </r>
      </text>
    </comment>
    <comment ref="BA18" authorId="1" shapeId="0" xr:uid="{DBC5995B-674E-407D-820D-C381110AB6F1}">
      <text>
        <r>
          <rPr>
            <b/>
            <sz val="9"/>
            <color indexed="81"/>
            <rFont val="Tahoma"/>
            <family val="2"/>
          </rPr>
          <t>Haberka, Anna (CNP Santander):</t>
        </r>
        <r>
          <rPr>
            <sz val="9"/>
            <color indexed="81"/>
            <rFont val="Tahoma"/>
            <family val="2"/>
          </rPr>
          <t xml:space="preserve">
</t>
        </r>
        <r>
          <rPr>
            <sz val="12"/>
            <color indexed="81"/>
            <rFont val="Tahoma"/>
            <family val="2"/>
          </rPr>
          <t>The Re Loading Rate for Auto CPI+ products applies firstly from:  01/04/2015 as those products were launched on 15/05/2015. The Reinsurer's Loadings depend on the QS.</t>
        </r>
      </text>
    </comment>
    <comment ref="E19" authorId="0" shapeId="0" xr:uid="{9CD6532C-B955-445E-800D-13D906EF24FA}">
      <text>
        <r>
          <rPr>
            <b/>
            <sz val="8"/>
            <color indexed="81"/>
            <rFont val="Tahoma"/>
            <family val="2"/>
          </rPr>
          <t>Haberka, Anna:</t>
        </r>
        <r>
          <rPr>
            <sz val="8"/>
            <color indexed="81"/>
            <rFont val="Tahoma"/>
            <family val="2"/>
          </rPr>
          <t xml:space="preserve">
</t>
        </r>
        <r>
          <rPr>
            <sz val="12"/>
            <color indexed="81"/>
            <rFont val="Tahoma"/>
            <family val="2"/>
          </rPr>
          <t>Durables</t>
        </r>
      </text>
    </comment>
    <comment ref="E20" authorId="0" shapeId="0" xr:uid="{2376B75F-4C9C-4682-96B5-B1FBDE698F18}">
      <text>
        <r>
          <rPr>
            <b/>
            <sz val="8"/>
            <color indexed="81"/>
            <rFont val="Tahoma"/>
            <family val="2"/>
          </rPr>
          <t>Haberka, Anna:</t>
        </r>
        <r>
          <rPr>
            <sz val="8"/>
            <color indexed="81"/>
            <rFont val="Tahoma"/>
            <family val="2"/>
          </rPr>
          <t xml:space="preserve">
</t>
        </r>
        <r>
          <rPr>
            <sz val="12"/>
            <color indexed="81"/>
            <rFont val="Tahoma"/>
            <family val="2"/>
          </rPr>
          <t>Durables</t>
        </r>
      </text>
    </comment>
    <comment ref="E21" authorId="0" shapeId="0" xr:uid="{E817F0F1-405E-4B96-89B6-D1DFC11733C7}">
      <text>
        <r>
          <rPr>
            <b/>
            <sz val="8"/>
            <color indexed="81"/>
            <rFont val="Tahoma"/>
            <family val="2"/>
          </rPr>
          <t>Haberka, Anna:</t>
        </r>
        <r>
          <rPr>
            <sz val="8"/>
            <color indexed="81"/>
            <rFont val="Tahoma"/>
            <family val="2"/>
          </rPr>
          <t xml:space="preserve">
</t>
        </r>
        <r>
          <rPr>
            <sz val="12"/>
            <color indexed="81"/>
            <rFont val="Tahoma"/>
            <family val="2"/>
          </rPr>
          <t>Durables</t>
        </r>
      </text>
    </comment>
    <comment ref="X24" authorId="0" shapeId="0" xr:uid="{633FB0C0-36C0-49B1-9747-3C44F21D8D9C}">
      <text>
        <r>
          <rPr>
            <b/>
            <sz val="8"/>
            <color indexed="81"/>
            <rFont val="Tahoma"/>
            <family val="2"/>
          </rPr>
          <t>Haberka, Anna:</t>
        </r>
        <r>
          <rPr>
            <sz val="8"/>
            <color indexed="81"/>
            <rFont val="Tahoma"/>
            <family val="2"/>
          </rPr>
          <t xml:space="preserve">
</t>
        </r>
        <r>
          <rPr>
            <sz val="11"/>
            <color indexed="81"/>
            <rFont val="Tahoma"/>
            <family val="2"/>
          </rPr>
          <t xml:space="preserve">T&amp;C (and Cardif from which t&amp;c are taken) are not imposing a minimum entry age for CL Senior. So the customer 64Yrs of age willing to take a loan for 120 months will be allowed to take it and be insured under  one of the Senior tariffs.
It is insurable the physical person whose age, at the moment of the adhesion is not over 70 years and, at the expiration of the financing is below 75 years.
This is evident in Art. 2 of terms and conditions, here below shown in Italian
Art. 2. Persone assicurabili e adesione alla copertura assicurativa
È assicurabile la persona fisica, di età, al momento dell’adesione, non superiore ai 70 (settanta) anni e che, alla scadenza del Finanziamento sottoscritto
dall’Aderente e concesso dalla Contraente non abbia ancora compiuto il 75° (settantacinquesimo) anno di età. 
Internally, we always referred to this product as “over 65” but the check of 65 as minimum age at entry is not a parameter 
</t>
        </r>
        <r>
          <rPr>
            <u/>
            <sz val="11"/>
            <color indexed="81"/>
            <rFont val="Tahoma"/>
            <family val="2"/>
          </rPr>
          <t xml:space="preserve">The checks are: </t>
        </r>
        <r>
          <rPr>
            <sz val="11"/>
            <color indexed="81"/>
            <rFont val="Tahoma"/>
            <family val="2"/>
          </rPr>
          <t xml:space="preserve">
Max Age at Inception 70 
Max Age at expiry 75
However, as per e-mail from Marcello Bonelli (Santander Insurance) dated 20/09/2012:
</t>
        </r>
        <r>
          <rPr>
            <b/>
            <u/>
            <sz val="11"/>
            <color indexed="81"/>
            <rFont val="Tahoma"/>
            <family val="2"/>
          </rPr>
          <t>The minimum entry age of 60</t>
        </r>
        <r>
          <rPr>
            <u/>
            <sz val="11"/>
            <color indexed="81"/>
            <rFont val="Tahoma"/>
            <family val="2"/>
          </rPr>
          <t xml:space="preserve"> is a control the bank already started </t>
        </r>
        <r>
          <rPr>
            <sz val="11"/>
            <color indexed="81"/>
            <rFont val="Tahoma"/>
            <family val="2"/>
          </rPr>
          <t xml:space="preserve">at the beginning of the sale of CL senior to avoid losing too much commission. 
This was confirmed today by Mirko Camatel of SCB Insurance dept and guarantees us CL senior not to be distributed to the standard clients.
</t>
        </r>
      </text>
    </comment>
    <comment ref="X25" authorId="0" shapeId="0" xr:uid="{F78B368E-7DC9-41C3-85AF-24F0BF49BD66}">
      <text>
        <r>
          <rPr>
            <b/>
            <sz val="8"/>
            <color indexed="81"/>
            <rFont val="Tahoma"/>
            <family val="2"/>
          </rPr>
          <t>Haberka, Anna:</t>
        </r>
        <r>
          <rPr>
            <sz val="8"/>
            <color indexed="81"/>
            <rFont val="Tahoma"/>
            <family val="2"/>
          </rPr>
          <t xml:space="preserve">
</t>
        </r>
        <r>
          <rPr>
            <sz val="11"/>
            <color indexed="81"/>
            <rFont val="Tahoma"/>
            <family val="2"/>
          </rPr>
          <t xml:space="preserve">T&amp;C (and Cardif from which t&amp;c are taken) are not imposing a minimum entry age for CL Senior. So the customer 64Yrs of age willing to take a loan for 120 months will be allowed to take it and be insured under  one of the Senior tariffs.
It is insurable the physical person whose age, at the moment of the adhesion is not over 70 years and, at the expiration of the financing is below 75 years.
This is evident in Art. 2 of terms and conditions, here below shown in Italian
Art. 2. Persone assicurabili e adesione alla copertura assicurativa
È assicurabile la persona fisica, di età, al momento dell’adesione, non superiore ai 70 (settanta) anni e che, alla scadenza del Finanziamento sottoscritto
dall’Aderente e concesso dalla Contraente non abbia ancora compiuto il 75° (settantacinquesimo) anno di età. 
Internally, we always referred to this product as “over 65” but the check of 65 as minimum age at entry is not a parameter 
</t>
        </r>
        <r>
          <rPr>
            <u/>
            <sz val="11"/>
            <color indexed="81"/>
            <rFont val="Tahoma"/>
            <family val="2"/>
          </rPr>
          <t xml:space="preserve">The checks are: </t>
        </r>
        <r>
          <rPr>
            <sz val="11"/>
            <color indexed="81"/>
            <rFont val="Tahoma"/>
            <family val="2"/>
          </rPr>
          <t xml:space="preserve">
Max Age at Inception 70 
Max Age at expiry 75
However, as per e-mail from Marcello Bonelli (Santander Insurance) dated 20/09/2012:
</t>
        </r>
        <r>
          <rPr>
            <b/>
            <u/>
            <sz val="11"/>
            <color indexed="81"/>
            <rFont val="Tahoma"/>
            <family val="2"/>
          </rPr>
          <t>The minimum entry age of 60</t>
        </r>
        <r>
          <rPr>
            <u/>
            <sz val="11"/>
            <color indexed="81"/>
            <rFont val="Tahoma"/>
            <family val="2"/>
          </rPr>
          <t xml:space="preserve"> is a control the bank already started </t>
        </r>
        <r>
          <rPr>
            <sz val="11"/>
            <color indexed="81"/>
            <rFont val="Tahoma"/>
            <family val="2"/>
          </rPr>
          <t xml:space="preserve">at the beginning of the sale of CL senior to avoid losing too much commission. 
This was confirmed today by Mirko Camatel of SCB Insurance dept and guarantees us CL senior not to be distributed to the standard clients.
</t>
        </r>
      </text>
    </comment>
    <comment ref="BW26" authorId="0" shapeId="0" xr:uid="{0418AB38-2A70-4343-A01A-9CD66587C661}">
      <text>
        <r>
          <rPr>
            <b/>
            <sz val="9"/>
            <color indexed="81"/>
            <rFont val="Tahoma"/>
            <family val="2"/>
          </rPr>
          <t>Haberka, Anna:</t>
        </r>
        <r>
          <rPr>
            <sz val="9"/>
            <color indexed="81"/>
            <rFont val="Tahoma"/>
            <family val="2"/>
          </rPr>
          <t xml:space="preserve">
</t>
        </r>
        <r>
          <rPr>
            <sz val="11"/>
            <color indexed="81"/>
            <rFont val="Tahoma"/>
            <family val="2"/>
          </rPr>
          <t>Loading as % of taxable premiums issued during the period</t>
        </r>
      </text>
    </comment>
    <comment ref="BX26" authorId="0" shapeId="0" xr:uid="{0D4BCFAC-1C31-481E-BF83-B2376615A0F4}">
      <text>
        <r>
          <rPr>
            <b/>
            <sz val="9"/>
            <color indexed="81"/>
            <rFont val="Tahoma"/>
            <family val="2"/>
          </rPr>
          <t>Haberka, Anna:</t>
        </r>
        <r>
          <rPr>
            <sz val="9"/>
            <color indexed="81"/>
            <rFont val="Tahoma"/>
            <family val="2"/>
          </rPr>
          <t xml:space="preserve">
 </t>
        </r>
        <r>
          <rPr>
            <sz val="11"/>
            <color indexed="81"/>
            <rFont val="Tahoma"/>
            <family val="2"/>
          </rPr>
          <t xml:space="preserve"> Loading as % of taxable premiums accrued to the period</t>
        </r>
      </text>
    </comment>
    <comment ref="C123" authorId="2" shapeId="0" xr:uid="{9AE1F445-D007-4862-96FF-6AF378EF75E6}">
      <text>
        <r>
          <rPr>
            <b/>
            <sz val="9"/>
            <color indexed="81"/>
            <rFont val="Tahoma"/>
            <family val="2"/>
          </rPr>
          <t>Anna Haberka:</t>
        </r>
        <r>
          <rPr>
            <sz val="9"/>
            <color indexed="81"/>
            <rFont val="Tahoma"/>
            <family val="2"/>
          </rPr>
          <t xml:space="preserve">
</t>
        </r>
        <r>
          <rPr>
            <sz val="12"/>
            <color indexed="81"/>
            <rFont val="Tahoma"/>
            <family val="2"/>
          </rPr>
          <t>Finalised are also known as Durables</t>
        </r>
      </text>
    </comment>
    <comment ref="O129" authorId="2" shapeId="0" xr:uid="{74A3BC46-146A-43B2-B103-469F3F16712D}">
      <text>
        <r>
          <rPr>
            <b/>
            <sz val="9"/>
            <color indexed="81"/>
            <rFont val="Tahoma"/>
            <family val="2"/>
          </rPr>
          <t>Anna Haberka:</t>
        </r>
        <r>
          <rPr>
            <sz val="9"/>
            <color indexed="81"/>
            <rFont val="Tahoma"/>
            <family val="2"/>
          </rPr>
          <t xml:space="preserve">
</t>
        </r>
        <r>
          <rPr>
            <sz val="12"/>
            <color indexed="81"/>
            <rFont val="Tahoma"/>
            <family val="2"/>
          </rPr>
          <t>In the past the end customers paid the Insurance premium monthly and SCB paid to CNPSi one Single Prmeium for the full policy Duration. Presumably the prcocess remain the same for th enew CPI+ assistance products.</t>
        </r>
      </text>
    </comment>
    <comment ref="O130" authorId="2" shapeId="0" xr:uid="{9B0B604A-C36D-4CE4-AE70-1BD1B27EF0BC}">
      <text>
        <r>
          <rPr>
            <b/>
            <sz val="9"/>
            <color indexed="81"/>
            <rFont val="Tahoma"/>
            <family val="2"/>
          </rPr>
          <t>Anna Haberka:</t>
        </r>
        <r>
          <rPr>
            <sz val="9"/>
            <color indexed="81"/>
            <rFont val="Tahoma"/>
            <family val="2"/>
          </rPr>
          <t xml:space="preserve">
</t>
        </r>
        <r>
          <rPr>
            <sz val="12"/>
            <color indexed="81"/>
            <rFont val="Tahoma"/>
            <family val="2"/>
          </rPr>
          <t>In the past the end customers paid the Insurance premium monthly and SCB paid to CNPSi one Single Prmeium for the full policy Duration. Presumably the prcocess remain the same for th enew CPI+ assistance products.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Anna Haberka</author>
    <author>Haberka, Anna</author>
  </authors>
  <commentList>
    <comment ref="B12" authorId="0" shapeId="0" xr:uid="{C06F45C1-BC66-4E6F-8424-D420344CD49F}">
      <text>
        <r>
          <rPr>
            <b/>
            <sz val="9"/>
            <color indexed="81"/>
            <rFont val="Tahoma"/>
            <family val="2"/>
          </rPr>
          <t>Anna Haberka:</t>
        </r>
        <r>
          <rPr>
            <sz val="9"/>
            <color indexed="81"/>
            <rFont val="Tahoma"/>
            <family val="2"/>
          </rPr>
          <t xml:space="preserve">
For </t>
        </r>
        <r>
          <rPr>
            <b/>
            <sz val="9"/>
            <color indexed="81"/>
            <rFont val="Tahoma"/>
            <family val="2"/>
          </rPr>
          <t>GAP Products</t>
        </r>
        <r>
          <rPr>
            <sz val="9"/>
            <color indexed="81"/>
            <rFont val="Tahoma"/>
            <family val="2"/>
          </rPr>
          <t xml:space="preserve"> in Italy:
 the policy shall be cancelled with the effect of the end of the month subsequent to receipt notice.</t>
        </r>
      </text>
    </comment>
    <comment ref="B13" authorId="1" shapeId="0" xr:uid="{30BB654C-2FA9-48DD-8D10-6B6F9372B788}">
      <text>
        <r>
          <rPr>
            <b/>
            <sz val="8"/>
            <color indexed="81"/>
            <rFont val="Tahoma"/>
            <family val="2"/>
          </rPr>
          <t>Haberka, Anna:</t>
        </r>
        <r>
          <rPr>
            <sz val="8"/>
            <color indexed="81"/>
            <rFont val="Tahoma"/>
            <family val="2"/>
          </rPr>
          <t xml:space="preserve">
For GAP products:
</t>
        </r>
        <r>
          <rPr>
            <sz val="12"/>
            <color indexed="81"/>
            <rFont val="Tahoma"/>
            <family val="2"/>
          </rPr>
          <t>Insured Amount = Invoice Amount of the vehicle
Invoice Amount of vehicle = Loan Amount + Down Payment</t>
        </r>
      </text>
    </comment>
    <comment ref="B20" authorId="1" shapeId="0" xr:uid="{C4B7F63B-BF33-4078-8C92-933D47938608}">
      <text>
        <r>
          <rPr>
            <b/>
            <sz val="8"/>
            <color indexed="81"/>
            <rFont val="Tahoma"/>
            <family val="2"/>
          </rPr>
          <t>Haberka, Anna:</t>
        </r>
        <r>
          <rPr>
            <sz val="8"/>
            <color indexed="81"/>
            <rFont val="Tahoma"/>
            <family val="2"/>
          </rPr>
          <t xml:space="preserve">
Early Termination cost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Haberka, Anna (CNP Santander)</author>
    <author>Haberka, Anna</author>
  </authors>
  <commentList>
    <comment ref="B11" authorId="0" shapeId="0" xr:uid="{2F853668-5D11-4AA3-AF5C-DCBBBDD55234}">
      <text>
        <r>
          <rPr>
            <b/>
            <sz val="9"/>
            <color indexed="81"/>
            <rFont val="Tahoma"/>
            <family val="2"/>
          </rPr>
          <t>Haberka, Anna (CNP Santander):</t>
        </r>
        <r>
          <rPr>
            <sz val="9"/>
            <color indexed="81"/>
            <rFont val="Tahoma"/>
            <family val="2"/>
          </rPr>
          <t xml:space="preserve">
</t>
        </r>
        <r>
          <rPr>
            <sz val="12"/>
            <color indexed="81"/>
            <rFont val="Tahoma"/>
            <family val="2"/>
          </rPr>
          <t>This date shall remain unchanged even if the customer repaid partially the loan earlier and shortened the duration. This field always shall reflect the original exparation/ end date of the original policy</t>
        </r>
        <r>
          <rPr>
            <sz val="9"/>
            <color indexed="81"/>
            <rFont val="Tahoma"/>
            <family val="2"/>
          </rPr>
          <t>.</t>
        </r>
      </text>
    </comment>
    <comment ref="B12" authorId="0" shapeId="0" xr:uid="{1A3780BA-6245-4715-8A58-8374E7F6CCA7}">
      <text>
        <r>
          <rPr>
            <b/>
            <sz val="9"/>
            <color indexed="81"/>
            <rFont val="Tahoma"/>
            <family val="2"/>
          </rPr>
          <t>Haberka, Anna (CNP Santander):</t>
        </r>
        <r>
          <rPr>
            <sz val="9"/>
            <color indexed="81"/>
            <rFont val="Tahoma"/>
            <family val="2"/>
          </rPr>
          <t xml:space="preserve">
In case of:
1) </t>
        </r>
        <r>
          <rPr>
            <b/>
            <sz val="9"/>
            <color indexed="81"/>
            <rFont val="Tahoma"/>
            <family val="2"/>
          </rPr>
          <t>Standard Early Termination</t>
        </r>
        <r>
          <rPr>
            <sz val="9"/>
            <color indexed="81"/>
            <rFont val="Tahoma"/>
            <family val="2"/>
          </rPr>
          <t xml:space="preserve">: use the early Termination date
2) </t>
        </r>
        <r>
          <rPr>
            <b/>
            <sz val="9"/>
            <color indexed="81"/>
            <rFont val="Tahoma"/>
            <family val="2"/>
          </rPr>
          <t>Partial Cancellaltion</t>
        </r>
        <r>
          <rPr>
            <sz val="9"/>
            <color indexed="81"/>
            <rFont val="Tahoma"/>
            <family val="2"/>
          </rPr>
          <t xml:space="preserve">: use the Partial Cancellation date (e.g. date of 1st or 2nd or 3rd Partial cancelaltion)
3) </t>
        </r>
        <r>
          <rPr>
            <b/>
            <sz val="9"/>
            <color indexed="81"/>
            <rFont val="Tahoma"/>
            <family val="2"/>
          </rPr>
          <t>Full Early Termination following previous Partial Cancellaltion(s)</t>
        </r>
        <r>
          <rPr>
            <sz val="9"/>
            <color indexed="81"/>
            <rFont val="Tahoma"/>
            <family val="2"/>
          </rPr>
          <t>: use the date of the Full Early Termination after all previous Partial Cancellations.</t>
        </r>
      </text>
    </comment>
    <comment ref="B13" authorId="1" shapeId="0" xr:uid="{E745691D-4BB3-441E-9232-CFD995F3D785}">
      <text>
        <r>
          <rPr>
            <b/>
            <sz val="8"/>
            <color indexed="81"/>
            <rFont val="Tahoma"/>
            <family val="2"/>
          </rPr>
          <t>Haberka, Anna:</t>
        </r>
        <r>
          <rPr>
            <sz val="8"/>
            <color indexed="81"/>
            <rFont val="Tahoma"/>
            <family val="2"/>
          </rPr>
          <t xml:space="preserve">
</t>
        </r>
        <r>
          <rPr>
            <sz val="12"/>
            <color indexed="81"/>
            <rFont val="Tahoma"/>
            <family val="2"/>
          </rPr>
          <t xml:space="preserve">Insured Amount = Insured Capital
For </t>
        </r>
        <r>
          <rPr>
            <u/>
            <sz val="12"/>
            <color indexed="81"/>
            <rFont val="Tahoma"/>
            <family val="2"/>
          </rPr>
          <t>Non-Leasing products</t>
        </r>
        <r>
          <rPr>
            <sz val="12"/>
            <color indexed="81"/>
            <rFont val="Tahoma"/>
            <family val="2"/>
          </rPr>
          <t xml:space="preserve">: Insured Amount = Loan amount requested by customer;
For </t>
        </r>
        <r>
          <rPr>
            <u/>
            <sz val="12"/>
            <color indexed="81"/>
            <rFont val="Tahoma"/>
            <family val="2"/>
          </rPr>
          <t>Leasing products</t>
        </r>
        <r>
          <rPr>
            <sz val="12"/>
            <color indexed="81"/>
            <rFont val="Tahoma"/>
            <family val="2"/>
          </rPr>
          <t>: Insured Amount = Loan Amount requested by customer + Insurance Prmeium</t>
        </r>
      </text>
    </comment>
    <comment ref="B14" authorId="0" shapeId="0" xr:uid="{6B36EE84-0BC5-42D3-88FC-19C58C84BE3B}">
      <text>
        <r>
          <rPr>
            <b/>
            <sz val="9"/>
            <color indexed="81"/>
            <rFont val="Tahoma"/>
            <family val="2"/>
          </rPr>
          <t>Haberka, Anna (CNP Santander):</t>
        </r>
        <r>
          <rPr>
            <sz val="9"/>
            <color indexed="81"/>
            <rFont val="Tahoma"/>
            <family val="2"/>
          </rPr>
          <t xml:space="preserve">
</t>
        </r>
        <r>
          <rPr>
            <sz val="12"/>
            <color indexed="81"/>
            <rFont val="Tahoma"/>
            <family val="2"/>
          </rPr>
          <t xml:space="preserve">In case of:
1) </t>
        </r>
        <r>
          <rPr>
            <b/>
            <sz val="12"/>
            <color indexed="81"/>
            <rFont val="Tahoma"/>
            <family val="2"/>
          </rPr>
          <t>Standard Early Termination (ET)</t>
        </r>
        <r>
          <rPr>
            <sz val="12"/>
            <color indexed="81"/>
            <rFont val="Tahoma"/>
            <family val="2"/>
          </rPr>
          <t xml:space="preserve">: use the Outstanding Balance at time of the ET;
2) </t>
        </r>
        <r>
          <rPr>
            <b/>
            <sz val="12"/>
            <color indexed="81"/>
            <rFont val="Tahoma"/>
            <family val="2"/>
          </rPr>
          <t>1st Partial Cancellation</t>
        </r>
        <r>
          <rPr>
            <sz val="12"/>
            <color indexed="81"/>
            <rFont val="Tahoma"/>
            <family val="2"/>
          </rPr>
          <t xml:space="preserve">: use the Outstanding Balance right before 1st Partial Cancellation;
3) </t>
        </r>
        <r>
          <rPr>
            <b/>
            <sz val="12"/>
            <color indexed="81"/>
            <rFont val="Tahoma"/>
            <family val="2"/>
          </rPr>
          <t>Consecutive Partial Cancellation</t>
        </r>
        <r>
          <rPr>
            <sz val="12"/>
            <color indexed="81"/>
            <rFont val="Tahoma"/>
            <family val="2"/>
          </rPr>
          <t xml:space="preserve"> (e.g. 2nd, 3rd Partial Cancelaltion): use the Outstanding Balance at time of this particular partial Cancelaltion (e.g. 2nd Partial Cancellation)
4)</t>
        </r>
        <r>
          <rPr>
            <b/>
            <sz val="12"/>
            <color indexed="81"/>
            <rFont val="Tahoma"/>
            <family val="2"/>
          </rPr>
          <t xml:space="preserve"> Full Early Termination following previous Partial Cancelaltion: </t>
        </r>
        <r>
          <rPr>
            <sz val="12"/>
            <color indexed="81"/>
            <rFont val="Tahoma"/>
            <family val="2"/>
          </rPr>
          <t>ALWAYS use the Outstanding Balance at the time of 1st Partial Cancellation (regardless, how many Partial Cancelaltion there were befor the Full ET.  In other words, even if there should be 3 Partial Cancelaltions followed by the Full ET after all those Partial Cancellation use the amount corresponding to the Outstanding Balance at the time (just before) 1st Partial Cancellation.</t>
        </r>
        <r>
          <rPr>
            <b/>
            <sz val="12"/>
            <color indexed="81"/>
            <rFont val="Tahoma"/>
            <family val="2"/>
          </rPr>
          <t xml:space="preserve">
</t>
        </r>
      </text>
    </comment>
    <comment ref="B15" authorId="0" shapeId="0" xr:uid="{4071E064-959D-4B2A-B15E-D641A738E78B}">
      <text>
        <r>
          <rPr>
            <b/>
            <sz val="9"/>
            <color indexed="81"/>
            <rFont val="Tahoma"/>
            <family val="2"/>
          </rPr>
          <t>Haberka, Anna (CNP Santander):</t>
        </r>
        <r>
          <rPr>
            <sz val="9"/>
            <color indexed="81"/>
            <rFont val="Tahoma"/>
            <family val="2"/>
          </rPr>
          <t xml:space="preserve">
</t>
        </r>
        <r>
          <rPr>
            <sz val="12"/>
            <color indexed="81"/>
            <rFont val="Tahoma"/>
            <family val="2"/>
          </rPr>
          <t>To be used only in case of the Ful Early Termination following previous Partial Cancelaltion(s). In other cases set to zero.</t>
        </r>
      </text>
    </comment>
    <comment ref="B16" authorId="0" shapeId="0" xr:uid="{7600859C-FFD9-4ECC-B9FD-29D1B902B4C7}">
      <text>
        <r>
          <rPr>
            <b/>
            <sz val="9"/>
            <color indexed="81"/>
            <rFont val="Tahoma"/>
            <family val="2"/>
          </rPr>
          <t>Haberka, Anna (CNP Santander):</t>
        </r>
        <r>
          <rPr>
            <sz val="9"/>
            <color indexed="81"/>
            <rFont val="Tahoma"/>
            <family val="2"/>
          </rPr>
          <t xml:space="preserve">
</t>
        </r>
        <r>
          <rPr>
            <sz val="12"/>
            <color indexed="81"/>
            <rFont val="Tahoma"/>
            <family val="2"/>
          </rPr>
          <t xml:space="preserve">Loan Amount which the end customer repaid quicker at the time of this particular Partial Cancellation only.
E.g. if the customer should repay on a monthly basis €500 but repays €3500 it means that he/she repaid quicker €3000.
</t>
        </r>
      </text>
    </comment>
    <comment ref="B30" authorId="1" shapeId="0" xr:uid="{8AA6FB3A-1F97-4C7E-A6DF-6E8F751B51D1}">
      <text>
        <r>
          <rPr>
            <b/>
            <sz val="8"/>
            <color indexed="81"/>
            <rFont val="Tahoma"/>
            <family val="2"/>
          </rPr>
          <t>Haberka, Anna:</t>
        </r>
        <r>
          <rPr>
            <sz val="8"/>
            <color indexed="81"/>
            <rFont val="Tahoma"/>
            <family val="2"/>
          </rPr>
          <t xml:space="preserve">
Early Termination cost</t>
        </r>
      </text>
    </comment>
    <comment ref="B60" authorId="0" shapeId="0" xr:uid="{C40D1268-E244-4EFB-8F2D-7F0BAE83991D}">
      <text>
        <r>
          <rPr>
            <b/>
            <sz val="9"/>
            <color indexed="81"/>
            <rFont val="Tahoma"/>
            <family val="2"/>
          </rPr>
          <t>Haberka, Anna (CNP Santander):</t>
        </r>
        <r>
          <rPr>
            <sz val="9"/>
            <color indexed="81"/>
            <rFont val="Tahoma"/>
            <family val="2"/>
          </rPr>
          <t xml:space="preserve">
</t>
        </r>
        <r>
          <rPr>
            <sz val="12"/>
            <color indexed="81"/>
            <rFont val="Tahoma"/>
            <family val="2"/>
          </rPr>
          <t>To be used to calcullate the Early Termination refund after charging the customer with the Early Termination Fees, where the customer never mad any partial cancelaltion on the existing policy.</t>
        </r>
      </text>
    </comment>
    <comment ref="B64" authorId="0" shapeId="0" xr:uid="{DC555EB4-4AED-40F1-A32F-69F53B64BFEF}">
      <text>
        <r>
          <rPr>
            <b/>
            <sz val="9"/>
            <color indexed="81"/>
            <rFont val="Tahoma"/>
            <family val="2"/>
          </rPr>
          <t>Haberka, Anna (CNP Santander):</t>
        </r>
        <r>
          <rPr>
            <sz val="9"/>
            <color indexed="81"/>
            <rFont val="Tahoma"/>
            <family val="2"/>
          </rPr>
          <t xml:space="preserve">
</t>
        </r>
        <r>
          <rPr>
            <sz val="12"/>
            <color indexed="81"/>
            <rFont val="Tahoma"/>
            <family val="2"/>
          </rPr>
          <t>To be used for 1st, 2nd, 3rd, 4th etc. Partial Cancelaltion</t>
        </r>
      </text>
    </comment>
    <comment ref="B73" authorId="0" shapeId="0" xr:uid="{9E488D51-F645-460F-9E9C-77E4A66F0CCE}">
      <text>
        <r>
          <rPr>
            <b/>
            <sz val="9"/>
            <color indexed="81"/>
            <rFont val="Tahoma"/>
            <family val="2"/>
          </rPr>
          <t>Haberka, Anna (CNP Santander):</t>
        </r>
        <r>
          <rPr>
            <sz val="9"/>
            <color indexed="81"/>
            <rFont val="Tahoma"/>
            <family val="2"/>
          </rPr>
          <t xml:space="preserve">
</t>
        </r>
        <r>
          <rPr>
            <sz val="14"/>
            <color indexed="81"/>
            <rFont val="Tahoma"/>
            <family val="2"/>
          </rPr>
          <t>CNPSI decided to waive the ET charges in case of Partial Cancellations. The ET fees shall only be charged at time of the full Early Termination of the policy.</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Haberka, Anna</author>
  </authors>
  <commentList>
    <comment ref="B14" authorId="0" shapeId="0" xr:uid="{AF11940B-0C1D-4A0C-862B-2C93802B8314}">
      <text>
        <r>
          <rPr>
            <b/>
            <sz val="8"/>
            <color indexed="81"/>
            <rFont val="Tahoma"/>
            <family val="2"/>
          </rPr>
          <t>Haberka, Anna:</t>
        </r>
        <r>
          <rPr>
            <sz val="8"/>
            <color indexed="81"/>
            <rFont val="Tahoma"/>
            <family val="2"/>
          </rPr>
          <t xml:space="preserve">
</t>
        </r>
        <r>
          <rPr>
            <sz val="12"/>
            <color indexed="81"/>
            <rFont val="Tahoma"/>
            <family val="2"/>
          </rPr>
          <t xml:space="preserve">Insured Amount = Insured Capital
For </t>
        </r>
        <r>
          <rPr>
            <u/>
            <sz val="12"/>
            <color indexed="81"/>
            <rFont val="Tahoma"/>
            <family val="2"/>
          </rPr>
          <t>Non-Leasing products</t>
        </r>
        <r>
          <rPr>
            <sz val="12"/>
            <color indexed="81"/>
            <rFont val="Tahoma"/>
            <family val="2"/>
          </rPr>
          <t xml:space="preserve">: Insured Amount = Loan amount requested by customer;
For </t>
        </r>
        <r>
          <rPr>
            <u/>
            <sz val="12"/>
            <color indexed="81"/>
            <rFont val="Tahoma"/>
            <family val="2"/>
          </rPr>
          <t>Leasing products</t>
        </r>
        <r>
          <rPr>
            <sz val="12"/>
            <color indexed="81"/>
            <rFont val="Tahoma"/>
            <family val="2"/>
          </rPr>
          <t>: Insured Amount = Loan Amount requested by customer + Insurance Prmeium</t>
        </r>
      </text>
    </comment>
    <comment ref="B21" authorId="0" shapeId="0" xr:uid="{263E1411-2943-47FD-BBCD-753024FA6AF7}">
      <text>
        <r>
          <rPr>
            <b/>
            <sz val="8"/>
            <color indexed="81"/>
            <rFont val="Tahoma"/>
            <family val="2"/>
          </rPr>
          <t>Haberka, Anna:</t>
        </r>
        <r>
          <rPr>
            <sz val="8"/>
            <color indexed="81"/>
            <rFont val="Tahoma"/>
            <family val="2"/>
          </rPr>
          <t xml:space="preserve">
Early Termination cost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<sst xmlns="http://schemas.openxmlformats.org/spreadsheetml/2006/main" count="2841" uniqueCount="893">
  <si>
    <t>DRAFT - NOT VALIDATED YET!</t>
  </si>
  <si>
    <t>Rules for reimbursement</t>
  </si>
  <si>
    <t>Non-Leasing</t>
  </si>
  <si>
    <t>Definitions:</t>
  </si>
  <si>
    <r>
      <t xml:space="preserve">D) </t>
    </r>
    <r>
      <rPr>
        <sz val="11"/>
        <color indexed="8"/>
        <rFont val="Calibri"/>
        <family val="2"/>
      </rPr>
      <t xml:space="preserve">Initial duration  of the insurance cover (= Duration of the loan) (in months) </t>
    </r>
  </si>
  <si>
    <r>
      <t xml:space="preserve">t) </t>
    </r>
    <r>
      <rPr>
        <sz val="11"/>
        <color indexed="8"/>
        <rFont val="Calibri"/>
        <family val="2"/>
      </rPr>
      <t>Time passed to the date of reimbursement request (in months)</t>
    </r>
  </si>
  <si>
    <r>
      <t xml:space="preserve">r) </t>
    </r>
    <r>
      <rPr>
        <sz val="11"/>
        <color indexed="8"/>
        <rFont val="Calibri"/>
        <family val="2"/>
      </rPr>
      <t>Residual duration  (D-t) (in months)</t>
    </r>
  </si>
  <si>
    <r>
      <t xml:space="preserve">δ </t>
    </r>
    <r>
      <rPr>
        <sz val="11"/>
        <color indexed="8"/>
        <rFont val="Calibri"/>
        <family val="2"/>
      </rPr>
      <t>= Base commission (43.0%)</t>
    </r>
  </si>
  <si>
    <r>
      <rPr>
        <b/>
        <sz val="12"/>
        <color indexed="8"/>
        <rFont val="Calibri"/>
        <family val="2"/>
      </rPr>
      <t>ε</t>
    </r>
    <r>
      <rPr>
        <b/>
        <sz val="11"/>
        <color indexed="8"/>
        <rFont val="Calibri"/>
        <family val="2"/>
      </rPr>
      <t xml:space="preserve">  </t>
    </r>
    <r>
      <rPr>
        <sz val="11"/>
        <color indexed="8"/>
        <rFont val="Calibri"/>
        <family val="2"/>
      </rPr>
      <t>= Total ET costs (€) :</t>
    </r>
  </si>
  <si>
    <t>*</t>
  </si>
  <si>
    <r>
      <t xml:space="preserve">€25.0 </t>
    </r>
    <r>
      <rPr>
        <sz val="11"/>
        <color indexed="8"/>
        <rFont val="Calibri"/>
        <family val="2"/>
      </rPr>
      <t>for Personal Loans, Auto,Senior products</t>
    </r>
  </si>
  <si>
    <r>
      <t xml:space="preserve">€17.50 </t>
    </r>
    <r>
      <rPr>
        <sz val="11"/>
        <color indexed="8"/>
        <rFont val="Calibri"/>
        <family val="2"/>
      </rPr>
      <t>for Finalised/ Durables Loans</t>
    </r>
  </si>
  <si>
    <r>
      <t xml:space="preserve">PR) </t>
    </r>
    <r>
      <rPr>
        <sz val="11"/>
        <color indexed="8"/>
        <rFont val="Calibri"/>
        <family val="2"/>
      </rPr>
      <t>Premium to be reimbursed to Adherent</t>
    </r>
  </si>
  <si>
    <r>
      <t xml:space="preserve">COMM) </t>
    </r>
    <r>
      <rPr>
        <sz val="11"/>
        <color indexed="8"/>
        <rFont val="Calibri"/>
        <family val="2"/>
      </rPr>
      <t>Commission Portion of the Refund to be recovered from Contractor (SCB)</t>
    </r>
  </si>
  <si>
    <r>
      <t xml:space="preserve">PT = </t>
    </r>
    <r>
      <rPr>
        <sz val="11"/>
        <color indexed="8"/>
        <rFont val="Calibri"/>
        <family val="2"/>
      </rPr>
      <t>Net tax premium (paid by the Adherent excl. tax)</t>
    </r>
  </si>
  <si>
    <r>
      <rPr>
        <b/>
        <sz val="11"/>
        <color indexed="8"/>
        <rFont val="Calibri"/>
        <family val="2"/>
      </rPr>
      <t>PPR</t>
    </r>
    <r>
      <rPr>
        <sz val="11"/>
        <color indexed="8"/>
        <rFont val="Calibri"/>
        <family val="2"/>
      </rPr>
      <t xml:space="preserve"> </t>
    </r>
    <r>
      <rPr>
        <b/>
        <sz val="11"/>
        <color indexed="8"/>
        <rFont val="Calibri"/>
        <family val="2"/>
      </rPr>
      <t xml:space="preserve">= </t>
    </r>
    <r>
      <rPr>
        <sz val="11"/>
        <color indexed="8"/>
        <rFont val="Calibri"/>
        <family val="2"/>
      </rPr>
      <t>The pure premium refunded to the Adherent</t>
    </r>
  </si>
  <si>
    <r>
      <t xml:space="preserve">1) NON-LIFE premium to reimburse to Adherent (Insured)     </t>
    </r>
    <r>
      <rPr>
        <b/>
        <sz val="11"/>
        <color indexed="17"/>
        <rFont val="Calibri"/>
        <family val="2"/>
      </rPr>
      <t xml:space="preserve"> - UNCHANGED</t>
    </r>
  </si>
  <si>
    <r>
      <t xml:space="preserve">PR </t>
    </r>
    <r>
      <rPr>
        <sz val="11"/>
        <color indexed="8"/>
        <rFont val="Calibri"/>
        <family val="2"/>
      </rPr>
      <t>= (PT x (1 - δ) + PT x δ) x (D-t)/D – ε = PT x (D-t)/D – ε</t>
    </r>
    <r>
      <rPr>
        <b/>
        <sz val="11"/>
        <color indexed="8"/>
        <rFont val="Calibri"/>
        <family val="2"/>
      </rPr>
      <t xml:space="preserve">
</t>
    </r>
  </si>
  <si>
    <r>
      <t xml:space="preserve">2) LIFE premium to reimburse to Adherent (Insured)         </t>
    </r>
    <r>
      <rPr>
        <b/>
        <sz val="11"/>
        <color indexed="17"/>
        <rFont val="Calibri"/>
        <family val="2"/>
      </rPr>
      <t xml:space="preserve"> - CHANGED</t>
    </r>
  </si>
  <si>
    <r>
      <t>PR =</t>
    </r>
    <r>
      <rPr>
        <sz val="11"/>
        <color indexed="17"/>
        <rFont val="Calibri"/>
        <family val="2"/>
      </rPr>
      <t xml:space="preserve"> PT x (β + δ)  x (D−t)/D + PPR – ε</t>
    </r>
    <r>
      <rPr>
        <b/>
        <sz val="11"/>
        <color indexed="17"/>
        <rFont val="Calibri"/>
        <family val="2"/>
      </rPr>
      <t xml:space="preserve">
</t>
    </r>
  </si>
  <si>
    <t>with:</t>
  </si>
  <si>
    <r>
      <t xml:space="preserve">PPR </t>
    </r>
    <r>
      <rPr>
        <sz val="11"/>
        <color indexed="17"/>
        <rFont val="Calibri"/>
        <family val="2"/>
      </rPr>
      <t xml:space="preserve">= PP x (D−t)/D x OB/ OLA
</t>
    </r>
    <r>
      <rPr>
        <b/>
        <sz val="11"/>
        <color indexed="17"/>
        <rFont val="Calibri"/>
        <family val="2"/>
      </rPr>
      <t xml:space="preserve">
</t>
    </r>
  </si>
  <si>
    <r>
      <t xml:space="preserve">3) Commission to recover from SCB  </t>
    </r>
    <r>
      <rPr>
        <b/>
        <sz val="11"/>
        <color indexed="17"/>
        <rFont val="Calibri"/>
        <family val="2"/>
      </rPr>
      <t>- UNCHANGED</t>
    </r>
  </si>
  <si>
    <r>
      <t xml:space="preserve">       Comm =</t>
    </r>
    <r>
      <rPr>
        <sz val="11"/>
        <color indexed="8"/>
        <rFont val="Calibri"/>
        <family val="2"/>
      </rPr>
      <t xml:space="preserve"> PT x δ x (D-t)/D  - εc </t>
    </r>
  </si>
  <si>
    <r>
      <t xml:space="preserve">Leasing </t>
    </r>
    <r>
      <rPr>
        <b/>
        <sz val="14"/>
        <color indexed="17"/>
        <rFont val="Calibri"/>
        <family val="2"/>
      </rPr>
      <t>- unchanged</t>
    </r>
  </si>
  <si>
    <t>if t ≤ p</t>
  </si>
  <si>
    <t>if t &gt; p</t>
  </si>
  <si>
    <r>
      <rPr>
        <b/>
        <sz val="12"/>
        <color indexed="8"/>
        <rFont val="Calibri"/>
        <family val="2"/>
      </rPr>
      <t>ε</t>
    </r>
    <r>
      <rPr>
        <b/>
        <sz val="11"/>
        <color indexed="8"/>
        <rFont val="Calibri"/>
        <family val="2"/>
      </rPr>
      <t xml:space="preserve">  </t>
    </r>
    <r>
      <rPr>
        <sz val="11"/>
        <color indexed="8"/>
        <rFont val="Calibri"/>
        <family val="2"/>
      </rPr>
      <t>= Total ET costs (</t>
    </r>
    <r>
      <rPr>
        <b/>
        <sz val="11"/>
        <color indexed="8"/>
        <rFont val="Calibri"/>
        <family val="2"/>
      </rPr>
      <t>€20.50</t>
    </r>
    <r>
      <rPr>
        <sz val="11"/>
        <color indexed="8"/>
        <rFont val="Calibri"/>
        <family val="2"/>
      </rPr>
      <t>)</t>
    </r>
  </si>
  <si>
    <r>
      <rPr>
        <b/>
        <sz val="11"/>
        <color indexed="8"/>
        <rFont val="Calibri"/>
        <family val="2"/>
      </rPr>
      <t>PPC</t>
    </r>
    <r>
      <rPr>
        <sz val="11"/>
        <color indexed="8"/>
        <rFont val="Calibri"/>
        <family val="2"/>
      </rPr>
      <t xml:space="preserve"> = The pure premium refunded to the Contractor</t>
    </r>
  </si>
  <si>
    <t>1) NON-LIFE premium to reimburse to Contractor (SCB)</t>
  </si>
  <si>
    <r>
      <t xml:space="preserve">PPC </t>
    </r>
    <r>
      <rPr>
        <sz val="11"/>
        <color indexed="8"/>
        <rFont val="Calibri"/>
        <family val="2"/>
      </rPr>
      <t>= PT x (1 - δ) x (D−t)/D – ε + εc</t>
    </r>
    <r>
      <rPr>
        <b/>
        <sz val="11"/>
        <color indexed="8"/>
        <rFont val="Calibri"/>
        <family val="2"/>
      </rPr>
      <t xml:space="preserve">
</t>
    </r>
  </si>
  <si>
    <t>2) LIFE premium to reimburse to Contractor (SCB)</t>
  </si>
  <si>
    <r>
      <t xml:space="preserve">PPC </t>
    </r>
    <r>
      <rPr>
        <sz val="11"/>
        <color indexed="8"/>
        <rFont val="Calibri"/>
        <family val="2"/>
      </rPr>
      <t>= PT x (1 - δ) x (D−t)/D – ε + εc</t>
    </r>
    <r>
      <rPr>
        <b/>
        <sz val="11"/>
        <color indexed="8"/>
        <rFont val="Calibri"/>
        <family val="2"/>
      </rPr>
      <t xml:space="preserve">
</t>
    </r>
    <r>
      <rPr>
        <sz val="11"/>
        <color indexed="8"/>
        <rFont val="Calibri"/>
        <family val="2"/>
      </rPr>
      <t xml:space="preserve">
</t>
    </r>
  </si>
  <si>
    <t>3) Commission to recover from SCB</t>
  </si>
  <si>
    <t xml:space="preserve"> </t>
  </si>
  <si>
    <t>ITG01</t>
  </si>
  <si>
    <t>ITG02</t>
  </si>
  <si>
    <t>ITG03</t>
  </si>
  <si>
    <t>ITG04</t>
  </si>
  <si>
    <t>ITG05</t>
  </si>
  <si>
    <t>ITG06</t>
  </si>
  <si>
    <t>ITG07</t>
  </si>
  <si>
    <t>ITG08</t>
  </si>
  <si>
    <t>ITG09</t>
  </si>
  <si>
    <t>ITG10</t>
  </si>
  <si>
    <t>ITG11</t>
  </si>
  <si>
    <t>ITG12</t>
  </si>
  <si>
    <t>Duration band for price</t>
  </si>
  <si>
    <t>Gross of IPT Premium</t>
  </si>
  <si>
    <t>Tax</t>
  </si>
  <si>
    <t>Commission</t>
  </si>
  <si>
    <t>ET Costs non-Life</t>
  </si>
  <si>
    <t>ET costs incured by contractor</t>
  </si>
  <si>
    <t>Duration band</t>
  </si>
  <si>
    <t>Minimum Duration</t>
  </si>
  <si>
    <t>Maximum duration</t>
  </si>
  <si>
    <t>TPA's:
Cardif till 30/04/April 2017
CBP from 01/05/2017</t>
  </si>
  <si>
    <t>Product Map</t>
  </si>
  <si>
    <t>ITALY</t>
  </si>
  <si>
    <t>currently there is NO Tax on Life covers in Italy</t>
  </si>
  <si>
    <t>QS50%</t>
  </si>
  <si>
    <t>QS 30%</t>
  </si>
  <si>
    <t>QS 25%</t>
  </si>
  <si>
    <r>
      <rPr>
        <b/>
        <sz val="11"/>
        <color indexed="8"/>
        <rFont val="Calibri"/>
        <family val="2"/>
      </rPr>
      <t>ALB</t>
    </r>
    <r>
      <rPr>
        <sz val="11"/>
        <color theme="1"/>
        <rFont val="Calibri"/>
        <family val="2"/>
        <scheme val="minor"/>
      </rPr>
      <t xml:space="preserve"> = Age at Last Birthday</t>
    </r>
  </si>
  <si>
    <t>Final Premium to the Customer</t>
  </si>
  <si>
    <t>till 31/12/2012</t>
  </si>
  <si>
    <t>From 01/01/2013 till 31/03/2015:</t>
  </si>
  <si>
    <t>From 01/04/2015 till 31/10/2015:</t>
  </si>
  <si>
    <t>From 01/11/2015 till 30/04/2016:</t>
  </si>
  <si>
    <t>From 01/05/2016 till 30/04/2017:</t>
  </si>
  <si>
    <t>TPA</t>
  </si>
  <si>
    <t>Product</t>
  </si>
  <si>
    <t>Channel</t>
  </si>
  <si>
    <r>
      <t>SCB Tariff</t>
    </r>
    <r>
      <rPr>
        <b/>
        <sz val="11"/>
        <color indexed="60"/>
        <rFont val="Calibri"/>
        <family val="2"/>
      </rPr>
      <t xml:space="preserve"> </t>
    </r>
  </si>
  <si>
    <t>PRODUCT NAME (for TPA: CBP)</t>
  </si>
  <si>
    <r>
      <t xml:space="preserve">IP Product code </t>
    </r>
    <r>
      <rPr>
        <sz val="11"/>
        <color indexed="60"/>
        <rFont val="Calibri"/>
        <family val="2"/>
      </rPr>
      <t/>
    </r>
  </si>
  <si>
    <t>Employment Status for Policy</t>
  </si>
  <si>
    <t>Life Policy No</t>
  </si>
  <si>
    <t>Non-Life Policy No</t>
  </si>
  <si>
    <t>Total Premium (incl. tax)</t>
  </si>
  <si>
    <t>Life Premium</t>
  </si>
  <si>
    <t>Non-Life Premium (incl. tax)</t>
  </si>
  <si>
    <t>Tax on Life business</t>
  </si>
  <si>
    <t>Tax on Non-Life business</t>
  </si>
  <si>
    <t>Premium Frequency</t>
  </si>
  <si>
    <t>Base Commission (Distribution)</t>
  </si>
  <si>
    <t>Over-Commission (Distribution)</t>
  </si>
  <si>
    <t>Tax on Commission</t>
  </si>
  <si>
    <t>Duration (typical)</t>
  </si>
  <si>
    <t>Max. Duration</t>
  </si>
  <si>
    <t>Cooling Off Period</t>
  </si>
  <si>
    <t>Cooling Off Refund</t>
  </si>
  <si>
    <t>Right to Cancel Policy</t>
  </si>
  <si>
    <t>Min Entry Age</t>
  </si>
  <si>
    <t>Max Entry Age</t>
  </si>
  <si>
    <t>Max Age Expiry</t>
  </si>
  <si>
    <t>Max Loan</t>
  </si>
  <si>
    <t>All covers</t>
  </si>
  <si>
    <t>Total ET cost per LIFE part of policy</t>
  </si>
  <si>
    <t>Total ET cost per Non-LIFE part of policy</t>
  </si>
  <si>
    <t>Total Early Termination Charge per policy</t>
  </si>
  <si>
    <t>LIFE: ET fees (SCB's part)</t>
  </si>
  <si>
    <t>LIFE: ET fees (CNP SI 's part)</t>
  </si>
  <si>
    <t>Non-LIFE: ET fees (SCB's part)</t>
  </si>
  <si>
    <t>Non-LIFE: ET fees (CNP SI 's part)</t>
  </si>
  <si>
    <t>Death</t>
  </si>
  <si>
    <t>PTD</t>
  </si>
  <si>
    <t>Acc Death</t>
  </si>
  <si>
    <t>Life (Net Tax)</t>
  </si>
  <si>
    <t>Life Price (incl. tax)</t>
  </si>
  <si>
    <t>TTD net Tax</t>
  </si>
  <si>
    <t>IU net tax</t>
  </si>
  <si>
    <r>
      <t xml:space="preserve">For </t>
    </r>
    <r>
      <rPr>
        <b/>
        <u/>
        <sz val="11"/>
        <rFont val="Calibri"/>
        <family val="2"/>
      </rPr>
      <t xml:space="preserve">Auto CPI+ </t>
    </r>
    <r>
      <rPr>
        <b/>
        <sz val="11"/>
        <rFont val="Calibri"/>
        <family val="2"/>
      </rPr>
      <t xml:space="preserve">products: CI net of tax
for </t>
    </r>
    <r>
      <rPr>
        <b/>
        <u/>
        <sz val="11"/>
        <rFont val="Calibri"/>
        <family val="2"/>
      </rPr>
      <t>all other</t>
    </r>
    <r>
      <rPr>
        <b/>
        <sz val="11"/>
        <rFont val="Calibri"/>
        <family val="2"/>
      </rPr>
      <t xml:space="preserve"> products: APTD net tax </t>
    </r>
  </si>
  <si>
    <t>Non-Life (Net Tax)</t>
  </si>
  <si>
    <t>TTD incl. tax</t>
  </si>
  <si>
    <t>IU incl. tax</t>
  </si>
  <si>
    <t xml:space="preserve">For Auto CPI+ products: CI incl of tax
for all other products: APTD incl. tax </t>
  </si>
  <si>
    <t>Non-Life incl. tax</t>
  </si>
  <si>
    <t>Total Price (Incl. tax)</t>
  </si>
  <si>
    <t>Full Product name</t>
  </si>
  <si>
    <t>Insurer's (CNPSI's) Loadings</t>
  </si>
  <si>
    <t>Reinsurer's (Cardif) Loadings till 31/12/2012</t>
  </si>
  <si>
    <t>Reinsurer's (Cardif) Loadings since 01/01/2013</t>
  </si>
  <si>
    <t>Total  Loadings on Early Termination:</t>
  </si>
  <si>
    <t>retention - acq</t>
  </si>
  <si>
    <t>retention - admin</t>
  </si>
  <si>
    <t>Insurer's Loadings</t>
  </si>
  <si>
    <t>Total Reinsurer's Loadings on Early Termination:</t>
  </si>
  <si>
    <t>Reinsurer retention - acq</t>
  </si>
  <si>
    <t>Reinsurer retention - admin</t>
  </si>
  <si>
    <t>Total Reisurer's Loadings on Early Termination:</t>
  </si>
  <si>
    <t>Re Loadings till 31/12/2012</t>
  </si>
  <si>
    <t>Re Loadings from 1/01/2013</t>
  </si>
  <si>
    <t>Reinsurer's Loadings</t>
  </si>
  <si>
    <t>Reinsurer's acq retention</t>
  </si>
  <si>
    <t>Reinsurer's admin retention</t>
  </si>
  <si>
    <t>Cardif</t>
  </si>
  <si>
    <t>Pre-IVASS</t>
  </si>
  <si>
    <t>Personal</t>
  </si>
  <si>
    <t>CL45P</t>
  </si>
  <si>
    <t>CPI Personal loans 4.50%</t>
  </si>
  <si>
    <t>n/a</t>
  </si>
  <si>
    <t>0101/28</t>
  </si>
  <si>
    <t>0101/29</t>
  </si>
  <si>
    <t>Single premium</t>
  </si>
  <si>
    <t>Till 31/12/2012: 4.6% 
From 01/01/2013: 0%</t>
  </si>
  <si>
    <t xml:space="preserve">From 24/10/2011: 0 - 24 mths
* Personal Loans refinancing is always at 4.5%
</t>
  </si>
  <si>
    <t>Until 02/06/2014: 30 days
From 03/06/2014: 60 days</t>
  </si>
  <si>
    <t>100% Premium net of tax (2.5% on Non-Life premium)</t>
  </si>
  <si>
    <t>On repayment of loan.</t>
  </si>
  <si>
    <t>&lt;65</t>
  </si>
  <si>
    <t xml:space="preserve"> &lt; 70</t>
  </si>
  <si>
    <t>D, PTD, TTD, IU</t>
  </si>
  <si>
    <t>CPI Personal loans 4.50% - PRE-IVASS (Cardif)</t>
  </si>
  <si>
    <t>CL4FP</t>
  </si>
  <si>
    <t>CL45FP</t>
  </si>
  <si>
    <t>CL60P</t>
  </si>
  <si>
    <t>CPI Personal loans 6%</t>
  </si>
  <si>
    <t xml:space="preserve">From 24/10/2011: 25 - 36 mths
* Personal Loans refinancing is always at 4.5%
</t>
  </si>
  <si>
    <t>CPI Personal loans 6% - PRE-IVASS (Cardif)</t>
  </si>
  <si>
    <t>CL80P</t>
  </si>
  <si>
    <t>CPI Personal loans 8%</t>
  </si>
  <si>
    <t xml:space="preserve">From 24/10/2011: 37 - 79 mths
* Personal Loans refinancing is always at 4.5%
</t>
  </si>
  <si>
    <t>CPI Personal loans 8% - PRE-IVASS (Cardif)</t>
  </si>
  <si>
    <t>CL10P</t>
  </si>
  <si>
    <t>CPI Personal loans 10%</t>
  </si>
  <si>
    <t xml:space="preserve">From 24/10/2011: 80 - 120 mths
* Personal Loans refinancing is always at 4.5%
</t>
  </si>
  <si>
    <t>CPI Personal loans 10% - PRE-IVASS (Cardif)</t>
  </si>
  <si>
    <t>Auto</t>
  </si>
  <si>
    <t>CL35A</t>
  </si>
  <si>
    <t>CPI Car/Moto Loans 3.5%</t>
  </si>
  <si>
    <t xml:space="preserve">Till 18/05/2014: 0 - 24 mths
From 19/05/2014:  n/a
</t>
  </si>
  <si>
    <t xml:space="preserve"> &lt; 72</t>
  </si>
  <si>
    <t>CPI Car/Moto Loans 3.5% - PRE-IVASS (Cardif)</t>
  </si>
  <si>
    <t>CL45A</t>
  </si>
  <si>
    <t>CPI Car/Moto Loans 4.5%</t>
  </si>
  <si>
    <t xml:space="preserve">Till 18/05/2014: 25 - 48 mths
From 19/05/2014: 0 - 48 mths
</t>
  </si>
  <si>
    <t>CPI Car/Moto Loans 4.5% - PRE-IVASS (Cardif)</t>
  </si>
  <si>
    <t>CL60A</t>
  </si>
  <si>
    <t>CPI Car/Moto Loans 6%</t>
  </si>
  <si>
    <t xml:space="preserve">From 24/10/2011: 49 - 72 mths
</t>
  </si>
  <si>
    <t>CPI Car/Moto Loans 6% - PRE-IVASS (Cardif)</t>
  </si>
  <si>
    <t>CL80A</t>
  </si>
  <si>
    <t>CPI Car/Moto Loans 8%</t>
  </si>
  <si>
    <t xml:space="preserve">From 24/10/2011: 73 - 120 mths
</t>
  </si>
  <si>
    <t>CPI Car/Moto Loans 8% - PRE-IVASS (Cardif)</t>
  </si>
  <si>
    <t>Auto CPI+</t>
  </si>
  <si>
    <t>CL69A</t>
  </si>
  <si>
    <t>CPI + Car/Moto Loans 6.9%</t>
  </si>
  <si>
    <t>0104/28</t>
  </si>
  <si>
    <t>0104/29</t>
  </si>
  <si>
    <t>From 01/05/2015: 0 - 47 mths</t>
  </si>
  <si>
    <t>&lt; 72</t>
  </si>
  <si>
    <t>D, PTD, TTD, IU, CI</t>
  </si>
  <si>
    <t>CPI + Car/Moto Loans 6.9% - PRE-IVASS (Cardif)</t>
  </si>
  <si>
    <t>CL79A</t>
  </si>
  <si>
    <t>CPI + Car/Moto Loans 7.9%</t>
  </si>
  <si>
    <t>From 01/05/2015: 47 -72 mths</t>
  </si>
  <si>
    <t>CPI + Car/Moto Loans 7.9% - PRE-IVASS (Cardif)</t>
  </si>
  <si>
    <t>CL89A</t>
  </si>
  <si>
    <t>CPI + Car/Moto Loans 8.9%</t>
  </si>
  <si>
    <t>From 01/05/2015: 73 -120 mths</t>
  </si>
  <si>
    <t>CPI + Car/Moto Loans 8.9% - PRE-IVASS (Cardif)</t>
  </si>
  <si>
    <t>Finalised (Durables)</t>
  </si>
  <si>
    <t>CL35F</t>
  </si>
  <si>
    <t>CPI Finalized loans 3.5%</t>
  </si>
  <si>
    <t>0-24mths</t>
  </si>
  <si>
    <t>84mths</t>
  </si>
  <si>
    <t>CPI Finalized loans 3.5% - PRE-IVASS (Cardif)</t>
  </si>
  <si>
    <t>CL45F</t>
  </si>
  <si>
    <t>CPI Finalized loans 4.5%</t>
  </si>
  <si>
    <t>CPI Finalized loans 4.5% - PRE-IVASS (Cardif)</t>
  </si>
  <si>
    <t>CL60F</t>
  </si>
  <si>
    <t>CPI Finalized loans 6%</t>
  </si>
  <si>
    <t>CPI Finalized loans 6% - PRE-IVASS (Cardif)</t>
  </si>
  <si>
    <t>Leasing</t>
  </si>
  <si>
    <t>LP45C</t>
  </si>
  <si>
    <t>CPI Leasing 4.5%</t>
  </si>
  <si>
    <t>0102/28</t>
  </si>
  <si>
    <t>0102/29</t>
  </si>
  <si>
    <t xml:space="preserve">From 24/10/2011: 0 - 72 mths
</t>
  </si>
  <si>
    <t>D, PTD, TTD</t>
  </si>
  <si>
    <t>CPI Leasing 4.5% - PRE-IVASS (Cardif)</t>
  </si>
  <si>
    <t>LP45F</t>
  </si>
  <si>
    <t>Senior</t>
  </si>
  <si>
    <t>CLOLP</t>
  </si>
  <si>
    <t>Senior CPI Personal Loans 8%</t>
  </si>
  <si>
    <t>0103/28</t>
  </si>
  <si>
    <t>0103/29</t>
  </si>
  <si>
    <t>Single Premium for us, however the insured pays the premium to SCB on a monthly basis</t>
  </si>
  <si>
    <t>From 27/06/2012: 0 - 120 mths</t>
  </si>
  <si>
    <t>60 (65)</t>
  </si>
  <si>
    <t>&lt;70</t>
  </si>
  <si>
    <t>&lt; 75</t>
  </si>
  <si>
    <t>D, APTD</t>
  </si>
  <si>
    <t>Senior CPI Personal Loans 8% - PRE-IVASS (Cardif)</t>
  </si>
  <si>
    <t>CLOLA</t>
  </si>
  <si>
    <t>Senior CPI Car/Moto Loans 8%</t>
  </si>
  <si>
    <t>Senior CPI Car/Moto Loans 8% - PRE-IVASS (Cardif)</t>
  </si>
  <si>
    <t>Total Insurer's Loadings</t>
  </si>
  <si>
    <t>Total; Reinsurer's Loadings</t>
  </si>
  <si>
    <t>Reinsurer's Acquisition cost</t>
  </si>
  <si>
    <t>Reisnurer's admin cost</t>
  </si>
  <si>
    <t>Insurer's retention - acq</t>
  </si>
  <si>
    <t>Insurer's retention - admin</t>
  </si>
  <si>
    <t>IVASS</t>
  </si>
  <si>
    <t>CL45P1A</t>
  </si>
  <si>
    <t>CL45P1A Personal Loan</t>
  </si>
  <si>
    <t>45P1A</t>
  </si>
  <si>
    <t>Private Sector Employees</t>
  </si>
  <si>
    <t>0105/28</t>
  </si>
  <si>
    <t>0105/29</t>
  </si>
  <si>
    <t>Single Premium</t>
  </si>
  <si>
    <t>Till 31/12/2012: 4.6%
From 01/01/2013: 0%</t>
  </si>
  <si>
    <t>120mths</t>
  </si>
  <si>
    <t>60 days</t>
  </si>
  <si>
    <t>On repayment of loan or change in employment status</t>
  </si>
  <si>
    <t>D, PTD, IU</t>
  </si>
  <si>
    <t>CL45P1A Personal Loan , (Private Sector Employees)  - IVASS (Cardif)</t>
  </si>
  <si>
    <t>CL45P1B</t>
  </si>
  <si>
    <t>CL45P1B Personal Loan</t>
  </si>
  <si>
    <t>45P1B</t>
  </si>
  <si>
    <t>Public Sector/Self Employed/Non-Workers</t>
  </si>
  <si>
    <t>0106/28</t>
  </si>
  <si>
    <t>0106/29</t>
  </si>
  <si>
    <t>D, PTD, AD, TD</t>
  </si>
  <si>
    <t>CL45P1B Personal Loan , (Public Sector/Self Employed/Non-Workers)  - IVASS (Cardif)</t>
  </si>
  <si>
    <t>CL60P1A</t>
  </si>
  <si>
    <t>CL60P1A Personal Loan</t>
  </si>
  <si>
    <t>60P1A</t>
  </si>
  <si>
    <t>25-36mths</t>
  </si>
  <si>
    <t>CL60P1A Personal Loan , (Private Sector Employees)  - IVASS (Cardif)</t>
  </si>
  <si>
    <t>CL60P1B</t>
  </si>
  <si>
    <t>CL60P1B Personal Loan</t>
  </si>
  <si>
    <t>60P1B</t>
  </si>
  <si>
    <t>CL60P1B Personal Loan , (Public Sector/Self Employed/Non-Workers)  - IVASS (Cardif)</t>
  </si>
  <si>
    <t>CL80P1A</t>
  </si>
  <si>
    <t>CL80P1A Personal Loan</t>
  </si>
  <si>
    <t>80P1A</t>
  </si>
  <si>
    <t>37-79mths</t>
  </si>
  <si>
    <t>CL80P1A Personal Loan , (Private Sector Employees)  - IVASS (Cardif)</t>
  </si>
  <si>
    <t>CL80P1B</t>
  </si>
  <si>
    <t>CL80P1B Personal Loan</t>
  </si>
  <si>
    <t>80P1B</t>
  </si>
  <si>
    <t>CL80P1B Personal Loan , (Public Sector/Self Employed/Non-Workers)  - IVASS (Cardif)</t>
  </si>
  <si>
    <t>CL10P1A</t>
  </si>
  <si>
    <t>CL10P1A Personal Loan</t>
  </si>
  <si>
    <t>10P1A</t>
  </si>
  <si>
    <t>80-120mths</t>
  </si>
  <si>
    <t>CL10P1A Personal Loan , (Private Sector Employees)  - IVASS (Cardif)</t>
  </si>
  <si>
    <t>CL10P1B</t>
  </si>
  <si>
    <t>CL10P1B Personal Loan</t>
  </si>
  <si>
    <t>10P1B</t>
  </si>
  <si>
    <t>CL10P1B Personal Loan , (Public Sector/Self Employed/Non-Workers)  - IVASS (Cardif)</t>
  </si>
  <si>
    <t>CL45A1A</t>
  </si>
  <si>
    <t>CL45A1A Auto Loan</t>
  </si>
  <si>
    <t>45A1A</t>
  </si>
  <si>
    <t>0-47mths</t>
  </si>
  <si>
    <t>CL45A1A Auto Loan , (Private Sector Employees)  - IVASS (Cardif)</t>
  </si>
  <si>
    <t>CL45A1B</t>
  </si>
  <si>
    <t>CL45A1B Auto Loan</t>
  </si>
  <si>
    <t>45A1B</t>
  </si>
  <si>
    <t>CL45A1B Auto Loan , (Public Sector/Self Employed/Non-Workers)  - IVASS (Cardif)</t>
  </si>
  <si>
    <t>CL60A1A</t>
  </si>
  <si>
    <t>CL60A1A Auto Loan</t>
  </si>
  <si>
    <t>60A1A</t>
  </si>
  <si>
    <t>48-72mths</t>
  </si>
  <si>
    <t>CL60A1A Auto Loan , (Private Sector Employees)  - IVASS (Cardif)</t>
  </si>
  <si>
    <t>CL60A1B</t>
  </si>
  <si>
    <t>CL60A1B Auto Loan</t>
  </si>
  <si>
    <t>60A1B</t>
  </si>
  <si>
    <t>CL60A1B Auto Loan , (Public Sector/Self Employed/Non-Workers)  - IVASS (Cardif)</t>
  </si>
  <si>
    <t>CL80A1A</t>
  </si>
  <si>
    <t>CL80A1A Auto Loan</t>
  </si>
  <si>
    <t>80A1A</t>
  </si>
  <si>
    <t>73-120mths</t>
  </si>
  <si>
    <t>CL80A1A Auto Loan , (Private Sector Employees)  - IVASS (Cardif)</t>
  </si>
  <si>
    <t>CL80A1B</t>
  </si>
  <si>
    <t>CL80A1B Auto Loan</t>
  </si>
  <si>
    <t>80A1B</t>
  </si>
  <si>
    <t>CL80A1B Auto Loan , (Public Sector/Self Employed/Non-Workers)  - IVASS (Cardif)</t>
  </si>
  <si>
    <t>CL35F1A</t>
  </si>
  <si>
    <t>CL35F1A Durables Loan</t>
  </si>
  <si>
    <t>35F1A</t>
  </si>
  <si>
    <t>CL35F1A Durables Loan , (Private Sector Employees)  - IVASS (Cardif)</t>
  </si>
  <si>
    <t>CL35F1B</t>
  </si>
  <si>
    <t>CL35F1B Durables Loan</t>
  </si>
  <si>
    <t>35F1B</t>
  </si>
  <si>
    <t>CL35F1B Durables Loan , (Public Sector/Self Employed/Non-Workers)  - IVASS (Cardif)</t>
  </si>
  <si>
    <t>CL45F1A</t>
  </si>
  <si>
    <t>CL45F1A Durables Loan</t>
  </si>
  <si>
    <t>45F1A</t>
  </si>
  <si>
    <t>25-60mths</t>
  </si>
  <si>
    <t>CL45F1A Durables Loan , (Private Sector Employees)  - IVASS (Cardif)</t>
  </si>
  <si>
    <t>CL45F1B</t>
  </si>
  <si>
    <t>CL45F1B Durables Loan</t>
  </si>
  <si>
    <t>45F1B</t>
  </si>
  <si>
    <t>CL45F1B Durables Loan , (Public Sector/Self Employed/Non-Workers)  - IVASS (Cardif)</t>
  </si>
  <si>
    <t>CL60F1A</t>
  </si>
  <si>
    <t>CL60F1A Durables Loan</t>
  </si>
  <si>
    <t>60F1A</t>
  </si>
  <si>
    <t>61-84mths</t>
  </si>
  <si>
    <t>CL60F1A Durables Loan , (Private Sector Employees)  - IVASS (Cardif)</t>
  </si>
  <si>
    <t>CL60F1B</t>
  </si>
  <si>
    <t>CL60F1B Durables Loan</t>
  </si>
  <si>
    <t>60F1B</t>
  </si>
  <si>
    <t>CL60F1B Durables Loan , (Public Sector/Self Employed/Non-Workers)  - IVASS (Cardif)</t>
  </si>
  <si>
    <t>LP45C1</t>
  </si>
  <si>
    <t xml:space="preserve">LP45C1  Leasing Protection </t>
  </si>
  <si>
    <t>45C1</t>
  </si>
  <si>
    <t>0107/28</t>
  </si>
  <si>
    <t>0107/29</t>
  </si>
  <si>
    <t>0-72mths</t>
  </si>
  <si>
    <t>72mths</t>
  </si>
  <si>
    <t>D, PTD, TD</t>
  </si>
  <si>
    <t>LP45C1  Leasing Protection  - IVASS (Cardif)</t>
  </si>
  <si>
    <t>LP45F1</t>
  </si>
  <si>
    <t xml:space="preserve">LP45F1  Leasing Protection </t>
  </si>
  <si>
    <t>45F1</t>
  </si>
  <si>
    <t>LP45F1  Leasing Protection  - IVASS (Cardif)</t>
  </si>
  <si>
    <t>CLOLA1</t>
  </si>
  <si>
    <t xml:space="preserve">CLOLA1 Auto Loan Senior </t>
  </si>
  <si>
    <t>LOLA1</t>
  </si>
  <si>
    <t>0108/28</t>
  </si>
  <si>
    <t>0108/29</t>
  </si>
  <si>
    <t>0-120mths</t>
  </si>
  <si>
    <t>D, PTDA</t>
  </si>
  <si>
    <t>CLOLA1 Auto Loan Senior  - IVASS (Cardif)</t>
  </si>
  <si>
    <t>CLOLP1</t>
  </si>
  <si>
    <t xml:space="preserve">CLOLP1  Personal Loan Senior </t>
  </si>
  <si>
    <t>LOLP1</t>
  </si>
  <si>
    <t>CLOLP1  Personal Loan Senior  - IVASS (Cardif)</t>
  </si>
  <si>
    <t>Insurer';s Loadings</t>
  </si>
  <si>
    <t>Insurer's Acq retention</t>
  </si>
  <si>
    <t>Insurer's admin retention</t>
  </si>
  <si>
    <t>CBP</t>
  </si>
  <si>
    <r>
      <t xml:space="preserve">PERSONAL LOANS </t>
    </r>
    <r>
      <rPr>
        <b/>
        <u/>
        <sz val="11"/>
        <color indexed="8"/>
        <rFont val="Calibri"/>
        <family val="2"/>
      </rPr>
      <t>(MEDIOLANUM)</t>
    </r>
  </si>
  <si>
    <t xml:space="preserve">CL45M2A 
</t>
  </si>
  <si>
    <t>PERSONAL LOAN CPI 4.5%</t>
  </si>
  <si>
    <t>45M2A</t>
  </si>
  <si>
    <r>
      <t>0113</t>
    </r>
    <r>
      <rPr>
        <sz val="11"/>
        <color indexed="8"/>
        <rFont val="Calibri"/>
        <family val="2"/>
      </rPr>
      <t>/28</t>
    </r>
  </si>
  <si>
    <r>
      <t>0113</t>
    </r>
    <r>
      <rPr>
        <sz val="11"/>
        <color indexed="8"/>
        <rFont val="Calibri"/>
        <family val="2"/>
      </rPr>
      <t>/29</t>
    </r>
  </si>
  <si>
    <t xml:space="preserve">
From 01/01/2013: 0%</t>
  </si>
  <si>
    <t>On repayment of loan or change in employment status only</t>
  </si>
  <si>
    <t xml:space="preserve">64   ALB
</t>
  </si>
  <si>
    <t>69 ALB</t>
  </si>
  <si>
    <t>MEDIOLANUM PERSONAL LOAN CPI 4.5% , (Private Sector Employees)</t>
  </si>
  <si>
    <t xml:space="preserve">CL45M2B
</t>
  </si>
  <si>
    <t>45M2B</t>
  </si>
  <si>
    <r>
      <t>0114</t>
    </r>
    <r>
      <rPr>
        <sz val="11"/>
        <color indexed="8"/>
        <rFont val="Calibri"/>
        <family val="2"/>
      </rPr>
      <t>/28</t>
    </r>
  </si>
  <si>
    <r>
      <t>0114</t>
    </r>
    <r>
      <rPr>
        <sz val="11"/>
        <color indexed="8"/>
        <rFont val="Calibri"/>
        <family val="2"/>
      </rPr>
      <t>/29</t>
    </r>
  </si>
  <si>
    <t>From 01/01/2013: 0%</t>
  </si>
  <si>
    <t>On repayment of loan only.</t>
  </si>
  <si>
    <t>MEDIOLANUM PERSONAL LOAN CPI 4.5% , (Public Sector/Self Employed/Non-Workers) - IVASS (CBP)</t>
  </si>
  <si>
    <t>CL45P2A</t>
  </si>
  <si>
    <t>45P2A</t>
  </si>
  <si>
    <t>PERSONAL LOAN CPI 4.5% , (Private Sector Employees) - IVASS (CBP)</t>
  </si>
  <si>
    <t>CL45P2B</t>
  </si>
  <si>
    <t>45P2B</t>
  </si>
  <si>
    <t>PERSONAL LOAN CPI 4.5% , (Public Sector/Self Employed/Non-Workers) - IVASS (CBP)</t>
  </si>
  <si>
    <t>CL60P2A</t>
  </si>
  <si>
    <t>PERSONAL LOAN CPI 6.0%</t>
  </si>
  <si>
    <t>60P2A</t>
  </si>
  <si>
    <t>PERSONAL LOAN CPI 6.0% , (Private Sector Employees) - IVASS (CBP)</t>
  </si>
  <si>
    <t>CL60P2B</t>
  </si>
  <si>
    <t>60P2B</t>
  </si>
  <si>
    <t>PERSONAL LOAN CPI 6.0% , (Public Sector/Self Employed/Non-Workers) - IVASS (CBP)</t>
  </si>
  <si>
    <t>CL80P2A</t>
  </si>
  <si>
    <t>PERSONAL LOAN CPI 8.0%</t>
  </si>
  <si>
    <t>80P2A</t>
  </si>
  <si>
    <t>PERSONAL LOAN CPI 8.0% , (Private Sector Employees) - IVASS (CBP)</t>
  </si>
  <si>
    <t>CL80P2B</t>
  </si>
  <si>
    <t>80P2B</t>
  </si>
  <si>
    <t>PERSONAL LOAN CPI 8.0% , (Public Sector/Self Employed/Non-Workers) - IVASS (CBP)</t>
  </si>
  <si>
    <t>CL10P2A</t>
  </si>
  <si>
    <t>CPI PERSONAL LOANS 10%</t>
  </si>
  <si>
    <t>10P2A</t>
  </si>
  <si>
    <t>CPI PERSONAL LOANS 10% , (Private Sector Employees) - IVASS (CBP)</t>
  </si>
  <si>
    <t>CL10P2B</t>
  </si>
  <si>
    <t>10P2B</t>
  </si>
  <si>
    <t>CPI PERSONAL LOANS 10% , (Public Sector/Self Employed/Non-Workers) - IVASS (CBP)</t>
  </si>
  <si>
    <t>CL45A2A</t>
  </si>
  <si>
    <t>AUTO CPI 4.5%</t>
  </si>
  <si>
    <t>45A2A</t>
  </si>
  <si>
    <t>AUTO CPI 4.5% , (Private Sector Employees) - IVASS (CBP)</t>
  </si>
  <si>
    <t>CL45A2B</t>
  </si>
  <si>
    <t>45A2B</t>
  </si>
  <si>
    <t>AUTO CPI 4.5% , (Public Sector/Self Employed/Non-Workers) - IVASS (CBP)</t>
  </si>
  <si>
    <t>CL60A2A</t>
  </si>
  <si>
    <t>AUTO CPI 6.0%</t>
  </si>
  <si>
    <t>60A2A</t>
  </si>
  <si>
    <t>AUTO CPI 6.0% , (Private Sector Employees) - IVASS (CBP)</t>
  </si>
  <si>
    <t>CL60A2B</t>
  </si>
  <si>
    <t>60A2B</t>
  </si>
  <si>
    <t>AUTO CPI 6.0% , (Public Sector/Self Employed/Non-Workers) - IVASS (CBP)</t>
  </si>
  <si>
    <t>CL80A2A</t>
  </si>
  <si>
    <t>AUTO CPI 8.0%</t>
  </si>
  <si>
    <t>80A2A</t>
  </si>
  <si>
    <t>AUTO CPI 8.0% , (Private Sector Employees) - IVASS (CBP)</t>
  </si>
  <si>
    <t>CL80A2B</t>
  </si>
  <si>
    <t>80A2B</t>
  </si>
  <si>
    <t>AUTO CPI 8.0% , (Public Sector/Self Employed/Non-Workers) - IVASS (CBP)</t>
  </si>
  <si>
    <t>CL35F2A</t>
  </si>
  <si>
    <t>FINALISED CPI 3.5%</t>
  </si>
  <si>
    <t>35F2A</t>
  </si>
  <si>
    <t>FINALISED CPI 3.5% , (Private Sector Employees) - IVASS (CBP)</t>
  </si>
  <si>
    <t>CL35F2B</t>
  </si>
  <si>
    <t>35F2B</t>
  </si>
  <si>
    <t>FINALISED CPI 3.5% , (Public Sector/Self Employed/Non-Workers) - IVASS (CBP)</t>
  </si>
  <si>
    <t>CL45F2A</t>
  </si>
  <si>
    <t>FINALISED CPI 4.5%</t>
  </si>
  <si>
    <t>45F2A</t>
  </si>
  <si>
    <t>FINALISED CPI 4.5% , (Private Sector Employees) - IVASS (CBP)</t>
  </si>
  <si>
    <t>CL45F2B</t>
  </si>
  <si>
    <t>45F2B</t>
  </si>
  <si>
    <t>FINALISED CPI 4.5% , (Public Sector/Self Employed/Non-Workers) - IVASS (CBP)</t>
  </si>
  <si>
    <t>CL60F2A</t>
  </si>
  <si>
    <t>FINALISED CPI 6.0%</t>
  </si>
  <si>
    <t>60F2A</t>
  </si>
  <si>
    <t>FINALISED CPI 6.0% , (Private Sector Employees) - IVASS (CBP)</t>
  </si>
  <si>
    <t>CL60F2B</t>
  </si>
  <si>
    <t>60F2B</t>
  </si>
  <si>
    <t xml:space="preserve"> - IVASS (CBP)FINALISED CPI 6.0% , (Public Sector/Self Employed/Non-Workers) - IVASS (CBP)</t>
  </si>
  <si>
    <t>LP45C2</t>
  </si>
  <si>
    <t>LEASING CPI 4.5%</t>
  </si>
  <si>
    <t>P45C2</t>
  </si>
  <si>
    <t>LEASING CPI 4.5% - IVASS (CBP)</t>
  </si>
  <si>
    <t>LP45F2</t>
  </si>
  <si>
    <t>P45F2</t>
  </si>
  <si>
    <t>CLAGEA2B</t>
  </si>
  <si>
    <t>SENIOR AUTO CPI 8.0%</t>
  </si>
  <si>
    <t>LOLA2</t>
  </si>
  <si>
    <t>SENIOR AUTO CPI 8.0% - IVASS (CBP)</t>
  </si>
  <si>
    <t>CLAGEP2B</t>
  </si>
  <si>
    <t>SENIOR PERSONAL LOAN CPI 8.0%</t>
  </si>
  <si>
    <t>LOLP2</t>
  </si>
  <si>
    <t>SENIOR PERSONAL LOAN CPI 8.0% - IVASS (CBP)</t>
  </si>
  <si>
    <t>PLAN55</t>
  </si>
  <si>
    <t>CL45M2A3</t>
  </si>
  <si>
    <t xml:space="preserve"> MEDIOLANUM PERSONAL LOAN CPI 4.5%</t>
  </si>
  <si>
    <t>45M3A</t>
  </si>
  <si>
    <t>0113/28</t>
  </si>
  <si>
    <t>0113/29</t>
  </si>
  <si>
    <t>MEDIOLANUM PERSONAL LOAN CPI 4.5% , (Private Sector Employees) - PLAN 55</t>
  </si>
  <si>
    <t>CL45M2B3</t>
  </si>
  <si>
    <t>45M3B</t>
  </si>
  <si>
    <t>0114/28</t>
  </si>
  <si>
    <t>0114/29</t>
  </si>
  <si>
    <t>MEDIOLANUM PERSONAL LOAN CPI 4.5% , (Public Sector/Self Employed/Non-Workers) - PLAN 55</t>
  </si>
  <si>
    <t>Personal Loans</t>
  </si>
  <si>
    <t>CL45P2A3</t>
  </si>
  <si>
    <t xml:space="preserve"> PERSONAL LOAN CPI 4.5%</t>
  </si>
  <si>
    <t>45P3A</t>
  </si>
  <si>
    <t>PERSONAL LOAN CPI 4.5% , (Private Sector Employees) - PLAN 55</t>
  </si>
  <si>
    <t>CL45P2B3</t>
  </si>
  <si>
    <t>45P3B</t>
  </si>
  <si>
    <t>PERSONAL LOAN CPI 4.5% , (Public Sector/Self Employed/Non-Workers) - PLAN 55</t>
  </si>
  <si>
    <t>CL60P2A3</t>
  </si>
  <si>
    <t xml:space="preserve"> PERSONAL LOAN CPI 6.0%</t>
  </si>
  <si>
    <t>60P3A</t>
  </si>
  <si>
    <t>PERSONAL LOAN CPI 6.0% , (Private Sector Employees) - PLAN 55</t>
  </si>
  <si>
    <t>CL60P2B3</t>
  </si>
  <si>
    <t>60P3B</t>
  </si>
  <si>
    <t>PERSONAL LOAN CPI 6.0% , (Public Sector/Self Employed/Non-Workers) - PLAN 55</t>
  </si>
  <si>
    <t>CL80P2A3</t>
  </si>
  <si>
    <t xml:space="preserve"> PERSONAL LOAN CPI 8.0%</t>
  </si>
  <si>
    <t>80P3A</t>
  </si>
  <si>
    <t>PERSONAL LOAN CPI 8.0% , (Private Sector Employees) - PLAN 55</t>
  </si>
  <si>
    <t>CL80P2B3</t>
  </si>
  <si>
    <t>80P3B</t>
  </si>
  <si>
    <t>PERSONAL LOAN CPI 8.0% , (Public Sector/Self Employed/Non-Workers) - PLAN 55</t>
  </si>
  <si>
    <t>CL10P2A3</t>
  </si>
  <si>
    <t xml:space="preserve"> CPI PERSONAL LOANS 10%</t>
  </si>
  <si>
    <t>10P3A</t>
  </si>
  <si>
    <t>CPI PERSONAL LOANS 10% , (Private Sector Employees) - PLAN 55</t>
  </si>
  <si>
    <t>CL10P2B3</t>
  </si>
  <si>
    <t>10P3B</t>
  </si>
  <si>
    <t>CPI PERSONAL LOANS 10% , (Public Sector/Self Employed/Non-Workers) - PLAN 55</t>
  </si>
  <si>
    <t>Auto Loans</t>
  </si>
  <si>
    <t>CL45A2A3</t>
  </si>
  <si>
    <t xml:space="preserve"> AUTO CPI 4.5%</t>
  </si>
  <si>
    <t>45A3A</t>
  </si>
  <si>
    <t>71 ALB</t>
  </si>
  <si>
    <t>AUTO CPI 4.5% , (Private Sector Employees) - PLAN 55</t>
  </si>
  <si>
    <t>CL45A2B3</t>
  </si>
  <si>
    <t>45A3B</t>
  </si>
  <si>
    <t>AUTO CPI 4.5% , (Public Sector/Self Employed/Non-Workers) - PLAN 55</t>
  </si>
  <si>
    <t>CL60A2A3</t>
  </si>
  <si>
    <t xml:space="preserve"> AUTO CPI 6.0%</t>
  </si>
  <si>
    <t>60A3A</t>
  </si>
  <si>
    <t>AUTO CPI 6.0% , (Private Sector Employees) - PLAN 55</t>
  </si>
  <si>
    <t>CL60A2B3</t>
  </si>
  <si>
    <t>60A3B</t>
  </si>
  <si>
    <t>AUTO CPI 6.0% , (Public Sector/Self Employed/Non-Workers) - PLAN 55</t>
  </si>
  <si>
    <t>CL80A2A3</t>
  </si>
  <si>
    <t xml:space="preserve"> AUTO CPI 8.0%</t>
  </si>
  <si>
    <t>80A3A</t>
  </si>
  <si>
    <t>AUTO CPI 8.0% , (Private Sector Employees) - PLAN 55</t>
  </si>
  <si>
    <t>CL80A2B3</t>
  </si>
  <si>
    <t>80A3B</t>
  </si>
  <si>
    <t>AUTO CPI 8.0% , (Public Sector/Self Employed/Non-Workers) - PLAN 55</t>
  </si>
  <si>
    <t>CL35F2A3</t>
  </si>
  <si>
    <t xml:space="preserve"> FINALISED CPI 3.5%</t>
  </si>
  <si>
    <t>35F3A</t>
  </si>
  <si>
    <t>84mths%</t>
  </si>
  <si>
    <t>FINALISED CPI 3.5% , (Private Sector Employees) - PLAN 55</t>
  </si>
  <si>
    <t>CL35F2B3</t>
  </si>
  <si>
    <t>35F3B</t>
  </si>
  <si>
    <t>FINALISED CPI 3.5% , (Public Sector/Self Employed/Non-Workers) - PLAN 55</t>
  </si>
  <si>
    <t>CL45F2A3</t>
  </si>
  <si>
    <t xml:space="preserve"> FINALISED CPI 4.5%</t>
  </si>
  <si>
    <t>45F3A</t>
  </si>
  <si>
    <t>FINALISED CPI 4.5% , (Private Sector Employees) - PLAN 55</t>
  </si>
  <si>
    <t>CL45F2B3</t>
  </si>
  <si>
    <t>45F3B</t>
  </si>
  <si>
    <t>FINALISED CPI 4.5% , (Public Sector/Self Employed/Non-Workers) - PLAN 55</t>
  </si>
  <si>
    <t>CL60F2A3</t>
  </si>
  <si>
    <t xml:space="preserve"> FINALISED CPI 6.0%</t>
  </si>
  <si>
    <t>60F3A</t>
  </si>
  <si>
    <t>FINALISED CPI 6.0% , (Private Sector Employees) - PLAN 55</t>
  </si>
  <si>
    <t>CL60F2B3</t>
  </si>
  <si>
    <t>60F3B</t>
  </si>
  <si>
    <t>FINALISED CPI 6.0% , (Public Sector/Self Employed/Non-Workers) - PLAN 55</t>
  </si>
  <si>
    <t>LP45C23</t>
  </si>
  <si>
    <t xml:space="preserve"> LEASING CPI 4.5%</t>
  </si>
  <si>
    <t>P45C3</t>
  </si>
  <si>
    <t>N/A</t>
  </si>
  <si>
    <t>Single Premium for CNPSI, however the insured pays the premium to SCB on a monthly basis</t>
  </si>
  <si>
    <t>LEASING CPI 4.5% - PLAN 55</t>
  </si>
  <si>
    <t>LP45F23</t>
  </si>
  <si>
    <t>P45F3</t>
  </si>
  <si>
    <t>Single Premium for  CNPSI, however the insured pays the premium to SCB on a monthly basis</t>
  </si>
  <si>
    <t>CLAGEA2B3</t>
  </si>
  <si>
    <t xml:space="preserve"> SENIOR AUTO CPI 8.0%</t>
  </si>
  <si>
    <t>LOLA3</t>
  </si>
  <si>
    <t xml:space="preserve">0.00%
</t>
  </si>
  <si>
    <t>74 ALB</t>
  </si>
  <si>
    <t>SENIOR AUTO CPI 8.0% - PLAN 55</t>
  </si>
  <si>
    <t>CLAGEP2B3</t>
  </si>
  <si>
    <t xml:space="preserve"> SENIOR PERSONAL LOAN CPI 8.0%</t>
  </si>
  <si>
    <t>LOLP3</t>
  </si>
  <si>
    <t>SENIOR PERSONAL LOAN CPI 8.0% - PLAN 55</t>
  </si>
  <si>
    <t>PLAN55 - Digital</t>
  </si>
  <si>
    <t>DIGITAL  PERSONAL LOAN</t>
  </si>
  <si>
    <t>CL45W2B3</t>
  </si>
  <si>
    <t>DIGITAL  PERSONAL LOAN CPI 4.5%</t>
  </si>
  <si>
    <t>45W3B</t>
  </si>
  <si>
    <r>
      <t xml:space="preserve"> 0106/28 </t>
    </r>
    <r>
      <rPr>
        <sz val="11"/>
        <color indexed="23"/>
        <rFont val="Calibri"/>
        <family val="2"/>
      </rPr>
      <t xml:space="preserve">WEB        </t>
    </r>
    <r>
      <rPr>
        <sz val="11"/>
        <color theme="1"/>
        <rFont val="Calibri"/>
        <family val="2"/>
        <scheme val="minor"/>
      </rPr>
      <t xml:space="preserve">    </t>
    </r>
  </si>
  <si>
    <r>
      <t xml:space="preserve">0106/29 </t>
    </r>
    <r>
      <rPr>
        <sz val="11"/>
        <color indexed="23"/>
        <rFont val="Calibri"/>
        <family val="2"/>
      </rPr>
      <t xml:space="preserve">WEB </t>
    </r>
    <r>
      <rPr>
        <sz val="11"/>
        <color theme="1"/>
        <rFont val="Calibri"/>
        <family val="2"/>
        <scheme val="minor"/>
      </rPr>
      <t xml:space="preserve">                    </t>
    </r>
  </si>
  <si>
    <t>0-48mths</t>
  </si>
  <si>
    <t>120 mths</t>
  </si>
  <si>
    <t>On repayment of loan (+from 25/05/ 2018 also without repayment of the loan).</t>
  </si>
  <si>
    <t>DIGITAL  PERSONAL LOAN CPI+ 4.5%, (Public Sector/Self Employed/Non-Workers) - PLAN55</t>
  </si>
  <si>
    <t>Master Policy 0106/28-29 0106/29 Credit Life TTD WEB                         45W3B</t>
  </si>
  <si>
    <t>CL60W2B3</t>
  </si>
  <si>
    <t>DIGITAL PERSONAL LOAN CPI 6.0%</t>
  </si>
  <si>
    <t>60W3B</t>
  </si>
  <si>
    <r>
      <t xml:space="preserve">0106/28 </t>
    </r>
    <r>
      <rPr>
        <sz val="11"/>
        <color indexed="23"/>
        <rFont val="Calibri"/>
        <family val="2"/>
      </rPr>
      <t xml:space="preserve">WEB    </t>
    </r>
    <r>
      <rPr>
        <sz val="11"/>
        <color indexed="8"/>
        <rFont val="Calibri"/>
        <family val="2"/>
      </rPr>
      <t xml:space="preserve">               </t>
    </r>
  </si>
  <si>
    <r>
      <t>0106/29</t>
    </r>
    <r>
      <rPr>
        <sz val="11"/>
        <color indexed="23"/>
        <rFont val="Calibri"/>
        <family val="2"/>
      </rPr>
      <t xml:space="preserve"> WEB  </t>
    </r>
    <r>
      <rPr>
        <sz val="11"/>
        <color theme="1"/>
        <rFont val="Calibri"/>
        <family val="2"/>
        <scheme val="minor"/>
      </rPr>
      <t xml:space="preserve">                 </t>
    </r>
  </si>
  <si>
    <t>49-72 mths</t>
  </si>
  <si>
    <t>DIGITAL PERSONAL LOAN CPI+ 6.0%, (Public Sector/Self Employed/Non-Workers) - PLAN55</t>
  </si>
  <si>
    <t>Master Policy 0106/28-29 0106/29 Credit Life TTD WEB                         60W3B</t>
  </si>
  <si>
    <t>CL80W2B3</t>
  </si>
  <si>
    <t>DIGITAL  PERSONAL LOAN CPI 8.0%</t>
  </si>
  <si>
    <t>80W3B</t>
  </si>
  <si>
    <r>
      <t xml:space="preserve">0106/28  </t>
    </r>
    <r>
      <rPr>
        <sz val="11"/>
        <color indexed="23"/>
        <rFont val="Calibri"/>
        <family val="2"/>
      </rPr>
      <t xml:space="preserve">WEB  </t>
    </r>
    <r>
      <rPr>
        <sz val="11"/>
        <color theme="1"/>
        <rFont val="Calibri"/>
        <family val="2"/>
        <scheme val="minor"/>
      </rPr>
      <t xml:space="preserve">        </t>
    </r>
  </si>
  <si>
    <r>
      <t xml:space="preserve">0106/29  </t>
    </r>
    <r>
      <rPr>
        <sz val="11"/>
        <color indexed="23"/>
        <rFont val="Calibri"/>
        <family val="2"/>
      </rPr>
      <t xml:space="preserve">WEB      </t>
    </r>
    <r>
      <rPr>
        <sz val="11"/>
        <color theme="1"/>
        <rFont val="Calibri"/>
        <family val="2"/>
        <scheme val="minor"/>
      </rPr>
      <t xml:space="preserve">           </t>
    </r>
  </si>
  <si>
    <t>73 -120 mths</t>
  </si>
  <si>
    <t>DIGITAL  PERSONAL LOAN CPI+ 8.0%, , (Public Sector/Self Employed/Non-Workers) - PLAN55</t>
  </si>
  <si>
    <t>Master Policy 0106/28-29 0106/29 Credit Life TTD WEB                      80W3B</t>
  </si>
  <si>
    <t>Employee Status</t>
  </si>
  <si>
    <t>Total Gross Tax Premium</t>
  </si>
  <si>
    <t>Total Net Tax Premium</t>
  </si>
  <si>
    <t>Total Commission</t>
  </si>
  <si>
    <t>CPI + Assistance</t>
  </si>
  <si>
    <t>Auto Loan CPI+</t>
  </si>
  <si>
    <t>CL490A2A3</t>
  </si>
  <si>
    <t>AUTO CPI+ 4.90%</t>
  </si>
  <si>
    <t>49A3A</t>
  </si>
  <si>
    <t>0115/28</t>
  </si>
  <si>
    <t>0115/29</t>
  </si>
  <si>
    <t>0-47 mths</t>
  </si>
  <si>
    <t>On repayment of loan (+from 25/05/ 2018 also without repayment of the loan) + For Private Sector Employees, the policy may also be cancelled if there is a change in employment status.</t>
  </si>
  <si>
    <t>18 ALB</t>
  </si>
  <si>
    <t>64 ALB</t>
  </si>
  <si>
    <t>AUTO CPI+ 4.90% _ CPI + Assistance</t>
  </si>
  <si>
    <t>CL490A2B3</t>
  </si>
  <si>
    <t>49A3B</t>
  </si>
  <si>
    <t>0116/28</t>
  </si>
  <si>
    <t>0116/29</t>
  </si>
  <si>
    <t>D, AD, PTD,  TD</t>
  </si>
  <si>
    <t>CL725A2A3</t>
  </si>
  <si>
    <t>AUTO CPI+ 7.25%</t>
  </si>
  <si>
    <t>72A3A</t>
  </si>
  <si>
    <t>48 - 72 mths</t>
  </si>
  <si>
    <t>AUTO CPI+ 7.25% _ CPI + Assistance</t>
  </si>
  <si>
    <t>CL725A2B3</t>
  </si>
  <si>
    <t>72A3B</t>
  </si>
  <si>
    <t>CL900A2A3</t>
  </si>
  <si>
    <t>AUTO CPI+ 9.00%</t>
  </si>
  <si>
    <t>90A3A</t>
  </si>
  <si>
    <t>73 - 120 mths</t>
  </si>
  <si>
    <t>AUTO CPI+ 9.00% _ CPI + Assistance</t>
  </si>
  <si>
    <t>CL900A2B3</t>
  </si>
  <si>
    <t>90A3B</t>
  </si>
  <si>
    <t xml:space="preserve">AUTO CPI+ 9.00% _ CPI + Assistance </t>
  </si>
  <si>
    <t>CLAG+A2B3</t>
  </si>
  <si>
    <t>SENIOR AUTO CPI+ 8.75%</t>
  </si>
  <si>
    <t>LOAA3</t>
  </si>
  <si>
    <t>0118/28</t>
  </si>
  <si>
    <t>0118/29</t>
  </si>
  <si>
    <t>0-120 mths</t>
  </si>
  <si>
    <t>60 ALB</t>
  </si>
  <si>
    <t>SENIOR AUTO CPI+ 8.75% _ CPI + Assistance</t>
  </si>
  <si>
    <t>Personal Loan CPI+</t>
  </si>
  <si>
    <t>CL490P2A3</t>
  </si>
  <si>
    <t>PERSONAL LOAN CPI+ 4.90%</t>
  </si>
  <si>
    <t>49P3A</t>
  </si>
  <si>
    <t>0 - 24 mths</t>
  </si>
  <si>
    <t>PERSONAL LOAN CPI+ 4.90% _ CPI + Assistance</t>
  </si>
  <si>
    <t>CL490P2B3</t>
  </si>
  <si>
    <t>49P3B</t>
  </si>
  <si>
    <t>D, AD, PTD, TD</t>
  </si>
  <si>
    <t>CL725P2A3</t>
  </si>
  <si>
    <t>PERSONAL LOAN CPI+ 7.25%</t>
  </si>
  <si>
    <t>72P3A</t>
  </si>
  <si>
    <t>25 - 36 mths</t>
  </si>
  <si>
    <t>D, PTD,  IU</t>
  </si>
  <si>
    <t>PERSONAL LOAN CPI+ 7.25% _ CPI + Assistance</t>
  </si>
  <si>
    <t>CL725P2B3</t>
  </si>
  <si>
    <t>72P3B</t>
  </si>
  <si>
    <t xml:space="preserve">PERSONAL LOAN CPI+ 7.25% _ CPI + Assistance </t>
  </si>
  <si>
    <t>CL900P2A3</t>
  </si>
  <si>
    <t xml:space="preserve">PERSONAL LOAN CPI+ 9.0% </t>
  </si>
  <si>
    <t>90P3A</t>
  </si>
  <si>
    <t>37 - 79 mths</t>
  </si>
  <si>
    <t>PERSONAL LOAN CPI+ 9.0% _ CPI + Assistance</t>
  </si>
  <si>
    <t>CL900P2B3</t>
  </si>
  <si>
    <t>PERSONAL LOAN CPI+ 9.0%</t>
  </si>
  <si>
    <t>90P3B</t>
  </si>
  <si>
    <t xml:space="preserve">PERSONAL LOAN CPI+ 9.0% _ CPI + Assistance </t>
  </si>
  <si>
    <t>CL110P2A3</t>
  </si>
  <si>
    <t>PERSONAL LOAN CPI+ 11.00%</t>
  </si>
  <si>
    <t>11P3A</t>
  </si>
  <si>
    <t>80 - 120 mths</t>
  </si>
  <si>
    <t>PERSONAL LOAN CPI+ 11.00% _ CPI + Assistance</t>
  </si>
  <si>
    <t>CL110P2B3</t>
  </si>
  <si>
    <t xml:space="preserve">PERSONAL LOAN CPI+ 11.00% </t>
  </si>
  <si>
    <t>11P3B</t>
  </si>
  <si>
    <t>CLAG+P2B3</t>
  </si>
  <si>
    <t>SENIOR PERSONAL LOAN CPI+ 8.75%</t>
  </si>
  <si>
    <t>LOAP3</t>
  </si>
  <si>
    <t>0 - 120 mths</t>
  </si>
  <si>
    <t>SENIOR PERSONAL LOAN CPI+ 8.75% _ CPI + Assistance</t>
  </si>
  <si>
    <t>Finalised CPI+  
(Durables CPI+)</t>
  </si>
  <si>
    <t>CL400F2A3</t>
  </si>
  <si>
    <t>FINALISED CPI+ 4.00%</t>
  </si>
  <si>
    <t>40F3A</t>
  </si>
  <si>
    <t>0- 24 mths</t>
  </si>
  <si>
    <t>84 mths</t>
  </si>
  <si>
    <t>FINALISED CPI+ 4.00% _ CPI + Assistance</t>
  </si>
  <si>
    <t>CL400F2B3</t>
  </si>
  <si>
    <t>40F3B</t>
  </si>
  <si>
    <t>CL490F2A3</t>
  </si>
  <si>
    <t>FINALISED CPI+ 4.90%</t>
  </si>
  <si>
    <t>49F3A</t>
  </si>
  <si>
    <t>25 - 60 mths</t>
  </si>
  <si>
    <t>FINALISED CPI+ 4.90% _ CPI + Assistance</t>
  </si>
  <si>
    <t>CL490F2B3</t>
  </si>
  <si>
    <t>49F3B</t>
  </si>
  <si>
    <t>CL725F2A3</t>
  </si>
  <si>
    <t>FINALISED CPI+ 7.25%</t>
  </si>
  <si>
    <t>72F3A</t>
  </si>
  <si>
    <t>61 - 84 mths</t>
  </si>
  <si>
    <t>FINALISED CPI+ 7.25% _ CPI + Assistance</t>
  </si>
  <si>
    <t>CL725F2B3</t>
  </si>
  <si>
    <t>72F3B</t>
  </si>
  <si>
    <t>Leasing CPI+</t>
  </si>
  <si>
    <t>LP490C23</t>
  </si>
  <si>
    <t>LEASING CPI+ 4.90%</t>
  </si>
  <si>
    <t>P49C4</t>
  </si>
  <si>
    <t>0117/28</t>
  </si>
  <si>
    <t>0117/29</t>
  </si>
  <si>
    <t>0 - 72 mths</t>
  </si>
  <si>
    <t>72 mths</t>
  </si>
  <si>
    <t>On repayment of loan (+from 25/05/ 2018 also without repayment of the loan)</t>
  </si>
  <si>
    <t>LEASING CPI+ 4.90% _ CPI + Assistance</t>
  </si>
  <si>
    <t>LP490F23</t>
  </si>
  <si>
    <t>P49F4</t>
  </si>
  <si>
    <t>Digital Personal Loan CPI+</t>
  </si>
  <si>
    <t>CL490W2B3</t>
  </si>
  <si>
    <t>DIGITAL PERSONAL LOAN CPI+ 4.90%</t>
  </si>
  <si>
    <t>49W3B</t>
  </si>
  <si>
    <t>0 - 47 mths</t>
  </si>
  <si>
    <t>DIGITAL PERSONAL LOAN CPI+ 4.90% _ CPI + Assistance</t>
  </si>
  <si>
    <t>CL725W2B3</t>
  </si>
  <si>
    <t>DIGITAL PERSONAL LOAN CPI+ 7.25%</t>
  </si>
  <si>
    <t>72W3B</t>
  </si>
  <si>
    <t>DIGITAL PERSONAL LOAN CPI+ 7.25% _ CPI + Assistance</t>
  </si>
  <si>
    <t>CL900W2B3</t>
  </si>
  <si>
    <t>DIGITAL PERSONAL LOAN CPI+ 9.00%</t>
  </si>
  <si>
    <t>90W3B</t>
  </si>
  <si>
    <t>0116/28#</t>
  </si>
  <si>
    <t xml:space="preserve">DIGITAL PERSONAL LOAN CPI+ 9.00% _ CPI + Assistance </t>
  </si>
  <si>
    <t>GAP</t>
  </si>
  <si>
    <t>TBC</t>
  </si>
  <si>
    <t>Italy GAP</t>
  </si>
  <si>
    <t>See Pricing GAP tab</t>
  </si>
  <si>
    <t>tbc</t>
  </si>
  <si>
    <t>18-78 months</t>
  </si>
  <si>
    <t>78 months</t>
  </si>
  <si>
    <t>On repayment of loan and without repayment of loan</t>
  </si>
  <si>
    <t>Master Policy Code</t>
  </si>
  <si>
    <t>CNPSIL</t>
  </si>
  <si>
    <t>Please fill in the cells in grey</t>
  </si>
  <si>
    <t>ET Refund</t>
  </si>
  <si>
    <t>Personal Loan informations:</t>
  </si>
  <si>
    <t>CNP SI (IP) Product Code</t>
  </si>
  <si>
    <t>e.g. ITG02, ITG12 etc.</t>
  </si>
  <si>
    <t>Subscription date:</t>
  </si>
  <si>
    <t>Initial Policy End date:</t>
  </si>
  <si>
    <t>Anticipated ET date:</t>
  </si>
  <si>
    <t>Invoice Amount</t>
  </si>
  <si>
    <t>Costs</t>
  </si>
  <si>
    <t>Total</t>
  </si>
  <si>
    <t>Life</t>
  </si>
  <si>
    <t>Non-Life</t>
  </si>
  <si>
    <t>Gross Written Premium incl. tax (%)</t>
  </si>
  <si>
    <t xml:space="preserve">Taxes (%) </t>
  </si>
  <si>
    <t xml:space="preserve">δ </t>
  </si>
  <si>
    <r>
      <rPr>
        <b/>
        <sz val="12"/>
        <color indexed="8"/>
        <rFont val="Calibri"/>
        <family val="2"/>
      </rPr>
      <t>δ</t>
    </r>
    <r>
      <rPr>
        <b/>
        <sz val="11"/>
        <color indexed="8"/>
        <rFont val="Calibri"/>
        <family val="2"/>
      </rPr>
      <t xml:space="preserve"> = Base commission ( %)</t>
    </r>
  </si>
  <si>
    <r>
      <t>ε</t>
    </r>
    <r>
      <rPr>
        <sz val="12"/>
        <color indexed="8"/>
        <rFont val="Arial Narrow"/>
        <family val="2"/>
      </rPr>
      <t xml:space="preserve"> </t>
    </r>
  </si>
  <si>
    <r>
      <rPr>
        <b/>
        <sz val="12"/>
        <rFont val="Calibri"/>
        <family val="2"/>
      </rPr>
      <t>ε</t>
    </r>
    <r>
      <rPr>
        <b/>
        <sz val="11"/>
        <rFont val="Calibri"/>
        <family val="2"/>
      </rPr>
      <t xml:space="preserve">  = Total ET costs (€)</t>
    </r>
  </si>
  <si>
    <t>εc</t>
  </si>
  <si>
    <r>
      <rPr>
        <b/>
        <sz val="12"/>
        <rFont val="Calibri"/>
        <family val="2"/>
      </rPr>
      <t>εc</t>
    </r>
    <r>
      <rPr>
        <b/>
        <sz val="11"/>
        <rFont val="Calibri"/>
        <family val="2"/>
      </rPr>
      <t xml:space="preserve"> = ET incured by Contractor (€)</t>
    </r>
  </si>
  <si>
    <t>Calculations following the NEW formula</t>
  </si>
  <si>
    <r>
      <rPr>
        <b/>
        <sz val="11"/>
        <color indexed="8"/>
        <rFont val="Calibri"/>
        <family val="2"/>
      </rPr>
      <t>D)</t>
    </r>
    <r>
      <rPr>
        <sz val="11"/>
        <color indexed="8"/>
        <rFont val="Calibri"/>
        <family val="2"/>
      </rPr>
      <t xml:space="preserve"> Initial duration  of the insurance cover (= Duration of the loan) (in months) </t>
    </r>
  </si>
  <si>
    <r>
      <rPr>
        <b/>
        <sz val="11"/>
        <color indexed="8"/>
        <rFont val="Calibri"/>
        <family val="2"/>
      </rPr>
      <t>t)</t>
    </r>
    <r>
      <rPr>
        <sz val="11"/>
        <color indexed="8"/>
        <rFont val="Calibri"/>
        <family val="2"/>
      </rPr>
      <t xml:space="preserve"> Time passed to the date of reimbursement request (in months)</t>
    </r>
  </si>
  <si>
    <r>
      <rPr>
        <b/>
        <sz val="11"/>
        <color indexed="8"/>
        <rFont val="Calibri"/>
        <family val="2"/>
      </rPr>
      <t>r)</t>
    </r>
    <r>
      <rPr>
        <sz val="11"/>
        <color indexed="8"/>
        <rFont val="Calibri"/>
        <family val="2"/>
      </rPr>
      <t xml:space="preserve"> Residual duration  (D-t) (in months)</t>
    </r>
  </si>
  <si>
    <t>time lapsed</t>
  </si>
  <si>
    <r>
      <t xml:space="preserve">Non-Life refund </t>
    </r>
    <r>
      <rPr>
        <b/>
        <u/>
        <sz val="11"/>
        <color indexed="8"/>
        <rFont val="Calibri"/>
        <family val="2"/>
      </rPr>
      <t xml:space="preserve">before </t>
    </r>
    <r>
      <rPr>
        <b/>
        <sz val="11"/>
        <color indexed="8"/>
        <rFont val="Calibri"/>
        <family val="2"/>
      </rPr>
      <t>ET charges</t>
    </r>
  </si>
  <si>
    <r>
      <t xml:space="preserve">Non-Life refund </t>
    </r>
    <r>
      <rPr>
        <b/>
        <u/>
        <sz val="11"/>
        <color indexed="8"/>
        <rFont val="Calibri"/>
        <family val="2"/>
      </rPr>
      <t>after</t>
    </r>
    <r>
      <rPr>
        <b/>
        <sz val="11"/>
        <color indexed="8"/>
        <rFont val="Calibri"/>
        <family val="2"/>
      </rPr>
      <t xml:space="preserve"> ET charges</t>
    </r>
  </si>
  <si>
    <t>&lt;-- There is no ET fees for GAP product in Italy</t>
  </si>
  <si>
    <r>
      <rPr>
        <b/>
        <sz val="11"/>
        <color indexed="8"/>
        <rFont val="Calibri"/>
        <family val="2"/>
      </rPr>
      <t>PT)</t>
    </r>
    <r>
      <rPr>
        <sz val="11"/>
        <color indexed="8"/>
        <rFont val="Calibri"/>
        <family val="2"/>
      </rPr>
      <t xml:space="preserve">  Net premium paid by the Adherent (Insured) (excl. tax)</t>
    </r>
  </si>
  <si>
    <t>PR) Premium to be reimbursed to  Contractor (SCB)</t>
  </si>
  <si>
    <t>COMM) Commission Portion of the Refund</t>
  </si>
  <si>
    <t>PPC) Pure Premium refunded to Contractor (SCB)</t>
  </si>
  <si>
    <t>Reimbursements following the formula in the Annex to the Distribution Agreement</t>
  </si>
  <si>
    <t>Total ET Fees charged to Adherent (Insured)</t>
  </si>
  <si>
    <t xml:space="preserve"> Of which: ET fees to be paid to Contractor (SCB)</t>
  </si>
  <si>
    <r>
      <t>Premium to be reimbursed to Contractor</t>
    </r>
    <r>
      <rPr>
        <b/>
        <sz val="10"/>
        <color indexed="8"/>
        <rFont val="Calibri"/>
        <family val="2"/>
      </rPr>
      <t xml:space="preserve"> (SCB)</t>
    </r>
  </si>
  <si>
    <t>with</t>
  </si>
  <si>
    <t>Commissions to be recovered (clawed back) from SCB</t>
  </si>
  <si>
    <t>ultimate cost to CNP SI</t>
  </si>
  <si>
    <t>excl tax</t>
  </si>
  <si>
    <t>GWP incl. tax</t>
  </si>
  <si>
    <r>
      <t xml:space="preserve">Refund </t>
    </r>
    <r>
      <rPr>
        <b/>
        <u/>
        <sz val="11"/>
        <rFont val="Calibri"/>
        <family val="2"/>
      </rPr>
      <t>before</t>
    </r>
    <r>
      <rPr>
        <b/>
        <sz val="11"/>
        <rFont val="Calibri"/>
        <family val="2"/>
      </rPr>
      <t xml:space="preserve"> the ET charge</t>
    </r>
  </si>
  <si>
    <t>Premium part of the Refund before the ET charge</t>
  </si>
  <si>
    <t>Commission part of the Refund before the ET charge</t>
  </si>
  <si>
    <r>
      <t xml:space="preserve">Refund </t>
    </r>
    <r>
      <rPr>
        <b/>
        <u/>
        <sz val="11"/>
        <rFont val="Calibri"/>
        <family val="2"/>
      </rPr>
      <t>after</t>
    </r>
    <r>
      <rPr>
        <b/>
        <sz val="11"/>
        <rFont val="Calibri"/>
        <family val="2"/>
      </rPr>
      <t xml:space="preserve"> the ET charge (PR: Premium to be reimbursed to  Contractor (SCB))</t>
    </r>
  </si>
  <si>
    <t>where:</t>
  </si>
  <si>
    <r>
      <rPr>
        <b/>
        <sz val="11"/>
        <rFont val="Calibri"/>
        <family val="2"/>
      </rPr>
      <t xml:space="preserve">Initial Duration in months </t>
    </r>
    <r>
      <rPr>
        <sz val="11"/>
        <rFont val="Calibri"/>
        <family val="2"/>
      </rPr>
      <t>= ((Start Date of the Cover - End date of the cover)/365.25)*12</t>
    </r>
  </si>
  <si>
    <r>
      <rPr>
        <b/>
        <sz val="11"/>
        <rFont val="Calibri"/>
        <family val="2"/>
      </rPr>
      <t>Residual duration in months</t>
    </r>
    <r>
      <rPr>
        <sz val="11"/>
        <rFont val="Calibri"/>
        <family val="2"/>
      </rPr>
      <t xml:space="preserve"> = Initial Duration in months - ((Date of the Early Termination - Start date of the cover)/365.25)*12</t>
    </r>
  </si>
  <si>
    <r>
      <t>e.g. CL80P,  80P</t>
    </r>
    <r>
      <rPr>
        <b/>
        <sz val="14"/>
        <color indexed="55"/>
        <rFont val="Calibri"/>
        <family val="2"/>
      </rPr>
      <t>1</t>
    </r>
    <r>
      <rPr>
        <sz val="14"/>
        <color indexed="55"/>
        <rFont val="Calibri"/>
        <family val="2"/>
      </rPr>
      <t>A, 80P</t>
    </r>
    <r>
      <rPr>
        <b/>
        <sz val="14"/>
        <color indexed="55"/>
        <rFont val="Calibri"/>
        <family val="2"/>
      </rPr>
      <t>2</t>
    </r>
    <r>
      <rPr>
        <sz val="14"/>
        <color indexed="55"/>
        <rFont val="Calibri"/>
        <family val="2"/>
      </rPr>
      <t>A, 80P</t>
    </r>
    <r>
      <rPr>
        <b/>
        <sz val="14"/>
        <color indexed="55"/>
        <rFont val="Calibri"/>
        <family val="2"/>
      </rPr>
      <t>3</t>
    </r>
    <r>
      <rPr>
        <sz val="14"/>
        <color indexed="55"/>
        <rFont val="Calibri"/>
        <family val="2"/>
      </rPr>
      <t>A, 80P1B, 80P2B, 80P3B, LOLA3 etc.</t>
    </r>
  </si>
  <si>
    <t>Subscription (Inception) date:</t>
  </si>
  <si>
    <r>
      <t xml:space="preserve">Anticipated ET or </t>
    </r>
    <r>
      <rPr>
        <b/>
        <sz val="11"/>
        <color indexed="62"/>
        <rFont val="Calibri"/>
        <family val="2"/>
      </rPr>
      <t>Partial Cancellation date:</t>
    </r>
  </si>
  <si>
    <t>Insured amount:</t>
  </si>
  <si>
    <r>
      <t xml:space="preserve">Outstanding Balance at the time of ET (or </t>
    </r>
    <r>
      <rPr>
        <b/>
        <sz val="11"/>
        <color indexed="62"/>
        <rFont val="Calibri"/>
        <family val="2"/>
      </rPr>
      <t>just before Partial ET</t>
    </r>
    <r>
      <rPr>
        <b/>
        <sz val="11"/>
        <rFont val="Calibri"/>
        <family val="2"/>
      </rPr>
      <t>)</t>
    </r>
  </si>
  <si>
    <r>
      <t xml:space="preserve">Outstanding Balance at the time of </t>
    </r>
    <r>
      <rPr>
        <b/>
        <u/>
        <sz val="11"/>
        <color indexed="62"/>
        <rFont val="Calibri"/>
        <family val="2"/>
      </rPr>
      <t>Full ET following Partial Cancellation</t>
    </r>
  </si>
  <si>
    <t>Early Loan Repayment amount (use for Partial ET only)</t>
  </si>
  <si>
    <t>Outstanding Balance right after Partial Cancellation  (use for Partial ET only)</t>
  </si>
  <si>
    <t>Sum of all Early Loan Repayments ever paid by the customer on this policy</t>
  </si>
  <si>
    <t>Financed amount (requested loan + CPI Premium):</t>
  </si>
  <si>
    <t>GWP excl. tax of which:</t>
  </si>
  <si>
    <t>PP</t>
  </si>
  <si>
    <t xml:space="preserve">     Pure Premium</t>
  </si>
  <si>
    <t>X = LOD</t>
  </si>
  <si>
    <t xml:space="preserve">     Loadings</t>
  </si>
  <si>
    <t xml:space="preserve">  </t>
  </si>
  <si>
    <t>Y</t>
  </si>
  <si>
    <t xml:space="preserve">     Commission</t>
  </si>
  <si>
    <r>
      <t xml:space="preserve">Life refund </t>
    </r>
    <r>
      <rPr>
        <b/>
        <u/>
        <sz val="11"/>
        <color indexed="8"/>
        <rFont val="Calibri"/>
        <family val="2"/>
      </rPr>
      <t xml:space="preserve">before </t>
    </r>
    <r>
      <rPr>
        <b/>
        <sz val="11"/>
        <color indexed="8"/>
        <rFont val="Calibri"/>
        <family val="2"/>
      </rPr>
      <t>ET charges</t>
    </r>
  </si>
  <si>
    <r>
      <t xml:space="preserve">Life refund </t>
    </r>
    <r>
      <rPr>
        <b/>
        <u/>
        <sz val="11"/>
        <color indexed="8"/>
        <rFont val="Calibri"/>
        <family val="2"/>
      </rPr>
      <t>after</t>
    </r>
    <r>
      <rPr>
        <b/>
        <sz val="11"/>
        <color indexed="8"/>
        <rFont val="Calibri"/>
        <family val="2"/>
      </rPr>
      <t xml:space="preserve"> ET charges</t>
    </r>
  </si>
  <si>
    <t>Non-Life refund after ET charges</t>
  </si>
  <si>
    <t>Reinsurer's (Cardif) Loadings</t>
  </si>
  <si>
    <r>
      <rPr>
        <b/>
        <sz val="11"/>
        <color indexed="8"/>
        <rFont val="Calibri"/>
        <family val="2"/>
      </rPr>
      <t>PT)</t>
    </r>
    <r>
      <rPr>
        <sz val="11"/>
        <color indexed="8"/>
        <rFont val="Calibri"/>
        <family val="2"/>
      </rPr>
      <t xml:space="preserve">  Net premium paid by the Adherent (Insured) (excl. IPT tax)</t>
    </r>
  </si>
  <si>
    <t>after ET fees</t>
  </si>
  <si>
    <t>PR) Premium to be reimbursed to Adherent</t>
  </si>
  <si>
    <r>
      <t>Premium to be reimbursed to Adherent</t>
    </r>
    <r>
      <rPr>
        <b/>
        <sz val="10"/>
        <color indexed="8"/>
        <rFont val="Calibri"/>
        <family val="2"/>
      </rPr>
      <t xml:space="preserve"> (Insured)</t>
    </r>
  </si>
  <si>
    <t>Ultimate cost to CNP SI</t>
  </si>
  <si>
    <t xml:space="preserve">     Premium part of the Refund before  ET charge</t>
  </si>
  <si>
    <t xml:space="preserve">     Cost (Commission &amp; Loadings) part of the Refund before ET charge</t>
  </si>
  <si>
    <r>
      <rPr>
        <sz val="11"/>
        <rFont val="Calibri"/>
        <family val="2"/>
      </rPr>
      <t xml:space="preserve">        </t>
    </r>
    <r>
      <rPr>
        <u/>
        <sz val="11"/>
        <rFont val="Calibri"/>
        <family val="2"/>
      </rPr>
      <t>of which:</t>
    </r>
  </si>
  <si>
    <t>Cost part of the ET Refund:</t>
  </si>
  <si>
    <t xml:space="preserve">            Loadings part of the Refund before ET charge</t>
  </si>
  <si>
    <t xml:space="preserve">           Commission part of the Refund before ET charge</t>
  </si>
  <si>
    <r>
      <t xml:space="preserve">ET Refund </t>
    </r>
    <r>
      <rPr>
        <b/>
        <u/>
        <sz val="11"/>
        <rFont val="Calibri"/>
        <family val="2"/>
      </rPr>
      <t>after</t>
    </r>
    <r>
      <rPr>
        <b/>
        <sz val="11"/>
        <rFont val="Calibri"/>
        <family val="2"/>
      </rPr>
      <t xml:space="preserve"> the ET charge</t>
    </r>
  </si>
  <si>
    <t>1st and any consecutive PARTIAL Cancellation:</t>
  </si>
  <si>
    <r>
      <t>(Early Loan Repayment amount/ Outstanding Insured Capital just before Partial Cancellation) </t>
    </r>
    <r>
      <rPr>
        <b/>
        <sz val="11"/>
        <rFont val="Calibri"/>
        <family val="2"/>
      </rPr>
      <t>ratio</t>
    </r>
  </si>
  <si>
    <r>
      <t xml:space="preserve">1st Partial cancellation Refund </t>
    </r>
    <r>
      <rPr>
        <b/>
        <u/>
        <sz val="11"/>
        <color indexed="8"/>
        <rFont val="Calibri"/>
        <family val="2"/>
      </rPr>
      <t>before</t>
    </r>
    <r>
      <rPr>
        <b/>
        <sz val="11"/>
        <color indexed="8"/>
        <rFont val="Calibri"/>
        <family val="2"/>
      </rPr>
      <t xml:space="preserve"> the ET charge</t>
    </r>
  </si>
  <si>
    <t xml:space="preserve">     Premium part of the Partial ET Refund before  ET charge</t>
  </si>
  <si>
    <t xml:space="preserve">     Cost (Commission &amp; Loadings) part of the Partial ET Refund before ET charge</t>
  </si>
  <si>
    <r>
      <rPr>
        <sz val="11"/>
        <rFont val="Calibri"/>
        <family val="2"/>
      </rPr>
      <t xml:space="preserve">         </t>
    </r>
    <r>
      <rPr>
        <u/>
        <sz val="11"/>
        <rFont val="Calibri"/>
        <family val="2"/>
      </rPr>
      <t>of which:</t>
    </r>
  </si>
  <si>
    <t xml:space="preserve">            Loadings part of the Partial ET Refund before ET charge</t>
  </si>
  <si>
    <t xml:space="preserve">           Commission part of the Partial ET Refund before ET charge</t>
  </si>
  <si>
    <r>
      <rPr>
        <b/>
        <sz val="11"/>
        <color indexed="60"/>
        <rFont val="Calibri"/>
        <family val="2"/>
      </rPr>
      <t>No ET charges</t>
    </r>
    <r>
      <rPr>
        <sz val="11"/>
        <color indexed="60"/>
        <rFont val="Calibri"/>
        <family val="2"/>
      </rPr>
      <t xml:space="preserve"> for Partial Cancellations</t>
    </r>
  </si>
  <si>
    <r>
      <t xml:space="preserve">1st Partial ET refund </t>
    </r>
    <r>
      <rPr>
        <b/>
        <u/>
        <sz val="11"/>
        <rFont val="Calibri"/>
        <family val="2"/>
      </rPr>
      <t xml:space="preserve">after </t>
    </r>
    <r>
      <rPr>
        <b/>
        <sz val="11"/>
        <rFont val="Calibri"/>
        <family val="2"/>
      </rPr>
      <t xml:space="preserve">ET charge = 1st Partial cancelaltion </t>
    </r>
    <r>
      <rPr>
        <b/>
        <u/>
        <sz val="11"/>
        <rFont val="Calibri"/>
        <family val="2"/>
      </rPr>
      <t>before</t>
    </r>
    <r>
      <rPr>
        <b/>
        <sz val="11"/>
        <rFont val="Calibri"/>
        <family val="2"/>
      </rPr>
      <t xml:space="preserve"> ET charge</t>
    </r>
  </si>
  <si>
    <t>of which:</t>
  </si>
  <si>
    <r>
      <t xml:space="preserve">Premium part of the 1st Partial Refund </t>
    </r>
    <r>
      <rPr>
        <u/>
        <sz val="11"/>
        <color indexed="23"/>
        <rFont val="Calibri"/>
        <family val="2"/>
      </rPr>
      <t>after</t>
    </r>
    <r>
      <rPr>
        <sz val="11"/>
        <color indexed="23"/>
        <rFont val="Calibri"/>
        <family val="2"/>
      </rPr>
      <t xml:space="preserve"> the ET charge</t>
    </r>
  </si>
  <si>
    <r>
      <t xml:space="preserve">the same as </t>
    </r>
    <r>
      <rPr>
        <u/>
        <sz val="11"/>
        <color indexed="23"/>
        <rFont val="Calibri"/>
        <family val="2"/>
      </rPr>
      <t>before</t>
    </r>
    <r>
      <rPr>
        <sz val="11"/>
        <color indexed="23"/>
        <rFont val="Calibri"/>
        <family val="2"/>
      </rPr>
      <t xml:space="preserve"> ET fees as there is NO ET fees for Partial Cancelaltions</t>
    </r>
  </si>
  <si>
    <r>
      <t xml:space="preserve"> Cost (Commission &amp; Loadings) part of the Partial ET Refund </t>
    </r>
    <r>
      <rPr>
        <u/>
        <sz val="11"/>
        <color indexed="23"/>
        <rFont val="Calibri"/>
        <family val="2"/>
      </rPr>
      <t xml:space="preserve">after </t>
    </r>
    <r>
      <rPr>
        <sz val="11"/>
        <color indexed="23"/>
        <rFont val="Calibri"/>
        <family val="2"/>
      </rPr>
      <t>ET charge</t>
    </r>
  </si>
  <si>
    <r>
      <rPr>
        <sz val="11"/>
        <color indexed="23"/>
        <rFont val="Calibri"/>
        <family val="2"/>
      </rPr>
      <t xml:space="preserve">             </t>
    </r>
    <r>
      <rPr>
        <u/>
        <sz val="11"/>
        <color indexed="23"/>
        <rFont val="Calibri"/>
        <family val="2"/>
      </rPr>
      <t>of which:</t>
    </r>
  </si>
  <si>
    <t>COST part of the ET Refund:</t>
  </si>
  <si>
    <t xml:space="preserve">              Loadings part of the Partial ET Refund after ET charge</t>
  </si>
  <si>
    <r>
      <t xml:space="preserve">the same as </t>
    </r>
    <r>
      <rPr>
        <u/>
        <sz val="11"/>
        <color indexed="23"/>
        <rFont val="Calibri"/>
        <family val="2"/>
      </rPr>
      <t>before</t>
    </r>
    <r>
      <rPr>
        <sz val="11"/>
        <color indexed="23"/>
        <rFont val="Calibri"/>
        <family val="2"/>
      </rPr>
      <t xml:space="preserve"> ET fees as there is NO ET fees relating to Loadings</t>
    </r>
  </si>
  <si>
    <r>
      <t xml:space="preserve">             Commission part of the 1st Partial Refund </t>
    </r>
    <r>
      <rPr>
        <u/>
        <sz val="11"/>
        <color indexed="23"/>
        <rFont val="Calibri"/>
        <family val="2"/>
      </rPr>
      <t>after</t>
    </r>
    <r>
      <rPr>
        <sz val="11"/>
        <color indexed="23"/>
        <rFont val="Calibri"/>
        <family val="2"/>
      </rPr>
      <t xml:space="preserve"> the ET charge</t>
    </r>
  </si>
  <si>
    <t>Full ET following previous PARTIAL Cancellation (s):</t>
  </si>
  <si>
    <t>1 - [Sum of all Early Loan Repayments/ (Outstanding Insured Capital just before Full ET+ Sum of all Early Loan Repayments)]</t>
  </si>
  <si>
    <r>
      <t xml:space="preserve">ET Refund after Partial Cancelaltion(s) </t>
    </r>
    <r>
      <rPr>
        <b/>
        <u/>
        <sz val="11"/>
        <color indexed="8"/>
        <rFont val="Calibri"/>
        <family val="2"/>
      </rPr>
      <t>before</t>
    </r>
    <r>
      <rPr>
        <b/>
        <sz val="11"/>
        <color indexed="8"/>
        <rFont val="Calibri"/>
        <family val="2"/>
      </rPr>
      <t xml:space="preserve"> the ET charge</t>
    </r>
  </si>
  <si>
    <r>
      <rPr>
        <b/>
        <sz val="11"/>
        <rFont val="Calibri"/>
        <family val="2"/>
      </rPr>
      <t>ET charge</t>
    </r>
    <r>
      <rPr>
        <sz val="11"/>
        <rFont val="Calibri"/>
        <family val="2"/>
      </rPr>
      <t xml:space="preserve"> on Full Early Termination</t>
    </r>
  </si>
  <si>
    <r>
      <t xml:space="preserve">FULL ET Refund following previous Partial Cancellation(s) </t>
    </r>
    <r>
      <rPr>
        <b/>
        <u/>
        <sz val="11"/>
        <rFont val="Calibri"/>
        <family val="2"/>
      </rPr>
      <t xml:space="preserve">after </t>
    </r>
    <r>
      <rPr>
        <b/>
        <sz val="11"/>
        <rFont val="Calibri"/>
        <family val="2"/>
      </rPr>
      <t>ET charge</t>
    </r>
  </si>
  <si>
    <r>
      <t xml:space="preserve">              Loadings part of the Partial ET Refund</t>
    </r>
    <r>
      <rPr>
        <u/>
        <sz val="11"/>
        <color indexed="23"/>
        <rFont val="Calibri"/>
        <family val="2"/>
      </rPr>
      <t xml:space="preserve"> after </t>
    </r>
    <r>
      <rPr>
        <sz val="11"/>
        <color indexed="23"/>
        <rFont val="Calibri"/>
        <family val="2"/>
      </rPr>
      <t>ET charge</t>
    </r>
  </si>
  <si>
    <r>
      <t xml:space="preserve">the same as </t>
    </r>
    <r>
      <rPr>
        <u/>
        <sz val="11"/>
        <color indexed="23"/>
        <rFont val="Calibri"/>
        <family val="2"/>
      </rPr>
      <t>before</t>
    </r>
    <r>
      <rPr>
        <sz val="11"/>
        <color indexed="23"/>
        <rFont val="Calibri"/>
        <family val="2"/>
      </rPr>
      <t xml:space="preserve"> ET fees as there is NO ET relating to Loadings</t>
    </r>
  </si>
  <si>
    <t>Recalculation</t>
  </si>
  <si>
    <r>
      <t xml:space="preserve">Refund </t>
    </r>
    <r>
      <rPr>
        <u/>
        <sz val="11"/>
        <color indexed="55"/>
        <rFont val="Calibri"/>
        <family val="2"/>
      </rPr>
      <t>before</t>
    </r>
    <r>
      <rPr>
        <sz val="11"/>
        <color indexed="55"/>
        <rFont val="Calibri"/>
        <family val="2"/>
      </rPr>
      <t xml:space="preserve"> the ET charge - NEW approach as per IVASS Letter published on 18/12/2018</t>
    </r>
  </si>
  <si>
    <t>check</t>
  </si>
  <si>
    <t>ESTIMATES:</t>
  </si>
  <si>
    <r>
      <t xml:space="preserve">ET Refund </t>
    </r>
    <r>
      <rPr>
        <b/>
        <u/>
        <sz val="11"/>
        <color indexed="23"/>
        <rFont val="Calibri"/>
        <family val="2"/>
      </rPr>
      <t>before</t>
    </r>
    <r>
      <rPr>
        <u/>
        <sz val="11"/>
        <color indexed="23"/>
        <rFont val="Calibri"/>
        <family val="2"/>
      </rPr>
      <t xml:space="preserve"> the ET charge - OLD approches till 17/02/2019:</t>
    </r>
  </si>
  <si>
    <t>Different Methods</t>
  </si>
  <si>
    <t>Cardif until 17/02/2019 using Insurer's Loadings (theoretical)</t>
  </si>
  <si>
    <t>Cardif until 17/02/2020 using Reinsurer's Laodings (previously used incorrectly by Cardif)</t>
  </si>
  <si>
    <t>CBP Until 17/02/2019 using Insurer's Loadings</t>
  </si>
  <si>
    <r>
      <t xml:space="preserve">ET Refund </t>
    </r>
    <r>
      <rPr>
        <b/>
        <u/>
        <sz val="11"/>
        <color indexed="23"/>
        <rFont val="Calibri"/>
        <family val="2"/>
      </rPr>
      <t xml:space="preserve">after </t>
    </r>
    <r>
      <rPr>
        <u/>
        <sz val="11"/>
        <color indexed="23"/>
        <rFont val="Calibri"/>
        <family val="2"/>
      </rPr>
      <t>the ET charge - OLD approches till 17/02/2019:</t>
    </r>
  </si>
  <si>
    <t>CARDIF: Pure Premium using Reinsurer's Loadings</t>
  </si>
  <si>
    <t>CARDIF: Loadings using Reinsurer's Loading rate</t>
  </si>
  <si>
    <t>CARDIF: Commission</t>
  </si>
  <si>
    <t>OLD sample used prior implementation of the IVASS Letter published 18/12/2018 for implementation on 18/02/2019:</t>
  </si>
  <si>
    <t>e.g. 45C1, 45F1, LP45C, LP45F, P45C2, P45F2, P45C3, P45F3</t>
  </si>
  <si>
    <t>Duration of Insurance product (GAP only)</t>
  </si>
  <si>
    <t>Outstanding Debt provided by SCB as per original Loan amortisation schedule to be used by the TPA!</t>
  </si>
  <si>
    <t>Below calculations for estimation purpose only. NOT to be used by the TPA for actual ET Refund calculations.</t>
  </si>
  <si>
    <t>loan amount incl CPI premium</t>
  </si>
  <si>
    <t>months</t>
  </si>
  <si>
    <t>interest p. a.</t>
  </si>
  <si>
    <t>OLA = Original Loan amount</t>
  </si>
  <si>
    <t>monthly instalment</t>
  </si>
  <si>
    <t>Capital</t>
  </si>
  <si>
    <t>interest</t>
  </si>
  <si>
    <t>OB</t>
  </si>
  <si>
    <t>OB/Original Loan amount</t>
  </si>
  <si>
    <r>
      <rPr>
        <b/>
        <sz val="11"/>
        <color indexed="8"/>
        <rFont val="Calibri"/>
        <family val="2"/>
      </rPr>
      <t>D)</t>
    </r>
    <r>
      <rPr>
        <sz val="11"/>
        <color indexed="8"/>
        <rFont val="Calibri"/>
        <family val="2"/>
      </rPr>
      <t xml:space="preserve"> Initial duration  of the insurance cover (= Duration of the loan) (in Days) </t>
    </r>
  </si>
  <si>
    <r>
      <rPr>
        <b/>
        <sz val="11"/>
        <color indexed="8"/>
        <rFont val="Calibri"/>
        <family val="2"/>
      </rPr>
      <t>t)</t>
    </r>
    <r>
      <rPr>
        <sz val="11"/>
        <color indexed="8"/>
        <rFont val="Calibri"/>
        <family val="2"/>
      </rPr>
      <t xml:space="preserve"> Time passed to the date of reimbursement request (in Days)</t>
    </r>
  </si>
  <si>
    <r>
      <rPr>
        <b/>
        <sz val="11"/>
        <color indexed="8"/>
        <rFont val="Calibri"/>
        <family val="2"/>
      </rPr>
      <t>r)</t>
    </r>
    <r>
      <rPr>
        <sz val="11"/>
        <color indexed="8"/>
        <rFont val="Calibri"/>
        <family val="2"/>
      </rPr>
      <t xml:space="preserve"> Residual duration  (D-t) (in Days)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</si>
</sst>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0.0000%"/>
    <numFmt numFmtId="165" formatCode="0.0%"/>
    <numFmt numFmtId="166" formatCode="_-[$€-2]\ * #,##0_-;\-[$€-2]\ * #,##0_-;_-[$€-2]\ * &quot;-&quot;??_-;_-@_-"/>
    <numFmt numFmtId="167" formatCode="_-[$€-2]\ * #,##0.00_-;\-[$€-2]\ * #,##0.00_-;_-[$€-2]\ * &quot;-&quot;??_-;_-@_-"/>
    <numFmt numFmtId="168" formatCode="0.000"/>
    <numFmt numFmtId="169" formatCode="0.00000%"/>
    <numFmt numFmtId="170" formatCode="0.0000"/>
    <numFmt numFmtId="171" formatCode="[$€-1809]#,##0.00"/>
    <numFmt numFmtId="172" formatCode="0.000%"/>
    <numFmt numFmtId="173" formatCode="[$€-2]\ #,##0;[Red]\-[$€-2]\ #,##0"/>
    <numFmt numFmtId="174" formatCode="&quot;€&quot;\ #,##0.00;\-&quot;€&quot;\ #,##0.00"/>
    <numFmt numFmtId="175" formatCode="#,##0.00_ ;\-#,##0.00\ "/>
    <numFmt numFmtId="176" formatCode="#,##0_ ;\-#,##0\ "/>
    <numFmt numFmtId="177" formatCode="#,##0.0000000000000_ ;\-#,##0.0000000000000\ "/>
    <numFmt numFmtId="178" formatCode="_-* #,##0_-;\-* #,##0_-;_-* &quot;-&quot;??_-;_-@_-"/>
    <numFmt numFmtId="179" formatCode="0.000000%"/>
    <numFmt numFmtId="180" formatCode="_-* #,##0.000_-;\-* #,##0.000_-;_-* &quot;-&quot;??_-;_-@_-"/>
    <numFmt numFmtId="181" formatCode="#,##0.0000"/>
    <numFmt numFmtId="182" formatCode="_-* #,##0.0000_-;\-* #,##0.0000_-;_-* &quot;-&quot;??_-;_-@_-"/>
    <numFmt numFmtId="183" formatCode="&quot;€&quot;\ #,##0.0000;\-&quot;€&quot;\ #,##0.0000"/>
    <numFmt numFmtId="184" formatCode="0.0000000"/>
  </numFmts>
  <fonts count="111"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b/>
      <sz val="22"/>
      <color rgb="FF00B050"/>
      <name val="Calibri"/>
      <family val="2"/>
    </font>
    <font>
      <sz val="11"/>
      <color indexed="8"/>
      <name val="Calibri"/>
      <family val="2"/>
    </font>
    <font>
      <b/>
      <u/>
      <sz val="14"/>
      <color indexed="9"/>
      <name val="Calibri"/>
      <family val="2"/>
    </font>
    <font>
      <b/>
      <sz val="14"/>
      <color indexed="9"/>
      <name val="Calibri"/>
      <family val="2"/>
    </font>
    <font>
      <b/>
      <sz val="9"/>
      <color theme="1"/>
      <name val="Arial Narrow"/>
      <family val="2"/>
    </font>
    <font>
      <b/>
      <sz val="11"/>
      <color rgb="FFFF0000"/>
      <name val="Calibri"/>
      <family val="2"/>
    </font>
    <font>
      <b/>
      <sz val="11"/>
      <color indexed="8"/>
      <name val="Calibri"/>
      <family val="2"/>
    </font>
    <font>
      <b/>
      <sz val="11"/>
      <color theme="1"/>
      <name val="Calibri"/>
      <family val="2"/>
    </font>
    <font>
      <b/>
      <sz val="12"/>
      <color indexed="8"/>
      <name val="Calibri"/>
      <family val="2"/>
    </font>
    <font>
      <b/>
      <sz val="11"/>
      <color indexed="17"/>
      <name val="Calibri"/>
      <family val="2"/>
    </font>
    <font>
      <b/>
      <strike/>
      <sz val="9"/>
      <color theme="1"/>
      <name val="Cambria"/>
      <family val="1"/>
    </font>
    <font>
      <strike/>
      <sz val="9"/>
      <color theme="1"/>
      <name val="Cambria"/>
      <family val="1"/>
    </font>
    <font>
      <b/>
      <sz val="11"/>
      <color rgb="FF00B050"/>
      <name val="Calibri"/>
      <family val="2"/>
    </font>
    <font>
      <sz val="11"/>
      <color indexed="17"/>
      <name val="Calibri"/>
      <family val="2"/>
    </font>
    <font>
      <sz val="11"/>
      <color theme="1"/>
      <name val="Calibri"/>
      <family val="2"/>
    </font>
    <font>
      <strike/>
      <u/>
      <sz val="9"/>
      <color theme="1"/>
      <name val="Cambria"/>
      <family val="1"/>
    </font>
    <font>
      <b/>
      <sz val="14"/>
      <color indexed="17"/>
      <name val="Calibri"/>
      <family val="2"/>
    </font>
    <font>
      <sz val="9"/>
      <color theme="1"/>
      <name val="Arial Narrow"/>
      <family val="2"/>
    </font>
    <font>
      <strike/>
      <sz val="9"/>
      <color rgb="FFFF0000"/>
      <name val="Cambria"/>
      <family val="1"/>
    </font>
    <font>
      <b/>
      <sz val="9"/>
      <color indexed="81"/>
      <name val="Tahoma"/>
      <family val="2"/>
    </font>
    <font>
      <sz val="9"/>
      <color indexed="81"/>
      <name val="Tahoma"/>
      <family val="2"/>
    </font>
    <font>
      <b/>
      <sz val="11"/>
      <name val="Calibri"/>
      <family val="2"/>
    </font>
    <font>
      <sz val="11"/>
      <name val="Calibri"/>
      <family val="2"/>
    </font>
    <font>
      <b/>
      <sz val="24"/>
      <color theme="1"/>
      <name val="Calibri"/>
      <family val="2"/>
      <scheme val="minor"/>
    </font>
    <font>
      <sz val="11"/>
      <color rgb="FF0070C0"/>
      <name val="Calibri"/>
      <family val="2"/>
      <scheme val="minor"/>
    </font>
    <font>
      <b/>
      <sz val="20"/>
      <color theme="0"/>
      <name val="Calibri"/>
      <family val="2"/>
      <scheme val="minor"/>
    </font>
    <font>
      <sz val="20"/>
      <color theme="0"/>
      <name val="Calibri"/>
      <family val="2"/>
      <scheme val="minor"/>
    </font>
    <font>
      <b/>
      <sz val="12"/>
      <color rgb="FFC00000"/>
      <name val="Calibri"/>
      <family val="2"/>
      <scheme val="minor"/>
    </font>
    <font>
      <b/>
      <sz val="11"/>
      <color indexed="60"/>
      <name val="Calibri"/>
      <family val="2"/>
    </font>
    <font>
      <b/>
      <sz val="11"/>
      <color rgb="FFC00000"/>
      <name val="Calibri"/>
      <family val="2"/>
      <scheme val="minor"/>
    </font>
    <font>
      <sz val="11"/>
      <color indexed="60"/>
      <name val="Calibri"/>
      <family val="2"/>
    </font>
    <font>
      <b/>
      <sz val="11"/>
      <name val="Calibri"/>
      <family val="2"/>
      <scheme val="minor"/>
    </font>
    <font>
      <b/>
      <u/>
      <sz val="11"/>
      <name val="Calibri"/>
      <family val="2"/>
    </font>
    <font>
      <b/>
      <sz val="11"/>
      <color theme="0" tint="-0.34998626667073579"/>
      <name val="Calibri"/>
      <family val="2"/>
      <scheme val="minor"/>
    </font>
    <font>
      <b/>
      <sz val="22"/>
      <color theme="1"/>
      <name val="Calibri"/>
      <family val="2"/>
      <scheme val="minor"/>
    </font>
    <font>
      <sz val="10"/>
      <name val="Arial"/>
      <family val="2"/>
    </font>
    <font>
      <sz val="11"/>
      <name val="Arial Narrow"/>
      <family val="2"/>
    </font>
    <font>
      <sz val="11"/>
      <name val="Calibri"/>
      <family val="2"/>
      <scheme val="minor"/>
    </font>
    <font>
      <sz val="11"/>
      <color theme="0" tint="-0.34998626667073579"/>
      <name val="Calibri"/>
      <family val="2"/>
      <scheme val="minor"/>
    </font>
    <font>
      <sz val="11"/>
      <color theme="1"/>
      <name val="Arial Narrow"/>
      <family val="2"/>
    </font>
    <font>
      <b/>
      <sz val="11"/>
      <color theme="0" tint="-0.499984740745262"/>
      <name val="Calibri"/>
      <family val="2"/>
      <scheme val="minor"/>
    </font>
    <font>
      <sz val="10"/>
      <color theme="1"/>
      <name val="Calibri"/>
      <family val="2"/>
      <scheme val="minor"/>
    </font>
    <font>
      <b/>
      <sz val="10"/>
      <color rgb="FFC00000"/>
      <name val="Calibri"/>
      <family val="2"/>
      <scheme val="minor"/>
    </font>
    <font>
      <sz val="11"/>
      <color theme="0" tint="-0.499984740745262"/>
      <name val="Calibri"/>
      <family val="2"/>
      <scheme val="minor"/>
    </font>
    <font>
      <b/>
      <u/>
      <sz val="11"/>
      <color indexed="8"/>
      <name val="Calibri"/>
      <family val="2"/>
    </font>
    <font>
      <b/>
      <sz val="10"/>
      <color theme="1"/>
      <name val="Calibri"/>
      <family val="2"/>
      <scheme val="minor"/>
    </font>
    <font>
      <b/>
      <sz val="14"/>
      <color theme="1"/>
      <name val="Calibri"/>
      <family val="2"/>
      <scheme val="minor"/>
    </font>
    <font>
      <sz val="11"/>
      <color indexed="23"/>
      <name val="Calibri"/>
      <family val="2"/>
    </font>
    <font>
      <sz val="12"/>
      <color indexed="81"/>
      <name val="Tahoma"/>
      <family val="2"/>
    </font>
    <font>
      <sz val="11"/>
      <color indexed="81"/>
      <name val="Tahoma"/>
      <family val="2"/>
    </font>
    <font>
      <b/>
      <sz val="8"/>
      <color indexed="81"/>
      <name val="Tahoma"/>
      <family val="2"/>
    </font>
    <font>
      <sz val="8"/>
      <color indexed="81"/>
      <name val="Tahoma"/>
      <family val="2"/>
    </font>
    <font>
      <b/>
      <sz val="11"/>
      <color indexed="81"/>
      <name val="Tahoma"/>
      <family val="2"/>
    </font>
    <font>
      <u/>
      <sz val="11"/>
      <color indexed="81"/>
      <name val="Tahoma"/>
      <family val="2"/>
    </font>
    <font>
      <b/>
      <u/>
      <sz val="11"/>
      <color indexed="81"/>
      <name val="Tahoma"/>
      <family val="2"/>
    </font>
    <font>
      <sz val="12"/>
      <color indexed="9"/>
      <name val="Calibri"/>
      <family val="2"/>
    </font>
    <font>
      <b/>
      <sz val="11"/>
      <color indexed="9"/>
      <name val="Calibri"/>
      <family val="2"/>
    </font>
    <font>
      <sz val="8"/>
      <color theme="0" tint="-0.34998626667073579"/>
      <name val="Calibri"/>
      <family val="2"/>
    </font>
    <font>
      <b/>
      <sz val="14"/>
      <color theme="0" tint="-0.34998626667073579"/>
      <name val="Calibri"/>
      <family val="2"/>
    </font>
    <font>
      <b/>
      <sz val="11"/>
      <color theme="0"/>
      <name val="Calibri"/>
      <family val="2"/>
    </font>
    <font>
      <sz val="11"/>
      <color theme="0"/>
      <name val="Calibri"/>
      <family val="2"/>
    </font>
    <font>
      <b/>
      <sz val="12"/>
      <color theme="1"/>
      <name val="Arial Narrow"/>
      <family val="2"/>
    </font>
    <font>
      <sz val="12"/>
      <color indexed="8"/>
      <name val="Arial Narrow"/>
      <family val="2"/>
    </font>
    <font>
      <b/>
      <sz val="12"/>
      <name val="Calibri"/>
      <family val="2"/>
    </font>
    <font>
      <sz val="11"/>
      <color rgb="FF0070C0"/>
      <name val="Calibri"/>
      <family val="2"/>
    </font>
    <font>
      <b/>
      <sz val="11"/>
      <color rgb="FFC00000"/>
      <name val="Calibri"/>
      <family val="2"/>
    </font>
    <font>
      <b/>
      <sz val="10"/>
      <name val="Calibri"/>
      <family val="2"/>
    </font>
    <font>
      <b/>
      <sz val="11"/>
      <color rgb="FF0070C0"/>
      <name val="Calibri"/>
      <family val="2"/>
    </font>
    <font>
      <sz val="11"/>
      <color theme="4" tint="0.39997558519241921"/>
      <name val="Calibri"/>
      <family val="2"/>
    </font>
    <font>
      <b/>
      <sz val="10"/>
      <color theme="1"/>
      <name val="Calibri"/>
      <family val="2"/>
    </font>
    <font>
      <b/>
      <sz val="10"/>
      <color indexed="8"/>
      <name val="Calibri"/>
      <family val="2"/>
    </font>
    <font>
      <sz val="11"/>
      <color theme="0" tint="-0.499984740745262"/>
      <name val="Calibri"/>
      <family val="2"/>
    </font>
    <font>
      <sz val="11"/>
      <color theme="0" tint="-0.34998626667073579"/>
      <name val="Calibri"/>
      <family val="2"/>
    </font>
    <font>
      <sz val="11"/>
      <color theme="0" tint="-0.249977111117893"/>
      <name val="Calibri"/>
      <family val="2"/>
    </font>
    <font>
      <u/>
      <sz val="11"/>
      <name val="Calibri"/>
      <family val="2"/>
    </font>
    <font>
      <sz val="14"/>
      <color theme="0" tint="-0.34998626667073579"/>
      <name val="Calibri"/>
      <family val="2"/>
    </font>
    <font>
      <b/>
      <sz val="14"/>
      <color indexed="55"/>
      <name val="Calibri"/>
      <family val="2"/>
    </font>
    <font>
      <sz val="14"/>
      <color indexed="55"/>
      <name val="Calibri"/>
      <family val="2"/>
    </font>
    <font>
      <sz val="14"/>
      <color theme="1"/>
      <name val="Calibri"/>
      <family val="2"/>
    </font>
    <font>
      <b/>
      <sz val="11"/>
      <color indexed="62"/>
      <name val="Calibri"/>
      <family val="2"/>
    </font>
    <font>
      <b/>
      <sz val="14"/>
      <color theme="1"/>
      <name val="Calibri"/>
      <family val="2"/>
    </font>
    <font>
      <b/>
      <sz val="11"/>
      <color rgb="FF333399"/>
      <name val="Calibri"/>
      <family val="2"/>
    </font>
    <font>
      <b/>
      <u/>
      <sz val="11"/>
      <color indexed="62"/>
      <name val="Calibri"/>
      <family val="2"/>
    </font>
    <font>
      <sz val="10"/>
      <color indexed="18"/>
      <name val="Arial"/>
      <family val="2"/>
    </font>
    <font>
      <sz val="14"/>
      <color theme="0" tint="-0.14999847407452621"/>
      <name val="Calibri"/>
      <family val="2"/>
    </font>
    <font>
      <sz val="14"/>
      <color theme="0" tint="-4.9989318521683403E-2"/>
      <name val="Calibri"/>
      <family val="2"/>
    </font>
    <font>
      <sz val="11"/>
      <color theme="0" tint="-0.14999847407452621"/>
      <name val="Calibri"/>
      <family val="2"/>
    </font>
    <font>
      <sz val="11"/>
      <color rgb="FFC00000"/>
      <name val="Calibri"/>
      <family val="2"/>
    </font>
    <font>
      <sz val="9"/>
      <color theme="0" tint="-0.14999847407452621"/>
      <name val="Calibri"/>
      <family val="2"/>
    </font>
    <font>
      <sz val="9"/>
      <name val="Calibri"/>
      <family val="2"/>
    </font>
    <font>
      <sz val="9"/>
      <color theme="1"/>
      <name val="Calibri"/>
      <family val="2"/>
    </font>
    <font>
      <b/>
      <sz val="11"/>
      <color theme="0" tint="-0.249977111117893"/>
      <name val="Calibri"/>
      <family val="2"/>
    </font>
    <font>
      <u/>
      <sz val="11"/>
      <color indexed="23"/>
      <name val="Calibri"/>
      <family val="2"/>
    </font>
    <font>
      <u/>
      <sz val="11"/>
      <color theme="0" tint="-0.499984740745262"/>
      <name val="Calibri"/>
      <family val="2"/>
    </font>
    <font>
      <sz val="11"/>
      <color rgb="FF00B050"/>
      <name val="Calibri"/>
      <family val="2"/>
    </font>
    <font>
      <u/>
      <sz val="11"/>
      <color indexed="55"/>
      <name val="Calibri"/>
      <family val="2"/>
    </font>
    <font>
      <sz val="11"/>
      <color indexed="55"/>
      <name val="Calibri"/>
      <family val="2"/>
    </font>
    <font>
      <b/>
      <u/>
      <sz val="11"/>
      <color theme="0" tint="-0.499984740745262"/>
      <name val="Calibri"/>
      <family val="2"/>
    </font>
    <font>
      <b/>
      <u/>
      <sz val="11"/>
      <color indexed="23"/>
      <name val="Calibri"/>
      <family val="2"/>
    </font>
    <font>
      <u/>
      <sz val="12"/>
      <color indexed="81"/>
      <name val="Tahoma"/>
      <family val="2"/>
    </font>
    <font>
      <b/>
      <sz val="12"/>
      <color indexed="81"/>
      <name val="Tahoma"/>
      <family val="2"/>
    </font>
    <font>
      <sz val="14"/>
      <color indexed="81"/>
      <name val="Tahoma"/>
      <family val="2"/>
    </font>
    <font>
      <b/>
      <sz val="14"/>
      <color rgb="FFC00000"/>
      <name val="Calibri"/>
      <family val="2"/>
      <scheme val="minor"/>
    </font>
    <font>
      <sz val="14"/>
      <color rgb="FFC00000"/>
      <name val="Calibri"/>
      <family val="2"/>
      <scheme val="minor"/>
    </font>
    <font>
      <b/>
      <sz val="11"/>
      <color theme="0" tint="-0.14999847407452621"/>
      <name val="Calibri"/>
      <family val="2"/>
      <scheme val="minor"/>
    </font>
    <font>
      <sz val="11"/>
      <color theme="0" tint="-0.14999847407452621"/>
      <name val="Calibri"/>
      <family val="2"/>
      <scheme val="minor"/>
    </font>
    <font>
      <b/>
      <sz val="14"/>
      <color rgb="FFFF0000"/>
      <name val="Calibri"/>
      <family val="2"/>
    </font>
  </fonts>
  <fills count="6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theme="1"/>
        <bgColor indexed="64"/>
      </patternFill>
    </fill>
    <fill>
      <patternFill patternType="solid">
        <fgColor rgb="FF0070C0"/>
        <bgColor indexed="64"/>
      </patternFill>
    </fill>
    <fill>
      <patternFill patternType="solid">
        <fgColor rgb="FFFFCCFF"/>
        <bgColor indexed="64"/>
      </patternFill>
    </fill>
    <fill>
      <patternFill patternType="solid">
        <fgColor rgb="FFCCFFCC"/>
        <bgColor indexed="64"/>
      </patternFill>
    </fill>
    <fill>
      <patternFill patternType="solid">
        <fgColor rgb="FFFFCC99"/>
        <bgColor indexed="64"/>
      </patternFill>
    </fill>
    <fill>
      <patternFill patternType="solid">
        <fgColor rgb="FFFFFFCC"/>
        <bgColor indexed="64"/>
      </patternFill>
    </fill>
    <fill>
      <patternFill patternType="solid">
        <fgColor theme="7" tint="0.59999389629810485"/>
        <bgColor indexed="64"/>
      </patternFill>
    </fill>
    <fill>
      <patternFill patternType="solid">
        <fgColor theme="2" tint="-0.249977111117893"/>
        <bgColor indexed="64"/>
      </patternFill>
    </fill>
    <fill>
      <patternFill patternType="solid">
        <fgColor theme="0" tint="-0.249977111117893"/>
        <bgColor indexed="64"/>
      </patternFill>
    </fill>
    <fill>
      <patternFill patternType="solid">
        <fgColor theme="2" tint="-0.499984740745262"/>
        <bgColor indexed="64"/>
      </patternFill>
    </fill>
    <fill>
      <patternFill patternType="solid">
        <fgColor rgb="FFFFFF00"/>
        <bgColor indexed="64"/>
      </patternFill>
    </fill>
    <fill>
      <patternFill patternType="solid">
        <fgColor rgb="FFCCFFFF"/>
        <bgColor indexed="64"/>
      </patternFill>
    </fill>
    <fill>
      <patternFill patternType="solid">
        <fgColor rgb="FF66FFFF"/>
        <bgColor indexed="64"/>
      </patternFill>
    </fill>
    <fill>
      <patternFill patternType="gray0625">
        <bgColor rgb="FFCCFFFF"/>
      </patternFill>
    </fill>
    <fill>
      <patternFill patternType="solid">
        <fgColor theme="2" tint="-9.9978637043366805E-2"/>
        <bgColor indexed="64"/>
      </patternFill>
    </fill>
    <fill>
      <patternFill patternType="gray0625">
        <bgColor rgb="FFFFCC99"/>
      </patternFill>
    </fill>
    <fill>
      <patternFill patternType="solid">
        <fgColor theme="9" tint="0.39997558519241921"/>
        <bgColor indexed="64"/>
      </patternFill>
    </fill>
    <fill>
      <patternFill patternType="gray0625">
        <bgColor theme="9" tint="0.39997558519241921"/>
      </patternFill>
    </fill>
    <fill>
      <patternFill patternType="solid">
        <fgColor theme="9" tint="-0.249977111117893"/>
        <bgColor indexed="64"/>
      </patternFill>
    </fill>
    <fill>
      <patternFill patternType="gray0625">
        <bgColor theme="9" tint="0.39994506668294322"/>
      </patternFill>
    </fill>
    <fill>
      <gradientFill degree="90">
        <stop position="0">
          <color theme="0"/>
        </stop>
        <stop position="1">
          <color theme="9" tint="0.40000610370189521"/>
        </stop>
      </gradientFill>
    </fill>
    <fill>
      <patternFill patternType="solid">
        <fgColor theme="9" tint="0.39991454817346722"/>
        <bgColor indexed="64"/>
      </patternFill>
    </fill>
    <fill>
      <patternFill patternType="solid">
        <fgColor rgb="FFFF7C80"/>
        <bgColor indexed="64"/>
      </patternFill>
    </fill>
    <fill>
      <patternFill patternType="gray0625">
        <bgColor rgb="FFFF7C80"/>
      </patternFill>
    </fill>
    <fill>
      <patternFill patternType="solid">
        <fgColor theme="7" tint="0.79998168889431442"/>
        <bgColor indexed="64"/>
      </patternFill>
    </fill>
    <fill>
      <patternFill patternType="gray0625">
        <bgColor theme="7" tint="0.79998168889431442"/>
      </patternFill>
    </fill>
    <fill>
      <patternFill patternType="gray0625">
        <bgColor theme="7" tint="0.59999389629810485"/>
      </patternFill>
    </fill>
    <fill>
      <patternFill patternType="solid">
        <fgColor theme="4" tint="0.59999389629810485"/>
        <bgColor indexed="64"/>
      </patternFill>
    </fill>
    <fill>
      <patternFill patternType="solid">
        <fgColor theme="4" tint="0.39997558519241921"/>
        <bgColor indexed="64"/>
      </patternFill>
    </fill>
    <fill>
      <gradientFill degree="90">
        <stop position="0">
          <color theme="4" tint="0.80001220740379042"/>
        </stop>
        <stop position="1">
          <color theme="4"/>
        </stop>
      </gradientFill>
    </fill>
    <fill>
      <patternFill patternType="solid">
        <fgColor theme="2" tint="-9.9948118533890809E-2"/>
        <bgColor indexed="64"/>
      </patternFill>
    </fill>
    <fill>
      <patternFill patternType="gray0625">
        <bgColor theme="4" tint="0.39997558519241921"/>
      </patternFill>
    </fill>
    <fill>
      <patternFill patternType="solid">
        <fgColor theme="4" tint="0.79998168889431442"/>
        <bgColor indexed="64"/>
      </patternFill>
    </fill>
    <fill>
      <patternFill patternType="gray0625">
        <bgColor theme="4" tint="0.79998168889431442"/>
      </patternFill>
    </fill>
    <fill>
      <patternFill patternType="solid">
        <fgColor theme="9" tint="0.59999389629810485"/>
        <bgColor indexed="64"/>
      </patternFill>
    </fill>
    <fill>
      <gradientFill degree="90">
        <stop position="0">
          <color theme="9" tint="0.80001220740379042"/>
        </stop>
        <stop position="1">
          <color theme="9" tint="0.40000610370189521"/>
        </stop>
      </gradientFill>
    </fill>
    <fill>
      <patternFill patternType="solid">
        <fgColor theme="9" tint="0.79998168889431442"/>
        <bgColor indexed="64"/>
      </patternFill>
    </fill>
    <fill>
      <patternFill patternType="gray0625">
        <bgColor theme="9" tint="0.79998168889431442"/>
      </patternFill>
    </fill>
    <fill>
      <patternFill patternType="solid">
        <fgColor theme="5" tint="0.59999389629810485"/>
        <bgColor indexed="64"/>
      </patternFill>
    </fill>
    <fill>
      <patternFill patternType="solid">
        <fgColor theme="5" tint="0.39997558519241921"/>
        <bgColor indexed="64"/>
      </patternFill>
    </fill>
    <fill>
      <gradientFill degree="90">
        <stop position="0">
          <color theme="5" tint="0.80001220740379042"/>
        </stop>
        <stop position="1">
          <color theme="5" tint="0.40000610370189521"/>
        </stop>
      </gradientFill>
    </fill>
    <fill>
      <patternFill patternType="gray0625">
        <bgColor theme="5" tint="0.39997558519241921"/>
      </patternFill>
    </fill>
    <fill>
      <patternFill patternType="gray0625">
        <bgColor theme="5" tint="0.79998168889431442"/>
      </patternFill>
    </fill>
    <fill>
      <patternFill patternType="solid">
        <fgColor rgb="FFCCCCFF"/>
        <bgColor indexed="64"/>
      </patternFill>
    </fill>
    <fill>
      <patternFill patternType="gray0625">
        <bgColor rgb="FFCCCCFF"/>
      </patternFill>
    </fill>
    <fill>
      <patternFill patternType="gray0625">
        <bgColor theme="3" tint="0.59999389629810485"/>
      </patternFill>
    </fill>
    <fill>
      <patternFill patternType="solid">
        <fgColor theme="3" tint="0.59999389629810485"/>
        <bgColor indexed="64"/>
      </patternFill>
    </fill>
    <fill>
      <patternFill patternType="gray0625">
        <bgColor theme="4" tint="0.59999389629810485"/>
      </patternFill>
    </fill>
    <fill>
      <patternFill patternType="solid">
        <fgColor theme="0" tint="-0.34998626667073579"/>
        <bgColor indexed="64"/>
      </patternFill>
    </fill>
    <fill>
      <patternFill patternType="gray0625"/>
    </fill>
    <fill>
      <patternFill patternType="gray0625">
        <bgColor rgb="FF66FFFF"/>
      </patternFill>
    </fill>
    <fill>
      <patternFill patternType="solid">
        <fgColor rgb="FFCC99FF"/>
        <bgColor indexed="64"/>
      </patternFill>
    </fill>
    <fill>
      <patternFill patternType="solid">
        <fgColor rgb="FFE4C9FF"/>
        <bgColor indexed="64"/>
      </patternFill>
    </fill>
    <fill>
      <patternFill patternType="solid">
        <fgColor rgb="FF00B050"/>
        <bgColor indexed="64"/>
      </patternFill>
    </fill>
    <fill>
      <patternFill patternType="solid">
        <fgColor rgb="FFFFFF99"/>
        <bgColor indexed="64"/>
      </patternFill>
    </fill>
    <fill>
      <patternFill patternType="solid">
        <fgColor indexed="43"/>
        <bgColor indexed="64"/>
      </patternFill>
    </fill>
    <fill>
      <patternFill patternType="solid">
        <fgColor indexed="41"/>
        <bgColor indexed="64"/>
      </patternFill>
    </fill>
    <fill>
      <patternFill patternType="solid">
        <fgColor rgb="FF92D050"/>
        <bgColor indexed="64"/>
      </patternFill>
    </fill>
  </fills>
  <borders count="2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mediumDashDot">
        <color indexed="64"/>
      </left>
      <right style="mediumDashDot">
        <color indexed="64"/>
      </right>
      <top style="mediumDashDot">
        <color indexed="64"/>
      </top>
      <bottom style="mediumDashDot">
        <color indexed="64"/>
      </bottom>
      <diagonal/>
    </border>
    <border>
      <left/>
      <right/>
      <top/>
      <bottom style="medium">
        <color theme="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DashDot">
        <color indexed="64"/>
      </right>
      <top/>
      <bottom style="thin">
        <color indexed="64"/>
      </bottom>
      <diagonal/>
    </border>
    <border>
      <left style="thin">
        <color indexed="64"/>
      </left>
      <right/>
      <top/>
      <bottom style="thin">
        <color indexed="64"/>
      </bottom>
      <diagonal/>
    </border>
    <border>
      <left style="mediumDashDot">
        <color indexed="64"/>
      </left>
      <right style="mediumDashDot">
        <color indexed="64"/>
      </right>
      <top/>
      <bottom style="thin">
        <color indexed="64"/>
      </bottom>
      <diagonal/>
    </border>
    <border>
      <left style="mediumDashDot">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theme="1"/>
      </top>
      <bottom style="medium">
        <color indexed="64"/>
      </bottom>
      <diagonal/>
    </border>
    <border>
      <left style="medium">
        <color indexed="64"/>
      </left>
      <right style="slantDashDot">
        <color indexed="64"/>
      </right>
      <top style="medium">
        <color theme="1"/>
      </top>
      <bottom style="medium">
        <color indexed="64"/>
      </bottom>
      <diagonal/>
    </border>
    <border>
      <left style="medium">
        <color indexed="64"/>
      </left>
      <right/>
      <top style="medium">
        <color theme="1"/>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mediumDashDot">
        <color indexed="64"/>
      </right>
      <top style="thin">
        <color indexed="64"/>
      </top>
      <bottom style="medium">
        <color indexed="64"/>
      </bottom>
      <diagonal/>
    </border>
    <border>
      <left style="mediumDashDot">
        <color indexed="64"/>
      </left>
      <right style="medium">
        <color indexed="64"/>
      </right>
      <top style="thin">
        <color indexed="64"/>
      </top>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bottom/>
      <diagonal/>
    </border>
    <border>
      <left/>
      <right style="mediumDashDot">
        <color indexed="64"/>
      </right>
      <top/>
      <bottom style="medium">
        <color indexed="64"/>
      </bottom>
      <diagonal/>
    </border>
    <border>
      <left style="dashDot">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bottom style="thin">
        <color indexed="64"/>
      </bottom>
      <diagonal/>
    </border>
    <border>
      <left style="thin">
        <color indexed="64"/>
      </left>
      <right style="thin">
        <color indexed="64"/>
      </right>
      <top/>
      <bottom style="thin">
        <color theme="1"/>
      </bottom>
      <diagonal/>
    </border>
    <border>
      <left style="thin">
        <color indexed="64"/>
      </left>
      <right style="mediumDashDot">
        <color indexed="64"/>
      </right>
      <top style="medium">
        <color indexed="64"/>
      </top>
      <bottom style="thin">
        <color indexed="64"/>
      </bottom>
      <diagonal/>
    </border>
    <border>
      <left style="mediumDashDot">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mediumDashDot">
        <color indexed="64"/>
      </right>
      <top style="thin">
        <color indexed="64"/>
      </top>
      <bottom style="thin">
        <color indexed="64"/>
      </bottom>
      <diagonal/>
    </border>
    <border>
      <left style="thin">
        <color indexed="64"/>
      </left>
      <right/>
      <top style="thin">
        <color indexed="64"/>
      </top>
      <bottom style="thin">
        <color indexed="64"/>
      </bottom>
      <diagonal/>
    </border>
    <border>
      <left style="mediumDashDot">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DashDot">
        <color indexed="64"/>
      </right>
      <top style="thin">
        <color indexed="64"/>
      </top>
      <bottom style="medium">
        <color indexed="64"/>
      </bottom>
      <diagonal/>
    </border>
    <border>
      <left style="mediumDashDot">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theme="1"/>
      </right>
      <top style="medium">
        <color indexed="64"/>
      </top>
      <bottom style="thin">
        <color theme="1"/>
      </bottom>
      <diagonal/>
    </border>
    <border>
      <left style="thin">
        <color theme="1"/>
      </left>
      <right style="medium">
        <color indexed="64"/>
      </right>
      <top style="medium">
        <color indexed="64"/>
      </top>
      <bottom style="thin">
        <color theme="1"/>
      </bottom>
      <diagonal/>
    </border>
    <border>
      <left/>
      <right style="medium">
        <color indexed="64"/>
      </right>
      <top/>
      <bottom style="thin">
        <color theme="1"/>
      </bottom>
      <diagonal/>
    </border>
    <border>
      <left/>
      <right/>
      <top/>
      <bottom style="thin">
        <color theme="1"/>
      </bottom>
      <diagonal/>
    </border>
    <border>
      <left style="thin">
        <color theme="1"/>
      </left>
      <right style="thin">
        <color theme="1"/>
      </right>
      <top/>
      <bottom style="thin">
        <color theme="1"/>
      </bottom>
      <diagonal/>
    </border>
    <border>
      <left/>
      <right style="thin">
        <color theme="1"/>
      </right>
      <top/>
      <bottom style="thin">
        <color indexed="64"/>
      </bottom>
      <diagonal/>
    </border>
    <border>
      <left/>
      <right style="thin">
        <color theme="1"/>
      </right>
      <top/>
      <bottom style="thin">
        <color theme="1"/>
      </bottom>
      <diagonal/>
    </border>
    <border>
      <left style="thin">
        <color theme="1"/>
      </left>
      <right style="slantDashDot">
        <color indexed="64"/>
      </right>
      <top/>
      <bottom style="thin">
        <color theme="1"/>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style="thin">
        <color theme="1"/>
      </bottom>
      <diagonal/>
    </border>
    <border>
      <left style="medium">
        <color indexed="64"/>
      </left>
      <right style="thin">
        <color indexed="64"/>
      </right>
      <top/>
      <bottom style="thin">
        <color theme="1"/>
      </bottom>
      <diagonal/>
    </border>
    <border>
      <left/>
      <right style="thin">
        <color indexed="64"/>
      </right>
      <top/>
      <bottom style="thin">
        <color theme="1"/>
      </bottom>
      <diagonal/>
    </border>
    <border>
      <left style="mediumDashDot">
        <color indexed="64"/>
      </left>
      <right style="thin">
        <color theme="1"/>
      </right>
      <top style="medium">
        <color indexed="64"/>
      </top>
      <bottom style="thin">
        <color theme="1"/>
      </bottom>
      <diagonal/>
    </border>
    <border>
      <left style="thin">
        <color theme="1"/>
      </left>
      <right style="mediumDashDot">
        <color indexed="64"/>
      </right>
      <top style="medium">
        <color indexed="64"/>
      </top>
      <bottom style="thin">
        <color theme="1"/>
      </bottom>
      <diagonal/>
    </border>
    <border>
      <left style="thin">
        <color theme="1"/>
      </left>
      <right/>
      <top/>
      <bottom style="thin">
        <color theme="1"/>
      </bottom>
      <diagonal/>
    </border>
    <border>
      <left style="thin">
        <color theme="1"/>
      </left>
      <right style="thin">
        <color theme="1"/>
      </right>
      <top style="medium">
        <color indexed="64"/>
      </top>
      <bottom style="thin">
        <color theme="1"/>
      </bottom>
      <diagonal/>
    </border>
    <border>
      <left style="thin">
        <color indexed="64"/>
      </left>
      <right style="medium">
        <color indexed="64"/>
      </right>
      <top/>
      <bottom style="thin">
        <color theme="1"/>
      </bottom>
      <diagonal/>
    </border>
    <border>
      <left style="medium">
        <color indexed="64"/>
      </left>
      <right style="thin">
        <color indexed="64"/>
      </right>
      <top style="thin">
        <color theme="1"/>
      </top>
      <bottom style="thin">
        <color theme="1"/>
      </bottom>
      <diagonal/>
    </border>
    <border>
      <left/>
      <right style="thin">
        <color theme="1"/>
      </right>
      <top style="thin">
        <color indexed="64"/>
      </top>
      <bottom style="thin">
        <color indexed="64"/>
      </bottom>
      <diagonal/>
    </border>
    <border>
      <left style="thin">
        <color theme="1"/>
      </left>
      <right style="thin">
        <color theme="1"/>
      </right>
      <top style="thin">
        <color theme="1"/>
      </top>
      <bottom style="thin">
        <color theme="1"/>
      </bottom>
      <diagonal/>
    </border>
    <border>
      <left/>
      <right style="thin">
        <color theme="1"/>
      </right>
      <top style="thin">
        <color theme="1"/>
      </top>
      <bottom style="thin">
        <color theme="1"/>
      </bottom>
      <diagonal/>
    </border>
    <border>
      <left style="thin">
        <color theme="1"/>
      </left>
      <right style="slantDashDot">
        <color indexed="64"/>
      </right>
      <top style="thin">
        <color theme="1"/>
      </top>
      <bottom style="thin">
        <color theme="1"/>
      </bottom>
      <diagonal/>
    </border>
    <border>
      <left/>
      <right/>
      <top style="thin">
        <color theme="1"/>
      </top>
      <bottom style="thin">
        <color theme="1"/>
      </bottom>
      <diagonal/>
    </border>
    <border>
      <left style="mediumDashDot">
        <color indexed="64"/>
      </left>
      <right style="thin">
        <color theme="1"/>
      </right>
      <top style="thin">
        <color theme="1"/>
      </top>
      <bottom style="thin">
        <color theme="1"/>
      </bottom>
      <diagonal/>
    </border>
    <border>
      <left style="thin">
        <color theme="1"/>
      </left>
      <right style="mediumDashDot">
        <color indexed="64"/>
      </right>
      <top style="thin">
        <color theme="1"/>
      </top>
      <bottom style="thin">
        <color theme="1"/>
      </bottom>
      <diagonal/>
    </border>
    <border>
      <left style="thin">
        <color theme="1"/>
      </left>
      <right/>
      <top style="thin">
        <color theme="1"/>
      </top>
      <bottom style="thin">
        <color theme="1"/>
      </bottom>
      <diagonal/>
    </border>
    <border>
      <left style="medium">
        <color indexed="64"/>
      </left>
      <right style="thin">
        <color theme="1"/>
      </right>
      <top style="thin">
        <color theme="1"/>
      </top>
      <bottom style="thin">
        <color theme="1"/>
      </bottom>
      <diagonal/>
    </border>
    <border>
      <left style="thin">
        <color theme="1"/>
      </left>
      <right style="medium">
        <color indexed="64"/>
      </right>
      <top style="thin">
        <color theme="1"/>
      </top>
      <bottom style="thin">
        <color theme="1"/>
      </bottom>
      <diagonal/>
    </border>
    <border>
      <left style="medium">
        <color indexed="64"/>
      </left>
      <right style="thin">
        <color theme="1"/>
      </right>
      <top style="thin">
        <color theme="1"/>
      </top>
      <bottom style="thin">
        <color indexed="64"/>
      </bottom>
      <diagonal/>
    </border>
    <border>
      <left style="thin">
        <color theme="1"/>
      </left>
      <right style="thin">
        <color theme="1"/>
      </right>
      <top style="thin">
        <color theme="1"/>
      </top>
      <bottom style="thin">
        <color indexed="64"/>
      </bottom>
      <diagonal/>
    </border>
    <border>
      <left style="thin">
        <color theme="1"/>
      </left>
      <right style="medium">
        <color indexed="64"/>
      </right>
      <top style="thin">
        <color theme="1"/>
      </top>
      <bottom style="thin">
        <color indexed="64"/>
      </bottom>
      <diagonal/>
    </border>
    <border>
      <left style="medium">
        <color indexed="64"/>
      </left>
      <right style="thin">
        <color theme="1"/>
      </right>
      <top/>
      <bottom style="thin">
        <color theme="1"/>
      </bottom>
      <diagonal/>
    </border>
    <border>
      <left style="thin">
        <color theme="1"/>
      </left>
      <right style="medium">
        <color indexed="64"/>
      </right>
      <top/>
      <bottom style="thin">
        <color theme="1"/>
      </bottom>
      <diagonal/>
    </border>
    <border>
      <left style="medium">
        <color indexed="64"/>
      </left>
      <right style="thin">
        <color theme="1"/>
      </right>
      <top style="thin">
        <color theme="1"/>
      </top>
      <bottom style="medium">
        <color theme="1"/>
      </bottom>
      <diagonal/>
    </border>
    <border>
      <left style="thin">
        <color theme="1"/>
      </left>
      <right style="medium">
        <color indexed="64"/>
      </right>
      <top style="thin">
        <color theme="1"/>
      </top>
      <bottom style="medium">
        <color theme="1"/>
      </bottom>
      <diagonal/>
    </border>
    <border>
      <left/>
      <right style="medium">
        <color indexed="64"/>
      </right>
      <top style="thin">
        <color theme="1"/>
      </top>
      <bottom style="medium">
        <color theme="1"/>
      </bottom>
      <diagonal/>
    </border>
    <border>
      <left style="medium">
        <color indexed="64"/>
      </left>
      <right style="thin">
        <color indexed="64"/>
      </right>
      <top style="thin">
        <color theme="1"/>
      </top>
      <bottom style="medium">
        <color theme="1"/>
      </bottom>
      <diagonal/>
    </border>
    <border>
      <left/>
      <right style="thin">
        <color theme="1"/>
      </right>
      <top style="thin">
        <color theme="1"/>
      </top>
      <bottom style="medium">
        <color theme="1"/>
      </bottom>
      <diagonal/>
    </border>
    <border>
      <left style="thin">
        <color theme="1"/>
      </left>
      <right style="thin">
        <color theme="1"/>
      </right>
      <top style="thin">
        <color theme="1"/>
      </top>
      <bottom style="medium">
        <color theme="1"/>
      </bottom>
      <diagonal/>
    </border>
    <border>
      <left style="thin">
        <color theme="1"/>
      </left>
      <right style="thin">
        <color theme="1"/>
      </right>
      <top style="thin">
        <color indexed="64"/>
      </top>
      <bottom style="medium">
        <color indexed="64"/>
      </bottom>
      <diagonal/>
    </border>
    <border>
      <left style="thin">
        <color theme="1"/>
      </left>
      <right style="slantDashDot">
        <color indexed="64"/>
      </right>
      <top style="thin">
        <color theme="1"/>
      </top>
      <bottom style="medium">
        <color theme="1"/>
      </bottom>
      <diagonal/>
    </border>
    <border>
      <left style="medium">
        <color indexed="64"/>
      </left>
      <right style="medium">
        <color indexed="64"/>
      </right>
      <top style="thin">
        <color theme="1"/>
      </top>
      <bottom style="medium">
        <color theme="1"/>
      </bottom>
      <diagonal/>
    </border>
    <border>
      <left/>
      <right style="thin">
        <color indexed="64"/>
      </right>
      <top style="thin">
        <color theme="1"/>
      </top>
      <bottom style="medium">
        <color theme="1"/>
      </bottom>
      <diagonal/>
    </border>
    <border>
      <left style="thin">
        <color indexed="64"/>
      </left>
      <right style="thin">
        <color indexed="64"/>
      </right>
      <top style="thin">
        <color theme="1"/>
      </top>
      <bottom style="medium">
        <color theme="1"/>
      </bottom>
      <diagonal/>
    </border>
    <border>
      <left style="thin">
        <color theme="1"/>
      </left>
      <right style="mediumDashDot">
        <color indexed="64"/>
      </right>
      <top style="thin">
        <color theme="1"/>
      </top>
      <bottom style="medium">
        <color theme="1"/>
      </bottom>
      <diagonal/>
    </border>
    <border>
      <left style="thin">
        <color theme="1"/>
      </left>
      <right/>
      <top style="thin">
        <color theme="1"/>
      </top>
      <bottom style="medium">
        <color theme="1"/>
      </bottom>
      <diagonal/>
    </border>
    <border>
      <left style="thin">
        <color theme="1"/>
      </left>
      <right style="slantDashDot">
        <color indexed="64"/>
      </right>
      <top style="medium">
        <color theme="1"/>
      </top>
      <bottom style="thin">
        <color theme="1"/>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n">
        <color theme="1"/>
      </left>
      <right style="mediumDashDot">
        <color indexed="64"/>
      </right>
      <top style="medium">
        <color theme="1"/>
      </top>
      <bottom style="thin">
        <color theme="1"/>
      </bottom>
      <diagonal/>
    </border>
    <border>
      <left style="thin">
        <color theme="1"/>
      </left>
      <right style="mediumDashDot">
        <color indexed="64"/>
      </right>
      <top/>
      <bottom style="thin">
        <color theme="1"/>
      </bottom>
      <diagonal/>
    </border>
    <border>
      <left style="thin">
        <color indexed="64"/>
      </left>
      <right/>
      <top/>
      <bottom style="thin">
        <color theme="1"/>
      </bottom>
      <diagonal/>
    </border>
    <border>
      <left/>
      <right style="thin">
        <color theme="1"/>
      </right>
      <top/>
      <bottom style="medium">
        <color theme="1"/>
      </bottom>
      <diagonal/>
    </border>
    <border>
      <left style="medium">
        <color indexed="64"/>
      </left>
      <right style="thin">
        <color theme="1"/>
      </right>
      <top style="thin">
        <color theme="1"/>
      </top>
      <bottom style="medium">
        <color indexed="64"/>
      </bottom>
      <diagonal/>
    </border>
    <border>
      <left style="thin">
        <color theme="1"/>
      </left>
      <right style="medium">
        <color indexed="64"/>
      </right>
      <top style="thin">
        <color theme="1"/>
      </top>
      <bottom style="medium">
        <color indexed="64"/>
      </bottom>
      <diagonal/>
    </border>
    <border>
      <left/>
      <right style="thin">
        <color theme="1"/>
      </right>
      <top style="thin">
        <color indexed="64"/>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right style="medium">
        <color indexed="64"/>
      </right>
      <top style="thin">
        <color theme="1"/>
      </top>
      <bottom style="medium">
        <color indexed="64"/>
      </bottom>
      <diagonal/>
    </border>
    <border>
      <left/>
      <right/>
      <top style="thin">
        <color theme="1"/>
      </top>
      <bottom style="medium">
        <color theme="1"/>
      </bottom>
      <diagonal/>
    </border>
    <border>
      <left style="medium">
        <color indexed="64"/>
      </left>
      <right style="medium">
        <color indexed="64"/>
      </right>
      <top style="thin">
        <color theme="1"/>
      </top>
      <bottom style="medium">
        <color indexed="64"/>
      </bottom>
      <diagonal/>
    </border>
    <border>
      <left style="medium">
        <color indexed="64"/>
      </left>
      <right style="thin">
        <color indexed="64"/>
      </right>
      <top style="thin">
        <color theme="1"/>
      </top>
      <bottom style="medium">
        <color indexed="64"/>
      </bottom>
      <diagonal/>
    </border>
    <border>
      <left/>
      <right style="thin">
        <color indexed="64"/>
      </right>
      <top style="thin">
        <color theme="1"/>
      </top>
      <bottom style="medium">
        <color indexed="64"/>
      </bottom>
      <diagonal/>
    </border>
    <border>
      <left style="thin">
        <color indexed="64"/>
      </left>
      <right style="thin">
        <color indexed="64"/>
      </right>
      <top style="thin">
        <color theme="1"/>
      </top>
      <bottom style="medium">
        <color indexed="64"/>
      </bottom>
      <diagonal/>
    </border>
    <border>
      <left/>
      <right style="thin">
        <color theme="1"/>
      </right>
      <top style="thin">
        <color theme="1"/>
      </top>
      <bottom style="medium">
        <color indexed="64"/>
      </bottom>
      <diagonal/>
    </border>
    <border>
      <left style="thin">
        <color theme="1"/>
      </left>
      <right style="thin">
        <color theme="1"/>
      </right>
      <top style="thin">
        <color theme="1"/>
      </top>
      <bottom style="medium">
        <color indexed="64"/>
      </bottom>
      <diagonal/>
    </border>
    <border>
      <left/>
      <right style="slantDashDot">
        <color indexed="64"/>
      </right>
      <top style="medium">
        <color theme="1"/>
      </top>
      <bottom style="medium">
        <color indexed="64"/>
      </bottom>
      <diagonal/>
    </border>
    <border>
      <left/>
      <right style="medium">
        <color indexed="64"/>
      </right>
      <top style="medium">
        <color indexed="64"/>
      </top>
      <bottom style="thin">
        <color theme="1"/>
      </bottom>
      <diagonal/>
    </border>
    <border>
      <left style="medium">
        <color indexed="64"/>
      </left>
      <right style="thin">
        <color indexed="64"/>
      </right>
      <top style="medium">
        <color theme="1"/>
      </top>
      <bottom style="thin">
        <color theme="1"/>
      </bottom>
      <diagonal/>
    </border>
    <border>
      <left style="thin">
        <color theme="1"/>
      </left>
      <right style="thin">
        <color theme="1"/>
      </right>
      <top style="medium">
        <color theme="1"/>
      </top>
      <bottom style="thin">
        <color theme="1"/>
      </bottom>
      <diagonal/>
    </border>
    <border>
      <left style="slantDashDot">
        <color indexed="64"/>
      </left>
      <right style="thin">
        <color indexed="64"/>
      </right>
      <top/>
      <bottom style="thin">
        <color indexed="64"/>
      </bottom>
      <diagonal/>
    </border>
    <border>
      <left style="thin">
        <color indexed="64"/>
      </left>
      <right style="slantDashDot">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thin">
        <color theme="1"/>
      </top>
      <bottom style="medium">
        <color indexed="64"/>
      </bottom>
      <diagonal/>
    </border>
    <border>
      <left style="thin">
        <color theme="1"/>
      </left>
      <right/>
      <top style="thin">
        <color theme="1"/>
      </top>
      <bottom style="medium">
        <color indexed="64"/>
      </bottom>
      <diagonal/>
    </border>
    <border>
      <left style="thin">
        <color indexed="64"/>
      </left>
      <right style="slantDashDot">
        <color indexed="64"/>
      </right>
      <top style="thin">
        <color indexed="64"/>
      </top>
      <bottom style="medium">
        <color indexed="64"/>
      </bottom>
      <diagonal/>
    </border>
    <border>
      <left style="slantDashDot">
        <color indexed="64"/>
      </left>
      <right style="thin">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theme="1"/>
      </bottom>
      <diagonal/>
    </border>
    <border>
      <left/>
      <right style="medium">
        <color indexed="64"/>
      </right>
      <top style="medium">
        <color theme="1"/>
      </top>
      <bottom style="thin">
        <color theme="1"/>
      </bottom>
      <diagonal/>
    </border>
    <border>
      <left/>
      <right/>
      <top style="medium">
        <color theme="1"/>
      </top>
      <bottom style="thin">
        <color theme="1"/>
      </bottom>
      <diagonal/>
    </border>
    <border>
      <left/>
      <right style="thin">
        <color theme="1"/>
      </right>
      <top style="medium">
        <color theme="1"/>
      </top>
      <bottom style="thin">
        <color indexed="64"/>
      </bottom>
      <diagonal/>
    </border>
    <border>
      <left style="medium">
        <color indexed="64"/>
      </left>
      <right/>
      <top/>
      <bottom style="thin">
        <color theme="1"/>
      </bottom>
      <diagonal/>
    </border>
    <border>
      <left style="thin">
        <color indexed="64"/>
      </left>
      <right style="medium">
        <color indexed="64"/>
      </right>
      <top style="thin">
        <color theme="1"/>
      </top>
      <bottom style="thin">
        <color theme="1"/>
      </bottom>
      <diagonal/>
    </border>
    <border>
      <left style="medium">
        <color indexed="64"/>
      </left>
      <right/>
      <top style="thin">
        <color theme="1"/>
      </top>
      <bottom style="medium">
        <color indexed="64"/>
      </bottom>
      <diagonal/>
    </border>
    <border>
      <left/>
      <right/>
      <top style="medium">
        <color theme="1"/>
      </top>
      <bottom/>
      <diagonal/>
    </border>
    <border>
      <left style="thin">
        <color theme="1"/>
      </left>
      <right/>
      <top style="medium">
        <color theme="1"/>
      </top>
      <bottom style="thin">
        <color theme="1"/>
      </bottom>
      <diagonal/>
    </border>
    <border>
      <left style="slantDashDot">
        <color indexed="64"/>
      </left>
      <right style="thin">
        <color indexed="64"/>
      </right>
      <top style="medium">
        <color theme="1"/>
      </top>
      <bottom style="thin">
        <color indexed="64"/>
      </bottom>
      <diagonal/>
    </border>
    <border>
      <left style="thin">
        <color indexed="64"/>
      </left>
      <right style="slantDashDot">
        <color indexed="64"/>
      </right>
      <top style="medium">
        <color theme="1"/>
      </top>
      <bottom style="thin">
        <color indexed="64"/>
      </bottom>
      <diagonal/>
    </border>
    <border>
      <left style="medium">
        <color indexed="64"/>
      </left>
      <right style="thin">
        <color indexed="64"/>
      </right>
      <top/>
      <bottom style="thin">
        <color indexed="64"/>
      </bottom>
      <diagonal/>
    </border>
    <border>
      <left/>
      <right style="thin">
        <color theme="1"/>
      </right>
      <top/>
      <bottom/>
      <diagonal/>
    </border>
    <border>
      <left style="medium">
        <color indexed="64"/>
      </left>
      <right/>
      <top style="thin">
        <color theme="1"/>
      </top>
      <bottom/>
      <diagonal/>
    </border>
    <border>
      <left style="thin">
        <color indexed="64"/>
      </left>
      <right style="medium">
        <color indexed="64"/>
      </right>
      <top style="thin">
        <color theme="1"/>
      </top>
      <bottom/>
      <diagonal/>
    </border>
    <border>
      <left style="thin">
        <color indexed="64"/>
      </left>
      <right style="medium">
        <color indexed="64"/>
      </right>
      <top style="thin">
        <color theme="1"/>
      </top>
      <bottom style="medium">
        <color theme="1"/>
      </bottom>
      <diagonal/>
    </border>
    <border>
      <left style="thin">
        <color indexed="64"/>
      </left>
      <right style="medium">
        <color indexed="64"/>
      </right>
      <top style="medium">
        <color indexed="64"/>
      </top>
      <bottom style="thin">
        <color theme="1"/>
      </bottom>
      <diagonal/>
    </border>
    <border>
      <left/>
      <right style="medium">
        <color indexed="64"/>
      </right>
      <top style="thin">
        <color theme="1"/>
      </top>
      <bottom/>
      <diagonal/>
    </border>
    <border>
      <left style="medium">
        <color indexed="64"/>
      </left>
      <right style="medium">
        <color indexed="64"/>
      </right>
      <top style="medium">
        <color indexed="64"/>
      </top>
      <bottom style="thin">
        <color theme="1"/>
      </bottom>
      <diagonal/>
    </border>
    <border>
      <left/>
      <right/>
      <top style="thin">
        <color theme="1"/>
      </top>
      <bottom style="medium">
        <color indexed="64"/>
      </bottom>
      <diagonal/>
    </border>
    <border>
      <left style="thin">
        <color theme="1"/>
      </left>
      <right/>
      <top/>
      <bottom style="medium">
        <color indexed="64"/>
      </bottom>
      <diagonal/>
    </border>
    <border>
      <left style="thick">
        <color indexed="64"/>
      </left>
      <right style="thin">
        <color indexed="64"/>
      </right>
      <top/>
      <bottom style="thin">
        <color indexed="64"/>
      </bottom>
      <diagonal/>
    </border>
    <border>
      <left style="thin">
        <color indexed="64"/>
      </left>
      <right style="thick">
        <color indexed="64"/>
      </right>
      <top/>
      <bottom style="thin">
        <color indexed="64"/>
      </bottom>
      <diagonal/>
    </border>
    <border>
      <left style="medium">
        <color indexed="64"/>
      </left>
      <right style="medium">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theme="1"/>
      </left>
      <right style="slantDashDot">
        <color indexed="64"/>
      </right>
      <top style="thin">
        <color theme="1"/>
      </top>
      <bottom style="medium">
        <color indexed="64"/>
      </bottom>
      <diagonal/>
    </border>
    <border>
      <left style="thick">
        <color indexed="64"/>
      </left>
      <right style="thin">
        <color indexed="64"/>
      </right>
      <top style="thin">
        <color indexed="64"/>
      </top>
      <bottom style="medium">
        <color indexed="64"/>
      </bottom>
      <diagonal/>
    </border>
    <border>
      <left style="thin">
        <color indexed="64"/>
      </left>
      <right style="thick">
        <color indexed="64"/>
      </right>
      <top style="thin">
        <color indexed="64"/>
      </top>
      <bottom style="medium">
        <color indexed="64"/>
      </bottom>
      <diagonal/>
    </border>
    <border>
      <left/>
      <right style="thin">
        <color indexed="64"/>
      </right>
      <top/>
      <bottom/>
      <diagonal/>
    </border>
    <border>
      <left style="thin">
        <color indexed="64"/>
      </left>
      <right style="slantDashDot">
        <color indexed="64"/>
      </right>
      <top style="medium">
        <color indexed="64"/>
      </top>
      <bottom style="thin">
        <color indexed="64"/>
      </bottom>
      <diagonal/>
    </border>
    <border>
      <left style="thick">
        <color indexed="64"/>
      </left>
      <right style="thin">
        <color indexed="64"/>
      </right>
      <top style="medium">
        <color indexed="64"/>
      </top>
      <bottom style="thin">
        <color indexed="64"/>
      </bottom>
      <diagonal/>
    </border>
    <border>
      <left style="thin">
        <color indexed="64"/>
      </left>
      <right style="thick">
        <color indexed="64"/>
      </right>
      <top style="medium">
        <color indexed="64"/>
      </top>
      <bottom/>
      <diagonal/>
    </border>
    <border>
      <left style="thick">
        <color indexed="64"/>
      </left>
      <right style="thick">
        <color indexed="64"/>
      </right>
      <top style="medium">
        <color indexed="64"/>
      </top>
      <bottom/>
      <diagonal/>
    </border>
    <border>
      <left/>
      <right style="thin">
        <color indexed="64"/>
      </right>
      <top style="medium">
        <color indexed="64"/>
      </top>
      <bottom/>
      <diagonal/>
    </border>
    <border>
      <left style="thin">
        <color indexed="64"/>
      </left>
      <right style="slantDashDot">
        <color indexed="64"/>
      </right>
      <top style="thin">
        <color indexed="64"/>
      </top>
      <bottom style="thin">
        <color indexed="64"/>
      </bottom>
      <diagonal/>
    </border>
    <border>
      <left style="thin">
        <color indexed="64"/>
      </left>
      <right style="thick">
        <color indexed="64"/>
      </right>
      <top/>
      <bottom/>
      <diagonal/>
    </border>
    <border>
      <left style="thick">
        <color indexed="64"/>
      </left>
      <right style="thick">
        <color indexed="64"/>
      </right>
      <top/>
      <bottom/>
      <diagonal/>
    </border>
    <border>
      <left style="thin">
        <color indexed="64"/>
      </left>
      <right style="medium">
        <color indexed="64"/>
      </right>
      <top/>
      <bottom/>
      <diagonal/>
    </border>
    <border>
      <left style="medium">
        <color indexed="64"/>
      </left>
      <right style="thin">
        <color indexed="64"/>
      </right>
      <top/>
      <bottom/>
      <diagonal/>
    </border>
    <border>
      <left style="thin">
        <color indexed="64"/>
      </left>
      <right style="thick">
        <color indexed="64"/>
      </right>
      <top/>
      <bottom style="medium">
        <color indexed="64"/>
      </bottom>
      <diagonal/>
    </border>
    <border>
      <left style="thick">
        <color indexed="64"/>
      </left>
      <right style="thick">
        <color indexed="64"/>
      </right>
      <top/>
      <bottom style="medium">
        <color indexed="64"/>
      </bottom>
      <diagonal/>
    </border>
    <border>
      <left style="thin">
        <color indexed="64"/>
      </left>
      <right/>
      <top style="medium">
        <color indexed="64"/>
      </top>
      <bottom style="thin">
        <color indexed="64"/>
      </bottom>
      <diagonal/>
    </border>
    <border>
      <left style="thin">
        <color indexed="64"/>
      </left>
      <right style="thick">
        <color indexed="64"/>
      </right>
      <top style="medium">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medium">
        <color indexed="64"/>
      </left>
      <right style="medium">
        <color indexed="64"/>
      </right>
      <top style="thin">
        <color indexed="64"/>
      </top>
      <bottom style="thin">
        <color theme="1"/>
      </bottom>
      <diagonal/>
    </border>
    <border>
      <left/>
      <right/>
      <top style="thin">
        <color indexed="64"/>
      </top>
      <bottom style="thin">
        <color theme="1"/>
      </bottom>
      <diagonal/>
    </border>
    <border>
      <left style="thin">
        <color indexed="64"/>
      </left>
      <right style="thin">
        <color indexed="64"/>
      </right>
      <top style="thin">
        <color indexed="64"/>
      </top>
      <bottom style="thin">
        <color theme="1"/>
      </bottom>
      <diagonal/>
    </border>
    <border>
      <left style="thin">
        <color indexed="64"/>
      </left>
      <right style="medium">
        <color indexed="64"/>
      </right>
      <top style="thin">
        <color indexed="64"/>
      </top>
      <bottom style="thin">
        <color theme="1"/>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right/>
      <top/>
      <bottom style="double">
        <color indexed="64"/>
      </bottom>
      <diagonal/>
    </border>
    <border>
      <left/>
      <right/>
      <top style="thin">
        <color indexed="64"/>
      </top>
      <bottom/>
      <diagonal/>
    </border>
    <border>
      <left/>
      <right/>
      <top style="thin">
        <color indexed="64"/>
      </top>
      <bottom style="double">
        <color indexed="64"/>
      </bottom>
      <diagonal/>
    </border>
    <border>
      <left style="medium">
        <color indexed="64"/>
      </left>
      <right style="thin">
        <color indexed="64"/>
      </right>
      <top style="thin">
        <color indexed="64"/>
      </top>
      <bottom style="thin">
        <color theme="1"/>
      </bottom>
      <diagonal/>
    </border>
    <border>
      <left style="thin">
        <color indexed="64"/>
      </left>
      <right/>
      <top style="thin">
        <color indexed="64"/>
      </top>
      <bottom style="thin">
        <color theme="1"/>
      </bottom>
      <diagonal/>
    </border>
  </borders>
  <cellStyleXfs count="6">
    <xf numFmtId="0" fontId="0" fillId="0" borderId="0"/>
    <xf numFmtId="9" fontId="1" fillId="0" borderId="0" applyFont="0" applyFill="0" applyBorder="0" applyAlignment="0" applyProtection="0"/>
    <xf numFmtId="9" fontId="5" fillId="0" borderId="0" applyFont="0" applyFill="0" applyBorder="0" applyAlignment="0" applyProtection="0"/>
    <xf numFmtId="0" fontId="39" fillId="0" borderId="0"/>
    <xf numFmtId="43" fontId="5" fillId="0" borderId="0" applyFont="0" applyFill="0" applyBorder="0" applyAlignment="0" applyProtection="0"/>
    <xf numFmtId="43" fontId="1" fillId="0" borderId="0" applyFont="0" applyFill="0" applyBorder="0" applyAlignment="0" applyProtection="0"/>
  </cellStyleXfs>
  <cellXfs count="2355">
    <xf numFmtId="0" fontId="0" fillId="0" borderId="0" xfId="0"/>
    <xf numFmtId="0" fontId="5" fillId="0" borderId="0" xfId="0" applyFont="1"/>
    <xf numFmtId="0" fontId="8" fillId="0" borderId="0" xfId="0" applyFont="1" applyAlignment="1">
      <alignment horizontal="justify" vertical="center" wrapText="1"/>
    </xf>
    <xf numFmtId="0" fontId="6" fillId="0" borderId="0" xfId="0" applyFont="1" applyAlignment="1">
      <alignment horizontal="center" vertical="top" wrapText="1"/>
    </xf>
    <xf numFmtId="0" fontId="7" fillId="0" borderId="0" xfId="0" applyFont="1" applyAlignment="1">
      <alignment horizontal="center" vertical="top" wrapText="1"/>
    </xf>
    <xf numFmtId="0" fontId="11" fillId="0" borderId="7" xfId="0" applyFont="1" applyBorder="1" applyAlignment="1">
      <alignment horizontal="right"/>
    </xf>
    <xf numFmtId="0" fontId="11" fillId="0" borderId="0" xfId="0" applyFont="1" applyAlignment="1">
      <alignment horizontal="left"/>
    </xf>
    <xf numFmtId="0" fontId="11" fillId="0" borderId="8" xfId="0" applyFont="1" applyBorder="1" applyAlignment="1">
      <alignment horizontal="left"/>
    </xf>
    <xf numFmtId="0" fontId="10" fillId="0" borderId="7" xfId="0" applyFont="1" applyBorder="1" applyAlignment="1">
      <alignment horizontal="right"/>
    </xf>
    <xf numFmtId="0" fontId="10" fillId="0" borderId="0" xfId="0" applyFont="1"/>
    <xf numFmtId="0" fontId="10" fillId="0" borderId="8" xfId="0" applyFont="1" applyBorder="1"/>
    <xf numFmtId="0" fontId="8" fillId="0" borderId="0" xfId="0" applyFont="1" applyAlignment="1">
      <alignment horizontal="left" vertical="center" wrapText="1"/>
    </xf>
    <xf numFmtId="0" fontId="5" fillId="0" borderId="0" xfId="0" applyFont="1" applyAlignment="1">
      <alignment horizontal="left"/>
    </xf>
    <xf numFmtId="0" fontId="10" fillId="0" borderId="0" xfId="0" applyFont="1" applyAlignment="1">
      <alignment horizontal="left"/>
    </xf>
    <xf numFmtId="0" fontId="14" fillId="0" borderId="0" xfId="0" applyFont="1" applyAlignment="1">
      <alignment horizontal="justify" vertical="center" wrapText="1"/>
    </xf>
    <xf numFmtId="0" fontId="15" fillId="0" borderId="0" xfId="0" applyFont="1" applyAlignment="1">
      <alignment horizontal="justify" vertical="center" wrapText="1"/>
    </xf>
    <xf numFmtId="0" fontId="18" fillId="0" borderId="0" xfId="0" applyFont="1"/>
    <xf numFmtId="0" fontId="19" fillId="0" borderId="0" xfId="0" applyFont="1" applyAlignment="1">
      <alignment horizontal="justify" vertical="center" wrapText="1"/>
    </xf>
    <xf numFmtId="0" fontId="21" fillId="0" borderId="0" xfId="0" applyFont="1" applyAlignment="1">
      <alignment horizontal="left" vertical="center"/>
    </xf>
    <xf numFmtId="0" fontId="21" fillId="0" borderId="0" xfId="0" applyFont="1" applyAlignment="1">
      <alignment horizontal="right" vertical="center"/>
    </xf>
    <xf numFmtId="0" fontId="22" fillId="0" borderId="0" xfId="0" applyFont="1" applyAlignment="1">
      <alignment horizontal="justify" vertical="center" wrapText="1"/>
    </xf>
    <xf numFmtId="0" fontId="21" fillId="0" borderId="0" xfId="0" applyFont="1" applyAlignment="1">
      <alignment horizontal="justify" vertical="center"/>
    </xf>
    <xf numFmtId="0" fontId="5" fillId="0" borderId="0" xfId="0" applyFont="1" applyAlignment="1">
      <alignment wrapText="1"/>
    </xf>
    <xf numFmtId="0" fontId="2" fillId="4" borderId="4"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25" fillId="0" borderId="12" xfId="0" applyFont="1" applyBorder="1" applyAlignment="1">
      <alignment vertical="center"/>
    </xf>
    <xf numFmtId="0" fontId="0" fillId="0" borderId="1"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xf numFmtId="164" fontId="1" fillId="0" borderId="7" xfId="1" applyNumberFormat="1" applyFont="1" applyFill="1" applyBorder="1" applyAlignment="1">
      <alignment horizontal="center"/>
    </xf>
    <xf numFmtId="164" fontId="1" fillId="0" borderId="0" xfId="1" applyNumberFormat="1" applyFont="1" applyFill="1" applyBorder="1" applyAlignment="1">
      <alignment horizontal="center"/>
    </xf>
    <xf numFmtId="164" fontId="1" fillId="0" borderId="8" xfId="1" applyNumberFormat="1" applyFont="1" applyFill="1" applyBorder="1" applyAlignment="1">
      <alignment horizontal="center"/>
    </xf>
    <xf numFmtId="0" fontId="0" fillId="0" borderId="16" xfId="0" applyBorder="1"/>
    <xf numFmtId="164" fontId="1" fillId="0" borderId="9" xfId="1" applyNumberFormat="1" applyFont="1" applyFill="1" applyBorder="1" applyAlignment="1">
      <alignment horizontal="center"/>
    </xf>
    <xf numFmtId="164" fontId="1" fillId="0" borderId="10" xfId="1" applyNumberFormat="1" applyFont="1" applyFill="1" applyBorder="1" applyAlignment="1">
      <alignment horizontal="center"/>
    </xf>
    <xf numFmtId="164" fontId="1" fillId="0" borderId="11" xfId="1" applyNumberFormat="1" applyFont="1" applyFill="1" applyBorder="1" applyAlignment="1">
      <alignment horizontal="center"/>
    </xf>
    <xf numFmtId="10" fontId="0" fillId="0" borderId="0" xfId="0" applyNumberFormat="1"/>
    <xf numFmtId="9" fontId="0" fillId="0" borderId="0" xfId="0" applyNumberFormat="1"/>
    <xf numFmtId="2" fontId="0" fillId="0" borderId="0" xfId="0" applyNumberFormat="1"/>
    <xf numFmtId="0" fontId="0" fillId="0" borderId="0" xfId="0" applyAlignment="1">
      <alignment wrapText="1"/>
    </xf>
    <xf numFmtId="0" fontId="25" fillId="0" borderId="17" xfId="0" applyFont="1" applyBorder="1" applyAlignment="1">
      <alignment vertical="center"/>
    </xf>
    <xf numFmtId="1" fontId="26" fillId="5" borderId="14" xfId="0" applyNumberFormat="1" applyFont="1" applyFill="1" applyBorder="1" applyAlignment="1">
      <alignment vertical="center"/>
    </xf>
    <xf numFmtId="0" fontId="0" fillId="0" borderId="4" xfId="0" applyBorder="1" applyAlignment="1">
      <alignment wrapText="1"/>
    </xf>
    <xf numFmtId="0" fontId="0" fillId="0" borderId="6" xfId="0" applyBorder="1" applyAlignment="1">
      <alignment horizontal="center" wrapText="1"/>
    </xf>
    <xf numFmtId="0" fontId="0" fillId="0" borderId="7" xfId="0" applyBorder="1"/>
    <xf numFmtId="0" fontId="0" fillId="0" borderId="8" xfId="0" applyBorder="1"/>
    <xf numFmtId="0" fontId="0" fillId="0" borderId="9" xfId="0" applyBorder="1"/>
    <xf numFmtId="0" fontId="0" fillId="0" borderId="11" xfId="0" applyBorder="1"/>
    <xf numFmtId="0" fontId="0" fillId="0" borderId="12" xfId="0" applyBorder="1" applyAlignment="1">
      <alignment horizontal="center" wrapText="1"/>
    </xf>
    <xf numFmtId="0" fontId="0" fillId="0" borderId="0" xfId="0" applyAlignment="1">
      <alignment horizontal="center" vertical="center"/>
    </xf>
    <xf numFmtId="0" fontId="27" fillId="0" borderId="0" xfId="0" applyFont="1"/>
    <xf numFmtId="0" fontId="0" fillId="6" borderId="0" xfId="0" applyFill="1"/>
    <xf numFmtId="0" fontId="0" fillId="0" borderId="0" xfId="0" applyAlignment="1">
      <alignment horizontal="center"/>
    </xf>
    <xf numFmtId="164" fontId="1" fillId="0" borderId="0" xfId="2" applyNumberFormat="1" applyFont="1" applyFill="1"/>
    <xf numFmtId="0" fontId="0" fillId="7" borderId="0" xfId="0" applyFill="1"/>
    <xf numFmtId="0" fontId="2" fillId="0" borderId="0" xfId="0" applyFont="1"/>
    <xf numFmtId="0" fontId="28" fillId="0" borderId="0" xfId="0" applyFont="1"/>
    <xf numFmtId="0" fontId="0" fillId="0" borderId="10" xfId="0" applyBorder="1" applyAlignment="1">
      <alignment horizontal="center"/>
    </xf>
    <xf numFmtId="0" fontId="0" fillId="0" borderId="10" xfId="0" applyBorder="1" applyAlignment="1">
      <alignment horizontal="center" vertical="center"/>
    </xf>
    <xf numFmtId="0" fontId="0" fillId="0" borderId="19" xfId="0" applyBorder="1"/>
    <xf numFmtId="0" fontId="0" fillId="0" borderId="10" xfId="0" applyBorder="1"/>
    <xf numFmtId="0" fontId="0" fillId="0" borderId="19" xfId="0" applyBorder="1" applyAlignment="1">
      <alignment horizontal="center"/>
    </xf>
    <xf numFmtId="0" fontId="0" fillId="0" borderId="26" xfId="0" applyBorder="1"/>
    <xf numFmtId="0" fontId="2" fillId="5" borderId="27" xfId="0" applyFont="1" applyFill="1" applyBorder="1" applyAlignment="1">
      <alignment horizontal="center" vertical="center" wrapText="1"/>
    </xf>
    <xf numFmtId="0" fontId="2" fillId="5" borderId="28" xfId="0" applyFont="1" applyFill="1" applyBorder="1" applyAlignment="1">
      <alignment horizontal="center" vertical="center" wrapText="1"/>
    </xf>
    <xf numFmtId="0" fontId="2" fillId="5" borderId="10" xfId="0" applyFont="1" applyFill="1" applyBorder="1" applyAlignment="1">
      <alignment vertical="center" wrapText="1"/>
    </xf>
    <xf numFmtId="0" fontId="2" fillId="14" borderId="12" xfId="0" applyFont="1" applyFill="1" applyBorder="1" applyAlignment="1">
      <alignment vertical="center" wrapText="1"/>
    </xf>
    <xf numFmtId="0" fontId="33" fillId="14" borderId="12" xfId="0" applyFont="1" applyFill="1" applyBorder="1" applyAlignment="1">
      <alignment vertical="center" wrapText="1"/>
    </xf>
    <xf numFmtId="0" fontId="2" fillId="5" borderId="27" xfId="0" applyFont="1" applyFill="1" applyBorder="1" applyAlignment="1">
      <alignment vertical="center" wrapText="1"/>
    </xf>
    <xf numFmtId="0" fontId="2" fillId="5" borderId="11" xfId="0" applyFont="1" applyFill="1" applyBorder="1" applyAlignment="1">
      <alignment vertical="center" wrapText="1"/>
    </xf>
    <xf numFmtId="0" fontId="2" fillId="5" borderId="9" xfId="0" applyFont="1" applyFill="1" applyBorder="1" applyAlignment="1">
      <alignment vertical="center" wrapText="1"/>
    </xf>
    <xf numFmtId="0" fontId="2" fillId="5" borderId="9" xfId="0" applyFont="1" applyFill="1" applyBorder="1" applyAlignment="1">
      <alignment horizontal="center" vertical="center" wrapText="1"/>
    </xf>
    <xf numFmtId="0" fontId="2" fillId="5" borderId="29" xfId="0" applyFont="1" applyFill="1" applyBorder="1" applyAlignment="1">
      <alignment horizontal="right" vertical="center" wrapText="1"/>
    </xf>
    <xf numFmtId="0" fontId="2" fillId="5" borderId="16" xfId="0" applyFont="1" applyFill="1" applyBorder="1" applyAlignment="1">
      <alignment horizontal="right" vertical="center" wrapText="1"/>
    </xf>
    <xf numFmtId="0" fontId="2" fillId="5" borderId="30" xfId="0" applyFont="1" applyFill="1" applyBorder="1" applyAlignment="1">
      <alignment vertical="center" wrapText="1"/>
    </xf>
    <xf numFmtId="0" fontId="2" fillId="5" borderId="31" xfId="0" applyFont="1" applyFill="1" applyBorder="1" applyAlignment="1">
      <alignment vertical="center" wrapText="1"/>
    </xf>
    <xf numFmtId="164" fontId="35" fillId="0" borderId="32" xfId="1" applyNumberFormat="1" applyFont="1" applyBorder="1" applyAlignment="1">
      <alignment vertical="center" wrapText="1"/>
    </xf>
    <xf numFmtId="164" fontId="35" fillId="5" borderId="32" xfId="1" applyNumberFormat="1" applyFont="1" applyFill="1" applyBorder="1" applyAlignment="1">
      <alignment vertical="center" wrapText="1"/>
    </xf>
    <xf numFmtId="164" fontId="35" fillId="15" borderId="32" xfId="1" applyNumberFormat="1" applyFont="1" applyFill="1" applyBorder="1" applyAlignment="1">
      <alignment vertical="center" wrapText="1"/>
    </xf>
    <xf numFmtId="164" fontId="35" fillId="14" borderId="32" xfId="1" applyNumberFormat="1" applyFont="1" applyFill="1" applyBorder="1" applyAlignment="1">
      <alignment vertical="center" wrapText="1"/>
    </xf>
    <xf numFmtId="164" fontId="35" fillId="16" borderId="32" xfId="1" applyNumberFormat="1" applyFont="1" applyFill="1" applyBorder="1" applyAlignment="1">
      <alignment vertical="center" wrapText="1"/>
    </xf>
    <xf numFmtId="164" fontId="35" fillId="15" borderId="3" xfId="1" applyNumberFormat="1" applyFont="1" applyFill="1" applyBorder="1" applyAlignment="1">
      <alignment vertical="center" wrapText="1"/>
    </xf>
    <xf numFmtId="164" fontId="35" fillId="5" borderId="1" xfId="1" applyNumberFormat="1" applyFont="1" applyFill="1" applyBorder="1" applyAlignment="1">
      <alignment horizontal="center" vertical="center" wrapText="1"/>
    </xf>
    <xf numFmtId="10" fontId="2" fillId="5" borderId="28" xfId="1" applyNumberFormat="1" applyFont="1" applyFill="1" applyBorder="1" applyAlignment="1">
      <alignment vertical="center" wrapText="1"/>
    </xf>
    <xf numFmtId="164" fontId="35" fillId="5" borderId="28" xfId="1" applyNumberFormat="1" applyFont="1" applyFill="1" applyBorder="1" applyAlignment="1">
      <alignment horizontal="center" vertical="center" wrapText="1"/>
    </xf>
    <xf numFmtId="164" fontId="35" fillId="7" borderId="27" xfId="1" applyNumberFormat="1" applyFont="1" applyFill="1" applyBorder="1" applyAlignment="1">
      <alignment horizontal="center" vertical="center" wrapText="1"/>
    </xf>
    <xf numFmtId="0" fontId="37" fillId="5" borderId="16" xfId="0" applyFont="1" applyFill="1" applyBorder="1" applyAlignment="1">
      <alignment vertical="center" wrapText="1"/>
    </xf>
    <xf numFmtId="10" fontId="37" fillId="5" borderId="16" xfId="1" applyNumberFormat="1" applyFont="1" applyFill="1" applyBorder="1" applyAlignment="1">
      <alignment vertical="center" wrapText="1"/>
    </xf>
    <xf numFmtId="10" fontId="2" fillId="5" borderId="33" xfId="1" applyNumberFormat="1" applyFont="1" applyFill="1" applyBorder="1" applyAlignment="1">
      <alignment vertical="center" wrapText="1"/>
    </xf>
    <xf numFmtId="10" fontId="2" fillId="5" borderId="9" xfId="1" applyNumberFormat="1" applyFont="1" applyFill="1" applyBorder="1" applyAlignment="1">
      <alignment vertical="center" wrapText="1"/>
    </xf>
    <xf numFmtId="0" fontId="2" fillId="5" borderId="34" xfId="0" applyFont="1" applyFill="1" applyBorder="1" applyAlignment="1">
      <alignment vertical="center" wrapText="1"/>
    </xf>
    <xf numFmtId="10" fontId="2" fillId="5" borderId="16" xfId="1" applyNumberFormat="1" applyFont="1" applyFill="1" applyBorder="1" applyAlignment="1">
      <alignment vertical="center" wrapText="1"/>
    </xf>
    <xf numFmtId="0" fontId="0" fillId="0" borderId="0" xfId="0" applyAlignment="1">
      <alignment vertical="center" wrapText="1"/>
    </xf>
    <xf numFmtId="0" fontId="2" fillId="17" borderId="10" xfId="0" applyFont="1" applyFill="1" applyBorder="1" applyAlignment="1">
      <alignment horizontal="center" vertical="center" wrapText="1"/>
    </xf>
    <xf numFmtId="0" fontId="2" fillId="17" borderId="10" xfId="0" applyFont="1" applyFill="1" applyBorder="1" applyAlignment="1">
      <alignment vertical="center" wrapText="1"/>
    </xf>
    <xf numFmtId="0" fontId="33" fillId="17" borderId="10" xfId="0" applyFont="1" applyFill="1" applyBorder="1" applyAlignment="1">
      <alignment vertical="center" wrapText="1"/>
    </xf>
    <xf numFmtId="0" fontId="2" fillId="17" borderId="35" xfId="0" applyFont="1" applyFill="1" applyBorder="1" applyAlignment="1">
      <alignment horizontal="right" vertical="center" wrapText="1"/>
    </xf>
    <xf numFmtId="0" fontId="2" fillId="17" borderId="10" xfId="0" applyFont="1" applyFill="1" applyBorder="1" applyAlignment="1">
      <alignment horizontal="right" vertical="center" wrapText="1"/>
    </xf>
    <xf numFmtId="164" fontId="35" fillId="17" borderId="27" xfId="1" applyNumberFormat="1" applyFont="1" applyFill="1" applyBorder="1" applyAlignment="1">
      <alignment vertical="center" wrapText="1"/>
    </xf>
    <xf numFmtId="164" fontId="35" fillId="17" borderId="10" xfId="1" applyNumberFormat="1" applyFont="1" applyFill="1" applyBorder="1" applyAlignment="1">
      <alignment vertical="center" wrapText="1"/>
    </xf>
    <xf numFmtId="164" fontId="35" fillId="17" borderId="10" xfId="1" applyNumberFormat="1" applyFont="1" applyFill="1" applyBorder="1" applyAlignment="1">
      <alignment horizontal="center" vertical="center" wrapText="1"/>
    </xf>
    <xf numFmtId="164" fontId="35" fillId="17" borderId="17" xfId="1" applyNumberFormat="1" applyFont="1" applyFill="1" applyBorder="1" applyAlignment="1">
      <alignment horizontal="center" vertical="center" wrapText="1"/>
    </xf>
    <xf numFmtId="164" fontId="35" fillId="17" borderId="27" xfId="1" applyNumberFormat="1" applyFont="1" applyFill="1" applyBorder="1" applyAlignment="1">
      <alignment horizontal="center" vertical="center" wrapText="1"/>
    </xf>
    <xf numFmtId="164" fontId="35" fillId="17" borderId="36" xfId="1" applyNumberFormat="1" applyFont="1" applyFill="1" applyBorder="1" applyAlignment="1">
      <alignment horizontal="center" vertical="center" wrapText="1"/>
    </xf>
    <xf numFmtId="164" fontId="35" fillId="7" borderId="37" xfId="1" applyNumberFormat="1" applyFont="1" applyFill="1" applyBorder="1" applyAlignment="1">
      <alignment horizontal="center" vertical="center" wrapText="1"/>
    </xf>
    <xf numFmtId="0" fontId="2" fillId="17" borderId="35" xfId="0" applyFont="1" applyFill="1" applyBorder="1" applyAlignment="1">
      <alignment vertical="center" wrapText="1"/>
    </xf>
    <xf numFmtId="0" fontId="37" fillId="17" borderId="10" xfId="0" applyFont="1" applyFill="1" applyBorder="1" applyAlignment="1">
      <alignment vertical="center" wrapText="1"/>
    </xf>
    <xf numFmtId="10" fontId="2" fillId="17" borderId="38" xfId="1" applyNumberFormat="1" applyFont="1" applyFill="1" applyBorder="1" applyAlignment="1">
      <alignment vertical="center" wrapText="1"/>
    </xf>
    <xf numFmtId="10" fontId="37" fillId="17" borderId="10" xfId="1" applyNumberFormat="1" applyFont="1" applyFill="1" applyBorder="1" applyAlignment="1">
      <alignment vertical="center" wrapText="1"/>
    </xf>
    <xf numFmtId="10" fontId="2" fillId="17" borderId="10" xfId="1" applyNumberFormat="1" applyFont="1" applyFill="1" applyBorder="1" applyAlignment="1">
      <alignment vertical="center" wrapText="1"/>
    </xf>
    <xf numFmtId="0" fontId="2" fillId="17" borderId="39" xfId="0" applyFont="1" applyFill="1" applyBorder="1" applyAlignment="1">
      <alignment vertical="center" wrapText="1"/>
    </xf>
    <xf numFmtId="0" fontId="0" fillId="17" borderId="0" xfId="0" applyFill="1" applyAlignment="1">
      <alignment vertical="center" wrapText="1"/>
    </xf>
    <xf numFmtId="0" fontId="0" fillId="0" borderId="21" xfId="0" applyBorder="1" applyAlignment="1">
      <alignment horizontal="center" vertical="center" wrapText="1"/>
    </xf>
    <xf numFmtId="0" fontId="0" fillId="0" borderId="23" xfId="0" applyBorder="1" applyAlignment="1">
      <alignment horizontal="center" vertical="center" wrapText="1"/>
    </xf>
    <xf numFmtId="0" fontId="0" fillId="19" borderId="40" xfId="0" applyFill="1" applyBorder="1" applyAlignment="1">
      <alignment horizontal="center" vertical="center" wrapText="1"/>
    </xf>
    <xf numFmtId="0" fontId="40" fillId="19" borderId="41" xfId="3" applyFont="1" applyFill="1" applyBorder="1" applyAlignment="1" applyProtection="1">
      <alignment vertical="center" wrapText="1"/>
      <protection locked="0"/>
    </xf>
    <xf numFmtId="0" fontId="33" fillId="19" borderId="42" xfId="0" applyFont="1" applyFill="1" applyBorder="1" applyAlignment="1">
      <alignment horizontal="center" vertical="center" wrapText="1"/>
    </xf>
    <xf numFmtId="0" fontId="0" fillId="20" borderId="20" xfId="0" applyFill="1" applyBorder="1" applyAlignment="1">
      <alignment horizontal="center" vertical="center" wrapText="1"/>
    </xf>
    <xf numFmtId="0" fontId="0" fillId="18" borderId="21" xfId="0" applyFill="1" applyBorder="1" applyAlignment="1">
      <alignment horizontal="right" vertical="center" wrapText="1"/>
    </xf>
    <xf numFmtId="164" fontId="1" fillId="18" borderId="21" xfId="2" applyNumberFormat="1" applyFont="1" applyFill="1" applyBorder="1" applyAlignment="1">
      <alignment vertical="center" wrapText="1"/>
    </xf>
    <xf numFmtId="10" fontId="1" fillId="18" borderId="21" xfId="2" applyNumberFormat="1" applyFont="1" applyFill="1" applyBorder="1" applyAlignment="1">
      <alignment vertical="center" wrapText="1"/>
    </xf>
    <xf numFmtId="0" fontId="40" fillId="18" borderId="21" xfId="3" applyFont="1" applyFill="1" applyBorder="1" applyAlignment="1">
      <alignment vertical="center"/>
    </xf>
    <xf numFmtId="165" fontId="0" fillId="18" borderId="21" xfId="0" applyNumberFormat="1" applyFill="1" applyBorder="1" applyAlignment="1">
      <alignment vertical="center" wrapText="1"/>
    </xf>
    <xf numFmtId="10" fontId="0" fillId="18" borderId="21" xfId="0" applyNumberFormat="1" applyFill="1" applyBorder="1" applyAlignment="1">
      <alignment vertical="center" wrapText="1"/>
    </xf>
    <xf numFmtId="165" fontId="0" fillId="18" borderId="43" xfId="0" applyNumberFormat="1" applyFill="1" applyBorder="1" applyAlignment="1">
      <alignment vertical="center" wrapText="1"/>
    </xf>
    <xf numFmtId="0" fontId="0" fillId="18" borderId="21" xfId="0" applyFill="1" applyBorder="1" applyAlignment="1">
      <alignment vertical="center" wrapText="1"/>
    </xf>
    <xf numFmtId="0" fontId="0" fillId="18" borderId="21" xfId="0" applyFill="1" applyBorder="1" applyAlignment="1">
      <alignment horizontal="center" vertical="center" wrapText="1"/>
    </xf>
    <xf numFmtId="166" fontId="1" fillId="18" borderId="21" xfId="4" applyNumberFormat="1" applyFont="1" applyFill="1" applyBorder="1" applyAlignment="1">
      <alignment horizontal="center" vertical="center" wrapText="1"/>
    </xf>
    <xf numFmtId="167" fontId="0" fillId="18" borderId="21" xfId="0" applyNumberFormat="1" applyFill="1" applyBorder="1" applyAlignment="1">
      <alignment horizontal="right" vertical="center" wrapText="1"/>
    </xf>
    <xf numFmtId="167" fontId="0" fillId="18" borderId="44" xfId="0" applyNumberFormat="1" applyFill="1" applyBorder="1" applyAlignment="1">
      <alignment vertical="center" wrapText="1"/>
    </xf>
    <xf numFmtId="167" fontId="0" fillId="18" borderId="20" xfId="0" applyNumberFormat="1" applyFill="1" applyBorder="1" applyAlignment="1">
      <alignment vertical="center" wrapText="1"/>
    </xf>
    <xf numFmtId="167" fontId="0" fillId="18" borderId="23" xfId="0" applyNumberFormat="1" applyFill="1" applyBorder="1" applyAlignment="1">
      <alignment vertical="center" wrapText="1"/>
    </xf>
    <xf numFmtId="167" fontId="0" fillId="18" borderId="45" xfId="0" applyNumberFormat="1" applyFill="1" applyBorder="1" applyAlignment="1">
      <alignment vertical="center" wrapText="1"/>
    </xf>
    <xf numFmtId="167" fontId="0" fillId="18" borderId="21" xfId="0" applyNumberFormat="1" applyFill="1" applyBorder="1" applyAlignment="1">
      <alignment vertical="center" wrapText="1"/>
    </xf>
    <xf numFmtId="168" fontId="41" fillId="0" borderId="21" xfId="2" applyNumberFormat="1" applyFont="1" applyFill="1" applyBorder="1" applyAlignment="1">
      <alignment vertical="center" wrapText="1"/>
    </xf>
    <xf numFmtId="168" fontId="41" fillId="5" borderId="21" xfId="2" applyNumberFormat="1" applyFont="1" applyFill="1" applyBorder="1" applyAlignment="1">
      <alignment vertical="center" wrapText="1"/>
    </xf>
    <xf numFmtId="168" fontId="41" fillId="15" borderId="21" xfId="2" applyNumberFormat="1" applyFont="1" applyFill="1" applyBorder="1" applyAlignment="1">
      <alignment vertical="center" wrapText="1"/>
    </xf>
    <xf numFmtId="168" fontId="41" fillId="21" borderId="21" xfId="2" applyNumberFormat="1" applyFont="1" applyFill="1" applyBorder="1" applyAlignment="1">
      <alignment vertical="center" wrapText="1"/>
    </xf>
    <xf numFmtId="164" fontId="41" fillId="18" borderId="23" xfId="1" applyNumberFormat="1" applyFont="1" applyFill="1" applyBorder="1" applyAlignment="1">
      <alignment vertical="center" wrapText="1"/>
    </xf>
    <xf numFmtId="10" fontId="41" fillId="18" borderId="40" xfId="1" applyNumberFormat="1" applyFont="1" applyFill="1" applyBorder="1" applyAlignment="1">
      <alignment horizontal="center" vertical="center" wrapText="1"/>
    </xf>
    <xf numFmtId="164" fontId="41" fillId="18" borderId="20" xfId="1" applyNumberFormat="1" applyFont="1" applyFill="1" applyBorder="1" applyAlignment="1">
      <alignment vertical="center" wrapText="1"/>
    </xf>
    <xf numFmtId="164" fontId="41" fillId="7" borderId="21" xfId="1" applyNumberFormat="1" applyFont="1" applyFill="1" applyBorder="1" applyAlignment="1">
      <alignment vertical="center" wrapText="1"/>
    </xf>
    <xf numFmtId="10" fontId="1" fillId="18" borderId="20" xfId="2" applyNumberFormat="1" applyFont="1" applyFill="1" applyBorder="1" applyAlignment="1">
      <alignment vertical="center" wrapText="1"/>
    </xf>
    <xf numFmtId="10" fontId="42" fillId="18" borderId="21" xfId="2" applyNumberFormat="1" applyFont="1" applyFill="1" applyBorder="1" applyAlignment="1">
      <alignment vertical="center" wrapText="1"/>
    </xf>
    <xf numFmtId="10" fontId="1" fillId="18" borderId="22" xfId="2" applyNumberFormat="1" applyFont="1" applyFill="1" applyBorder="1" applyAlignment="1">
      <alignment vertical="center" wrapText="1"/>
    </xf>
    <xf numFmtId="10" fontId="1" fillId="18" borderId="23" xfId="2" applyNumberFormat="1" applyFont="1" applyFill="1" applyBorder="1" applyAlignment="1">
      <alignment vertical="center" wrapText="1"/>
    </xf>
    <xf numFmtId="10" fontId="1" fillId="18" borderId="25" xfId="2" applyNumberFormat="1" applyFont="1" applyFill="1" applyBorder="1" applyAlignment="1">
      <alignment vertical="center" wrapText="1"/>
    </xf>
    <xf numFmtId="10" fontId="3" fillId="0" borderId="0" xfId="0" applyNumberFormat="1" applyFont="1"/>
    <xf numFmtId="10" fontId="3" fillId="0" borderId="0" xfId="2" applyNumberFormat="1" applyFont="1"/>
    <xf numFmtId="0" fontId="0" fillId="0" borderId="46" xfId="0" applyBorder="1" applyAlignment="1">
      <alignment horizontal="center" vertical="center" wrapText="1"/>
    </xf>
    <xf numFmtId="0" fontId="0" fillId="0" borderId="26" xfId="0" applyBorder="1" applyAlignment="1">
      <alignment horizontal="center" vertical="center" wrapText="1"/>
    </xf>
    <xf numFmtId="0" fontId="0" fillId="19" borderId="47" xfId="0" applyFill="1" applyBorder="1" applyAlignment="1">
      <alignment horizontal="center" vertical="center" wrapText="1"/>
    </xf>
    <xf numFmtId="0" fontId="40" fillId="19" borderId="48" xfId="3" applyFont="1" applyFill="1" applyBorder="1" applyAlignment="1" applyProtection="1">
      <alignment vertical="center" wrapText="1"/>
      <protection locked="0"/>
    </xf>
    <xf numFmtId="0" fontId="33" fillId="19" borderId="49" xfId="0" applyFont="1" applyFill="1" applyBorder="1" applyAlignment="1">
      <alignment horizontal="center" vertical="center" wrapText="1"/>
    </xf>
    <xf numFmtId="0" fontId="0" fillId="20" borderId="50" xfId="0" applyFill="1" applyBorder="1" applyAlignment="1">
      <alignment horizontal="center" vertical="center" wrapText="1"/>
    </xf>
    <xf numFmtId="0" fontId="0" fillId="18" borderId="46" xfId="0" applyFill="1" applyBorder="1" applyAlignment="1">
      <alignment horizontal="right" vertical="center" wrapText="1"/>
    </xf>
    <xf numFmtId="164" fontId="1" fillId="18" borderId="46" xfId="2" applyNumberFormat="1" applyFont="1" applyFill="1" applyBorder="1" applyAlignment="1">
      <alignment vertical="center" wrapText="1"/>
    </xf>
    <xf numFmtId="10" fontId="1" fillId="18" borderId="46" xfId="2" applyNumberFormat="1" applyFont="1" applyFill="1" applyBorder="1" applyAlignment="1">
      <alignment vertical="center" wrapText="1"/>
    </xf>
    <xf numFmtId="0" fontId="40" fillId="18" borderId="51" xfId="3" applyFont="1" applyFill="1" applyBorder="1" applyAlignment="1">
      <alignment vertical="center"/>
    </xf>
    <xf numFmtId="10" fontId="0" fillId="18" borderId="46" xfId="0" applyNumberFormat="1" applyFill="1" applyBorder="1" applyAlignment="1">
      <alignment vertical="center" wrapText="1"/>
    </xf>
    <xf numFmtId="0" fontId="0" fillId="18" borderId="46" xfId="0" applyFill="1" applyBorder="1" applyAlignment="1">
      <alignment vertical="center" wrapText="1"/>
    </xf>
    <xf numFmtId="0" fontId="0" fillId="18" borderId="46" xfId="0" applyFill="1" applyBorder="1" applyAlignment="1">
      <alignment horizontal="center" vertical="center" wrapText="1"/>
    </xf>
    <xf numFmtId="166" fontId="1" fillId="18" borderId="46" xfId="4" applyNumberFormat="1" applyFont="1" applyFill="1" applyBorder="1" applyAlignment="1">
      <alignment horizontal="center" vertical="center" wrapText="1"/>
    </xf>
    <xf numFmtId="167" fontId="0" fillId="18" borderId="46" xfId="0" applyNumberFormat="1" applyFill="1" applyBorder="1" applyAlignment="1">
      <alignment horizontal="right" vertical="center" wrapText="1"/>
    </xf>
    <xf numFmtId="167" fontId="0" fillId="18" borderId="52" xfId="0" applyNumberFormat="1" applyFill="1" applyBorder="1" applyAlignment="1">
      <alignment vertical="center" wrapText="1"/>
    </xf>
    <xf numFmtId="167" fontId="0" fillId="18" borderId="50" xfId="0" applyNumberFormat="1" applyFill="1" applyBorder="1" applyAlignment="1">
      <alignment vertical="center" wrapText="1"/>
    </xf>
    <xf numFmtId="167" fontId="0" fillId="18" borderId="53" xfId="0" applyNumberFormat="1" applyFill="1" applyBorder="1" applyAlignment="1">
      <alignment vertical="center" wrapText="1"/>
    </xf>
    <xf numFmtId="167" fontId="0" fillId="18" borderId="54" xfId="0" applyNumberFormat="1" applyFill="1" applyBorder="1" applyAlignment="1">
      <alignment vertical="center" wrapText="1"/>
    </xf>
    <xf numFmtId="167" fontId="0" fillId="18" borderId="46" xfId="0" applyNumberFormat="1" applyFill="1" applyBorder="1" applyAlignment="1">
      <alignment vertical="center" wrapText="1"/>
    </xf>
    <xf numFmtId="168" fontId="41" fillId="0" borderId="46" xfId="2" applyNumberFormat="1" applyFont="1" applyFill="1" applyBorder="1" applyAlignment="1">
      <alignment vertical="center" wrapText="1"/>
    </xf>
    <xf numFmtId="168" fontId="41" fillId="5" borderId="46" xfId="2" applyNumberFormat="1" applyFont="1" applyFill="1" applyBorder="1" applyAlignment="1">
      <alignment vertical="center" wrapText="1"/>
    </xf>
    <xf numFmtId="168" fontId="41" fillId="15" borderId="46" xfId="2" applyNumberFormat="1" applyFont="1" applyFill="1" applyBorder="1" applyAlignment="1">
      <alignment vertical="center" wrapText="1"/>
    </xf>
    <xf numFmtId="168" fontId="41" fillId="21" borderId="46" xfId="2" applyNumberFormat="1" applyFont="1" applyFill="1" applyBorder="1" applyAlignment="1">
      <alignment vertical="center" wrapText="1"/>
    </xf>
    <xf numFmtId="164" fontId="41" fillId="18" borderId="55" xfId="1" applyNumberFormat="1" applyFont="1" applyFill="1" applyBorder="1" applyAlignment="1">
      <alignment vertical="center" wrapText="1"/>
    </xf>
    <xf numFmtId="10" fontId="41" fillId="18" borderId="20" xfId="1" applyNumberFormat="1" applyFont="1" applyFill="1" applyBorder="1" applyAlignment="1">
      <alignment horizontal="center" vertical="center" wrapText="1"/>
    </xf>
    <xf numFmtId="10" fontId="1" fillId="18" borderId="52" xfId="2" applyNumberFormat="1" applyFont="1" applyFill="1" applyBorder="1" applyAlignment="1">
      <alignment vertical="center" wrapText="1"/>
    </xf>
    <xf numFmtId="0" fontId="3" fillId="0" borderId="0" xfId="0" applyFont="1" applyAlignment="1">
      <alignment vertical="center" wrapText="1"/>
    </xf>
    <xf numFmtId="0" fontId="0" fillId="0" borderId="53" xfId="0" applyBorder="1" applyAlignment="1">
      <alignment horizontal="center" vertical="center" wrapText="1"/>
    </xf>
    <xf numFmtId="0" fontId="40" fillId="18" borderId="53" xfId="3" applyFont="1" applyFill="1" applyBorder="1" applyAlignment="1">
      <alignment vertical="center"/>
    </xf>
    <xf numFmtId="164" fontId="41" fillId="18" borderId="53" xfId="1" applyNumberFormat="1" applyFont="1" applyFill="1" applyBorder="1" applyAlignment="1">
      <alignment vertical="center" wrapText="1"/>
    </xf>
    <xf numFmtId="10" fontId="41" fillId="18" borderId="47" xfId="1" applyNumberFormat="1" applyFont="1" applyFill="1" applyBorder="1" applyAlignment="1">
      <alignment horizontal="center" vertical="center" wrapText="1"/>
    </xf>
    <xf numFmtId="0" fontId="40" fillId="18" borderId="56" xfId="3" applyFont="1" applyFill="1" applyBorder="1" applyAlignment="1">
      <alignment horizontal="center" vertical="center"/>
    </xf>
    <xf numFmtId="0" fontId="40" fillId="18" borderId="57" xfId="3" applyFont="1" applyFill="1" applyBorder="1" applyAlignment="1" applyProtection="1">
      <alignment vertical="center" wrapText="1"/>
      <protection locked="0"/>
    </xf>
    <xf numFmtId="0" fontId="33" fillId="18" borderId="49" xfId="0" applyFont="1" applyFill="1" applyBorder="1" applyAlignment="1">
      <alignment horizontal="center" vertical="center" wrapText="1"/>
    </xf>
    <xf numFmtId="0" fontId="40" fillId="18" borderId="46" xfId="3" applyFont="1" applyFill="1" applyBorder="1" applyAlignment="1">
      <alignment vertical="center"/>
    </xf>
    <xf numFmtId="164" fontId="41" fillId="18" borderId="50" xfId="1" applyNumberFormat="1" applyFont="1" applyFill="1" applyBorder="1" applyAlignment="1">
      <alignment vertical="center" wrapText="1"/>
    </xf>
    <xf numFmtId="164" fontId="41" fillId="7" borderId="46" xfId="1" applyNumberFormat="1" applyFont="1" applyFill="1" applyBorder="1" applyAlignment="1">
      <alignment vertical="center" wrapText="1"/>
    </xf>
    <xf numFmtId="10" fontId="1" fillId="18" borderId="50" xfId="2" applyNumberFormat="1" applyFont="1" applyFill="1" applyBorder="1" applyAlignment="1">
      <alignment vertical="center" wrapText="1"/>
    </xf>
    <xf numFmtId="10" fontId="42" fillId="18" borderId="46" xfId="2" applyNumberFormat="1" applyFont="1" applyFill="1" applyBorder="1" applyAlignment="1">
      <alignment vertical="center" wrapText="1"/>
    </xf>
    <xf numFmtId="0" fontId="40" fillId="18" borderId="47" xfId="3" applyFont="1" applyFill="1" applyBorder="1" applyAlignment="1">
      <alignment horizontal="center" vertical="center"/>
    </xf>
    <xf numFmtId="0" fontId="40" fillId="18" borderId="55" xfId="3" applyFont="1" applyFill="1" applyBorder="1" applyAlignment="1" applyProtection="1">
      <alignment vertical="center" wrapText="1"/>
      <protection locked="0"/>
    </xf>
    <xf numFmtId="0" fontId="40" fillId="18" borderId="23" xfId="3" applyFont="1" applyFill="1" applyBorder="1" applyAlignment="1">
      <alignment vertical="center"/>
    </xf>
    <xf numFmtId="0" fontId="40" fillId="18" borderId="58" xfId="3" applyFont="1" applyFill="1" applyBorder="1" applyAlignment="1">
      <alignment horizontal="center" vertical="center"/>
    </xf>
    <xf numFmtId="0" fontId="40" fillId="18" borderId="59" xfId="3" applyFont="1" applyFill="1" applyBorder="1" applyAlignment="1" applyProtection="1">
      <alignment vertical="center" wrapText="1"/>
      <protection locked="0"/>
    </xf>
    <xf numFmtId="0" fontId="33" fillId="18" borderId="60" xfId="0" applyFont="1" applyFill="1" applyBorder="1" applyAlignment="1">
      <alignment horizontal="center" vertical="center" wrapText="1"/>
    </xf>
    <xf numFmtId="0" fontId="0" fillId="20" borderId="61" xfId="0" applyFill="1" applyBorder="1" applyAlignment="1">
      <alignment horizontal="center" vertical="center" wrapText="1"/>
    </xf>
    <xf numFmtId="0" fontId="0" fillId="18" borderId="32" xfId="0" applyFill="1" applyBorder="1" applyAlignment="1">
      <alignment horizontal="right" vertical="center" wrapText="1"/>
    </xf>
    <xf numFmtId="164" fontId="1" fillId="18" borderId="32" xfId="2" applyNumberFormat="1" applyFont="1" applyFill="1" applyBorder="1" applyAlignment="1">
      <alignment vertical="center" wrapText="1"/>
    </xf>
    <xf numFmtId="10" fontId="1" fillId="18" borderId="32" xfId="2" applyNumberFormat="1" applyFont="1" applyFill="1" applyBorder="1" applyAlignment="1">
      <alignment vertical="center" wrapText="1"/>
    </xf>
    <xf numFmtId="0" fontId="40" fillId="18" borderId="62" xfId="3" applyFont="1" applyFill="1" applyBorder="1" applyAlignment="1">
      <alignment vertical="center"/>
    </xf>
    <xf numFmtId="10" fontId="0" fillId="18" borderId="32" xfId="0" applyNumberFormat="1" applyFill="1" applyBorder="1" applyAlignment="1">
      <alignment vertical="center" wrapText="1"/>
    </xf>
    <xf numFmtId="165" fontId="0" fillId="18" borderId="27" xfId="0" applyNumberFormat="1" applyFill="1" applyBorder="1" applyAlignment="1">
      <alignment vertical="center" wrapText="1"/>
    </xf>
    <xf numFmtId="0" fontId="0" fillId="18" borderId="32" xfId="0" applyFill="1" applyBorder="1" applyAlignment="1">
      <alignment vertical="center" wrapText="1"/>
    </xf>
    <xf numFmtId="0" fontId="0" fillId="18" borderId="32" xfId="0" applyFill="1" applyBorder="1" applyAlignment="1">
      <alignment horizontal="center" vertical="center" wrapText="1"/>
    </xf>
    <xf numFmtId="166" fontId="1" fillId="18" borderId="32" xfId="4" applyNumberFormat="1" applyFont="1" applyFill="1" applyBorder="1" applyAlignment="1">
      <alignment horizontal="center" vertical="center" wrapText="1"/>
    </xf>
    <xf numFmtId="167" fontId="0" fillId="18" borderId="32" xfId="0" applyNumberFormat="1" applyFill="1" applyBorder="1" applyAlignment="1">
      <alignment horizontal="right" vertical="center" wrapText="1"/>
    </xf>
    <xf numFmtId="167" fontId="0" fillId="18" borderId="63" xfId="0" applyNumberFormat="1" applyFill="1" applyBorder="1" applyAlignment="1">
      <alignment vertical="center" wrapText="1"/>
    </xf>
    <xf numFmtId="167" fontId="0" fillId="18" borderId="61" xfId="0" applyNumberFormat="1" applyFill="1" applyBorder="1" applyAlignment="1">
      <alignment vertical="center" wrapText="1"/>
    </xf>
    <xf numFmtId="167" fontId="0" fillId="18" borderId="62" xfId="0" applyNumberFormat="1" applyFill="1" applyBorder="1" applyAlignment="1">
      <alignment vertical="center" wrapText="1"/>
    </xf>
    <xf numFmtId="167" fontId="0" fillId="18" borderId="64" xfId="0" applyNumberFormat="1" applyFill="1" applyBorder="1" applyAlignment="1">
      <alignment vertical="center" wrapText="1"/>
    </xf>
    <xf numFmtId="167" fontId="0" fillId="18" borderId="32" xfId="0" applyNumberFormat="1" applyFill="1" applyBorder="1" applyAlignment="1">
      <alignment vertical="center" wrapText="1"/>
    </xf>
    <xf numFmtId="168" fontId="41" fillId="0" borderId="32" xfId="2" applyNumberFormat="1" applyFont="1" applyFill="1" applyBorder="1" applyAlignment="1">
      <alignment vertical="center" wrapText="1"/>
    </xf>
    <xf numFmtId="168" fontId="41" fillId="5" borderId="32" xfId="2" applyNumberFormat="1" applyFont="1" applyFill="1" applyBorder="1" applyAlignment="1">
      <alignment vertical="center" wrapText="1"/>
    </xf>
    <xf numFmtId="168" fontId="41" fillId="15" borderId="32" xfId="2" applyNumberFormat="1" applyFont="1" applyFill="1" applyBorder="1" applyAlignment="1">
      <alignment vertical="center" wrapText="1"/>
    </xf>
    <xf numFmtId="168" fontId="41" fillId="21" borderId="32" xfId="2" applyNumberFormat="1" applyFont="1" applyFill="1" applyBorder="1" applyAlignment="1">
      <alignment vertical="center" wrapText="1"/>
    </xf>
    <xf numFmtId="164" fontId="41" fillId="18" borderId="62" xfId="1" applyNumberFormat="1" applyFont="1" applyFill="1" applyBorder="1" applyAlignment="1">
      <alignment vertical="center" wrapText="1"/>
    </xf>
    <xf numFmtId="10" fontId="41" fillId="18" borderId="65" xfId="1" applyNumberFormat="1" applyFont="1" applyFill="1" applyBorder="1" applyAlignment="1">
      <alignment horizontal="center" vertical="center" wrapText="1"/>
    </xf>
    <xf numFmtId="164" fontId="41" fillId="18" borderId="61" xfId="1" applyNumberFormat="1" applyFont="1" applyFill="1" applyBorder="1" applyAlignment="1">
      <alignment vertical="center" wrapText="1"/>
    </xf>
    <xf numFmtId="164" fontId="41" fillId="7" borderId="32" xfId="1" applyNumberFormat="1" applyFont="1" applyFill="1" applyBorder="1" applyAlignment="1">
      <alignment vertical="center" wrapText="1"/>
    </xf>
    <xf numFmtId="10" fontId="1" fillId="18" borderId="61" xfId="2" applyNumberFormat="1" applyFont="1" applyFill="1" applyBorder="1" applyAlignment="1">
      <alignment vertical="center" wrapText="1"/>
    </xf>
    <xf numFmtId="10" fontId="42" fillId="18" borderId="32" xfId="2" applyNumberFormat="1" applyFont="1" applyFill="1" applyBorder="1" applyAlignment="1">
      <alignment vertical="center" wrapText="1"/>
    </xf>
    <xf numFmtId="10" fontId="42" fillId="18" borderId="32" xfId="1" applyNumberFormat="1" applyFont="1" applyFill="1" applyBorder="1" applyAlignment="1">
      <alignment vertical="center" wrapText="1"/>
    </xf>
    <xf numFmtId="10" fontId="1" fillId="18" borderId="63" xfId="1" applyNumberFormat="1" applyFont="1" applyFill="1" applyBorder="1" applyAlignment="1">
      <alignment vertical="center" wrapText="1"/>
    </xf>
    <xf numFmtId="10" fontId="1" fillId="18" borderId="61" xfId="1" applyNumberFormat="1" applyFont="1" applyFill="1" applyBorder="1" applyAlignment="1">
      <alignment vertical="center" wrapText="1"/>
    </xf>
    <xf numFmtId="10" fontId="1" fillId="18" borderId="32" xfId="1" applyNumberFormat="1" applyFont="1" applyFill="1" applyBorder="1" applyAlignment="1">
      <alignment vertical="center" wrapText="1"/>
    </xf>
    <xf numFmtId="0" fontId="40" fillId="11" borderId="40" xfId="3" applyFont="1" applyFill="1" applyBorder="1" applyAlignment="1">
      <alignment horizontal="center" vertical="center"/>
    </xf>
    <xf numFmtId="0" fontId="40" fillId="11" borderId="41" xfId="3" applyFont="1" applyFill="1" applyBorder="1" applyAlignment="1" applyProtection="1">
      <alignment vertical="center" wrapText="1"/>
      <protection locked="0"/>
    </xf>
    <xf numFmtId="0" fontId="33" fillId="11" borderId="42" xfId="0" applyFont="1" applyFill="1" applyBorder="1" applyAlignment="1">
      <alignment horizontal="center" vertical="center" wrapText="1"/>
    </xf>
    <xf numFmtId="0" fontId="0" fillId="22" borderId="20" xfId="0" applyFill="1" applyBorder="1" applyAlignment="1">
      <alignment horizontal="center" vertical="center" wrapText="1"/>
    </xf>
    <xf numFmtId="0" fontId="0" fillId="11" borderId="21" xfId="0" applyFill="1" applyBorder="1" applyAlignment="1">
      <alignment horizontal="right" vertical="center" wrapText="1"/>
    </xf>
    <xf numFmtId="164" fontId="1" fillId="11" borderId="21" xfId="2" applyNumberFormat="1" applyFont="1" applyFill="1" applyBorder="1" applyAlignment="1">
      <alignment vertical="center" wrapText="1"/>
    </xf>
    <xf numFmtId="10" fontId="1" fillId="11" borderId="21" xfId="2" applyNumberFormat="1" applyFont="1" applyFill="1" applyBorder="1" applyAlignment="1">
      <alignment vertical="center" wrapText="1"/>
    </xf>
    <xf numFmtId="0" fontId="40" fillId="11" borderId="23" xfId="3" applyFont="1" applyFill="1" applyBorder="1" applyAlignment="1">
      <alignment vertical="center"/>
    </xf>
    <xf numFmtId="10" fontId="0" fillId="11" borderId="21" xfId="0" applyNumberFormat="1" applyFill="1" applyBorder="1" applyAlignment="1">
      <alignment vertical="center" wrapText="1"/>
    </xf>
    <xf numFmtId="165" fontId="0" fillId="11" borderId="43" xfId="0" applyNumberFormat="1" applyFill="1" applyBorder="1" applyAlignment="1">
      <alignment vertical="center" wrapText="1"/>
    </xf>
    <xf numFmtId="0" fontId="0" fillId="11" borderId="21" xfId="0" applyFill="1" applyBorder="1" applyAlignment="1">
      <alignment vertical="center" wrapText="1"/>
    </xf>
    <xf numFmtId="0" fontId="0" fillId="11" borderId="21" xfId="0" applyFill="1" applyBorder="1" applyAlignment="1">
      <alignment horizontal="center" vertical="center" wrapText="1"/>
    </xf>
    <xf numFmtId="166" fontId="1" fillId="11" borderId="21" xfId="4" applyNumberFormat="1" applyFont="1" applyFill="1" applyBorder="1" applyAlignment="1">
      <alignment horizontal="center" vertical="center" wrapText="1"/>
    </xf>
    <xf numFmtId="167" fontId="0" fillId="11" borderId="21" xfId="0" applyNumberFormat="1" applyFill="1" applyBorder="1" applyAlignment="1">
      <alignment horizontal="right" vertical="center" wrapText="1"/>
    </xf>
    <xf numFmtId="167" fontId="0" fillId="11" borderId="22" xfId="0" applyNumberFormat="1" applyFill="1" applyBorder="1" applyAlignment="1">
      <alignment vertical="center" wrapText="1"/>
    </xf>
    <xf numFmtId="167" fontId="0" fillId="11" borderId="20" xfId="0" applyNumberFormat="1" applyFill="1" applyBorder="1" applyAlignment="1">
      <alignment vertical="center" wrapText="1"/>
    </xf>
    <xf numFmtId="167" fontId="0" fillId="11" borderId="23" xfId="0" applyNumberFormat="1" applyFill="1" applyBorder="1" applyAlignment="1">
      <alignment vertical="center" wrapText="1"/>
    </xf>
    <xf numFmtId="167" fontId="0" fillId="11" borderId="45" xfId="0" applyNumberFormat="1" applyFill="1" applyBorder="1" applyAlignment="1">
      <alignment vertical="center" wrapText="1"/>
    </xf>
    <xf numFmtId="167" fontId="0" fillId="11" borderId="21" xfId="0" applyNumberFormat="1" applyFill="1" applyBorder="1" applyAlignment="1">
      <alignment vertical="center" wrapText="1"/>
    </xf>
    <xf numFmtId="164" fontId="41" fillId="11" borderId="41" xfId="1" applyNumberFormat="1" applyFont="1" applyFill="1" applyBorder="1" applyAlignment="1">
      <alignment vertical="center" wrapText="1"/>
    </xf>
    <xf numFmtId="10" fontId="41" fillId="11" borderId="20" xfId="1" applyNumberFormat="1" applyFont="1" applyFill="1" applyBorder="1" applyAlignment="1">
      <alignment horizontal="center" vertical="center" wrapText="1"/>
    </xf>
    <xf numFmtId="164" fontId="41" fillId="11" borderId="20" xfId="1" applyNumberFormat="1" applyFont="1" applyFill="1" applyBorder="1" applyAlignment="1">
      <alignment vertical="center" wrapText="1"/>
    </xf>
    <xf numFmtId="10" fontId="1" fillId="11" borderId="20" xfId="2" applyNumberFormat="1" applyFont="1" applyFill="1" applyBorder="1" applyAlignment="1">
      <alignment vertical="center" wrapText="1"/>
    </xf>
    <xf numFmtId="10" fontId="42" fillId="11" borderId="21" xfId="2" applyNumberFormat="1" applyFont="1" applyFill="1" applyBorder="1" applyAlignment="1">
      <alignment vertical="center" wrapText="1"/>
    </xf>
    <xf numFmtId="10" fontId="1" fillId="11" borderId="22" xfId="2" applyNumberFormat="1" applyFont="1" applyFill="1" applyBorder="1" applyAlignment="1">
      <alignment vertical="center" wrapText="1"/>
    </xf>
    <xf numFmtId="0" fontId="40" fillId="11" borderId="47" xfId="3" applyFont="1" applyFill="1" applyBorder="1" applyAlignment="1">
      <alignment horizontal="center" vertical="center"/>
    </xf>
    <xf numFmtId="0" fontId="40" fillId="11" borderId="55" xfId="3" applyFont="1" applyFill="1" applyBorder="1" applyAlignment="1" applyProtection="1">
      <alignment vertical="center" wrapText="1"/>
      <protection locked="0"/>
    </xf>
    <xf numFmtId="0" fontId="33" fillId="11" borderId="49" xfId="0" applyFont="1" applyFill="1" applyBorder="1" applyAlignment="1">
      <alignment horizontal="center" vertical="center" wrapText="1"/>
    </xf>
    <xf numFmtId="0" fontId="0" fillId="22" borderId="50" xfId="0" applyFill="1" applyBorder="1" applyAlignment="1">
      <alignment horizontal="center" vertical="center" wrapText="1"/>
    </xf>
    <xf numFmtId="0" fontId="0" fillId="11" borderId="46" xfId="0" applyFill="1" applyBorder="1" applyAlignment="1">
      <alignment horizontal="right" vertical="center" wrapText="1"/>
    </xf>
    <xf numFmtId="164" fontId="1" fillId="11" borderId="46" xfId="2" applyNumberFormat="1" applyFont="1" applyFill="1" applyBorder="1" applyAlignment="1">
      <alignment vertical="center" wrapText="1"/>
    </xf>
    <xf numFmtId="10" fontId="1" fillId="11" borderId="46" xfId="2" applyNumberFormat="1" applyFont="1" applyFill="1" applyBorder="1" applyAlignment="1">
      <alignment vertical="center" wrapText="1"/>
    </xf>
    <xf numFmtId="0" fontId="40" fillId="11" borderId="46" xfId="3" applyFont="1" applyFill="1" applyBorder="1" applyAlignment="1">
      <alignment vertical="center"/>
    </xf>
    <xf numFmtId="10" fontId="0" fillId="11" borderId="46" xfId="0" applyNumberFormat="1" applyFill="1" applyBorder="1" applyAlignment="1">
      <alignment vertical="center" wrapText="1"/>
    </xf>
    <xf numFmtId="0" fontId="0" fillId="11" borderId="46" xfId="0" applyFill="1" applyBorder="1" applyAlignment="1">
      <alignment vertical="center" wrapText="1"/>
    </xf>
    <xf numFmtId="0" fontId="0" fillId="11" borderId="46" xfId="0" applyFill="1" applyBorder="1" applyAlignment="1">
      <alignment horizontal="center" vertical="center" wrapText="1"/>
    </xf>
    <xf numFmtId="166" fontId="1" fillId="11" borderId="46" xfId="4" applyNumberFormat="1" applyFont="1" applyFill="1" applyBorder="1" applyAlignment="1">
      <alignment horizontal="center" vertical="center" wrapText="1"/>
    </xf>
    <xf numFmtId="167" fontId="0" fillId="11" borderId="46" xfId="0" applyNumberFormat="1" applyFill="1" applyBorder="1" applyAlignment="1">
      <alignment horizontal="right" vertical="center" wrapText="1"/>
    </xf>
    <xf numFmtId="167" fontId="0" fillId="11" borderId="52" xfId="0" applyNumberFormat="1" applyFill="1" applyBorder="1" applyAlignment="1">
      <alignment vertical="center" wrapText="1"/>
    </xf>
    <xf numFmtId="167" fontId="0" fillId="11" borderId="50" xfId="0" applyNumberFormat="1" applyFill="1" applyBorder="1" applyAlignment="1">
      <alignment vertical="center" wrapText="1"/>
    </xf>
    <xf numFmtId="167" fontId="0" fillId="11" borderId="46" xfId="0" applyNumberFormat="1" applyFill="1" applyBorder="1" applyAlignment="1">
      <alignment vertical="center" wrapText="1"/>
    </xf>
    <xf numFmtId="164" fontId="41" fillId="11" borderId="55" xfId="1" applyNumberFormat="1" applyFont="1" applyFill="1" applyBorder="1" applyAlignment="1">
      <alignment vertical="center" wrapText="1"/>
    </xf>
    <xf numFmtId="10" fontId="41" fillId="11" borderId="50" xfId="1" applyNumberFormat="1" applyFont="1" applyFill="1" applyBorder="1" applyAlignment="1">
      <alignment horizontal="center" vertical="center" wrapText="1"/>
    </xf>
    <xf numFmtId="164" fontId="41" fillId="11" borderId="50" xfId="1" applyNumberFormat="1" applyFont="1" applyFill="1" applyBorder="1" applyAlignment="1">
      <alignment vertical="center" wrapText="1"/>
    </xf>
    <xf numFmtId="10" fontId="1" fillId="11" borderId="50" xfId="2" applyNumberFormat="1" applyFont="1" applyFill="1" applyBorder="1" applyAlignment="1">
      <alignment vertical="center" wrapText="1"/>
    </xf>
    <xf numFmtId="10" fontId="42" fillId="11" borderId="46" xfId="2" applyNumberFormat="1" applyFont="1" applyFill="1" applyBorder="1" applyAlignment="1">
      <alignment vertical="center" wrapText="1"/>
    </xf>
    <xf numFmtId="10" fontId="1" fillId="11" borderId="52" xfId="2" applyNumberFormat="1" applyFont="1" applyFill="1" applyBorder="1" applyAlignment="1">
      <alignment vertical="center" wrapText="1"/>
    </xf>
    <xf numFmtId="0" fontId="40" fillId="11" borderId="21" xfId="3" applyFont="1" applyFill="1" applyBorder="1" applyAlignment="1">
      <alignment vertical="center"/>
    </xf>
    <xf numFmtId="167" fontId="0" fillId="11" borderId="53" xfId="0" applyNumberFormat="1" applyFill="1" applyBorder="1" applyAlignment="1">
      <alignment vertical="center" wrapText="1"/>
    </xf>
    <xf numFmtId="167" fontId="0" fillId="11" borderId="54" xfId="0" applyNumberFormat="1" applyFill="1" applyBorder="1" applyAlignment="1">
      <alignment vertical="center" wrapText="1"/>
    </xf>
    <xf numFmtId="0" fontId="40" fillId="11" borderId="65" xfId="3" applyFont="1" applyFill="1" applyBorder="1" applyAlignment="1">
      <alignment horizontal="center" vertical="center"/>
    </xf>
    <xf numFmtId="0" fontId="40" fillId="11" borderId="67" xfId="3" applyFont="1" applyFill="1" applyBorder="1" applyAlignment="1" applyProtection="1">
      <alignment vertical="center" wrapText="1"/>
      <protection locked="0"/>
    </xf>
    <xf numFmtId="0" fontId="33" fillId="11" borderId="60" xfId="0" applyFont="1" applyFill="1" applyBorder="1" applyAlignment="1">
      <alignment horizontal="center" vertical="center" wrapText="1"/>
    </xf>
    <xf numFmtId="0" fontId="0" fillId="22" borderId="61" xfId="0" applyFill="1" applyBorder="1" applyAlignment="1">
      <alignment horizontal="center" vertical="center" wrapText="1"/>
    </xf>
    <xf numFmtId="0" fontId="0" fillId="11" borderId="32" xfId="0" applyFill="1" applyBorder="1" applyAlignment="1">
      <alignment horizontal="right" vertical="center" wrapText="1"/>
    </xf>
    <xf numFmtId="164" fontId="1" fillId="11" borderId="32" xfId="2" applyNumberFormat="1" applyFont="1" applyFill="1" applyBorder="1" applyAlignment="1">
      <alignment vertical="center" wrapText="1"/>
    </xf>
    <xf numFmtId="10" fontId="1" fillId="11" borderId="32" xfId="2" applyNumberFormat="1" applyFont="1" applyFill="1" applyBorder="1" applyAlignment="1">
      <alignment vertical="center" wrapText="1"/>
    </xf>
    <xf numFmtId="0" fontId="40" fillId="11" borderId="32" xfId="3" applyFont="1" applyFill="1" applyBorder="1" applyAlignment="1">
      <alignment vertical="center"/>
    </xf>
    <xf numFmtId="10" fontId="0" fillId="11" borderId="32" xfId="0" applyNumberFormat="1" applyFill="1" applyBorder="1" applyAlignment="1">
      <alignment vertical="center" wrapText="1"/>
    </xf>
    <xf numFmtId="165" fontId="0" fillId="11" borderId="27" xfId="0" applyNumberFormat="1" applyFill="1" applyBorder="1" applyAlignment="1">
      <alignment vertical="center" wrapText="1"/>
    </xf>
    <xf numFmtId="0" fontId="0" fillId="11" borderId="32" xfId="0" applyFill="1" applyBorder="1" applyAlignment="1">
      <alignment vertical="center" wrapText="1"/>
    </xf>
    <xf numFmtId="0" fontId="0" fillId="11" borderId="32" xfId="0" applyFill="1" applyBorder="1" applyAlignment="1">
      <alignment horizontal="center" vertical="center" wrapText="1"/>
    </xf>
    <xf numFmtId="166" fontId="1" fillId="11" borderId="32" xfId="4" applyNumberFormat="1" applyFont="1" applyFill="1" applyBorder="1" applyAlignment="1">
      <alignment horizontal="center" vertical="center" wrapText="1"/>
    </xf>
    <xf numFmtId="167" fontId="0" fillId="11" borderId="32" xfId="0" applyNumberFormat="1" applyFill="1" applyBorder="1" applyAlignment="1">
      <alignment horizontal="right" vertical="center" wrapText="1"/>
    </xf>
    <xf numFmtId="167" fontId="0" fillId="11" borderId="63" xfId="0" applyNumberFormat="1" applyFill="1" applyBorder="1" applyAlignment="1">
      <alignment vertical="center" wrapText="1"/>
    </xf>
    <xf numFmtId="167" fontId="0" fillId="11" borderId="61" xfId="0" applyNumberFormat="1" applyFill="1" applyBorder="1" applyAlignment="1">
      <alignment vertical="center" wrapText="1"/>
    </xf>
    <xf numFmtId="167" fontId="0" fillId="11" borderId="32" xfId="0" applyNumberFormat="1" applyFill="1" applyBorder="1" applyAlignment="1">
      <alignment vertical="center" wrapText="1"/>
    </xf>
    <xf numFmtId="164" fontId="41" fillId="11" borderId="67" xfId="1" applyNumberFormat="1" applyFont="1" applyFill="1" applyBorder="1" applyAlignment="1">
      <alignment vertical="center" wrapText="1"/>
    </xf>
    <xf numFmtId="10" fontId="41" fillId="11" borderId="61" xfId="1" applyNumberFormat="1" applyFont="1" applyFill="1" applyBorder="1" applyAlignment="1">
      <alignment horizontal="center" vertical="center" wrapText="1"/>
    </xf>
    <xf numFmtId="164" fontId="41" fillId="11" borderId="61" xfId="1" applyNumberFormat="1" applyFont="1" applyFill="1" applyBorder="1" applyAlignment="1">
      <alignment vertical="center" wrapText="1"/>
    </xf>
    <xf numFmtId="10" fontId="1" fillId="11" borderId="61" xfId="2" applyNumberFormat="1" applyFont="1" applyFill="1" applyBorder="1" applyAlignment="1">
      <alignment vertical="center" wrapText="1"/>
    </xf>
    <xf numFmtId="10" fontId="42" fillId="11" borderId="32" xfId="2" applyNumberFormat="1" applyFont="1" applyFill="1" applyBorder="1" applyAlignment="1">
      <alignment vertical="center" wrapText="1"/>
    </xf>
    <xf numFmtId="10" fontId="1" fillId="11" borderId="63" xfId="2" applyNumberFormat="1" applyFont="1" applyFill="1" applyBorder="1" applyAlignment="1">
      <alignment vertical="center" wrapText="1"/>
    </xf>
    <xf numFmtId="0" fontId="40" fillId="23" borderId="40" xfId="3" applyFont="1" applyFill="1" applyBorder="1" applyAlignment="1">
      <alignment horizontal="center" vertical="center"/>
    </xf>
    <xf numFmtId="0" fontId="40" fillId="23" borderId="41" xfId="3" applyFont="1" applyFill="1" applyBorder="1" applyAlignment="1" applyProtection="1">
      <alignment vertical="center" wrapText="1"/>
      <protection locked="0"/>
    </xf>
    <xf numFmtId="0" fontId="33" fillId="23" borderId="42" xfId="0" applyFont="1" applyFill="1" applyBorder="1" applyAlignment="1">
      <alignment horizontal="center" vertical="center" wrapText="1"/>
    </xf>
    <xf numFmtId="0" fontId="0" fillId="24" borderId="20" xfId="0" applyFill="1" applyBorder="1" applyAlignment="1">
      <alignment horizontal="center" vertical="center" wrapText="1"/>
    </xf>
    <xf numFmtId="0" fontId="0" fillId="23" borderId="21" xfId="0" applyFill="1" applyBorder="1" applyAlignment="1">
      <alignment horizontal="right" vertical="center" wrapText="1"/>
    </xf>
    <xf numFmtId="164" fontId="1" fillId="23" borderId="21" xfId="2" applyNumberFormat="1" applyFont="1" applyFill="1" applyBorder="1" applyAlignment="1">
      <alignment vertical="center" wrapText="1"/>
    </xf>
    <xf numFmtId="10" fontId="1" fillId="23" borderId="21" xfId="2" applyNumberFormat="1" applyFont="1" applyFill="1" applyBorder="1" applyAlignment="1">
      <alignment vertical="center" wrapText="1"/>
    </xf>
    <xf numFmtId="0" fontId="40" fillId="23" borderId="21" xfId="3" applyFont="1" applyFill="1" applyBorder="1" applyAlignment="1">
      <alignment vertical="center"/>
    </xf>
    <xf numFmtId="10" fontId="0" fillId="23" borderId="21" xfId="0" applyNumberFormat="1" applyFill="1" applyBorder="1" applyAlignment="1">
      <alignment vertical="center" wrapText="1"/>
    </xf>
    <xf numFmtId="165" fontId="0" fillId="23" borderId="43" xfId="0" applyNumberFormat="1" applyFill="1" applyBorder="1" applyAlignment="1">
      <alignment vertical="center" wrapText="1"/>
    </xf>
    <xf numFmtId="0" fontId="0" fillId="23" borderId="21" xfId="0" applyFill="1" applyBorder="1" applyAlignment="1">
      <alignment vertical="center" wrapText="1"/>
    </xf>
    <xf numFmtId="0" fontId="0" fillId="23" borderId="21" xfId="0" applyFill="1" applyBorder="1" applyAlignment="1">
      <alignment horizontal="center" vertical="center" wrapText="1"/>
    </xf>
    <xf numFmtId="166" fontId="1" fillId="23" borderId="21" xfId="4" applyNumberFormat="1" applyFont="1" applyFill="1" applyBorder="1" applyAlignment="1">
      <alignment horizontal="center" vertical="center" wrapText="1"/>
    </xf>
    <xf numFmtId="167" fontId="0" fillId="23" borderId="21" xfId="0" applyNumberFormat="1" applyFill="1" applyBorder="1" applyAlignment="1">
      <alignment horizontal="right" vertical="center" wrapText="1"/>
    </xf>
    <xf numFmtId="167" fontId="0" fillId="23" borderId="22" xfId="0" applyNumberFormat="1" applyFill="1" applyBorder="1" applyAlignment="1">
      <alignment vertical="center" wrapText="1"/>
    </xf>
    <xf numFmtId="167" fontId="0" fillId="23" borderId="20" xfId="0" applyNumberFormat="1" applyFill="1" applyBorder="1" applyAlignment="1">
      <alignment vertical="center" wrapText="1"/>
    </xf>
    <xf numFmtId="167" fontId="0" fillId="23" borderId="23" xfId="0" applyNumberFormat="1" applyFill="1" applyBorder="1" applyAlignment="1">
      <alignment vertical="center" wrapText="1"/>
    </xf>
    <xf numFmtId="167" fontId="0" fillId="23" borderId="45" xfId="0" applyNumberFormat="1" applyFill="1" applyBorder="1" applyAlignment="1">
      <alignment vertical="center" wrapText="1"/>
    </xf>
    <xf numFmtId="167" fontId="0" fillId="23" borderId="21" xfId="0" applyNumberFormat="1" applyFill="1" applyBorder="1" applyAlignment="1">
      <alignment vertical="center" wrapText="1"/>
    </xf>
    <xf numFmtId="164" fontId="41" fillId="0" borderId="21" xfId="2" applyNumberFormat="1" applyFont="1" applyFill="1" applyBorder="1" applyAlignment="1">
      <alignment vertical="center" wrapText="1"/>
    </xf>
    <xf numFmtId="10" fontId="41" fillId="0" borderId="21" xfId="2" applyNumberFormat="1" applyFont="1" applyFill="1" applyBorder="1" applyAlignment="1">
      <alignment vertical="center" wrapText="1"/>
    </xf>
    <xf numFmtId="164" fontId="41" fillId="5" borderId="21" xfId="2" applyNumberFormat="1" applyFont="1" applyFill="1" applyBorder="1" applyAlignment="1">
      <alignment vertical="center" wrapText="1"/>
    </xf>
    <xf numFmtId="164" fontId="41" fillId="15" borderId="21" xfId="2" applyNumberFormat="1" applyFont="1" applyFill="1" applyBorder="1" applyAlignment="1">
      <alignment vertical="center" wrapText="1"/>
    </xf>
    <xf numFmtId="164" fontId="1" fillId="25" borderId="21" xfId="2" applyNumberFormat="1" applyFont="1" applyFill="1" applyBorder="1" applyAlignment="1">
      <alignment vertical="center" wrapText="1"/>
    </xf>
    <xf numFmtId="164" fontId="41" fillId="21" borderId="21" xfId="2" applyNumberFormat="1" applyFont="1" applyFill="1" applyBorder="1" applyAlignment="1">
      <alignment vertical="center" wrapText="1"/>
    </xf>
    <xf numFmtId="164" fontId="41" fillId="23" borderId="41" xfId="1" applyNumberFormat="1" applyFont="1" applyFill="1" applyBorder="1" applyAlignment="1">
      <alignment vertical="center" wrapText="1"/>
    </xf>
    <xf numFmtId="10" fontId="41" fillId="23" borderId="20" xfId="1" applyNumberFormat="1" applyFont="1" applyFill="1" applyBorder="1" applyAlignment="1">
      <alignment horizontal="center" vertical="center" wrapText="1"/>
    </xf>
    <xf numFmtId="164" fontId="41" fillId="26" borderId="20" xfId="1" applyNumberFormat="1" applyFont="1" applyFill="1" applyBorder="1" applyAlignment="1">
      <alignment vertical="center" wrapText="1"/>
    </xf>
    <xf numFmtId="164" fontId="41" fillId="27" borderId="20" xfId="1" applyNumberFormat="1" applyFont="1" applyFill="1" applyBorder="1" applyAlignment="1">
      <alignment vertical="center" wrapText="1"/>
    </xf>
    <xf numFmtId="0" fontId="2" fillId="26" borderId="20" xfId="0" applyFont="1" applyFill="1" applyBorder="1" applyAlignment="1">
      <alignment vertical="center" wrapText="1"/>
    </xf>
    <xf numFmtId="0" fontId="37" fillId="26" borderId="21" xfId="0" applyFont="1" applyFill="1" applyBorder="1" applyAlignment="1">
      <alignment vertical="center" wrapText="1"/>
    </xf>
    <xf numFmtId="10" fontId="37" fillId="26" borderId="21" xfId="1" applyNumberFormat="1" applyFont="1" applyFill="1" applyBorder="1" applyAlignment="1">
      <alignment vertical="center" wrapText="1"/>
    </xf>
    <xf numFmtId="10" fontId="2" fillId="26" borderId="22" xfId="1" applyNumberFormat="1" applyFont="1" applyFill="1" applyBorder="1" applyAlignment="1">
      <alignment vertical="center" wrapText="1"/>
    </xf>
    <xf numFmtId="10" fontId="2" fillId="26" borderId="20" xfId="1" applyNumberFormat="1" applyFont="1" applyFill="1" applyBorder="1" applyAlignment="1">
      <alignment vertical="center" wrapText="1"/>
    </xf>
    <xf numFmtId="169" fontId="1" fillId="28" borderId="20" xfId="1" applyNumberFormat="1" applyFont="1" applyFill="1" applyBorder="1" applyAlignment="1">
      <alignment vertical="center" wrapText="1"/>
    </xf>
    <xf numFmtId="10" fontId="42" fillId="28" borderId="21" xfId="1" applyNumberFormat="1" applyFont="1" applyFill="1" applyBorder="1" applyAlignment="1">
      <alignment vertical="center" wrapText="1"/>
    </xf>
    <xf numFmtId="10" fontId="1" fillId="28" borderId="22" xfId="1" applyNumberFormat="1" applyFont="1" applyFill="1" applyBorder="1" applyAlignment="1">
      <alignment vertical="center" wrapText="1"/>
    </xf>
    <xf numFmtId="10" fontId="1" fillId="28" borderId="20" xfId="1" applyNumberFormat="1" applyFont="1" applyFill="1" applyBorder="1" applyAlignment="1">
      <alignment vertical="center" wrapText="1"/>
    </xf>
    <xf numFmtId="10" fontId="1" fillId="28" borderId="21" xfId="1" applyNumberFormat="1" applyFont="1" applyFill="1" applyBorder="1" applyAlignment="1">
      <alignment vertical="center" wrapText="1"/>
    </xf>
    <xf numFmtId="0" fontId="40" fillId="23" borderId="47" xfId="3" applyFont="1" applyFill="1" applyBorder="1" applyAlignment="1">
      <alignment horizontal="center" vertical="center"/>
    </xf>
    <xf numFmtId="0" fontId="40" fillId="23" borderId="55" xfId="3" applyFont="1" applyFill="1" applyBorder="1" applyAlignment="1" applyProtection="1">
      <alignment vertical="center" wrapText="1"/>
      <protection locked="0"/>
    </xf>
    <xf numFmtId="0" fontId="33" fillId="23" borderId="49" xfId="0" applyFont="1" applyFill="1" applyBorder="1" applyAlignment="1">
      <alignment horizontal="center" vertical="center" wrapText="1"/>
    </xf>
    <xf numFmtId="0" fontId="0" fillId="24" borderId="50" xfId="0" applyFill="1" applyBorder="1" applyAlignment="1">
      <alignment horizontal="center" vertical="center" wrapText="1"/>
    </xf>
    <xf numFmtId="0" fontId="0" fillId="23" borderId="46" xfId="0" applyFill="1" applyBorder="1" applyAlignment="1">
      <alignment horizontal="right" vertical="center" wrapText="1"/>
    </xf>
    <xf numFmtId="164" fontId="1" fillId="23" borderId="46" xfId="2" applyNumberFormat="1" applyFont="1" applyFill="1" applyBorder="1" applyAlignment="1">
      <alignment vertical="center" wrapText="1"/>
    </xf>
    <xf numFmtId="10" fontId="1" fillId="23" borderId="46" xfId="2" applyNumberFormat="1" applyFont="1" applyFill="1" applyBorder="1" applyAlignment="1">
      <alignment vertical="center" wrapText="1"/>
    </xf>
    <xf numFmtId="0" fontId="40" fillId="23" borderId="46" xfId="3" applyFont="1" applyFill="1" applyBorder="1" applyAlignment="1">
      <alignment vertical="center"/>
    </xf>
    <xf numFmtId="10" fontId="0" fillId="23" borderId="46" xfId="0" applyNumberFormat="1" applyFill="1" applyBorder="1" applyAlignment="1">
      <alignment vertical="center" wrapText="1"/>
    </xf>
    <xf numFmtId="0" fontId="0" fillId="23" borderId="46" xfId="0" applyFill="1" applyBorder="1" applyAlignment="1">
      <alignment vertical="center" wrapText="1"/>
    </xf>
    <xf numFmtId="0" fontId="0" fillId="23" borderId="46" xfId="0" applyFill="1" applyBorder="1" applyAlignment="1">
      <alignment horizontal="center" vertical="center" wrapText="1"/>
    </xf>
    <xf numFmtId="166" fontId="1" fillId="23" borderId="46" xfId="4" applyNumberFormat="1" applyFont="1" applyFill="1" applyBorder="1" applyAlignment="1">
      <alignment horizontal="center" vertical="center" wrapText="1"/>
    </xf>
    <xf numFmtId="167" fontId="0" fillId="23" borderId="46" xfId="0" applyNumberFormat="1" applyFill="1" applyBorder="1" applyAlignment="1">
      <alignment horizontal="right" vertical="center" wrapText="1"/>
    </xf>
    <xf numFmtId="167" fontId="0" fillId="23" borderId="52" xfId="0" applyNumberFormat="1" applyFill="1" applyBorder="1" applyAlignment="1">
      <alignment vertical="center" wrapText="1"/>
    </xf>
    <xf numFmtId="167" fontId="0" fillId="23" borderId="50" xfId="0" applyNumberFormat="1" applyFill="1" applyBorder="1" applyAlignment="1">
      <alignment vertical="center" wrapText="1"/>
    </xf>
    <xf numFmtId="167" fontId="0" fillId="23" borderId="46" xfId="0" applyNumberFormat="1" applyFill="1" applyBorder="1" applyAlignment="1">
      <alignment vertical="center" wrapText="1"/>
    </xf>
    <xf numFmtId="164" fontId="41" fillId="0" borderId="46" xfId="2" applyNumberFormat="1" applyFont="1" applyFill="1" applyBorder="1" applyAlignment="1">
      <alignment vertical="center" wrapText="1"/>
    </xf>
    <xf numFmtId="10" fontId="41" fillId="0" borderId="46" xfId="2" applyNumberFormat="1" applyFont="1" applyFill="1" applyBorder="1" applyAlignment="1">
      <alignment vertical="center" wrapText="1"/>
    </xf>
    <xf numFmtId="164" fontId="41" fillId="5" borderId="46" xfId="2" applyNumberFormat="1" applyFont="1" applyFill="1" applyBorder="1" applyAlignment="1">
      <alignment vertical="center" wrapText="1"/>
    </xf>
    <xf numFmtId="164" fontId="41" fillId="15" borderId="46" xfId="2" applyNumberFormat="1" applyFont="1" applyFill="1" applyBorder="1" applyAlignment="1">
      <alignment vertical="center" wrapText="1"/>
    </xf>
    <xf numFmtId="164" fontId="1" fillId="25" borderId="46" xfId="2" applyNumberFormat="1" applyFont="1" applyFill="1" applyBorder="1" applyAlignment="1">
      <alignment vertical="center" wrapText="1"/>
    </xf>
    <xf numFmtId="164" fontId="41" fillId="21" borderId="46" xfId="2" applyNumberFormat="1" applyFont="1" applyFill="1" applyBorder="1" applyAlignment="1">
      <alignment vertical="center" wrapText="1"/>
    </xf>
    <xf numFmtId="164" fontId="41" fillId="23" borderId="55" xfId="1" applyNumberFormat="1" applyFont="1" applyFill="1" applyBorder="1" applyAlignment="1">
      <alignment vertical="center" wrapText="1"/>
    </xf>
    <xf numFmtId="10" fontId="41" fillId="23" borderId="50" xfId="1" applyNumberFormat="1" applyFont="1" applyFill="1" applyBorder="1" applyAlignment="1">
      <alignment horizontal="center" vertical="center" wrapText="1"/>
    </xf>
    <xf numFmtId="164" fontId="41" fillId="26" borderId="50" xfId="1" applyNumberFormat="1" applyFont="1" applyFill="1" applyBorder="1" applyAlignment="1">
      <alignment vertical="center" wrapText="1"/>
    </xf>
    <xf numFmtId="164" fontId="41" fillId="27" borderId="50" xfId="1" applyNumberFormat="1" applyFont="1" applyFill="1" applyBorder="1" applyAlignment="1">
      <alignment vertical="center" wrapText="1"/>
    </xf>
    <xf numFmtId="0" fontId="2" fillId="26" borderId="50" xfId="0" applyFont="1" applyFill="1" applyBorder="1" applyAlignment="1">
      <alignment vertical="center" wrapText="1"/>
    </xf>
    <xf numFmtId="0" fontId="37" fillId="26" borderId="46" xfId="0" applyFont="1" applyFill="1" applyBorder="1" applyAlignment="1">
      <alignment vertical="center" wrapText="1"/>
    </xf>
    <xf numFmtId="10" fontId="37" fillId="26" borderId="46" xfId="1" applyNumberFormat="1" applyFont="1" applyFill="1" applyBorder="1" applyAlignment="1">
      <alignment vertical="center" wrapText="1"/>
    </xf>
    <xf numFmtId="10" fontId="2" fillId="26" borderId="52" xfId="1" applyNumberFormat="1" applyFont="1" applyFill="1" applyBorder="1" applyAlignment="1">
      <alignment vertical="center" wrapText="1"/>
    </xf>
    <xf numFmtId="10" fontId="2" fillId="26" borderId="50" xfId="1" applyNumberFormat="1" applyFont="1" applyFill="1" applyBorder="1" applyAlignment="1">
      <alignment vertical="center" wrapText="1"/>
    </xf>
    <xf numFmtId="169" fontId="1" fillId="28" borderId="50" xfId="1" applyNumberFormat="1" applyFont="1" applyFill="1" applyBorder="1" applyAlignment="1">
      <alignment vertical="center" wrapText="1"/>
    </xf>
    <xf numFmtId="10" fontId="42" fillId="28" borderId="46" xfId="1" applyNumberFormat="1" applyFont="1" applyFill="1" applyBorder="1" applyAlignment="1">
      <alignment vertical="center" wrapText="1"/>
    </xf>
    <xf numFmtId="10" fontId="1" fillId="28" borderId="52" xfId="1" applyNumberFormat="1" applyFont="1" applyFill="1" applyBorder="1" applyAlignment="1">
      <alignment vertical="center" wrapText="1"/>
    </xf>
    <xf numFmtId="10" fontId="1" fillId="28" borderId="50" xfId="1" applyNumberFormat="1" applyFont="1" applyFill="1" applyBorder="1" applyAlignment="1">
      <alignment vertical="center" wrapText="1"/>
    </xf>
    <xf numFmtId="10" fontId="1" fillId="28" borderId="46" xfId="1" applyNumberFormat="1" applyFont="1" applyFill="1" applyBorder="1" applyAlignment="1">
      <alignment vertical="center" wrapText="1"/>
    </xf>
    <xf numFmtId="0" fontId="40" fillId="23" borderId="58" xfId="3" applyFont="1" applyFill="1" applyBorder="1" applyAlignment="1">
      <alignment horizontal="center" vertical="center"/>
    </xf>
    <xf numFmtId="0" fontId="40" fillId="23" borderId="67" xfId="3" applyFont="1" applyFill="1" applyBorder="1" applyAlignment="1" applyProtection="1">
      <alignment vertical="center" wrapText="1"/>
      <protection locked="0"/>
    </xf>
    <xf numFmtId="0" fontId="33" fillId="23" borderId="60" xfId="0" applyFont="1" applyFill="1" applyBorder="1" applyAlignment="1">
      <alignment horizontal="center" vertical="center" wrapText="1"/>
    </xf>
    <xf numFmtId="0" fontId="0" fillId="24" borderId="61" xfId="0" applyFill="1" applyBorder="1" applyAlignment="1">
      <alignment horizontal="center" vertical="center" wrapText="1"/>
    </xf>
    <xf numFmtId="0" fontId="0" fillId="23" borderId="32" xfId="0" applyFill="1" applyBorder="1" applyAlignment="1">
      <alignment horizontal="right" vertical="center" wrapText="1"/>
    </xf>
    <xf numFmtId="164" fontId="1" fillId="23" borderId="32" xfId="2" applyNumberFormat="1" applyFont="1" applyFill="1" applyBorder="1" applyAlignment="1">
      <alignment vertical="center" wrapText="1"/>
    </xf>
    <xf numFmtId="10" fontId="1" fillId="23" borderId="32" xfId="2" applyNumberFormat="1" applyFont="1" applyFill="1" applyBorder="1" applyAlignment="1">
      <alignment vertical="center" wrapText="1"/>
    </xf>
    <xf numFmtId="0" fontId="40" fillId="23" borderId="32" xfId="3" applyFont="1" applyFill="1" applyBorder="1" applyAlignment="1">
      <alignment vertical="center"/>
    </xf>
    <xf numFmtId="10" fontId="0" fillId="23" borderId="32" xfId="0" applyNumberFormat="1" applyFill="1" applyBorder="1" applyAlignment="1">
      <alignment vertical="center" wrapText="1"/>
    </xf>
    <xf numFmtId="165" fontId="0" fillId="23" borderId="27" xfId="0" applyNumberFormat="1" applyFill="1" applyBorder="1" applyAlignment="1">
      <alignment vertical="center" wrapText="1"/>
    </xf>
    <xf numFmtId="0" fontId="0" fillId="23" borderId="32" xfId="0" applyFill="1" applyBorder="1" applyAlignment="1">
      <alignment vertical="center" wrapText="1"/>
    </xf>
    <xf numFmtId="0" fontId="0" fillId="23" borderId="32" xfId="0" applyFill="1" applyBorder="1" applyAlignment="1">
      <alignment horizontal="center" vertical="center" wrapText="1"/>
    </xf>
    <xf numFmtId="166" fontId="1" fillId="23" borderId="32" xfId="4" applyNumberFormat="1" applyFont="1" applyFill="1" applyBorder="1" applyAlignment="1">
      <alignment horizontal="center" vertical="center" wrapText="1"/>
    </xf>
    <xf numFmtId="167" fontId="0" fillId="23" borderId="32" xfId="0" applyNumberFormat="1" applyFill="1" applyBorder="1" applyAlignment="1">
      <alignment horizontal="right" vertical="center" wrapText="1"/>
    </xf>
    <xf numFmtId="167" fontId="0" fillId="23" borderId="63" xfId="0" applyNumberFormat="1" applyFill="1" applyBorder="1" applyAlignment="1">
      <alignment vertical="center" wrapText="1"/>
    </xf>
    <xf numFmtId="167" fontId="0" fillId="23" borderId="61" xfId="0" applyNumberFormat="1" applyFill="1" applyBorder="1" applyAlignment="1">
      <alignment vertical="center" wrapText="1"/>
    </xf>
    <xf numFmtId="167" fontId="0" fillId="23" borderId="62" xfId="0" applyNumberFormat="1" applyFill="1" applyBorder="1" applyAlignment="1">
      <alignment vertical="center" wrapText="1"/>
    </xf>
    <xf numFmtId="167" fontId="0" fillId="23" borderId="64" xfId="0" applyNumberFormat="1" applyFill="1" applyBorder="1" applyAlignment="1">
      <alignment vertical="center" wrapText="1"/>
    </xf>
    <xf numFmtId="167" fontId="0" fillId="23" borderId="32" xfId="0" applyNumberFormat="1" applyFill="1" applyBorder="1" applyAlignment="1">
      <alignment vertical="center" wrapText="1"/>
    </xf>
    <xf numFmtId="164" fontId="41" fillId="0" borderId="32" xfId="2" applyNumberFormat="1" applyFont="1" applyFill="1" applyBorder="1" applyAlignment="1">
      <alignment vertical="center" wrapText="1"/>
    </xf>
    <xf numFmtId="10" fontId="41" fillId="0" borderId="32" xfId="2" applyNumberFormat="1" applyFont="1" applyFill="1" applyBorder="1" applyAlignment="1">
      <alignment vertical="center" wrapText="1"/>
    </xf>
    <xf numFmtId="164" fontId="41" fillId="5" borderId="32" xfId="2" applyNumberFormat="1" applyFont="1" applyFill="1" applyBorder="1" applyAlignment="1">
      <alignment vertical="center" wrapText="1"/>
    </xf>
    <xf numFmtId="164" fontId="41" fillId="15" borderId="32" xfId="2" applyNumberFormat="1" applyFont="1" applyFill="1" applyBorder="1" applyAlignment="1">
      <alignment vertical="center" wrapText="1"/>
    </xf>
    <xf numFmtId="164" fontId="1" fillId="25" borderId="32" xfId="2" applyNumberFormat="1" applyFont="1" applyFill="1" applyBorder="1" applyAlignment="1">
      <alignment vertical="center" wrapText="1"/>
    </xf>
    <xf numFmtId="164" fontId="41" fillId="21" borderId="32" xfId="2" applyNumberFormat="1" applyFont="1" applyFill="1" applyBorder="1" applyAlignment="1">
      <alignment vertical="center" wrapText="1"/>
    </xf>
    <xf numFmtId="164" fontId="41" fillId="23" borderId="67" xfId="1" applyNumberFormat="1" applyFont="1" applyFill="1" applyBorder="1" applyAlignment="1">
      <alignment vertical="center" wrapText="1"/>
    </xf>
    <xf numFmtId="10" fontId="41" fillId="23" borderId="61" xfId="1" applyNumberFormat="1" applyFont="1" applyFill="1" applyBorder="1" applyAlignment="1">
      <alignment horizontal="center" vertical="center" wrapText="1"/>
    </xf>
    <xf numFmtId="164" fontId="41" fillId="26" borderId="61" xfId="1" applyNumberFormat="1" applyFont="1" applyFill="1" applyBorder="1" applyAlignment="1">
      <alignment vertical="center" wrapText="1"/>
    </xf>
    <xf numFmtId="164" fontId="41" fillId="27" borderId="61" xfId="1" applyNumberFormat="1" applyFont="1" applyFill="1" applyBorder="1" applyAlignment="1">
      <alignment vertical="center" wrapText="1"/>
    </xf>
    <xf numFmtId="0" fontId="2" fillId="26" borderId="61" xfId="0" applyFont="1" applyFill="1" applyBorder="1" applyAlignment="1">
      <alignment vertical="center" wrapText="1"/>
    </xf>
    <xf numFmtId="0" fontId="37" fillId="26" borderId="32" xfId="0" applyFont="1" applyFill="1" applyBorder="1" applyAlignment="1">
      <alignment vertical="center" wrapText="1"/>
    </xf>
    <xf numFmtId="10" fontId="37" fillId="26" borderId="32" xfId="1" applyNumberFormat="1" applyFont="1" applyFill="1" applyBorder="1" applyAlignment="1">
      <alignment vertical="center" wrapText="1"/>
    </xf>
    <xf numFmtId="10" fontId="2" fillId="26" borderId="63" xfId="1" applyNumberFormat="1" applyFont="1" applyFill="1" applyBorder="1" applyAlignment="1">
      <alignment vertical="center" wrapText="1"/>
    </xf>
    <xf numFmtId="10" fontId="2" fillId="26" borderId="61" xfId="1" applyNumberFormat="1" applyFont="1" applyFill="1" applyBorder="1" applyAlignment="1">
      <alignment vertical="center" wrapText="1"/>
    </xf>
    <xf numFmtId="169" fontId="1" fillId="28" borderId="61" xfId="1" applyNumberFormat="1" applyFont="1" applyFill="1" applyBorder="1" applyAlignment="1">
      <alignment vertical="center" wrapText="1"/>
    </xf>
    <xf numFmtId="10" fontId="42" fillId="28" borderId="32" xfId="1" applyNumberFormat="1" applyFont="1" applyFill="1" applyBorder="1" applyAlignment="1">
      <alignment vertical="center" wrapText="1"/>
    </xf>
    <xf numFmtId="10" fontId="1" fillId="28" borderId="63" xfId="1" applyNumberFormat="1" applyFont="1" applyFill="1" applyBorder="1" applyAlignment="1">
      <alignment vertical="center" wrapText="1"/>
    </xf>
    <xf numFmtId="10" fontId="1" fillId="28" borderId="61" xfId="1" applyNumberFormat="1" applyFont="1" applyFill="1" applyBorder="1" applyAlignment="1">
      <alignment vertical="center" wrapText="1"/>
    </xf>
    <xf numFmtId="10" fontId="1" fillId="28" borderId="32" xfId="1" applyNumberFormat="1" applyFont="1" applyFill="1" applyBorder="1" applyAlignment="1">
      <alignment vertical="center" wrapText="1"/>
    </xf>
    <xf numFmtId="0" fontId="40" fillId="29" borderId="40" xfId="3" applyFont="1" applyFill="1" applyBorder="1" applyAlignment="1">
      <alignment horizontal="center" vertical="center"/>
    </xf>
    <xf numFmtId="0" fontId="40" fillId="29" borderId="41" xfId="3" applyFont="1" applyFill="1" applyBorder="1" applyAlignment="1" applyProtection="1">
      <alignment vertical="center" wrapText="1"/>
      <protection locked="0"/>
    </xf>
    <xf numFmtId="0" fontId="33" fillId="29" borderId="42" xfId="0" applyFont="1" applyFill="1" applyBorder="1" applyAlignment="1">
      <alignment horizontal="center" vertical="center" wrapText="1"/>
    </xf>
    <xf numFmtId="0" fontId="0" fillId="30" borderId="20" xfId="0" applyFill="1" applyBorder="1" applyAlignment="1">
      <alignment horizontal="center" vertical="center" wrapText="1"/>
    </xf>
    <xf numFmtId="0" fontId="0" fillId="29" borderId="46" xfId="0" applyFill="1" applyBorder="1" applyAlignment="1">
      <alignment horizontal="right" vertical="center" wrapText="1"/>
    </xf>
    <xf numFmtId="164" fontId="1" fillId="29" borderId="21" xfId="2" applyNumberFormat="1" applyFont="1" applyFill="1" applyBorder="1" applyAlignment="1">
      <alignment vertical="center" wrapText="1"/>
    </xf>
    <xf numFmtId="10" fontId="1" fillId="29" borderId="21" xfId="2" applyNumberFormat="1" applyFont="1" applyFill="1" applyBorder="1" applyAlignment="1">
      <alignment vertical="center" wrapText="1"/>
    </xf>
    <xf numFmtId="0" fontId="40" fillId="29" borderId="21" xfId="3" applyFont="1" applyFill="1" applyBorder="1" applyAlignment="1">
      <alignment vertical="center"/>
    </xf>
    <xf numFmtId="10" fontId="0" fillId="29" borderId="21" xfId="0" applyNumberFormat="1" applyFill="1" applyBorder="1" applyAlignment="1">
      <alignment vertical="center" wrapText="1"/>
    </xf>
    <xf numFmtId="165" fontId="0" fillId="29" borderId="43" xfId="0" applyNumberFormat="1" applyFill="1" applyBorder="1" applyAlignment="1">
      <alignment vertical="center" wrapText="1"/>
    </xf>
    <xf numFmtId="0" fontId="0" fillId="29" borderId="21" xfId="0" applyFill="1" applyBorder="1" applyAlignment="1">
      <alignment vertical="center" wrapText="1"/>
    </xf>
    <xf numFmtId="0" fontId="0" fillId="29" borderId="21" xfId="0" applyFill="1" applyBorder="1" applyAlignment="1">
      <alignment horizontal="center" vertical="center" wrapText="1"/>
    </xf>
    <xf numFmtId="166" fontId="1" fillId="29" borderId="21" xfId="4" applyNumberFormat="1" applyFont="1" applyFill="1" applyBorder="1" applyAlignment="1">
      <alignment horizontal="center" vertical="center" wrapText="1"/>
    </xf>
    <xf numFmtId="167" fontId="0" fillId="29" borderId="21" xfId="0" applyNumberFormat="1" applyFill="1" applyBorder="1" applyAlignment="1">
      <alignment horizontal="right" vertical="center" wrapText="1"/>
    </xf>
    <xf numFmtId="167" fontId="0" fillId="29" borderId="22" xfId="0" applyNumberFormat="1" applyFill="1" applyBorder="1" applyAlignment="1">
      <alignment horizontal="right" vertical="center" wrapText="1"/>
    </xf>
    <xf numFmtId="167" fontId="0" fillId="29" borderId="20" xfId="0" applyNumberFormat="1" applyFill="1" applyBorder="1" applyAlignment="1">
      <alignment vertical="center" wrapText="1"/>
    </xf>
    <xf numFmtId="167" fontId="0" fillId="29" borderId="23" xfId="0" applyNumberFormat="1" applyFill="1" applyBorder="1" applyAlignment="1">
      <alignment vertical="center" wrapText="1"/>
    </xf>
    <xf numFmtId="167" fontId="0" fillId="29" borderId="45" xfId="0" applyNumberFormat="1" applyFill="1" applyBorder="1" applyAlignment="1">
      <alignment vertical="center" wrapText="1"/>
    </xf>
    <xf numFmtId="167" fontId="0" fillId="29" borderId="21" xfId="0" applyNumberFormat="1" applyFill="1" applyBorder="1" applyAlignment="1">
      <alignment vertical="center" wrapText="1"/>
    </xf>
    <xf numFmtId="170" fontId="41" fillId="0" borderId="21" xfId="2" applyNumberFormat="1" applyFont="1" applyFill="1" applyBorder="1" applyAlignment="1">
      <alignment vertical="center" wrapText="1"/>
    </xf>
    <xf numFmtId="170" fontId="41" fillId="5" borderId="21" xfId="2" applyNumberFormat="1" applyFont="1" applyFill="1" applyBorder="1" applyAlignment="1">
      <alignment vertical="center" wrapText="1"/>
    </xf>
    <xf numFmtId="170" fontId="41" fillId="15" borderId="21" xfId="2" applyNumberFormat="1" applyFont="1" applyFill="1" applyBorder="1" applyAlignment="1">
      <alignment vertical="center" wrapText="1"/>
    </xf>
    <xf numFmtId="170" fontId="41" fillId="21" borderId="21" xfId="2" applyNumberFormat="1" applyFont="1" applyFill="1" applyBorder="1" applyAlignment="1">
      <alignment vertical="center" wrapText="1"/>
    </xf>
    <xf numFmtId="164" fontId="41" fillId="29" borderId="41" xfId="1" applyNumberFormat="1" applyFont="1" applyFill="1" applyBorder="1" applyAlignment="1">
      <alignment vertical="center" wrapText="1"/>
    </xf>
    <xf numFmtId="10" fontId="41" fillId="29" borderId="20" xfId="1" applyNumberFormat="1" applyFont="1" applyFill="1" applyBorder="1" applyAlignment="1">
      <alignment horizontal="center" vertical="center" wrapText="1"/>
    </xf>
    <xf numFmtId="164" fontId="41" fillId="29" borderId="20" xfId="1" applyNumberFormat="1" applyFont="1" applyFill="1" applyBorder="1" applyAlignment="1">
      <alignment vertical="center" wrapText="1"/>
    </xf>
    <xf numFmtId="10" fontId="1" fillId="29" borderId="20" xfId="2" applyNumberFormat="1" applyFont="1" applyFill="1" applyBorder="1" applyAlignment="1">
      <alignment vertical="center" wrapText="1"/>
    </xf>
    <xf numFmtId="10" fontId="42" fillId="29" borderId="21" xfId="2" applyNumberFormat="1" applyFont="1" applyFill="1" applyBorder="1" applyAlignment="1">
      <alignment vertical="center" wrapText="1"/>
    </xf>
    <xf numFmtId="10" fontId="1" fillId="29" borderId="22" xfId="2" applyNumberFormat="1" applyFont="1" applyFill="1" applyBorder="1" applyAlignment="1">
      <alignment vertical="center" wrapText="1"/>
    </xf>
    <xf numFmtId="0" fontId="40" fillId="29" borderId="47" xfId="3" applyFont="1" applyFill="1" applyBorder="1" applyAlignment="1">
      <alignment horizontal="center" vertical="center"/>
    </xf>
    <xf numFmtId="0" fontId="40" fillId="29" borderId="55" xfId="3" applyFont="1" applyFill="1" applyBorder="1" applyAlignment="1" applyProtection="1">
      <alignment vertical="center" wrapText="1"/>
      <protection locked="0"/>
    </xf>
    <xf numFmtId="0" fontId="33" fillId="29" borderId="49" xfId="0" applyFont="1" applyFill="1" applyBorder="1" applyAlignment="1">
      <alignment horizontal="center" vertical="center" wrapText="1"/>
    </xf>
    <xf numFmtId="0" fontId="0" fillId="30" borderId="50" xfId="0" applyFill="1" applyBorder="1" applyAlignment="1">
      <alignment horizontal="center" vertical="center" wrapText="1"/>
    </xf>
    <xf numFmtId="164" fontId="1" fillId="29" borderId="46" xfId="2" applyNumberFormat="1" applyFont="1" applyFill="1" applyBorder="1" applyAlignment="1">
      <alignment vertical="center" wrapText="1"/>
    </xf>
    <xf numFmtId="10" fontId="1" fillId="29" borderId="46" xfId="2" applyNumberFormat="1" applyFont="1" applyFill="1" applyBorder="1" applyAlignment="1">
      <alignment vertical="center" wrapText="1"/>
    </xf>
    <xf numFmtId="0" fontId="40" fillId="29" borderId="46" xfId="3" applyFont="1" applyFill="1" applyBorder="1" applyAlignment="1">
      <alignment vertical="center"/>
    </xf>
    <xf numFmtId="10" fontId="0" fillId="29" borderId="46" xfId="0" applyNumberFormat="1" applyFill="1" applyBorder="1" applyAlignment="1">
      <alignment vertical="center" wrapText="1"/>
    </xf>
    <xf numFmtId="0" fontId="0" fillId="29" borderId="46" xfId="0" applyFill="1" applyBorder="1" applyAlignment="1">
      <alignment vertical="center" wrapText="1"/>
    </xf>
    <xf numFmtId="0" fontId="0" fillId="29" borderId="46" xfId="0" applyFill="1" applyBorder="1" applyAlignment="1">
      <alignment horizontal="center" vertical="center" wrapText="1"/>
    </xf>
    <xf numFmtId="166" fontId="1" fillId="29" borderId="46" xfId="4" applyNumberFormat="1" applyFont="1" applyFill="1" applyBorder="1" applyAlignment="1">
      <alignment horizontal="center" vertical="center" wrapText="1"/>
    </xf>
    <xf numFmtId="167" fontId="0" fillId="29" borderId="46" xfId="0" applyNumberFormat="1" applyFill="1" applyBorder="1" applyAlignment="1">
      <alignment horizontal="right" vertical="center" wrapText="1"/>
    </xf>
    <xf numFmtId="167" fontId="0" fillId="29" borderId="53" xfId="0" applyNumberFormat="1" applyFill="1" applyBorder="1" applyAlignment="1">
      <alignment vertical="center" wrapText="1"/>
    </xf>
    <xf numFmtId="167" fontId="0" fillId="29" borderId="54" xfId="0" applyNumberFormat="1" applyFill="1" applyBorder="1" applyAlignment="1">
      <alignment vertical="center" wrapText="1"/>
    </xf>
    <xf numFmtId="167" fontId="0" fillId="29" borderId="46" xfId="0" applyNumberFormat="1" applyFill="1" applyBorder="1" applyAlignment="1">
      <alignment vertical="center" wrapText="1"/>
    </xf>
    <xf numFmtId="170" fontId="41" fillId="0" borderId="46" xfId="2" applyNumberFormat="1" applyFont="1" applyFill="1" applyBorder="1" applyAlignment="1">
      <alignment vertical="center" wrapText="1"/>
    </xf>
    <xf numFmtId="170" fontId="41" fillId="5" borderId="46" xfId="2" applyNumberFormat="1" applyFont="1" applyFill="1" applyBorder="1" applyAlignment="1">
      <alignment vertical="center" wrapText="1"/>
    </xf>
    <xf numFmtId="170" fontId="41" fillId="15" borderId="46" xfId="2" applyNumberFormat="1" applyFont="1" applyFill="1" applyBorder="1" applyAlignment="1">
      <alignment vertical="center" wrapText="1"/>
    </xf>
    <xf numFmtId="170" fontId="41" fillId="21" borderId="46" xfId="2" applyNumberFormat="1" applyFont="1" applyFill="1" applyBorder="1" applyAlignment="1">
      <alignment vertical="center" wrapText="1"/>
    </xf>
    <xf numFmtId="164" fontId="41" fillId="29" borderId="55" xfId="1" applyNumberFormat="1" applyFont="1" applyFill="1" applyBorder="1" applyAlignment="1">
      <alignment vertical="center" wrapText="1"/>
    </xf>
    <xf numFmtId="10" fontId="41" fillId="29" borderId="50" xfId="1" applyNumberFormat="1" applyFont="1" applyFill="1" applyBorder="1" applyAlignment="1">
      <alignment horizontal="center" vertical="center" wrapText="1"/>
    </xf>
    <xf numFmtId="164" fontId="41" fillId="29" borderId="50" xfId="1" applyNumberFormat="1" applyFont="1" applyFill="1" applyBorder="1" applyAlignment="1">
      <alignment vertical="center" wrapText="1"/>
    </xf>
    <xf numFmtId="10" fontId="1" fillId="29" borderId="50" xfId="2" applyNumberFormat="1" applyFont="1" applyFill="1" applyBorder="1" applyAlignment="1">
      <alignment vertical="center" wrapText="1"/>
    </xf>
    <xf numFmtId="10" fontId="42" fillId="29" borderId="46" xfId="2" applyNumberFormat="1" applyFont="1" applyFill="1" applyBorder="1" applyAlignment="1">
      <alignment vertical="center" wrapText="1"/>
    </xf>
    <xf numFmtId="10" fontId="1" fillId="29" borderId="52" xfId="2" applyNumberFormat="1" applyFont="1" applyFill="1" applyBorder="1" applyAlignment="1">
      <alignment vertical="center" wrapText="1"/>
    </xf>
    <xf numFmtId="0" fontId="40" fillId="29" borderId="65" xfId="3" applyFont="1" applyFill="1" applyBorder="1" applyAlignment="1">
      <alignment horizontal="center" vertical="center"/>
    </xf>
    <xf numFmtId="0" fontId="40" fillId="29" borderId="67" xfId="3" applyFont="1" applyFill="1" applyBorder="1" applyAlignment="1" applyProtection="1">
      <alignment vertical="center" wrapText="1"/>
      <protection locked="0"/>
    </xf>
    <xf numFmtId="0" fontId="33" fillId="29" borderId="60" xfId="0" applyFont="1" applyFill="1" applyBorder="1" applyAlignment="1">
      <alignment horizontal="center" vertical="center" wrapText="1"/>
    </xf>
    <xf numFmtId="0" fontId="0" fillId="30" borderId="61" xfId="0" applyFill="1" applyBorder="1" applyAlignment="1">
      <alignment horizontal="center" vertical="center" wrapText="1"/>
    </xf>
    <xf numFmtId="0" fontId="0" fillId="29" borderId="32" xfId="0" applyFill="1" applyBorder="1" applyAlignment="1">
      <alignment horizontal="right" vertical="center" wrapText="1"/>
    </xf>
    <xf numFmtId="164" fontId="1" fillId="29" borderId="32" xfId="2" applyNumberFormat="1" applyFont="1" applyFill="1" applyBorder="1" applyAlignment="1">
      <alignment vertical="center" wrapText="1"/>
    </xf>
    <xf numFmtId="10" fontId="1" fillId="29" borderId="32" xfId="2" applyNumberFormat="1" applyFont="1" applyFill="1" applyBorder="1" applyAlignment="1">
      <alignment vertical="center" wrapText="1"/>
    </xf>
    <xf numFmtId="0" fontId="40" fillId="29" borderId="27" xfId="3" applyFont="1" applyFill="1" applyBorder="1" applyAlignment="1">
      <alignment vertical="center"/>
    </xf>
    <xf numFmtId="10" fontId="0" fillId="29" borderId="32" xfId="0" applyNumberFormat="1" applyFill="1" applyBorder="1" applyAlignment="1">
      <alignment vertical="center" wrapText="1"/>
    </xf>
    <xf numFmtId="165" fontId="0" fillId="29" borderId="27" xfId="0" applyNumberFormat="1" applyFill="1" applyBorder="1" applyAlignment="1">
      <alignment vertical="center" wrapText="1"/>
    </xf>
    <xf numFmtId="0" fontId="0" fillId="29" borderId="32" xfId="0" applyFill="1" applyBorder="1" applyAlignment="1">
      <alignment vertical="center" wrapText="1"/>
    </xf>
    <xf numFmtId="0" fontId="0" fillId="29" borderId="32" xfId="0" applyFill="1" applyBorder="1" applyAlignment="1">
      <alignment horizontal="center" vertical="center" wrapText="1"/>
    </xf>
    <xf numFmtId="166" fontId="1" fillId="29" borderId="32" xfId="4" applyNumberFormat="1" applyFont="1" applyFill="1" applyBorder="1" applyAlignment="1">
      <alignment horizontal="center" vertical="center" wrapText="1"/>
    </xf>
    <xf numFmtId="167" fontId="0" fillId="29" borderId="32" xfId="0" applyNumberFormat="1" applyFill="1" applyBorder="1" applyAlignment="1">
      <alignment horizontal="right" vertical="center" wrapText="1"/>
    </xf>
    <xf numFmtId="167" fontId="0" fillId="29" borderId="63" xfId="0" applyNumberFormat="1" applyFill="1" applyBorder="1" applyAlignment="1">
      <alignment vertical="center" wrapText="1"/>
    </xf>
    <xf numFmtId="167" fontId="0" fillId="29" borderId="61" xfId="0" applyNumberFormat="1" applyFill="1" applyBorder="1" applyAlignment="1">
      <alignment vertical="center" wrapText="1"/>
    </xf>
    <xf numFmtId="167" fontId="0" fillId="29" borderId="62" xfId="0" applyNumberFormat="1" applyFill="1" applyBorder="1" applyAlignment="1">
      <alignment vertical="center" wrapText="1"/>
    </xf>
    <xf numFmtId="167" fontId="0" fillId="29" borderId="64" xfId="0" applyNumberFormat="1" applyFill="1" applyBorder="1" applyAlignment="1">
      <alignment vertical="center" wrapText="1"/>
    </xf>
    <xf numFmtId="167" fontId="0" fillId="29" borderId="32" xfId="0" applyNumberFormat="1" applyFill="1" applyBorder="1" applyAlignment="1">
      <alignment vertical="center" wrapText="1"/>
    </xf>
    <xf numFmtId="170" fontId="41" fillId="0" borderId="32" xfId="2" applyNumberFormat="1" applyFont="1" applyFill="1" applyBorder="1" applyAlignment="1">
      <alignment vertical="center" wrapText="1"/>
    </xf>
    <xf numFmtId="170" fontId="41" fillId="5" borderId="32" xfId="2" applyNumberFormat="1" applyFont="1" applyFill="1" applyBorder="1" applyAlignment="1">
      <alignment vertical="center" wrapText="1"/>
    </xf>
    <xf numFmtId="170" fontId="41" fillId="15" borderId="32" xfId="2" applyNumberFormat="1" applyFont="1" applyFill="1" applyBorder="1" applyAlignment="1">
      <alignment vertical="center" wrapText="1"/>
    </xf>
    <xf numFmtId="170" fontId="41" fillId="21" borderId="32" xfId="2" applyNumberFormat="1" applyFont="1" applyFill="1" applyBorder="1" applyAlignment="1">
      <alignment vertical="center" wrapText="1"/>
    </xf>
    <xf numFmtId="164" fontId="41" fillId="29" borderId="67" xfId="1" applyNumberFormat="1" applyFont="1" applyFill="1" applyBorder="1" applyAlignment="1">
      <alignment vertical="center" wrapText="1"/>
    </xf>
    <xf numFmtId="10" fontId="41" fillId="29" borderId="61" xfId="1" applyNumberFormat="1" applyFont="1" applyFill="1" applyBorder="1" applyAlignment="1">
      <alignment horizontal="center" vertical="center" wrapText="1"/>
    </xf>
    <xf numFmtId="164" fontId="41" fillId="29" borderId="61" xfId="1" applyNumberFormat="1" applyFont="1" applyFill="1" applyBorder="1" applyAlignment="1">
      <alignment vertical="center" wrapText="1"/>
    </xf>
    <xf numFmtId="10" fontId="1" fillId="29" borderId="61" xfId="2" applyNumberFormat="1" applyFont="1" applyFill="1" applyBorder="1" applyAlignment="1">
      <alignment vertical="center" wrapText="1"/>
    </xf>
    <xf numFmtId="10" fontId="42" fillId="29" borderId="32" xfId="2" applyNumberFormat="1" applyFont="1" applyFill="1" applyBorder="1" applyAlignment="1">
      <alignment vertical="center" wrapText="1"/>
    </xf>
    <xf numFmtId="10" fontId="1" fillId="29" borderId="63" xfId="2" applyNumberFormat="1" applyFont="1" applyFill="1" applyBorder="1" applyAlignment="1">
      <alignment vertical="center" wrapText="1"/>
    </xf>
    <xf numFmtId="0" fontId="0" fillId="31" borderId="40" xfId="0" applyFill="1" applyBorder="1" applyAlignment="1">
      <alignment horizontal="center" vertical="center" wrapText="1"/>
    </xf>
    <xf numFmtId="0" fontId="0" fillId="31" borderId="41" xfId="0" applyFill="1" applyBorder="1" applyAlignment="1">
      <alignment horizontal="center" vertical="center" wrapText="1"/>
    </xf>
    <xf numFmtId="0" fontId="33" fillId="31" borderId="42" xfId="0" applyFont="1" applyFill="1" applyBorder="1" applyAlignment="1">
      <alignment horizontal="center" vertical="center" wrapText="1"/>
    </xf>
    <xf numFmtId="0" fontId="0" fillId="32" borderId="20" xfId="0" applyFill="1" applyBorder="1" applyAlignment="1">
      <alignment horizontal="center" vertical="center" wrapText="1"/>
    </xf>
    <xf numFmtId="0" fontId="0" fillId="31" borderId="21" xfId="0" applyFill="1" applyBorder="1" applyAlignment="1">
      <alignment horizontal="right" vertical="center" wrapText="1"/>
    </xf>
    <xf numFmtId="164" fontId="1" fillId="31" borderId="21" xfId="2" applyNumberFormat="1" applyFont="1" applyFill="1" applyBorder="1" applyAlignment="1">
      <alignment vertical="center" wrapText="1"/>
    </xf>
    <xf numFmtId="10" fontId="1" fillId="31" borderId="21" xfId="2" applyNumberFormat="1" applyFont="1" applyFill="1" applyBorder="1" applyAlignment="1">
      <alignment vertical="center" wrapText="1"/>
    </xf>
    <xf numFmtId="0" fontId="40" fillId="31" borderId="21" xfId="3" applyFont="1" applyFill="1" applyBorder="1" applyAlignment="1">
      <alignment vertical="center"/>
    </xf>
    <xf numFmtId="10" fontId="0" fillId="31" borderId="21" xfId="0" applyNumberFormat="1" applyFill="1" applyBorder="1" applyAlignment="1">
      <alignment vertical="center" wrapText="1"/>
    </xf>
    <xf numFmtId="165" fontId="0" fillId="31" borderId="43" xfId="0" applyNumberFormat="1" applyFill="1" applyBorder="1" applyAlignment="1">
      <alignment vertical="center" wrapText="1"/>
    </xf>
    <xf numFmtId="0" fontId="0" fillId="31" borderId="21" xfId="0" applyFill="1" applyBorder="1" applyAlignment="1">
      <alignment vertical="center" wrapText="1"/>
    </xf>
    <xf numFmtId="0" fontId="0" fillId="31" borderId="21" xfId="0" applyFill="1" applyBorder="1" applyAlignment="1">
      <alignment horizontal="center" vertical="center" wrapText="1"/>
    </xf>
    <xf numFmtId="166" fontId="1" fillId="31" borderId="21" xfId="4" applyNumberFormat="1" applyFont="1" applyFill="1" applyBorder="1" applyAlignment="1">
      <alignment horizontal="center" vertical="center" wrapText="1"/>
    </xf>
    <xf numFmtId="167" fontId="0" fillId="31" borderId="21" xfId="0" applyNumberFormat="1" applyFill="1" applyBorder="1" applyAlignment="1">
      <alignment horizontal="right" vertical="center" wrapText="1"/>
    </xf>
    <xf numFmtId="167" fontId="0" fillId="31" borderId="23" xfId="0" applyNumberFormat="1" applyFill="1" applyBorder="1" applyAlignment="1">
      <alignment vertical="center" wrapText="1"/>
    </xf>
    <xf numFmtId="167" fontId="0" fillId="31" borderId="45" xfId="0" applyNumberFormat="1" applyFill="1" applyBorder="1" applyAlignment="1">
      <alignment vertical="center" wrapText="1"/>
    </xf>
    <xf numFmtId="167" fontId="0" fillId="31" borderId="21" xfId="0" applyNumberFormat="1" applyFill="1" applyBorder="1" applyAlignment="1">
      <alignment vertical="center" wrapText="1"/>
    </xf>
    <xf numFmtId="164" fontId="41" fillId="31" borderId="41" xfId="1" applyNumberFormat="1" applyFont="1" applyFill="1" applyBorder="1" applyAlignment="1">
      <alignment vertical="center" wrapText="1"/>
    </xf>
    <xf numFmtId="10" fontId="41" fillId="31" borderId="20" xfId="1" applyNumberFormat="1" applyFont="1" applyFill="1" applyBorder="1" applyAlignment="1">
      <alignment horizontal="center" vertical="center" wrapText="1"/>
    </xf>
    <xf numFmtId="164" fontId="41" fillId="31" borderId="20" xfId="1" applyNumberFormat="1" applyFont="1" applyFill="1" applyBorder="1" applyAlignment="1">
      <alignment vertical="center" wrapText="1"/>
    </xf>
    <xf numFmtId="10" fontId="1" fillId="31" borderId="20" xfId="2" applyNumberFormat="1" applyFont="1" applyFill="1" applyBorder="1" applyAlignment="1">
      <alignment vertical="center" wrapText="1"/>
    </xf>
    <xf numFmtId="10" fontId="42" fillId="31" borderId="21" xfId="2" applyNumberFormat="1" applyFont="1" applyFill="1" applyBorder="1" applyAlignment="1">
      <alignment vertical="center" wrapText="1"/>
    </xf>
    <xf numFmtId="10" fontId="1" fillId="31" borderId="22" xfId="2" applyNumberFormat="1" applyFont="1" applyFill="1" applyBorder="1" applyAlignment="1">
      <alignment vertical="center" wrapText="1"/>
    </xf>
    <xf numFmtId="0" fontId="0" fillId="31" borderId="65" xfId="0" applyFill="1" applyBorder="1" applyAlignment="1">
      <alignment horizontal="center" vertical="center" wrapText="1"/>
    </xf>
    <xf numFmtId="0" fontId="0" fillId="31" borderId="67" xfId="0" applyFill="1" applyBorder="1" applyAlignment="1">
      <alignment horizontal="center" vertical="center" wrapText="1"/>
    </xf>
    <xf numFmtId="0" fontId="33" fillId="31" borderId="60" xfId="0" applyFont="1" applyFill="1" applyBorder="1" applyAlignment="1">
      <alignment horizontal="center" vertical="center" wrapText="1"/>
    </xf>
    <xf numFmtId="0" fontId="0" fillId="32" borderId="61" xfId="0" applyFill="1" applyBorder="1" applyAlignment="1">
      <alignment horizontal="center" vertical="center" wrapText="1"/>
    </xf>
    <xf numFmtId="0" fontId="0" fillId="31" borderId="32" xfId="0" applyFill="1" applyBorder="1" applyAlignment="1">
      <alignment horizontal="right" vertical="center" wrapText="1"/>
    </xf>
    <xf numFmtId="164" fontId="1" fillId="31" borderId="32" xfId="2" applyNumberFormat="1" applyFont="1" applyFill="1" applyBorder="1" applyAlignment="1">
      <alignment vertical="center" wrapText="1"/>
    </xf>
    <xf numFmtId="10" fontId="1" fillId="31" borderId="32" xfId="2" applyNumberFormat="1" applyFont="1" applyFill="1" applyBorder="1" applyAlignment="1">
      <alignment vertical="center" wrapText="1"/>
    </xf>
    <xf numFmtId="0" fontId="40" fillId="31" borderId="32" xfId="3" applyFont="1" applyFill="1" applyBorder="1" applyAlignment="1">
      <alignment vertical="center"/>
    </xf>
    <xf numFmtId="10" fontId="0" fillId="31" borderId="32" xfId="0" applyNumberFormat="1" applyFill="1" applyBorder="1" applyAlignment="1">
      <alignment vertical="center" wrapText="1"/>
    </xf>
    <xf numFmtId="165" fontId="0" fillId="31" borderId="27" xfId="0" applyNumberFormat="1" applyFill="1" applyBorder="1" applyAlignment="1">
      <alignment vertical="center" wrapText="1"/>
    </xf>
    <xf numFmtId="0" fontId="0" fillId="31" borderId="32" xfId="0" applyFill="1" applyBorder="1" applyAlignment="1">
      <alignment vertical="center" wrapText="1"/>
    </xf>
    <xf numFmtId="0" fontId="0" fillId="31" borderId="32" xfId="0" applyFill="1" applyBorder="1" applyAlignment="1">
      <alignment horizontal="center" vertical="center" wrapText="1"/>
    </xf>
    <xf numFmtId="166" fontId="1" fillId="31" borderId="32" xfId="4" applyNumberFormat="1" applyFont="1" applyFill="1" applyBorder="1" applyAlignment="1">
      <alignment horizontal="center" vertical="center" wrapText="1"/>
    </xf>
    <xf numFmtId="167" fontId="0" fillId="31" borderId="32" xfId="0" applyNumberFormat="1" applyFill="1" applyBorder="1" applyAlignment="1">
      <alignment horizontal="right" vertical="center" wrapText="1"/>
    </xf>
    <xf numFmtId="167" fontId="0" fillId="31" borderId="62" xfId="0" applyNumberFormat="1" applyFill="1" applyBorder="1" applyAlignment="1">
      <alignment vertical="center" wrapText="1"/>
    </xf>
    <xf numFmtId="167" fontId="0" fillId="31" borderId="64" xfId="0" applyNumberFormat="1" applyFill="1" applyBorder="1" applyAlignment="1">
      <alignment vertical="center" wrapText="1"/>
    </xf>
    <xf numFmtId="167" fontId="0" fillId="31" borderId="63" xfId="0" applyNumberFormat="1" applyFill="1" applyBorder="1" applyAlignment="1">
      <alignment vertical="center" wrapText="1"/>
    </xf>
    <xf numFmtId="167" fontId="0" fillId="31" borderId="61" xfId="0" applyNumberFormat="1" applyFill="1" applyBorder="1" applyAlignment="1">
      <alignment vertical="center" wrapText="1"/>
    </xf>
    <xf numFmtId="167" fontId="0" fillId="31" borderId="32" xfId="0" applyNumberFormat="1" applyFill="1" applyBorder="1" applyAlignment="1">
      <alignment vertical="center" wrapText="1"/>
    </xf>
    <xf numFmtId="164" fontId="41" fillId="31" borderId="67" xfId="1" applyNumberFormat="1" applyFont="1" applyFill="1" applyBorder="1" applyAlignment="1">
      <alignment vertical="center" wrapText="1"/>
    </xf>
    <xf numFmtId="10" fontId="41" fillId="31" borderId="61" xfId="1" applyNumberFormat="1" applyFont="1" applyFill="1" applyBorder="1" applyAlignment="1">
      <alignment horizontal="center" vertical="center" wrapText="1"/>
    </xf>
    <xf numFmtId="164" fontId="41" fillId="31" borderId="61" xfId="1" applyNumberFormat="1" applyFont="1" applyFill="1" applyBorder="1" applyAlignment="1">
      <alignment vertical="center" wrapText="1"/>
    </xf>
    <xf numFmtId="10" fontId="1" fillId="31" borderId="61" xfId="2" applyNumberFormat="1" applyFont="1" applyFill="1" applyBorder="1" applyAlignment="1">
      <alignment vertical="center" wrapText="1"/>
    </xf>
    <xf numFmtId="10" fontId="42" fillId="31" borderId="32" xfId="2" applyNumberFormat="1" applyFont="1" applyFill="1" applyBorder="1" applyAlignment="1">
      <alignment vertical="center" wrapText="1"/>
    </xf>
    <xf numFmtId="10" fontId="1" fillId="31" borderId="63" xfId="2" applyNumberFormat="1" applyFont="1" applyFill="1" applyBorder="1" applyAlignment="1">
      <alignment vertical="center" wrapText="1"/>
    </xf>
    <xf numFmtId="0" fontId="0" fillId="13" borderId="40" xfId="0" applyFill="1" applyBorder="1" applyAlignment="1">
      <alignment horizontal="center" vertical="center" wrapText="1"/>
    </xf>
    <xf numFmtId="0" fontId="0" fillId="13" borderId="41" xfId="0" applyFill="1" applyBorder="1" applyAlignment="1">
      <alignment vertical="center" wrapText="1"/>
    </xf>
    <xf numFmtId="0" fontId="33" fillId="13" borderId="42" xfId="0" applyFont="1" applyFill="1" applyBorder="1" applyAlignment="1">
      <alignment horizontal="center" vertical="center" wrapText="1"/>
    </xf>
    <xf numFmtId="0" fontId="0" fillId="33" borderId="20" xfId="0" applyFill="1" applyBorder="1" applyAlignment="1">
      <alignment horizontal="center" vertical="center" wrapText="1"/>
    </xf>
    <xf numFmtId="0" fontId="0" fillId="13" borderId="21" xfId="0" applyFill="1" applyBorder="1" applyAlignment="1">
      <alignment horizontal="right" vertical="center" wrapText="1"/>
    </xf>
    <xf numFmtId="164" fontId="1" fillId="13" borderId="21" xfId="2" applyNumberFormat="1" applyFont="1" applyFill="1" applyBorder="1" applyAlignment="1">
      <alignment vertical="center" wrapText="1"/>
    </xf>
    <xf numFmtId="10" fontId="1" fillId="13" borderId="21" xfId="2" applyNumberFormat="1" applyFont="1" applyFill="1" applyBorder="1" applyAlignment="1">
      <alignment vertical="center" wrapText="1"/>
    </xf>
    <xf numFmtId="0" fontId="0" fillId="13" borderId="21" xfId="0" applyFill="1" applyBorder="1" applyAlignment="1">
      <alignment vertical="center" wrapText="1"/>
    </xf>
    <xf numFmtId="10" fontId="0" fillId="13" borderId="21" xfId="0" applyNumberFormat="1" applyFill="1" applyBorder="1" applyAlignment="1">
      <alignment vertical="center" wrapText="1"/>
    </xf>
    <xf numFmtId="165" fontId="0" fillId="13" borderId="43" xfId="0" applyNumberFormat="1" applyFill="1" applyBorder="1" applyAlignment="1">
      <alignment vertical="center" wrapText="1"/>
    </xf>
    <xf numFmtId="0" fontId="0" fillId="13" borderId="21" xfId="0" applyFill="1" applyBorder="1" applyAlignment="1">
      <alignment horizontal="center" vertical="center" wrapText="1"/>
    </xf>
    <xf numFmtId="0" fontId="43" fillId="13" borderId="21" xfId="3" applyFont="1" applyFill="1" applyBorder="1" applyAlignment="1">
      <alignment horizontal="center" vertical="center"/>
    </xf>
    <xf numFmtId="166" fontId="1" fillId="13" borderId="21" xfId="4" applyNumberFormat="1" applyFont="1" applyFill="1" applyBorder="1" applyAlignment="1">
      <alignment horizontal="center" vertical="center" wrapText="1"/>
    </xf>
    <xf numFmtId="167" fontId="0" fillId="13" borderId="21" xfId="0" applyNumberFormat="1" applyFill="1" applyBorder="1" applyAlignment="1">
      <alignment horizontal="right" vertical="center" wrapText="1"/>
    </xf>
    <xf numFmtId="167" fontId="0" fillId="13" borderId="44" xfId="0" applyNumberFormat="1" applyFill="1" applyBorder="1" applyAlignment="1">
      <alignment vertical="center" wrapText="1"/>
    </xf>
    <xf numFmtId="167" fontId="0" fillId="13" borderId="20" xfId="0" applyNumberFormat="1" applyFill="1" applyBorder="1" applyAlignment="1">
      <alignment vertical="center" wrapText="1"/>
    </xf>
    <xf numFmtId="167" fontId="0" fillId="13" borderId="23" xfId="0" applyNumberFormat="1" applyFill="1" applyBorder="1" applyAlignment="1">
      <alignment vertical="center" wrapText="1"/>
    </xf>
    <xf numFmtId="167" fontId="0" fillId="13" borderId="45" xfId="0" applyNumberFormat="1" applyFill="1" applyBorder="1" applyAlignment="1">
      <alignment vertical="center" wrapText="1"/>
    </xf>
    <xf numFmtId="167" fontId="0" fillId="13" borderId="21" xfId="0" applyNumberFormat="1" applyFill="1" applyBorder="1" applyAlignment="1">
      <alignment vertical="center" wrapText="1"/>
    </xf>
    <xf numFmtId="164" fontId="41" fillId="13" borderId="48" xfId="1" applyNumberFormat="1" applyFont="1" applyFill="1" applyBorder="1" applyAlignment="1">
      <alignment vertical="center" wrapText="1"/>
    </xf>
    <xf numFmtId="10" fontId="41" fillId="13" borderId="20" xfId="1" applyNumberFormat="1" applyFont="1" applyFill="1" applyBorder="1" applyAlignment="1">
      <alignment horizontal="center" vertical="center" wrapText="1"/>
    </xf>
    <xf numFmtId="164" fontId="41" fillId="13" borderId="20" xfId="1" applyNumberFormat="1" applyFont="1" applyFill="1" applyBorder="1" applyAlignment="1">
      <alignment vertical="center" wrapText="1"/>
    </xf>
    <xf numFmtId="10" fontId="1" fillId="13" borderId="20" xfId="2" applyNumberFormat="1" applyFont="1" applyFill="1" applyBorder="1" applyAlignment="1">
      <alignment vertical="center" wrapText="1"/>
    </xf>
    <xf numFmtId="10" fontId="42" fillId="13" borderId="21" xfId="2" applyNumberFormat="1" applyFont="1" applyFill="1" applyBorder="1" applyAlignment="1">
      <alignment vertical="center" wrapText="1"/>
    </xf>
    <xf numFmtId="10" fontId="1" fillId="13" borderId="22" xfId="2" applyNumberFormat="1" applyFont="1" applyFill="1" applyBorder="1" applyAlignment="1">
      <alignment vertical="center" wrapText="1"/>
    </xf>
    <xf numFmtId="0" fontId="0" fillId="0" borderId="32" xfId="0" applyBorder="1" applyAlignment="1">
      <alignment horizontal="center" vertical="center" wrapText="1"/>
    </xf>
    <xf numFmtId="0" fontId="0" fillId="0" borderId="35" xfId="0" applyBorder="1" applyAlignment="1">
      <alignment horizontal="center" vertical="center" wrapText="1"/>
    </xf>
    <xf numFmtId="0" fontId="0" fillId="13" borderId="65" xfId="0" applyFill="1" applyBorder="1" applyAlignment="1">
      <alignment horizontal="center" vertical="center" wrapText="1"/>
    </xf>
    <xf numFmtId="0" fontId="0" fillId="13" borderId="67" xfId="0" applyFill="1" applyBorder="1" applyAlignment="1">
      <alignment vertical="center" wrapText="1"/>
    </xf>
    <xf numFmtId="0" fontId="33" fillId="13" borderId="60" xfId="0" applyFont="1" applyFill="1" applyBorder="1" applyAlignment="1">
      <alignment horizontal="center" vertical="center" wrapText="1"/>
    </xf>
    <xf numFmtId="0" fontId="0" fillId="33" borderId="61" xfId="0" applyFill="1" applyBorder="1" applyAlignment="1">
      <alignment horizontal="center" vertical="center" wrapText="1"/>
    </xf>
    <xf numFmtId="0" fontId="0" fillId="13" borderId="32" xfId="0" applyFill="1" applyBorder="1" applyAlignment="1">
      <alignment horizontal="right" vertical="center" wrapText="1"/>
    </xf>
    <xf numFmtId="164" fontId="1" fillId="13" borderId="32" xfId="2" applyNumberFormat="1" applyFont="1" applyFill="1" applyBorder="1" applyAlignment="1">
      <alignment vertical="center" wrapText="1"/>
    </xf>
    <xf numFmtId="10" fontId="1" fillId="13" borderId="32" xfId="2" applyNumberFormat="1" applyFont="1" applyFill="1" applyBorder="1" applyAlignment="1">
      <alignment vertical="center" wrapText="1"/>
    </xf>
    <xf numFmtId="0" fontId="0" fillId="13" borderId="32" xfId="0" applyFill="1" applyBorder="1" applyAlignment="1">
      <alignment vertical="center" wrapText="1"/>
    </xf>
    <xf numFmtId="10" fontId="0" fillId="13" borderId="32" xfId="0" applyNumberFormat="1" applyFill="1" applyBorder="1" applyAlignment="1">
      <alignment vertical="center" wrapText="1"/>
    </xf>
    <xf numFmtId="165" fontId="0" fillId="13" borderId="27" xfId="0" applyNumberFormat="1" applyFill="1" applyBorder="1" applyAlignment="1">
      <alignment vertical="center" wrapText="1"/>
    </xf>
    <xf numFmtId="0" fontId="0" fillId="13" borderId="32" xfId="0" applyFill="1" applyBorder="1" applyAlignment="1">
      <alignment horizontal="center" vertical="center" wrapText="1"/>
    </xf>
    <xf numFmtId="0" fontId="43" fillId="13" borderId="32" xfId="3" applyFont="1" applyFill="1" applyBorder="1" applyAlignment="1">
      <alignment horizontal="center" vertical="center"/>
    </xf>
    <xf numFmtId="166" fontId="1" fillId="13" borderId="32" xfId="4" applyNumberFormat="1" applyFont="1" applyFill="1" applyBorder="1" applyAlignment="1">
      <alignment horizontal="center" vertical="center" wrapText="1"/>
    </xf>
    <xf numFmtId="167" fontId="0" fillId="13" borderId="32" xfId="0" applyNumberFormat="1" applyFill="1" applyBorder="1" applyAlignment="1">
      <alignment horizontal="right" vertical="center" wrapText="1"/>
    </xf>
    <xf numFmtId="167" fontId="0" fillId="13" borderId="63" xfId="0" applyNumberFormat="1" applyFill="1" applyBorder="1" applyAlignment="1">
      <alignment vertical="center" wrapText="1"/>
    </xf>
    <xf numFmtId="167" fontId="0" fillId="13" borderId="61" xfId="0" applyNumberFormat="1" applyFill="1" applyBorder="1" applyAlignment="1">
      <alignment vertical="center" wrapText="1"/>
    </xf>
    <xf numFmtId="167" fontId="0" fillId="13" borderId="62" xfId="0" applyNumberFormat="1" applyFill="1" applyBorder="1" applyAlignment="1">
      <alignment vertical="center" wrapText="1"/>
    </xf>
    <xf numFmtId="167" fontId="0" fillId="13" borderId="64" xfId="0" applyNumberFormat="1" applyFill="1" applyBorder="1" applyAlignment="1">
      <alignment vertical="center" wrapText="1"/>
    </xf>
    <xf numFmtId="167" fontId="0" fillId="13" borderId="32" xfId="0" applyNumberFormat="1" applyFill="1" applyBorder="1" applyAlignment="1">
      <alignment vertical="center" wrapText="1"/>
    </xf>
    <xf numFmtId="164" fontId="41" fillId="13" borderId="67" xfId="1" applyNumberFormat="1" applyFont="1" applyFill="1" applyBorder="1" applyAlignment="1">
      <alignment vertical="center" wrapText="1"/>
    </xf>
    <xf numFmtId="10" fontId="41" fillId="13" borderId="61" xfId="1" applyNumberFormat="1" applyFont="1" applyFill="1" applyBorder="1" applyAlignment="1">
      <alignment horizontal="center" vertical="center" wrapText="1"/>
    </xf>
    <xf numFmtId="164" fontId="41" fillId="13" borderId="61" xfId="1" applyNumberFormat="1" applyFont="1" applyFill="1" applyBorder="1" applyAlignment="1">
      <alignment vertical="center" wrapText="1"/>
    </xf>
    <xf numFmtId="10" fontId="1" fillId="13" borderId="61" xfId="2" applyNumberFormat="1" applyFont="1" applyFill="1" applyBorder="1" applyAlignment="1">
      <alignment vertical="center" wrapText="1"/>
    </xf>
    <xf numFmtId="10" fontId="42" fillId="13" borderId="32" xfId="2" applyNumberFormat="1" applyFont="1" applyFill="1" applyBorder="1" applyAlignment="1">
      <alignment vertical="center" wrapText="1"/>
    </xf>
    <xf numFmtId="10" fontId="1" fillId="13" borderId="63" xfId="2" applyNumberFormat="1" applyFont="1" applyFill="1" applyBorder="1" applyAlignment="1">
      <alignment vertical="center" wrapText="1"/>
    </xf>
    <xf numFmtId="10" fontId="3" fillId="0" borderId="35" xfId="0" applyNumberFormat="1" applyFont="1" applyBorder="1"/>
    <xf numFmtId="10" fontId="3" fillId="0" borderId="10" xfId="0" applyNumberFormat="1" applyFont="1" applyBorder="1"/>
    <xf numFmtId="0" fontId="0" fillId="17" borderId="2" xfId="0" applyFill="1" applyBorder="1" applyAlignment="1">
      <alignment horizontal="center" vertical="center" wrapText="1"/>
    </xf>
    <xf numFmtId="0" fontId="0" fillId="17" borderId="2" xfId="0" applyFill="1" applyBorder="1" applyAlignment="1">
      <alignment vertical="center" wrapText="1"/>
    </xf>
    <xf numFmtId="0" fontId="33" fillId="17" borderId="2" xfId="0" applyFont="1" applyFill="1" applyBorder="1" applyAlignment="1">
      <alignment vertical="center" wrapText="1"/>
    </xf>
    <xf numFmtId="0" fontId="0" fillId="17" borderId="2" xfId="0" applyFill="1" applyBorder="1" applyAlignment="1">
      <alignment horizontal="right" vertical="center" wrapText="1"/>
    </xf>
    <xf numFmtId="10" fontId="1" fillId="17" borderId="2" xfId="2" applyNumberFormat="1" applyFont="1" applyFill="1" applyBorder="1" applyAlignment="1">
      <alignment vertical="center" wrapText="1"/>
    </xf>
    <xf numFmtId="10" fontId="0" fillId="17" borderId="2" xfId="0" applyNumberFormat="1" applyFill="1" applyBorder="1" applyAlignment="1">
      <alignment vertical="center" wrapText="1"/>
    </xf>
    <xf numFmtId="165" fontId="0" fillId="17" borderId="2" xfId="0" applyNumberFormat="1" applyFill="1" applyBorder="1" applyAlignment="1">
      <alignment vertical="center" wrapText="1"/>
    </xf>
    <xf numFmtId="0" fontId="43" fillId="17" borderId="2" xfId="3" applyFont="1" applyFill="1" applyBorder="1" applyAlignment="1">
      <alignment horizontal="center" vertical="center"/>
    </xf>
    <xf numFmtId="166" fontId="1" fillId="17" borderId="2" xfId="4" applyNumberFormat="1" applyFont="1" applyFill="1" applyBorder="1" applyAlignment="1">
      <alignment horizontal="center" vertical="center" wrapText="1"/>
    </xf>
    <xf numFmtId="167" fontId="0" fillId="17" borderId="2" xfId="0" applyNumberFormat="1" applyFill="1" applyBorder="1" applyAlignment="1">
      <alignment horizontal="right" vertical="center" wrapText="1"/>
    </xf>
    <xf numFmtId="167" fontId="0" fillId="17" borderId="2" xfId="0" applyNumberFormat="1" applyFill="1" applyBorder="1" applyAlignment="1">
      <alignment vertical="center" wrapText="1"/>
    </xf>
    <xf numFmtId="168" fontId="41" fillId="17" borderId="2" xfId="2" applyNumberFormat="1" applyFont="1" applyFill="1" applyBorder="1" applyAlignment="1">
      <alignment vertical="center" wrapText="1"/>
    </xf>
    <xf numFmtId="168" fontId="41" fillId="17" borderId="68" xfId="2" applyNumberFormat="1" applyFont="1" applyFill="1" applyBorder="1" applyAlignment="1">
      <alignment vertical="center" wrapText="1"/>
    </xf>
    <xf numFmtId="168" fontId="41" fillId="17" borderId="13" xfId="2" applyNumberFormat="1" applyFont="1" applyFill="1" applyBorder="1" applyAlignment="1">
      <alignment vertical="center" wrapText="1"/>
    </xf>
    <xf numFmtId="168" fontId="41" fillId="17" borderId="10" xfId="2" applyNumberFormat="1" applyFont="1" applyFill="1" applyBorder="1" applyAlignment="1">
      <alignment vertical="center" wrapText="1"/>
    </xf>
    <xf numFmtId="164" fontId="41" fillId="17" borderId="2" xfId="1" applyNumberFormat="1" applyFont="1" applyFill="1" applyBorder="1" applyAlignment="1">
      <alignment vertical="center" wrapText="1"/>
    </xf>
    <xf numFmtId="164" fontId="41" fillId="17" borderId="68" xfId="1" applyNumberFormat="1" applyFont="1" applyFill="1" applyBorder="1" applyAlignment="1">
      <alignment vertical="center" wrapText="1"/>
    </xf>
    <xf numFmtId="164" fontId="41" fillId="7" borderId="37" xfId="1" applyNumberFormat="1" applyFont="1" applyFill="1" applyBorder="1" applyAlignment="1">
      <alignment vertical="center" wrapText="1"/>
    </xf>
    <xf numFmtId="10" fontId="1" fillId="17" borderId="35" xfId="2" applyNumberFormat="1" applyFont="1" applyFill="1" applyBorder="1" applyAlignment="1">
      <alignment vertical="center" wrapText="1"/>
    </xf>
    <xf numFmtId="10" fontId="42" fillId="17" borderId="10" xfId="2" applyNumberFormat="1" applyFont="1" applyFill="1" applyBorder="1" applyAlignment="1">
      <alignment vertical="center" wrapText="1"/>
    </xf>
    <xf numFmtId="10" fontId="1" fillId="17" borderId="10" xfId="2" applyNumberFormat="1" applyFont="1" applyFill="1" applyBorder="1" applyAlignment="1">
      <alignment vertical="center" wrapText="1"/>
    </xf>
    <xf numFmtId="10" fontId="1" fillId="17" borderId="12" xfId="2" applyNumberFormat="1" applyFont="1" applyFill="1" applyBorder="1" applyAlignment="1">
      <alignment vertical="center" wrapText="1"/>
    </xf>
    <xf numFmtId="0" fontId="44" fillId="5" borderId="16" xfId="0" applyFont="1" applyFill="1" applyBorder="1" applyAlignment="1">
      <alignment vertical="center" wrapText="1"/>
    </xf>
    <xf numFmtId="10" fontId="44" fillId="5" borderId="16" xfId="1" applyNumberFormat="1" applyFont="1" applyFill="1" applyBorder="1" applyAlignment="1">
      <alignment vertical="center" wrapText="1"/>
    </xf>
    <xf numFmtId="10" fontId="3" fillId="17" borderId="0" xfId="0" applyNumberFormat="1" applyFont="1" applyFill="1"/>
    <xf numFmtId="10" fontId="3" fillId="17" borderId="0" xfId="2" applyNumberFormat="1" applyFont="1" applyFill="1"/>
    <xf numFmtId="0" fontId="3" fillId="17" borderId="0" xfId="0" applyFont="1" applyFill="1" applyAlignment="1">
      <alignment vertical="center" wrapText="1"/>
    </xf>
    <xf numFmtId="0" fontId="0" fillId="0" borderId="23" xfId="0" applyBorder="1" applyAlignment="1">
      <alignment horizontal="center" vertical="center"/>
    </xf>
    <xf numFmtId="0" fontId="2" fillId="35" borderId="69" xfId="0" applyFont="1" applyFill="1" applyBorder="1" applyAlignment="1">
      <alignment vertical="center"/>
    </xf>
    <xf numFmtId="0" fontId="45" fillId="35" borderId="70" xfId="0" applyFont="1" applyFill="1" applyBorder="1" applyAlignment="1">
      <alignment vertical="center"/>
    </xf>
    <xf numFmtId="0" fontId="46" fillId="35" borderId="71" xfId="0" applyFont="1" applyFill="1" applyBorder="1" applyAlignment="1">
      <alignment horizontal="center" vertical="center"/>
    </xf>
    <xf numFmtId="0" fontId="0" fillId="35" borderId="72" xfId="0" applyFill="1" applyBorder="1" applyAlignment="1">
      <alignment vertical="center" wrapText="1"/>
    </xf>
    <xf numFmtId="0" fontId="0" fillId="35" borderId="73" xfId="0" applyFill="1" applyBorder="1" applyAlignment="1">
      <alignment horizontal="right" vertical="center" wrapText="1"/>
    </xf>
    <xf numFmtId="10" fontId="0" fillId="35" borderId="73" xfId="0" applyNumberFormat="1" applyFill="1" applyBorder="1" applyAlignment="1">
      <alignment vertical="center"/>
    </xf>
    <xf numFmtId="164" fontId="1" fillId="35" borderId="73" xfId="1" applyNumberFormat="1" applyFont="1" applyFill="1" applyBorder="1" applyAlignment="1">
      <alignment vertical="center"/>
    </xf>
    <xf numFmtId="165" fontId="1" fillId="35" borderId="73" xfId="1" applyNumberFormat="1" applyFont="1" applyFill="1" applyBorder="1" applyAlignment="1">
      <alignment vertical="center"/>
    </xf>
    <xf numFmtId="10" fontId="0" fillId="35" borderId="73" xfId="0" applyNumberFormat="1" applyFill="1" applyBorder="1" applyAlignment="1">
      <alignment horizontal="right" vertical="center"/>
    </xf>
    <xf numFmtId="165" fontId="0" fillId="35" borderId="73" xfId="0" applyNumberFormat="1" applyFill="1" applyBorder="1" applyAlignment="1">
      <alignment vertical="center" wrapText="1"/>
    </xf>
    <xf numFmtId="0" fontId="0" fillId="35" borderId="73" xfId="0" applyFill="1" applyBorder="1" applyAlignment="1">
      <alignment vertical="center"/>
    </xf>
    <xf numFmtId="0" fontId="0" fillId="36" borderId="74" xfId="0" applyFill="1" applyBorder="1" applyAlignment="1">
      <alignment horizontal="center" vertical="center"/>
    </xf>
    <xf numFmtId="0" fontId="0" fillId="35" borderId="73" xfId="0" applyFill="1" applyBorder="1" applyAlignment="1">
      <alignment vertical="center" wrapText="1"/>
    </xf>
    <xf numFmtId="0" fontId="0" fillId="35" borderId="73" xfId="0" applyFill="1" applyBorder="1" applyAlignment="1">
      <alignment horizontal="center" vertical="center"/>
    </xf>
    <xf numFmtId="166" fontId="0" fillId="35" borderId="73" xfId="0" applyNumberFormat="1" applyFill="1" applyBorder="1" applyAlignment="1">
      <alignment horizontal="center" vertical="center"/>
    </xf>
    <xf numFmtId="171" fontId="45" fillId="35" borderId="75" xfId="0" applyNumberFormat="1" applyFont="1" applyFill="1" applyBorder="1" applyAlignment="1">
      <alignment vertical="center" wrapText="1"/>
    </xf>
    <xf numFmtId="171" fontId="45" fillId="35" borderId="73" xfId="0" applyNumberFormat="1" applyFont="1" applyFill="1" applyBorder="1" applyAlignment="1">
      <alignment vertical="center" wrapText="1"/>
    </xf>
    <xf numFmtId="171" fontId="2" fillId="35" borderId="76" xfId="0" applyNumberFormat="1" applyFont="1" applyFill="1" applyBorder="1" applyAlignment="1">
      <alignment vertical="center" wrapText="1"/>
    </xf>
    <xf numFmtId="171" fontId="0" fillId="35" borderId="75" xfId="0" applyNumberFormat="1" applyFill="1" applyBorder="1" applyAlignment="1">
      <alignment vertical="center" wrapText="1"/>
    </xf>
    <xf numFmtId="171" fontId="0" fillId="35" borderId="76" xfId="0" applyNumberFormat="1" applyFill="1" applyBorder="1" applyAlignment="1">
      <alignment vertical="center" wrapText="1"/>
    </xf>
    <xf numFmtId="164" fontId="1" fillId="0" borderId="77" xfId="1" applyNumberFormat="1" applyFont="1" applyBorder="1" applyAlignment="1">
      <alignment vertical="center"/>
    </xf>
    <xf numFmtId="164" fontId="1" fillId="0" borderId="78" xfId="1" applyNumberFormat="1" applyFont="1" applyBorder="1" applyAlignment="1">
      <alignment vertical="center"/>
    </xf>
    <xf numFmtId="164" fontId="1" fillId="0" borderId="20" xfId="1" applyNumberFormat="1" applyFont="1" applyBorder="1" applyAlignment="1">
      <alignment vertical="center"/>
    </xf>
    <xf numFmtId="164" fontId="1" fillId="5" borderId="48" xfId="1" applyNumberFormat="1" applyFont="1" applyFill="1" applyBorder="1" applyAlignment="1">
      <alignment vertical="center"/>
    </xf>
    <xf numFmtId="164" fontId="1" fillId="15" borderId="79" xfId="1" applyNumberFormat="1" applyFont="1" applyFill="1" applyBorder="1" applyAlignment="1">
      <alignment vertical="center"/>
    </xf>
    <xf numFmtId="164" fontId="0" fillId="0" borderId="78" xfId="0" applyNumberFormat="1" applyBorder="1" applyAlignment="1">
      <alignment vertical="center"/>
    </xf>
    <xf numFmtId="164" fontId="0" fillId="37" borderId="79" xfId="0" applyNumberFormat="1" applyFill="1" applyBorder="1" applyAlignment="1">
      <alignment vertical="center"/>
    </xf>
    <xf numFmtId="0" fontId="45" fillId="35" borderId="80" xfId="0" applyFont="1" applyFill="1" applyBorder="1" applyAlignment="1">
      <alignment vertical="center"/>
    </xf>
    <xf numFmtId="172" fontId="45" fillId="35" borderId="81" xfId="2" applyNumberFormat="1" applyFont="1" applyFill="1" applyBorder="1" applyAlignment="1">
      <alignment horizontal="center" vertical="center"/>
    </xf>
    <xf numFmtId="10" fontId="45" fillId="35" borderId="82" xfId="2" applyNumberFormat="1" applyFont="1" applyFill="1" applyBorder="1" applyAlignment="1">
      <alignment vertical="center"/>
    </xf>
    <xf numFmtId="0" fontId="45" fillId="7" borderId="43" xfId="0" applyFont="1" applyFill="1" applyBorder="1" applyAlignment="1">
      <alignment vertical="center"/>
    </xf>
    <xf numFmtId="10" fontId="0" fillId="38" borderId="75" xfId="0" applyNumberFormat="1" applyFill="1" applyBorder="1" applyAlignment="1">
      <alignment vertical="center" wrapText="1"/>
    </xf>
    <xf numFmtId="10" fontId="42" fillId="38" borderId="73" xfId="0" applyNumberFormat="1" applyFont="1" applyFill="1" applyBorder="1" applyAlignment="1">
      <alignment vertical="center" wrapText="1"/>
    </xf>
    <xf numFmtId="10" fontId="42" fillId="38" borderId="73" xfId="1" applyNumberFormat="1" applyFont="1" applyFill="1" applyBorder="1" applyAlignment="1">
      <alignment vertical="center" wrapText="1"/>
    </xf>
    <xf numFmtId="10" fontId="0" fillId="35" borderId="72" xfId="0" applyNumberFormat="1" applyFill="1" applyBorder="1" applyAlignment="1">
      <alignment vertical="center" wrapText="1"/>
    </xf>
    <xf numFmtId="10" fontId="0" fillId="38" borderId="83" xfId="0" applyNumberFormat="1" applyFill="1" applyBorder="1" applyAlignment="1">
      <alignment vertical="center" wrapText="1"/>
    </xf>
    <xf numFmtId="10" fontId="0" fillId="38" borderId="84" xfId="0" applyNumberFormat="1" applyFill="1" applyBorder="1" applyAlignment="1">
      <alignment vertical="center" wrapText="1"/>
    </xf>
    <xf numFmtId="10" fontId="0" fillId="35" borderId="75" xfId="0" applyNumberFormat="1" applyFill="1" applyBorder="1" applyAlignment="1">
      <alignment vertical="center" wrapText="1"/>
    </xf>
    <xf numFmtId="10" fontId="42" fillId="35" borderId="73" xfId="0" applyNumberFormat="1" applyFont="1" applyFill="1" applyBorder="1" applyAlignment="1">
      <alignment vertical="center" wrapText="1"/>
    </xf>
    <xf numFmtId="10" fontId="42" fillId="35" borderId="73" xfId="1" applyNumberFormat="1" applyFont="1" applyFill="1" applyBorder="1" applyAlignment="1">
      <alignment vertical="center" wrapText="1"/>
    </xf>
    <xf numFmtId="10" fontId="0" fillId="35" borderId="84" xfId="0" applyNumberFormat="1" applyFill="1" applyBorder="1" applyAlignment="1">
      <alignment vertical="center" wrapText="1"/>
    </xf>
    <xf numFmtId="10" fontId="42" fillId="35" borderId="85" xfId="1" applyNumberFormat="1" applyFont="1" applyFill="1" applyBorder="1" applyAlignment="1">
      <alignment vertical="center" wrapText="1"/>
    </xf>
    <xf numFmtId="10" fontId="0" fillId="35" borderId="69" xfId="0" applyNumberFormat="1" applyFill="1" applyBorder="1" applyAlignment="1">
      <alignment vertical="center" wrapText="1"/>
    </xf>
    <xf numFmtId="10" fontId="47" fillId="35" borderId="86" xfId="0" applyNumberFormat="1" applyFont="1" applyFill="1" applyBorder="1" applyAlignment="1">
      <alignment vertical="center" wrapText="1"/>
    </xf>
    <xf numFmtId="10" fontId="47" fillId="35" borderId="70" xfId="1" applyNumberFormat="1" applyFont="1" applyFill="1" applyBorder="1" applyAlignment="1">
      <alignment vertical="center" wrapText="1"/>
    </xf>
    <xf numFmtId="0" fontId="0" fillId="0" borderId="53" xfId="0" applyBorder="1" applyAlignment="1">
      <alignment horizontal="center" vertical="center"/>
    </xf>
    <xf numFmtId="0" fontId="2" fillId="39" borderId="81" xfId="0" applyFont="1" applyFill="1" applyBorder="1" applyAlignment="1">
      <alignment vertical="center"/>
    </xf>
    <xf numFmtId="0" fontId="45" fillId="39" borderId="87" xfId="0" applyFont="1" applyFill="1" applyBorder="1" applyAlignment="1">
      <alignment vertical="center"/>
    </xf>
    <xf numFmtId="0" fontId="46" fillId="39" borderId="71" xfId="0" applyFont="1" applyFill="1" applyBorder="1" applyAlignment="1">
      <alignment horizontal="center" vertical="center"/>
    </xf>
    <xf numFmtId="0" fontId="0" fillId="39" borderId="88" xfId="0" applyFill="1" applyBorder="1" applyAlignment="1">
      <alignment vertical="center" wrapText="1"/>
    </xf>
    <xf numFmtId="0" fontId="0" fillId="39" borderId="82" xfId="0" applyFill="1" applyBorder="1" applyAlignment="1">
      <alignment horizontal="right" vertical="center" wrapText="1"/>
    </xf>
    <xf numFmtId="10" fontId="0" fillId="39" borderId="43" xfId="0" applyNumberFormat="1" applyFill="1" applyBorder="1" applyAlignment="1">
      <alignment vertical="center"/>
    </xf>
    <xf numFmtId="164" fontId="1" fillId="39" borderId="43" xfId="1" applyNumberFormat="1" applyFont="1" applyFill="1" applyBorder="1" applyAlignment="1">
      <alignment vertical="center"/>
    </xf>
    <xf numFmtId="165" fontId="1" fillId="39" borderId="43" xfId="1" applyNumberFormat="1" applyFont="1" applyFill="1" applyBorder="1" applyAlignment="1">
      <alignment vertical="center"/>
    </xf>
    <xf numFmtId="10" fontId="1" fillId="39" borderId="43" xfId="1" applyNumberFormat="1" applyFont="1" applyFill="1" applyBorder="1" applyAlignment="1">
      <alignment vertical="center"/>
    </xf>
    <xf numFmtId="10" fontId="0" fillId="39" borderId="43" xfId="0" applyNumberFormat="1" applyFill="1" applyBorder="1" applyAlignment="1">
      <alignment horizontal="right" vertical="center"/>
    </xf>
    <xf numFmtId="165" fontId="0" fillId="39" borderId="43" xfId="0" applyNumberFormat="1" applyFill="1" applyBorder="1" applyAlignment="1">
      <alignment vertical="center" wrapText="1"/>
    </xf>
    <xf numFmtId="0" fontId="0" fillId="39" borderId="43" xfId="0" applyFill="1" applyBorder="1" applyAlignment="1">
      <alignment vertical="center"/>
    </xf>
    <xf numFmtId="0" fontId="0" fillId="36" borderId="89" xfId="0" applyFill="1" applyBorder="1" applyAlignment="1">
      <alignment horizontal="center" vertical="center"/>
    </xf>
    <xf numFmtId="0" fontId="0" fillId="39" borderId="90" xfId="0" applyFill="1" applyBorder="1" applyAlignment="1">
      <alignment vertical="center"/>
    </xf>
    <xf numFmtId="0" fontId="0" fillId="39" borderId="90" xfId="0" applyFill="1" applyBorder="1" applyAlignment="1">
      <alignment vertical="center" wrapText="1"/>
    </xf>
    <xf numFmtId="0" fontId="0" fillId="39" borderId="90" xfId="0" applyFill="1" applyBorder="1" applyAlignment="1">
      <alignment horizontal="center" vertical="center"/>
    </xf>
    <xf numFmtId="166" fontId="1" fillId="39" borderId="90" xfId="5" applyNumberFormat="1" applyFont="1" applyFill="1" applyBorder="1" applyAlignment="1">
      <alignment horizontal="center" vertical="center"/>
    </xf>
    <xf numFmtId="171" fontId="45" fillId="39" borderId="91" xfId="0" applyNumberFormat="1" applyFont="1" applyFill="1" applyBorder="1" applyAlignment="1">
      <alignment vertical="center" wrapText="1"/>
    </xf>
    <xf numFmtId="171" fontId="45" fillId="39" borderId="90" xfId="0" applyNumberFormat="1" applyFont="1" applyFill="1" applyBorder="1" applyAlignment="1">
      <alignment vertical="center" wrapText="1"/>
    </xf>
    <xf numFmtId="171" fontId="2" fillId="39" borderId="92" xfId="0" applyNumberFormat="1" applyFont="1" applyFill="1" applyBorder="1" applyAlignment="1">
      <alignment vertical="center" wrapText="1"/>
    </xf>
    <xf numFmtId="171" fontId="0" fillId="39" borderId="91" xfId="0" applyNumberFormat="1" applyFill="1" applyBorder="1" applyAlignment="1">
      <alignment vertical="center" wrapText="1"/>
    </xf>
    <xf numFmtId="171" fontId="0" fillId="39" borderId="92" xfId="0" applyNumberFormat="1" applyFill="1" applyBorder="1" applyAlignment="1">
      <alignment vertical="center" wrapText="1"/>
    </xf>
    <xf numFmtId="0" fontId="45" fillId="39" borderId="80" xfId="0" applyFont="1" applyFill="1" applyBorder="1" applyAlignment="1">
      <alignment vertical="center"/>
    </xf>
    <xf numFmtId="172" fontId="45" fillId="39" borderId="81" xfId="2" applyNumberFormat="1" applyFont="1" applyFill="1" applyBorder="1" applyAlignment="1">
      <alignment horizontal="center" vertical="center"/>
    </xf>
    <xf numFmtId="10" fontId="45" fillId="40" borderId="82" xfId="2" applyNumberFormat="1" applyFont="1" applyFill="1" applyBorder="1" applyAlignment="1">
      <alignment vertical="center"/>
    </xf>
    <xf numFmtId="10" fontId="45" fillId="39" borderId="82" xfId="2" applyNumberFormat="1" applyFont="1" applyFill="1" applyBorder="1" applyAlignment="1">
      <alignment vertical="center"/>
    </xf>
    <xf numFmtId="10" fontId="0" fillId="40" borderId="91" xfId="0" applyNumberFormat="1" applyFill="1" applyBorder="1" applyAlignment="1">
      <alignment vertical="center" wrapText="1"/>
    </xf>
    <xf numFmtId="10" fontId="42" fillId="40" borderId="90" xfId="0" applyNumberFormat="1" applyFont="1" applyFill="1" applyBorder="1" applyAlignment="1">
      <alignment vertical="center" wrapText="1"/>
    </xf>
    <xf numFmtId="10" fontId="42" fillId="40" borderId="90" xfId="1" applyNumberFormat="1" applyFont="1" applyFill="1" applyBorder="1" applyAlignment="1">
      <alignment vertical="center" wrapText="1"/>
    </xf>
    <xf numFmtId="10" fontId="0" fillId="39" borderId="93" xfId="0" applyNumberFormat="1" applyFill="1" applyBorder="1" applyAlignment="1">
      <alignment vertical="center" wrapText="1"/>
    </xf>
    <xf numFmtId="10" fontId="0" fillId="40" borderId="94" xfId="0" applyNumberFormat="1" applyFill="1" applyBorder="1" applyAlignment="1">
      <alignment vertical="center" wrapText="1"/>
    </xf>
    <xf numFmtId="10" fontId="0" fillId="40" borderId="95" xfId="0" applyNumberFormat="1" applyFill="1" applyBorder="1" applyAlignment="1">
      <alignment vertical="center" wrapText="1"/>
    </xf>
    <xf numFmtId="10" fontId="0" fillId="39" borderId="91" xfId="0" applyNumberFormat="1" applyFill="1" applyBorder="1" applyAlignment="1">
      <alignment vertical="center" wrapText="1"/>
    </xf>
    <xf numFmtId="10" fontId="42" fillId="39" borderId="90" xfId="0" applyNumberFormat="1" applyFont="1" applyFill="1" applyBorder="1" applyAlignment="1">
      <alignment vertical="center" wrapText="1"/>
    </xf>
    <xf numFmtId="10" fontId="42" fillId="39" borderId="90" xfId="1" applyNumberFormat="1" applyFont="1" applyFill="1" applyBorder="1" applyAlignment="1">
      <alignment vertical="center" wrapText="1"/>
    </xf>
    <xf numFmtId="10" fontId="0" fillId="39" borderId="95" xfId="0" applyNumberFormat="1" applyFill="1" applyBorder="1" applyAlignment="1">
      <alignment vertical="center" wrapText="1"/>
    </xf>
    <xf numFmtId="10" fontId="42" fillId="39" borderId="96" xfId="1" applyNumberFormat="1" applyFont="1" applyFill="1" applyBorder="1" applyAlignment="1">
      <alignment vertical="center" wrapText="1"/>
    </xf>
    <xf numFmtId="10" fontId="0" fillId="39" borderId="97" xfId="0" applyNumberFormat="1" applyFill="1" applyBorder="1" applyAlignment="1">
      <alignment vertical="center" wrapText="1"/>
    </xf>
    <xf numFmtId="10" fontId="47" fillId="39" borderId="90" xfId="0" applyNumberFormat="1" applyFont="1" applyFill="1" applyBorder="1" applyAlignment="1">
      <alignment vertical="center" wrapText="1"/>
    </xf>
    <xf numFmtId="10" fontId="47" fillId="39" borderId="98" xfId="1" applyNumberFormat="1" applyFont="1" applyFill="1" applyBorder="1" applyAlignment="1">
      <alignment vertical="center" wrapText="1"/>
    </xf>
    <xf numFmtId="0" fontId="2" fillId="35" borderId="81" xfId="0" applyFont="1" applyFill="1" applyBorder="1" applyAlignment="1">
      <alignment vertical="center"/>
    </xf>
    <xf numFmtId="0" fontId="45" fillId="35" borderId="87" xfId="0" applyFont="1" applyFill="1" applyBorder="1"/>
    <xf numFmtId="0" fontId="46" fillId="35" borderId="71" xfId="0" applyFont="1" applyFill="1" applyBorder="1" applyAlignment="1">
      <alignment horizontal="center"/>
    </xf>
    <xf numFmtId="0" fontId="0" fillId="35" borderId="81" xfId="0" applyFill="1" applyBorder="1" applyAlignment="1">
      <alignment vertical="center" wrapText="1"/>
    </xf>
    <xf numFmtId="0" fontId="0" fillId="35" borderId="82" xfId="0" applyFill="1" applyBorder="1" applyAlignment="1">
      <alignment horizontal="right" vertical="center" wrapText="1"/>
    </xf>
    <xf numFmtId="10" fontId="0" fillId="35" borderId="43" xfId="0" applyNumberFormat="1" applyFill="1" applyBorder="1"/>
    <xf numFmtId="164" fontId="1" fillId="35" borderId="43" xfId="1" applyNumberFormat="1" applyFont="1" applyFill="1" applyBorder="1"/>
    <xf numFmtId="165" fontId="1" fillId="35" borderId="43" xfId="1" applyNumberFormat="1" applyFont="1" applyFill="1" applyBorder="1"/>
    <xf numFmtId="10" fontId="1" fillId="35" borderId="43" xfId="1" applyNumberFormat="1" applyFont="1" applyFill="1" applyBorder="1"/>
    <xf numFmtId="10" fontId="0" fillId="35" borderId="43" xfId="0" applyNumberFormat="1" applyFill="1" applyBorder="1" applyAlignment="1">
      <alignment horizontal="right"/>
    </xf>
    <xf numFmtId="165" fontId="0" fillId="35" borderId="43" xfId="0" applyNumberFormat="1" applyFill="1" applyBorder="1" applyAlignment="1">
      <alignment wrapText="1"/>
    </xf>
    <xf numFmtId="0" fontId="0" fillId="35" borderId="43" xfId="0" applyFill="1" applyBorder="1"/>
    <xf numFmtId="0" fontId="0" fillId="35" borderId="90" xfId="0" applyFill="1" applyBorder="1" applyAlignment="1">
      <alignment vertical="center"/>
    </xf>
    <xf numFmtId="0" fontId="0" fillId="35" borderId="90" xfId="0" applyFill="1" applyBorder="1" applyAlignment="1">
      <alignment vertical="center" wrapText="1"/>
    </xf>
    <xf numFmtId="0" fontId="0" fillId="35" borderId="90" xfId="0" applyFill="1" applyBorder="1" applyAlignment="1">
      <alignment horizontal="center" vertical="center"/>
    </xf>
    <xf numFmtId="166" fontId="1" fillId="35" borderId="90" xfId="5" applyNumberFormat="1" applyFont="1" applyFill="1" applyBorder="1" applyAlignment="1">
      <alignment horizontal="center" vertical="center"/>
    </xf>
    <xf numFmtId="171" fontId="45" fillId="35" borderId="91" xfId="0" applyNumberFormat="1" applyFont="1" applyFill="1" applyBorder="1" applyAlignment="1">
      <alignment vertical="center" wrapText="1"/>
    </xf>
    <xf numFmtId="171" fontId="45" fillId="35" borderId="90" xfId="0" applyNumberFormat="1" applyFont="1" applyFill="1" applyBorder="1" applyAlignment="1">
      <alignment vertical="center" wrapText="1"/>
    </xf>
    <xf numFmtId="171" fontId="2" fillId="35" borderId="92" xfId="0" applyNumberFormat="1" applyFont="1" applyFill="1" applyBorder="1" applyAlignment="1">
      <alignment vertical="center" wrapText="1"/>
    </xf>
    <xf numFmtId="171" fontId="0" fillId="35" borderId="91" xfId="0" applyNumberFormat="1" applyFill="1" applyBorder="1" applyAlignment="1">
      <alignment vertical="center" wrapText="1"/>
    </xf>
    <xf numFmtId="171" fontId="0" fillId="35" borderId="92" xfId="0" applyNumberFormat="1" applyFill="1" applyBorder="1" applyAlignment="1">
      <alignment vertical="center" wrapText="1"/>
    </xf>
    <xf numFmtId="10" fontId="45" fillId="38" borderId="82" xfId="2" applyNumberFormat="1" applyFont="1" applyFill="1" applyBorder="1" applyAlignment="1">
      <alignment vertical="center"/>
    </xf>
    <xf numFmtId="10" fontId="0" fillId="38" borderId="91" xfId="0" applyNumberFormat="1" applyFill="1" applyBorder="1" applyAlignment="1">
      <alignment vertical="center" wrapText="1"/>
    </xf>
    <xf numFmtId="10" fontId="42" fillId="38" borderId="90" xfId="0" applyNumberFormat="1" applyFont="1" applyFill="1" applyBorder="1" applyAlignment="1">
      <alignment vertical="center" wrapText="1"/>
    </xf>
    <xf numFmtId="10" fontId="42" fillId="38" borderId="90" xfId="1" applyNumberFormat="1" applyFont="1" applyFill="1" applyBorder="1" applyAlignment="1">
      <alignment vertical="center" wrapText="1"/>
    </xf>
    <xf numFmtId="10" fontId="0" fillId="35" borderId="95" xfId="0" applyNumberFormat="1" applyFill="1" applyBorder="1" applyAlignment="1">
      <alignment vertical="center" wrapText="1"/>
    </xf>
    <xf numFmtId="10" fontId="0" fillId="38" borderId="95" xfId="0" applyNumberFormat="1" applyFill="1" applyBorder="1" applyAlignment="1">
      <alignment vertical="center" wrapText="1"/>
    </xf>
    <xf numFmtId="10" fontId="0" fillId="35" borderId="91" xfId="0" applyNumberFormat="1" applyFill="1" applyBorder="1" applyAlignment="1">
      <alignment vertical="center" wrapText="1"/>
    </xf>
    <xf numFmtId="10" fontId="42" fillId="35" borderId="90" xfId="0" applyNumberFormat="1" applyFont="1" applyFill="1" applyBorder="1" applyAlignment="1">
      <alignment vertical="center" wrapText="1"/>
    </xf>
    <xf numFmtId="10" fontId="42" fillId="35" borderId="90" xfId="1" applyNumberFormat="1" applyFont="1" applyFill="1" applyBorder="1" applyAlignment="1">
      <alignment vertical="center" wrapText="1"/>
    </xf>
    <xf numFmtId="10" fontId="42" fillId="35" borderId="96" xfId="1" applyNumberFormat="1" applyFont="1" applyFill="1" applyBorder="1" applyAlignment="1">
      <alignment vertical="center" wrapText="1"/>
    </xf>
    <xf numFmtId="10" fontId="0" fillId="35" borderId="97" xfId="0" applyNumberFormat="1" applyFill="1" applyBorder="1" applyAlignment="1">
      <alignment vertical="center" wrapText="1"/>
    </xf>
    <xf numFmtId="10" fontId="47" fillId="35" borderId="90" xfId="0" applyNumberFormat="1" applyFont="1" applyFill="1" applyBorder="1" applyAlignment="1">
      <alignment vertical="center" wrapText="1"/>
    </xf>
    <xf numFmtId="10" fontId="47" fillId="35" borderId="98" xfId="1" applyNumberFormat="1" applyFont="1" applyFill="1" applyBorder="1" applyAlignment="1">
      <alignment vertical="center" wrapText="1"/>
    </xf>
    <xf numFmtId="0" fontId="45" fillId="39" borderId="87" xfId="0" applyFont="1" applyFill="1" applyBorder="1"/>
    <xf numFmtId="0" fontId="46" fillId="39" borderId="71" xfId="0" applyFont="1" applyFill="1" applyBorder="1" applyAlignment="1">
      <alignment horizontal="center"/>
    </xf>
    <xf numFmtId="0" fontId="0" fillId="39" borderId="81" xfId="0" applyFill="1" applyBorder="1" applyAlignment="1">
      <alignment vertical="center" wrapText="1"/>
    </xf>
    <xf numFmtId="10" fontId="0" fillId="39" borderId="43" xfId="0" applyNumberFormat="1" applyFill="1" applyBorder="1"/>
    <xf numFmtId="164" fontId="1" fillId="39" borderId="43" xfId="1" applyNumberFormat="1" applyFont="1" applyFill="1" applyBorder="1"/>
    <xf numFmtId="165" fontId="1" fillId="39" borderId="43" xfId="1" applyNumberFormat="1" applyFont="1" applyFill="1" applyBorder="1"/>
    <xf numFmtId="10" fontId="1" fillId="39" borderId="43" xfId="1" applyNumberFormat="1" applyFont="1" applyFill="1" applyBorder="1"/>
    <xf numFmtId="10" fontId="0" fillId="39" borderId="43" xfId="0" applyNumberFormat="1" applyFill="1" applyBorder="1" applyAlignment="1">
      <alignment horizontal="right"/>
    </xf>
    <xf numFmtId="165" fontId="0" fillId="39" borderId="43" xfId="0" applyNumberFormat="1" applyFill="1" applyBorder="1" applyAlignment="1">
      <alignment wrapText="1"/>
    </xf>
    <xf numFmtId="0" fontId="0" fillId="39" borderId="43" xfId="0" applyFill="1" applyBorder="1"/>
    <xf numFmtId="10" fontId="0" fillId="39" borderId="99" xfId="0" applyNumberFormat="1" applyFill="1" applyBorder="1" applyAlignment="1">
      <alignment vertical="center" wrapText="1"/>
    </xf>
    <xf numFmtId="10" fontId="47" fillId="39" borderId="100" xfId="0" applyNumberFormat="1" applyFont="1" applyFill="1" applyBorder="1" applyAlignment="1">
      <alignment vertical="center" wrapText="1"/>
    </xf>
    <xf numFmtId="10" fontId="47" fillId="39" borderId="101" xfId="1" applyNumberFormat="1" applyFont="1" applyFill="1" applyBorder="1" applyAlignment="1">
      <alignment vertical="center" wrapText="1"/>
    </xf>
    <xf numFmtId="10" fontId="0" fillId="35" borderId="102" xfId="0" applyNumberFormat="1" applyFill="1" applyBorder="1" applyAlignment="1">
      <alignment vertical="center" wrapText="1"/>
    </xf>
    <xf numFmtId="10" fontId="47" fillId="35" borderId="73" xfId="0" applyNumberFormat="1" applyFont="1" applyFill="1" applyBorder="1" applyAlignment="1">
      <alignment vertical="center" wrapText="1"/>
    </xf>
    <xf numFmtId="10" fontId="47" fillId="35" borderId="103" xfId="1" applyNumberFormat="1" applyFont="1" applyFill="1" applyBorder="1" applyAlignment="1">
      <alignment vertical="center" wrapText="1"/>
    </xf>
    <xf numFmtId="0" fontId="2" fillId="39" borderId="104" xfId="0" applyFont="1" applyFill="1" applyBorder="1" applyAlignment="1">
      <alignment vertical="center"/>
    </xf>
    <xf numFmtId="0" fontId="45" fillId="39" borderId="105" xfId="0" applyFont="1" applyFill="1" applyBorder="1"/>
    <xf numFmtId="0" fontId="46" fillId="39" borderId="106" xfId="0" applyFont="1" applyFill="1" applyBorder="1" applyAlignment="1">
      <alignment horizontal="center"/>
    </xf>
    <xf numFmtId="0" fontId="0" fillId="39" borderId="107" xfId="0" applyFill="1" applyBorder="1" applyAlignment="1">
      <alignment vertical="center" wrapText="1"/>
    </xf>
    <xf numFmtId="0" fontId="0" fillId="39" borderId="108" xfId="0" applyFill="1" applyBorder="1" applyAlignment="1">
      <alignment horizontal="right" vertical="center" wrapText="1"/>
    </xf>
    <xf numFmtId="0" fontId="0" fillId="39" borderId="109" xfId="0" applyFill="1" applyBorder="1" applyAlignment="1">
      <alignment horizontal="right" vertical="center" wrapText="1"/>
    </xf>
    <xf numFmtId="10" fontId="0" fillId="39" borderId="109" xfId="0" applyNumberFormat="1" applyFill="1" applyBorder="1"/>
    <xf numFmtId="164" fontId="1" fillId="39" borderId="109" xfId="1" applyNumberFormat="1" applyFont="1" applyFill="1" applyBorder="1"/>
    <xf numFmtId="165" fontId="1" fillId="39" borderId="109" xfId="1" applyNumberFormat="1" applyFont="1" applyFill="1" applyBorder="1"/>
    <xf numFmtId="10" fontId="1" fillId="39" borderId="109" xfId="1" applyNumberFormat="1" applyFont="1" applyFill="1" applyBorder="1"/>
    <xf numFmtId="10" fontId="0" fillId="39" borderId="109" xfId="0" applyNumberFormat="1" applyFill="1" applyBorder="1" applyAlignment="1">
      <alignment horizontal="right"/>
    </xf>
    <xf numFmtId="165" fontId="0" fillId="39" borderId="109" xfId="0" applyNumberFormat="1" applyFill="1" applyBorder="1" applyAlignment="1">
      <alignment wrapText="1"/>
    </xf>
    <xf numFmtId="0" fontId="0" fillId="39" borderId="109" xfId="0" applyFill="1" applyBorder="1"/>
    <xf numFmtId="0" fontId="0" fillId="36" borderId="110" xfId="0" applyFill="1" applyBorder="1" applyAlignment="1">
      <alignment horizontal="center" vertical="center"/>
    </xf>
    <xf numFmtId="0" fontId="0" fillId="39" borderId="109" xfId="0" applyFill="1" applyBorder="1" applyAlignment="1">
      <alignment vertical="center"/>
    </xf>
    <xf numFmtId="0" fontId="0" fillId="39" borderId="109" xfId="0" applyFill="1" applyBorder="1" applyAlignment="1">
      <alignment vertical="center" wrapText="1"/>
    </xf>
    <xf numFmtId="0" fontId="0" fillId="39" borderId="109" xfId="0" applyFill="1" applyBorder="1" applyAlignment="1">
      <alignment horizontal="center" vertical="center"/>
    </xf>
    <xf numFmtId="166" fontId="1" fillId="39" borderId="109" xfId="5" applyNumberFormat="1" applyFont="1" applyFill="1" applyBorder="1" applyAlignment="1">
      <alignment horizontal="center" vertical="center"/>
    </xf>
    <xf numFmtId="171" fontId="45" fillId="39" borderId="108" xfId="0" applyNumberFormat="1" applyFont="1" applyFill="1" applyBorder="1" applyAlignment="1">
      <alignment vertical="center" wrapText="1"/>
    </xf>
    <xf numFmtId="171" fontId="45" fillId="39" borderId="109" xfId="0" applyNumberFormat="1" applyFont="1" applyFill="1" applyBorder="1" applyAlignment="1">
      <alignment vertical="center" wrapText="1"/>
    </xf>
    <xf numFmtId="171" fontId="2" fillId="39" borderId="111" xfId="0" applyNumberFormat="1" applyFont="1" applyFill="1" applyBorder="1" applyAlignment="1">
      <alignment vertical="center" wrapText="1"/>
    </xf>
    <xf numFmtId="171" fontId="0" fillId="39" borderId="108" xfId="0" applyNumberFormat="1" applyFill="1" applyBorder="1" applyAlignment="1">
      <alignment vertical="center" wrapText="1"/>
    </xf>
    <xf numFmtId="171" fontId="0" fillId="39" borderId="111" xfId="0" applyNumberFormat="1" applyFill="1" applyBorder="1" applyAlignment="1">
      <alignment vertical="center" wrapText="1"/>
    </xf>
    <xf numFmtId="164" fontId="1" fillId="0" borderId="9" xfId="1" applyNumberFormat="1" applyFont="1" applyBorder="1" applyAlignment="1">
      <alignment vertical="center"/>
    </xf>
    <xf numFmtId="164" fontId="1" fillId="0" borderId="10" xfId="1" applyNumberFormat="1" applyFont="1" applyBorder="1" applyAlignment="1">
      <alignment vertical="center"/>
    </xf>
    <xf numFmtId="164" fontId="1" fillId="0" borderId="36" xfId="1" applyNumberFormat="1" applyFont="1" applyBorder="1" applyAlignment="1">
      <alignment vertical="center"/>
    </xf>
    <xf numFmtId="164" fontId="1" fillId="5" borderId="59" xfId="1" applyNumberFormat="1" applyFont="1" applyFill="1" applyBorder="1" applyAlignment="1">
      <alignment vertical="center"/>
    </xf>
    <xf numFmtId="164" fontId="1" fillId="15" borderId="16" xfId="1" applyNumberFormat="1" applyFont="1" applyFill="1" applyBorder="1" applyAlignment="1">
      <alignment vertical="center"/>
    </xf>
    <xf numFmtId="164" fontId="0" fillId="0" borderId="10" xfId="0" applyNumberFormat="1" applyBorder="1" applyAlignment="1">
      <alignment vertical="center"/>
    </xf>
    <xf numFmtId="164" fontId="0" fillId="37" borderId="16" xfId="0" applyNumberFormat="1" applyFill="1" applyBorder="1" applyAlignment="1">
      <alignment vertical="center"/>
    </xf>
    <xf numFmtId="0" fontId="45" fillId="39" borderId="112" xfId="0" applyFont="1" applyFill="1" applyBorder="1" applyAlignment="1">
      <alignment vertical="center"/>
    </xf>
    <xf numFmtId="172" fontId="45" fillId="39" borderId="107" xfId="2" applyNumberFormat="1" applyFont="1" applyFill="1" applyBorder="1" applyAlignment="1">
      <alignment horizontal="center" vertical="center"/>
    </xf>
    <xf numFmtId="10" fontId="45" fillId="40" borderId="113" xfId="2" applyNumberFormat="1" applyFont="1" applyFill="1" applyBorder="1" applyAlignment="1">
      <alignment vertical="center"/>
    </xf>
    <xf numFmtId="10" fontId="45" fillId="39" borderId="113" xfId="2" applyNumberFormat="1" applyFont="1" applyFill="1" applyBorder="1" applyAlignment="1">
      <alignment vertical="center"/>
    </xf>
    <xf numFmtId="0" fontId="45" fillId="7" borderId="114" xfId="0" applyFont="1" applyFill="1" applyBorder="1" applyAlignment="1">
      <alignment vertical="center"/>
    </xf>
    <xf numFmtId="10" fontId="0" fillId="40" borderId="108" xfId="0" applyNumberFormat="1" applyFill="1" applyBorder="1" applyAlignment="1">
      <alignment vertical="center" wrapText="1"/>
    </xf>
    <xf numFmtId="10" fontId="42" fillId="40" borderId="109" xfId="0" applyNumberFormat="1" applyFont="1" applyFill="1" applyBorder="1" applyAlignment="1">
      <alignment vertical="center" wrapText="1"/>
    </xf>
    <xf numFmtId="10" fontId="42" fillId="40" borderId="109" xfId="1" applyNumberFormat="1" applyFont="1" applyFill="1" applyBorder="1" applyAlignment="1">
      <alignment vertical="center" wrapText="1"/>
    </xf>
    <xf numFmtId="10" fontId="0" fillId="39" borderId="115" xfId="0" applyNumberFormat="1" applyFill="1" applyBorder="1" applyAlignment="1">
      <alignment vertical="center" wrapText="1"/>
    </xf>
    <xf numFmtId="10" fontId="0" fillId="40" borderId="115" xfId="0" applyNumberFormat="1" applyFill="1" applyBorder="1" applyAlignment="1">
      <alignment vertical="center" wrapText="1"/>
    </xf>
    <xf numFmtId="10" fontId="0" fillId="39" borderId="108" xfId="0" applyNumberFormat="1" applyFill="1" applyBorder="1" applyAlignment="1">
      <alignment vertical="center" wrapText="1"/>
    </xf>
    <xf numFmtId="10" fontId="42" fillId="39" borderId="109" xfId="0" applyNumberFormat="1" applyFont="1" applyFill="1" applyBorder="1" applyAlignment="1">
      <alignment vertical="center" wrapText="1"/>
    </xf>
    <xf numFmtId="10" fontId="42" fillId="39" borderId="109" xfId="1" applyNumberFormat="1" applyFont="1" applyFill="1" applyBorder="1" applyAlignment="1">
      <alignment vertical="center" wrapText="1"/>
    </xf>
    <xf numFmtId="10" fontId="42" fillId="39" borderId="116" xfId="1" applyNumberFormat="1" applyFont="1" applyFill="1" applyBorder="1" applyAlignment="1">
      <alignment vertical="center" wrapText="1"/>
    </xf>
    <xf numFmtId="10" fontId="0" fillId="39" borderId="104" xfId="0" applyNumberFormat="1" applyFill="1" applyBorder="1" applyAlignment="1">
      <alignment vertical="center" wrapText="1"/>
    </xf>
    <xf numFmtId="10" fontId="47" fillId="39" borderId="109" xfId="0" applyNumberFormat="1" applyFont="1" applyFill="1" applyBorder="1" applyAlignment="1">
      <alignment vertical="center" wrapText="1"/>
    </xf>
    <xf numFmtId="10" fontId="47" fillId="39" borderId="105" xfId="1" applyNumberFormat="1" applyFont="1" applyFill="1" applyBorder="1" applyAlignment="1">
      <alignment vertical="center" wrapText="1"/>
    </xf>
    <xf numFmtId="0" fontId="2" fillId="23" borderId="102" xfId="0" applyFont="1" applyFill="1" applyBorder="1" applyAlignment="1">
      <alignment vertical="center"/>
    </xf>
    <xf numFmtId="0" fontId="45" fillId="23" borderId="103" xfId="0" applyFont="1" applyFill="1" applyBorder="1"/>
    <xf numFmtId="0" fontId="46" fillId="23" borderId="71" xfId="0" applyFont="1" applyFill="1" applyBorder="1" applyAlignment="1">
      <alignment horizontal="center"/>
    </xf>
    <xf numFmtId="0" fontId="0" fillId="23" borderId="81" xfId="0" applyFill="1" applyBorder="1" applyAlignment="1">
      <alignment vertical="center" wrapText="1"/>
    </xf>
    <xf numFmtId="0" fontId="0" fillId="23" borderId="75" xfId="0" applyFill="1" applyBorder="1" applyAlignment="1">
      <alignment horizontal="right" vertical="center" wrapText="1"/>
    </xf>
    <xf numFmtId="0" fontId="0" fillId="23" borderId="73" xfId="0" applyFill="1" applyBorder="1" applyAlignment="1">
      <alignment horizontal="right" vertical="center" wrapText="1"/>
    </xf>
    <xf numFmtId="10" fontId="0" fillId="23" borderId="73" xfId="0" applyNumberFormat="1" applyFill="1" applyBorder="1"/>
    <xf numFmtId="164" fontId="1" fillId="23" borderId="73" xfId="1" applyNumberFormat="1" applyFont="1" applyFill="1" applyBorder="1"/>
    <xf numFmtId="165" fontId="1" fillId="23" borderId="73" xfId="1" applyNumberFormat="1" applyFont="1" applyFill="1" applyBorder="1"/>
    <xf numFmtId="10" fontId="1" fillId="23" borderId="73" xfId="1" applyNumberFormat="1" applyFont="1" applyFill="1" applyBorder="1"/>
    <xf numFmtId="10" fontId="0" fillId="23" borderId="73" xfId="0" applyNumberFormat="1" applyFill="1" applyBorder="1" applyAlignment="1">
      <alignment horizontal="right"/>
    </xf>
    <xf numFmtId="165" fontId="0" fillId="23" borderId="73" xfId="0" applyNumberFormat="1" applyFill="1" applyBorder="1" applyAlignment="1">
      <alignment wrapText="1"/>
    </xf>
    <xf numFmtId="0" fontId="0" fillId="23" borderId="85" xfId="0" applyFill="1" applyBorder="1"/>
    <xf numFmtId="0" fontId="0" fillId="42" borderId="21" xfId="0" applyFill="1" applyBorder="1" applyAlignment="1">
      <alignment horizontal="center" vertical="center"/>
    </xf>
    <xf numFmtId="0" fontId="0" fillId="23" borderId="75" xfId="0" applyFill="1" applyBorder="1" applyAlignment="1">
      <alignment vertical="center"/>
    </xf>
    <xf numFmtId="0" fontId="0" fillId="23" borderId="73" xfId="0" applyFill="1" applyBorder="1" applyAlignment="1">
      <alignment vertical="center" wrapText="1"/>
    </xf>
    <xf numFmtId="0" fontId="0" fillId="23" borderId="73" xfId="0" applyFill="1" applyBorder="1" applyAlignment="1">
      <alignment horizontal="center" vertical="center"/>
    </xf>
    <xf numFmtId="166" fontId="1" fillId="23" borderId="73" xfId="5" applyNumberFormat="1" applyFont="1" applyFill="1" applyBorder="1" applyAlignment="1">
      <alignment horizontal="center" vertical="center"/>
    </xf>
    <xf numFmtId="0" fontId="0" fillId="23" borderId="73" xfId="0" applyFill="1" applyBorder="1" applyAlignment="1">
      <alignment vertical="center"/>
    </xf>
    <xf numFmtId="171" fontId="45" fillId="23" borderId="75" xfId="0" applyNumberFormat="1" applyFont="1" applyFill="1" applyBorder="1" applyAlignment="1">
      <alignment vertical="center" wrapText="1"/>
    </xf>
    <xf numFmtId="171" fontId="45" fillId="23" borderId="73" xfId="0" applyNumberFormat="1" applyFont="1" applyFill="1" applyBorder="1" applyAlignment="1">
      <alignment vertical="center" wrapText="1"/>
    </xf>
    <xf numFmtId="171" fontId="2" fillId="23" borderId="76" xfId="0" applyNumberFormat="1" applyFont="1" applyFill="1" applyBorder="1" applyAlignment="1">
      <alignment vertical="center" wrapText="1"/>
    </xf>
    <xf numFmtId="171" fontId="0" fillId="23" borderId="75" xfId="0" applyNumberFormat="1" applyFill="1" applyBorder="1" applyAlignment="1">
      <alignment vertical="center" wrapText="1"/>
    </xf>
    <xf numFmtId="171" fontId="0" fillId="23" borderId="76" xfId="0" applyNumberFormat="1" applyFill="1" applyBorder="1" applyAlignment="1">
      <alignment vertical="center" wrapText="1"/>
    </xf>
    <xf numFmtId="171" fontId="0" fillId="23" borderId="117" xfId="0" applyNumberFormat="1" applyFill="1" applyBorder="1" applyAlignment="1">
      <alignment vertical="center" wrapText="1"/>
    </xf>
    <xf numFmtId="164" fontId="1" fillId="0" borderId="118" xfId="1" applyNumberFormat="1" applyFont="1" applyBorder="1" applyAlignment="1">
      <alignment vertical="center"/>
    </xf>
    <xf numFmtId="164" fontId="1" fillId="0" borderId="119" xfId="1" applyNumberFormat="1" applyFont="1" applyBorder="1" applyAlignment="1">
      <alignment vertical="center"/>
    </xf>
    <xf numFmtId="164" fontId="1" fillId="0" borderId="120" xfId="1" applyNumberFormat="1" applyFont="1" applyBorder="1" applyAlignment="1">
      <alignment vertical="center"/>
    </xf>
    <xf numFmtId="164" fontId="1" fillId="5" borderId="41" xfId="1" applyNumberFormat="1" applyFont="1" applyFill="1" applyBorder="1" applyAlignment="1">
      <alignment vertical="center"/>
    </xf>
    <xf numFmtId="164" fontId="1" fillId="15" borderId="121" xfId="1" applyNumberFormat="1" applyFont="1" applyFill="1" applyBorder="1" applyAlignment="1">
      <alignment vertical="center"/>
    </xf>
    <xf numFmtId="0" fontId="45" fillId="23" borderId="80" xfId="0" applyFont="1" applyFill="1" applyBorder="1" applyAlignment="1">
      <alignment vertical="center"/>
    </xf>
    <xf numFmtId="172" fontId="45" fillId="23" borderId="81" xfId="2" applyNumberFormat="1" applyFont="1" applyFill="1" applyBorder="1" applyAlignment="1">
      <alignment horizontal="center" vertical="center"/>
    </xf>
    <xf numFmtId="10" fontId="45" fillId="24" borderId="82" xfId="2" applyNumberFormat="1" applyFont="1" applyFill="1" applyBorder="1" applyAlignment="1">
      <alignment vertical="center"/>
    </xf>
    <xf numFmtId="10" fontId="45" fillId="23" borderId="82" xfId="2" applyNumberFormat="1" applyFont="1" applyFill="1" applyBorder="1" applyAlignment="1">
      <alignment vertical="center"/>
    </xf>
    <xf numFmtId="10" fontId="0" fillId="24" borderId="75" xfId="0" applyNumberFormat="1" applyFill="1" applyBorder="1" applyAlignment="1">
      <alignment vertical="center" wrapText="1"/>
    </xf>
    <xf numFmtId="10" fontId="42" fillId="24" borderId="73" xfId="0" applyNumberFormat="1" applyFont="1" applyFill="1" applyBorder="1" applyAlignment="1">
      <alignment vertical="center" wrapText="1"/>
    </xf>
    <xf numFmtId="10" fontId="42" fillId="24" borderId="73" xfId="1" applyNumberFormat="1" applyFont="1" applyFill="1" applyBorder="1" applyAlignment="1">
      <alignment vertical="center" wrapText="1"/>
    </xf>
    <xf numFmtId="10" fontId="0" fillId="23" borderId="122" xfId="0" applyNumberFormat="1" applyFill="1" applyBorder="1" applyAlignment="1">
      <alignment vertical="center" wrapText="1"/>
    </xf>
    <xf numFmtId="10" fontId="0" fillId="24" borderId="122" xfId="0" applyNumberFormat="1" applyFill="1" applyBorder="1" applyAlignment="1">
      <alignment vertical="center" wrapText="1"/>
    </xf>
    <xf numFmtId="10" fontId="0" fillId="24" borderId="123" xfId="0" applyNumberFormat="1" applyFill="1" applyBorder="1" applyAlignment="1">
      <alignment vertical="center" wrapText="1"/>
    </xf>
    <xf numFmtId="10" fontId="0" fillId="23" borderId="75" xfId="0" applyNumberFormat="1" applyFill="1" applyBorder="1" applyAlignment="1">
      <alignment vertical="center" wrapText="1"/>
    </xf>
    <xf numFmtId="10" fontId="42" fillId="23" borderId="73" xfId="0" applyNumberFormat="1" applyFont="1" applyFill="1" applyBorder="1" applyAlignment="1">
      <alignment vertical="center" wrapText="1"/>
    </xf>
    <xf numFmtId="10" fontId="42" fillId="23" borderId="73" xfId="1" applyNumberFormat="1" applyFont="1" applyFill="1" applyBorder="1" applyAlignment="1">
      <alignment vertical="center" wrapText="1"/>
    </xf>
    <xf numFmtId="10" fontId="42" fillId="23" borderId="85" xfId="1" applyNumberFormat="1" applyFont="1" applyFill="1" applyBorder="1" applyAlignment="1">
      <alignment vertical="center" wrapText="1"/>
    </xf>
    <xf numFmtId="10" fontId="0" fillId="23" borderId="102" xfId="0" applyNumberFormat="1" applyFill="1" applyBorder="1" applyAlignment="1">
      <alignment vertical="center" wrapText="1"/>
    </xf>
    <xf numFmtId="10" fontId="47" fillId="23" borderId="73" xfId="0" applyNumberFormat="1" applyFont="1" applyFill="1" applyBorder="1" applyAlignment="1">
      <alignment vertical="center" wrapText="1"/>
    </xf>
    <xf numFmtId="10" fontId="47" fillId="23" borderId="103" xfId="1" applyNumberFormat="1" applyFont="1" applyFill="1" applyBorder="1" applyAlignment="1">
      <alignment vertical="center" wrapText="1"/>
    </xf>
    <xf numFmtId="0" fontId="2" fillId="43" borderId="81" xfId="0" applyFont="1" applyFill="1" applyBorder="1" applyAlignment="1">
      <alignment vertical="center"/>
    </xf>
    <xf numFmtId="0" fontId="45" fillId="43" borderId="87" xfId="0" applyFont="1" applyFill="1" applyBorder="1"/>
    <xf numFmtId="0" fontId="46" fillId="43" borderId="71" xfId="0" applyFont="1" applyFill="1" applyBorder="1" applyAlignment="1">
      <alignment horizontal="center"/>
    </xf>
    <xf numFmtId="0" fontId="0" fillId="43" borderId="81" xfId="0" applyFill="1" applyBorder="1" applyAlignment="1">
      <alignment vertical="center" wrapText="1"/>
    </xf>
    <xf numFmtId="0" fontId="0" fillId="43" borderId="82" xfId="0" applyFill="1" applyBorder="1" applyAlignment="1">
      <alignment horizontal="right" vertical="center" wrapText="1"/>
    </xf>
    <xf numFmtId="10" fontId="0" fillId="43" borderId="43" xfId="0" applyNumberFormat="1" applyFill="1" applyBorder="1"/>
    <xf numFmtId="164" fontId="1" fillId="43" borderId="43" xfId="1" applyNumberFormat="1" applyFont="1" applyFill="1" applyBorder="1"/>
    <xf numFmtId="165" fontId="1" fillId="43" borderId="43" xfId="1" applyNumberFormat="1" applyFont="1" applyFill="1" applyBorder="1"/>
    <xf numFmtId="10" fontId="1" fillId="43" borderId="43" xfId="1" applyNumberFormat="1" applyFont="1" applyFill="1" applyBorder="1"/>
    <xf numFmtId="10" fontId="0" fillId="43" borderId="43" xfId="0" applyNumberFormat="1" applyFill="1" applyBorder="1" applyAlignment="1">
      <alignment horizontal="right"/>
    </xf>
    <xf numFmtId="165" fontId="0" fillId="43" borderId="43" xfId="0" applyNumberFormat="1" applyFill="1" applyBorder="1" applyAlignment="1">
      <alignment wrapText="1"/>
    </xf>
    <xf numFmtId="0" fontId="0" fillId="43" borderId="124" xfId="0" applyFill="1" applyBorder="1"/>
    <xf numFmtId="0" fontId="0" fillId="42" borderId="46" xfId="0" applyFill="1" applyBorder="1" applyAlignment="1">
      <alignment horizontal="center" vertical="center"/>
    </xf>
    <xf numFmtId="0" fontId="0" fillId="43" borderId="91" xfId="0" applyFill="1" applyBorder="1" applyAlignment="1">
      <alignment vertical="center"/>
    </xf>
    <xf numFmtId="0" fontId="0" fillId="43" borderId="90" xfId="0" applyFill="1" applyBorder="1" applyAlignment="1">
      <alignment vertical="center" wrapText="1"/>
    </xf>
    <xf numFmtId="0" fontId="0" fillId="43" borderId="90" xfId="0" applyFill="1" applyBorder="1" applyAlignment="1">
      <alignment horizontal="center" vertical="center"/>
    </xf>
    <xf numFmtId="166" fontId="1" fillId="43" borderId="90" xfId="5" applyNumberFormat="1" applyFont="1" applyFill="1" applyBorder="1" applyAlignment="1">
      <alignment horizontal="center" vertical="center"/>
    </xf>
    <xf numFmtId="0" fontId="0" fillId="43" borderId="90" xfId="0" applyFill="1" applyBorder="1" applyAlignment="1">
      <alignment vertical="center"/>
    </xf>
    <xf numFmtId="171" fontId="45" fillId="43" borderId="91" xfId="0" applyNumberFormat="1" applyFont="1" applyFill="1" applyBorder="1" applyAlignment="1">
      <alignment vertical="center" wrapText="1"/>
    </xf>
    <xf numFmtId="171" fontId="45" fillId="43" borderId="90" xfId="0" applyNumberFormat="1" applyFont="1" applyFill="1" applyBorder="1" applyAlignment="1">
      <alignment vertical="center" wrapText="1"/>
    </xf>
    <xf numFmtId="171" fontId="2" fillId="43" borderId="92" xfId="0" applyNumberFormat="1" applyFont="1" applyFill="1" applyBorder="1" applyAlignment="1">
      <alignment vertical="center" wrapText="1"/>
    </xf>
    <xf numFmtId="171" fontId="0" fillId="43" borderId="91" xfId="0" applyNumberFormat="1" applyFill="1" applyBorder="1" applyAlignment="1">
      <alignment vertical="center" wrapText="1"/>
    </xf>
    <xf numFmtId="171" fontId="0" fillId="43" borderId="92" xfId="0" applyNumberFormat="1" applyFill="1" applyBorder="1" applyAlignment="1">
      <alignment vertical="center" wrapText="1"/>
    </xf>
    <xf numFmtId="0" fontId="45" fillId="43" borderId="80" xfId="0" applyFont="1" applyFill="1" applyBorder="1" applyAlignment="1">
      <alignment vertical="center"/>
    </xf>
    <xf numFmtId="172" fontId="45" fillId="43" borderId="81" xfId="2" applyNumberFormat="1" applyFont="1" applyFill="1" applyBorder="1" applyAlignment="1">
      <alignment horizontal="center" vertical="center"/>
    </xf>
    <xf numFmtId="10" fontId="45" fillId="44" borderId="82" xfId="2" applyNumberFormat="1" applyFont="1" applyFill="1" applyBorder="1" applyAlignment="1">
      <alignment vertical="center"/>
    </xf>
    <xf numFmtId="10" fontId="45" fillId="43" borderId="82" xfId="2" applyNumberFormat="1" applyFont="1" applyFill="1" applyBorder="1" applyAlignment="1">
      <alignment vertical="center"/>
    </xf>
    <xf numFmtId="10" fontId="0" fillId="44" borderId="91" xfId="0" applyNumberFormat="1" applyFill="1" applyBorder="1" applyAlignment="1">
      <alignment vertical="center" wrapText="1"/>
    </xf>
    <xf numFmtId="10" fontId="42" fillId="44" borderId="90" xfId="0" applyNumberFormat="1" applyFont="1" applyFill="1" applyBorder="1" applyAlignment="1">
      <alignment vertical="center" wrapText="1"/>
    </xf>
    <xf numFmtId="10" fontId="42" fillId="44" borderId="90" xfId="1" applyNumberFormat="1" applyFont="1" applyFill="1" applyBorder="1" applyAlignment="1">
      <alignment vertical="center" wrapText="1"/>
    </xf>
    <xf numFmtId="10" fontId="0" fillId="43" borderId="95" xfId="0" applyNumberFormat="1" applyFill="1" applyBorder="1" applyAlignment="1">
      <alignment vertical="center" wrapText="1"/>
    </xf>
    <xf numFmtId="10" fontId="0" fillId="44" borderId="95" xfId="0" applyNumberFormat="1" applyFill="1" applyBorder="1" applyAlignment="1">
      <alignment vertical="center" wrapText="1"/>
    </xf>
    <xf numFmtId="10" fontId="0" fillId="43" borderId="91" xfId="0" applyNumberFormat="1" applyFill="1" applyBorder="1" applyAlignment="1">
      <alignment vertical="center" wrapText="1"/>
    </xf>
    <xf numFmtId="10" fontId="42" fillId="43" borderId="90" xfId="0" applyNumberFormat="1" applyFont="1" applyFill="1" applyBorder="1" applyAlignment="1">
      <alignment vertical="center" wrapText="1"/>
    </xf>
    <xf numFmtId="10" fontId="42" fillId="43" borderId="90" xfId="1" applyNumberFormat="1" applyFont="1" applyFill="1" applyBorder="1" applyAlignment="1">
      <alignment vertical="center" wrapText="1"/>
    </xf>
    <xf numFmtId="10" fontId="42" fillId="43" borderId="96" xfId="1" applyNumberFormat="1" applyFont="1" applyFill="1" applyBorder="1" applyAlignment="1">
      <alignment vertical="center" wrapText="1"/>
    </xf>
    <xf numFmtId="10" fontId="0" fillId="43" borderId="97" xfId="0" applyNumberFormat="1" applyFill="1" applyBorder="1" applyAlignment="1">
      <alignment vertical="center" wrapText="1"/>
    </xf>
    <xf numFmtId="10" fontId="47" fillId="43" borderId="90" xfId="0" applyNumberFormat="1" applyFont="1" applyFill="1" applyBorder="1" applyAlignment="1">
      <alignment vertical="center" wrapText="1"/>
    </xf>
    <xf numFmtId="10" fontId="47" fillId="43" borderId="98" xfId="1" applyNumberFormat="1" applyFont="1" applyFill="1" applyBorder="1" applyAlignment="1">
      <alignment vertical="center" wrapText="1"/>
    </xf>
    <xf numFmtId="0" fontId="2" fillId="23" borderId="81" xfId="0" applyFont="1" applyFill="1" applyBorder="1" applyAlignment="1">
      <alignment vertical="center"/>
    </xf>
    <xf numFmtId="0" fontId="45" fillId="23" borderId="87" xfId="0" applyFont="1" applyFill="1" applyBorder="1"/>
    <xf numFmtId="0" fontId="0" fillId="23" borderId="82" xfId="0" applyFill="1" applyBorder="1" applyAlignment="1">
      <alignment horizontal="right" vertical="center" wrapText="1"/>
    </xf>
    <xf numFmtId="10" fontId="0" fillId="23" borderId="43" xfId="0" applyNumberFormat="1" applyFill="1" applyBorder="1"/>
    <xf numFmtId="164" fontId="1" fillId="23" borderId="43" xfId="1" applyNumberFormat="1" applyFont="1" applyFill="1" applyBorder="1"/>
    <xf numFmtId="165" fontId="1" fillId="23" borderId="43" xfId="1" applyNumberFormat="1" applyFont="1" applyFill="1" applyBorder="1"/>
    <xf numFmtId="10" fontId="1" fillId="23" borderId="43" xfId="1" applyNumberFormat="1" applyFont="1" applyFill="1" applyBorder="1"/>
    <xf numFmtId="10" fontId="0" fillId="23" borderId="43" xfId="0" applyNumberFormat="1" applyFill="1" applyBorder="1" applyAlignment="1">
      <alignment horizontal="right"/>
    </xf>
    <xf numFmtId="165" fontId="0" fillId="23" borderId="43" xfId="0" applyNumberFormat="1" applyFill="1" applyBorder="1" applyAlignment="1">
      <alignment wrapText="1"/>
    </xf>
    <xf numFmtId="0" fontId="0" fillId="23" borderId="124" xfId="0" applyFill="1" applyBorder="1"/>
    <xf numFmtId="0" fontId="0" fillId="23" borderId="91" xfId="0" applyFill="1" applyBorder="1" applyAlignment="1">
      <alignment vertical="center"/>
    </xf>
    <xf numFmtId="0" fontId="0" fillId="23" borderId="90" xfId="0" applyFill="1" applyBorder="1" applyAlignment="1">
      <alignment vertical="center" wrapText="1"/>
    </xf>
    <xf numFmtId="0" fontId="0" fillId="23" borderId="90" xfId="0" applyFill="1" applyBorder="1" applyAlignment="1">
      <alignment horizontal="center" vertical="center"/>
    </xf>
    <xf numFmtId="166" fontId="1" fillId="23" borderId="90" xfId="5" applyNumberFormat="1" applyFont="1" applyFill="1" applyBorder="1" applyAlignment="1">
      <alignment horizontal="center" vertical="center"/>
    </xf>
    <xf numFmtId="0" fontId="0" fillId="23" borderId="90" xfId="0" applyFill="1" applyBorder="1" applyAlignment="1">
      <alignment vertical="center"/>
    </xf>
    <xf numFmtId="171" fontId="45" fillId="23" borderId="91" xfId="0" applyNumberFormat="1" applyFont="1" applyFill="1" applyBorder="1" applyAlignment="1">
      <alignment vertical="center" wrapText="1"/>
    </xf>
    <xf numFmtId="171" fontId="45" fillId="23" borderId="90" xfId="0" applyNumberFormat="1" applyFont="1" applyFill="1" applyBorder="1" applyAlignment="1">
      <alignment vertical="center" wrapText="1"/>
    </xf>
    <xf numFmtId="171" fontId="2" fillId="23" borderId="92" xfId="0" applyNumberFormat="1" applyFont="1" applyFill="1" applyBorder="1" applyAlignment="1">
      <alignment vertical="center" wrapText="1"/>
    </xf>
    <xf numFmtId="171" fontId="0" fillId="23" borderId="91" xfId="0" applyNumberFormat="1" applyFill="1" applyBorder="1" applyAlignment="1">
      <alignment vertical="center" wrapText="1"/>
    </xf>
    <xf numFmtId="171" fontId="0" fillId="23" borderId="92" xfId="0" applyNumberFormat="1" applyFill="1" applyBorder="1" applyAlignment="1">
      <alignment vertical="center" wrapText="1"/>
    </xf>
    <xf numFmtId="10" fontId="0" fillId="24" borderId="91" xfId="0" applyNumberFormat="1" applyFill="1" applyBorder="1" applyAlignment="1">
      <alignment vertical="center" wrapText="1"/>
    </xf>
    <xf numFmtId="10" fontId="42" fillId="24" borderId="90" xfId="0" applyNumberFormat="1" applyFont="1" applyFill="1" applyBorder="1" applyAlignment="1">
      <alignment vertical="center" wrapText="1"/>
    </xf>
    <xf numFmtId="10" fontId="42" fillId="24" borderId="90" xfId="1" applyNumberFormat="1" applyFont="1" applyFill="1" applyBorder="1" applyAlignment="1">
      <alignment vertical="center" wrapText="1"/>
    </xf>
    <xf numFmtId="10" fontId="0" fillId="23" borderId="95" xfId="0" applyNumberFormat="1" applyFill="1" applyBorder="1" applyAlignment="1">
      <alignment vertical="center" wrapText="1"/>
    </xf>
    <xf numFmtId="10" fontId="0" fillId="24" borderId="95" xfId="0" applyNumberFormat="1" applyFill="1" applyBorder="1" applyAlignment="1">
      <alignment vertical="center" wrapText="1"/>
    </xf>
    <xf numFmtId="10" fontId="0" fillId="23" borderId="91" xfId="0" applyNumberFormat="1" applyFill="1" applyBorder="1" applyAlignment="1">
      <alignment vertical="center" wrapText="1"/>
    </xf>
    <xf numFmtId="10" fontId="42" fillId="23" borderId="90" xfId="0" applyNumberFormat="1" applyFont="1" applyFill="1" applyBorder="1" applyAlignment="1">
      <alignment vertical="center" wrapText="1"/>
    </xf>
    <xf numFmtId="10" fontId="42" fillId="23" borderId="90" xfId="1" applyNumberFormat="1" applyFont="1" applyFill="1" applyBorder="1" applyAlignment="1">
      <alignment vertical="center" wrapText="1"/>
    </xf>
    <xf numFmtId="10" fontId="42" fillId="23" borderId="96" xfId="1" applyNumberFormat="1" applyFont="1" applyFill="1" applyBorder="1" applyAlignment="1">
      <alignment vertical="center" wrapText="1"/>
    </xf>
    <xf numFmtId="10" fontId="0" fillId="23" borderId="97" xfId="0" applyNumberFormat="1" applyFill="1" applyBorder="1" applyAlignment="1">
      <alignment vertical="center" wrapText="1"/>
    </xf>
    <xf numFmtId="10" fontId="47" fillId="23" borderId="90" xfId="0" applyNumberFormat="1" applyFont="1" applyFill="1" applyBorder="1" applyAlignment="1">
      <alignment vertical="center" wrapText="1"/>
    </xf>
    <xf numFmtId="10" fontId="47" fillId="23" borderId="98" xfId="1" applyNumberFormat="1" applyFont="1" applyFill="1" applyBorder="1" applyAlignment="1">
      <alignment vertical="center" wrapText="1"/>
    </xf>
    <xf numFmtId="0" fontId="0" fillId="23" borderId="43" xfId="0" applyFill="1" applyBorder="1"/>
    <xf numFmtId="0" fontId="2" fillId="43" borderId="104" xfId="0" applyFont="1" applyFill="1" applyBorder="1" applyAlignment="1">
      <alignment vertical="center"/>
    </xf>
    <xf numFmtId="0" fontId="45" fillId="43" borderId="105" xfId="0" applyFont="1" applyFill="1" applyBorder="1"/>
    <xf numFmtId="0" fontId="46" fillId="43" borderId="106" xfId="0" applyFont="1" applyFill="1" applyBorder="1" applyAlignment="1">
      <alignment horizontal="center"/>
    </xf>
    <xf numFmtId="0" fontId="0" fillId="43" borderId="107" xfId="0" applyFill="1" applyBorder="1" applyAlignment="1">
      <alignment vertical="center" wrapText="1"/>
    </xf>
    <xf numFmtId="0" fontId="0" fillId="43" borderId="108" xfId="0" applyFill="1" applyBorder="1" applyAlignment="1">
      <alignment horizontal="right" vertical="center" wrapText="1"/>
    </xf>
    <xf numFmtId="0" fontId="0" fillId="43" borderId="109" xfId="0" applyFill="1" applyBorder="1" applyAlignment="1">
      <alignment horizontal="right" vertical="center" wrapText="1"/>
    </xf>
    <xf numFmtId="10" fontId="0" fillId="43" borderId="109" xfId="0" applyNumberFormat="1" applyFill="1" applyBorder="1"/>
    <xf numFmtId="164" fontId="1" fillId="43" borderId="109" xfId="1" applyNumberFormat="1" applyFont="1" applyFill="1" applyBorder="1"/>
    <xf numFmtId="165" fontId="1" fillId="43" borderId="109" xfId="1" applyNumberFormat="1" applyFont="1" applyFill="1" applyBorder="1"/>
    <xf numFmtId="10" fontId="1" fillId="43" borderId="109" xfId="1" applyNumberFormat="1" applyFont="1" applyFill="1" applyBorder="1"/>
    <xf numFmtId="10" fontId="0" fillId="43" borderId="109" xfId="0" applyNumberFormat="1" applyFill="1" applyBorder="1" applyAlignment="1">
      <alignment horizontal="right"/>
    </xf>
    <xf numFmtId="165" fontId="0" fillId="43" borderId="109" xfId="0" applyNumberFormat="1" applyFill="1" applyBorder="1" applyAlignment="1">
      <alignment wrapText="1"/>
    </xf>
    <xf numFmtId="0" fontId="0" fillId="43" borderId="109" xfId="0" applyFill="1" applyBorder="1"/>
    <xf numFmtId="0" fontId="0" fillId="42" borderId="125" xfId="0" applyFill="1" applyBorder="1" applyAlignment="1">
      <alignment horizontal="center" vertical="center"/>
    </xf>
    <xf numFmtId="0" fontId="0" fillId="43" borderId="109" xfId="0" applyFill="1" applyBorder="1" applyAlignment="1">
      <alignment vertical="center"/>
    </xf>
    <xf numFmtId="0" fontId="0" fillId="43" borderId="109" xfId="0" applyFill="1" applyBorder="1" applyAlignment="1">
      <alignment vertical="center" wrapText="1"/>
    </xf>
    <xf numFmtId="0" fontId="0" fillId="43" borderId="109" xfId="0" applyFill="1" applyBorder="1" applyAlignment="1">
      <alignment horizontal="center" vertical="center"/>
    </xf>
    <xf numFmtId="166" fontId="1" fillId="43" borderId="109" xfId="5" applyNumberFormat="1" applyFont="1" applyFill="1" applyBorder="1" applyAlignment="1">
      <alignment horizontal="center" vertical="center"/>
    </xf>
    <xf numFmtId="171" fontId="45" fillId="43" borderId="108" xfId="0" applyNumberFormat="1" applyFont="1" applyFill="1" applyBorder="1" applyAlignment="1">
      <alignment vertical="center" wrapText="1"/>
    </xf>
    <xf numFmtId="171" fontId="45" fillId="43" borderId="109" xfId="0" applyNumberFormat="1" applyFont="1" applyFill="1" applyBorder="1" applyAlignment="1">
      <alignment vertical="center" wrapText="1"/>
    </xf>
    <xf numFmtId="171" fontId="2" fillId="43" borderId="111" xfId="0" applyNumberFormat="1" applyFont="1" applyFill="1" applyBorder="1" applyAlignment="1">
      <alignment vertical="center" wrapText="1"/>
    </xf>
    <xf numFmtId="171" fontId="0" fillId="43" borderId="108" xfId="0" applyNumberFormat="1" applyFill="1" applyBorder="1" applyAlignment="1">
      <alignment vertical="center" wrapText="1"/>
    </xf>
    <xf numFmtId="171" fontId="0" fillId="43" borderId="111" xfId="0" applyNumberFormat="1" applyFill="1" applyBorder="1" applyAlignment="1">
      <alignment vertical="center" wrapText="1"/>
    </xf>
    <xf numFmtId="0" fontId="45" fillId="43" borderId="112" xfId="0" applyFont="1" applyFill="1" applyBorder="1" applyAlignment="1">
      <alignment vertical="center"/>
    </xf>
    <xf numFmtId="172" fontId="45" fillId="43" borderId="107" xfId="2" applyNumberFormat="1" applyFont="1" applyFill="1" applyBorder="1" applyAlignment="1">
      <alignment horizontal="center" vertical="center"/>
    </xf>
    <xf numFmtId="10" fontId="45" fillId="44" borderId="113" xfId="2" applyNumberFormat="1" applyFont="1" applyFill="1" applyBorder="1" applyAlignment="1">
      <alignment vertical="center"/>
    </xf>
    <xf numFmtId="10" fontId="45" fillId="43" borderId="113" xfId="2" applyNumberFormat="1" applyFont="1" applyFill="1" applyBorder="1" applyAlignment="1">
      <alignment vertical="center"/>
    </xf>
    <xf numFmtId="10" fontId="0" fillId="44" borderId="108" xfId="0" applyNumberFormat="1" applyFill="1" applyBorder="1" applyAlignment="1">
      <alignment vertical="center" wrapText="1"/>
    </xf>
    <xf numFmtId="10" fontId="42" fillId="44" borderId="109" xfId="0" applyNumberFormat="1" applyFont="1" applyFill="1" applyBorder="1" applyAlignment="1">
      <alignment vertical="center" wrapText="1"/>
    </xf>
    <xf numFmtId="10" fontId="42" fillId="44" borderId="109" xfId="1" applyNumberFormat="1" applyFont="1" applyFill="1" applyBorder="1" applyAlignment="1">
      <alignment vertical="center" wrapText="1"/>
    </xf>
    <xf numFmtId="10" fontId="0" fillId="43" borderId="115" xfId="0" applyNumberFormat="1" applyFill="1" applyBorder="1" applyAlignment="1">
      <alignment vertical="center" wrapText="1"/>
    </xf>
    <xf numFmtId="10" fontId="0" fillId="44" borderId="115" xfId="0" applyNumberFormat="1" applyFill="1" applyBorder="1" applyAlignment="1">
      <alignment vertical="center" wrapText="1"/>
    </xf>
    <xf numFmtId="10" fontId="0" fillId="43" borderId="108" xfId="0" applyNumberFormat="1" applyFill="1" applyBorder="1" applyAlignment="1">
      <alignment vertical="center" wrapText="1"/>
    </xf>
    <xf numFmtId="10" fontId="42" fillId="43" borderId="109" xfId="0" applyNumberFormat="1" applyFont="1" applyFill="1" applyBorder="1" applyAlignment="1">
      <alignment vertical="center" wrapText="1"/>
    </xf>
    <xf numFmtId="10" fontId="42" fillId="43" borderId="109" xfId="1" applyNumberFormat="1" applyFont="1" applyFill="1" applyBorder="1" applyAlignment="1">
      <alignment vertical="center" wrapText="1"/>
    </xf>
    <xf numFmtId="10" fontId="42" fillId="43" borderId="116" xfId="1" applyNumberFormat="1" applyFont="1" applyFill="1" applyBorder="1" applyAlignment="1">
      <alignment vertical="center" wrapText="1"/>
    </xf>
    <xf numFmtId="10" fontId="0" fillId="43" borderId="104" xfId="0" applyNumberFormat="1" applyFill="1" applyBorder="1" applyAlignment="1">
      <alignment vertical="center" wrapText="1"/>
    </xf>
    <xf numFmtId="10" fontId="47" fillId="43" borderId="109" xfId="0" applyNumberFormat="1" applyFont="1" applyFill="1" applyBorder="1" applyAlignment="1">
      <alignment vertical="center" wrapText="1"/>
    </xf>
    <xf numFmtId="10" fontId="47" fillId="43" borderId="105" xfId="1" applyNumberFormat="1" applyFont="1" applyFill="1" applyBorder="1" applyAlignment="1">
      <alignment vertical="center" wrapText="1"/>
    </xf>
    <xf numFmtId="0" fontId="2" fillId="46" borderId="102" xfId="0" applyFont="1" applyFill="1" applyBorder="1" applyAlignment="1">
      <alignment vertical="center"/>
    </xf>
    <xf numFmtId="0" fontId="45" fillId="46" borderId="103" xfId="0" applyFont="1" applyFill="1" applyBorder="1"/>
    <xf numFmtId="0" fontId="46" fillId="46" borderId="71" xfId="0" applyFont="1" applyFill="1" applyBorder="1" applyAlignment="1">
      <alignment horizontal="center"/>
    </xf>
    <xf numFmtId="0" fontId="0" fillId="46" borderId="81" xfId="0" applyFill="1" applyBorder="1" applyAlignment="1">
      <alignment vertical="center" wrapText="1"/>
    </xf>
    <xf numFmtId="0" fontId="0" fillId="46" borderId="75" xfId="0" applyFill="1" applyBorder="1" applyAlignment="1">
      <alignment horizontal="right" vertical="center" wrapText="1"/>
    </xf>
    <xf numFmtId="0" fontId="0" fillId="46" borderId="73" xfId="0" applyFill="1" applyBorder="1" applyAlignment="1">
      <alignment horizontal="right" vertical="center" wrapText="1"/>
    </xf>
    <xf numFmtId="10" fontId="0" fillId="46" borderId="73" xfId="0" applyNumberFormat="1" applyFill="1" applyBorder="1"/>
    <xf numFmtId="0" fontId="0" fillId="46" borderId="73" xfId="0" applyFill="1" applyBorder="1"/>
    <xf numFmtId="165" fontId="1" fillId="46" borderId="73" xfId="1" applyNumberFormat="1" applyFont="1" applyFill="1" applyBorder="1"/>
    <xf numFmtId="10" fontId="0" fillId="46" borderId="73" xfId="0" applyNumberFormat="1" applyFill="1" applyBorder="1" applyAlignment="1">
      <alignment horizontal="right"/>
    </xf>
    <xf numFmtId="165" fontId="0" fillId="46" borderId="73" xfId="0" applyNumberFormat="1" applyFill="1" applyBorder="1" applyAlignment="1">
      <alignment wrapText="1"/>
    </xf>
    <xf numFmtId="10" fontId="0" fillId="46" borderId="73" xfId="0" applyNumberFormat="1" applyFill="1" applyBorder="1" applyAlignment="1">
      <alignment horizontal="center" vertical="center"/>
    </xf>
    <xf numFmtId="10" fontId="0" fillId="47" borderId="74" xfId="0" applyNumberFormat="1" applyFill="1" applyBorder="1" applyAlignment="1">
      <alignment horizontal="center" vertical="center"/>
    </xf>
    <xf numFmtId="10" fontId="0" fillId="46" borderId="73" xfId="0" applyNumberFormat="1" applyFill="1" applyBorder="1" applyAlignment="1">
      <alignment vertical="center"/>
    </xf>
    <xf numFmtId="10" fontId="0" fillId="46" borderId="73" xfId="0" applyNumberFormat="1" applyFill="1" applyBorder="1" applyAlignment="1">
      <alignment vertical="center" wrapText="1"/>
    </xf>
    <xf numFmtId="0" fontId="0" fillId="46" borderId="73" xfId="0" applyFill="1" applyBorder="1" applyAlignment="1">
      <alignment horizontal="center" vertical="center"/>
    </xf>
    <xf numFmtId="166" fontId="1" fillId="46" borderId="73" xfId="5" applyNumberFormat="1" applyFont="1" applyFill="1" applyBorder="1" applyAlignment="1">
      <alignment horizontal="center" vertical="center"/>
    </xf>
    <xf numFmtId="0" fontId="0" fillId="46" borderId="73" xfId="0" applyFill="1" applyBorder="1" applyAlignment="1">
      <alignment vertical="center"/>
    </xf>
    <xf numFmtId="171" fontId="45" fillId="46" borderId="75" xfId="0" applyNumberFormat="1" applyFont="1" applyFill="1" applyBorder="1" applyAlignment="1">
      <alignment vertical="center" wrapText="1"/>
    </xf>
    <xf numFmtId="171" fontId="45" fillId="46" borderId="73" xfId="0" applyNumberFormat="1" applyFont="1" applyFill="1" applyBorder="1" applyAlignment="1">
      <alignment vertical="center" wrapText="1"/>
    </xf>
    <xf numFmtId="171" fontId="2" fillId="46" borderId="76" xfId="0" applyNumberFormat="1" applyFont="1" applyFill="1" applyBorder="1" applyAlignment="1">
      <alignment vertical="center" wrapText="1"/>
    </xf>
    <xf numFmtId="171" fontId="0" fillId="46" borderId="75" xfId="0" applyNumberFormat="1" applyFill="1" applyBorder="1" applyAlignment="1">
      <alignment vertical="center" wrapText="1"/>
    </xf>
    <xf numFmtId="171" fontId="0" fillId="46" borderId="76" xfId="0" applyNumberFormat="1" applyFill="1" applyBorder="1" applyAlignment="1">
      <alignment vertical="center" wrapText="1"/>
    </xf>
    <xf numFmtId="0" fontId="45" fillId="46" borderId="80" xfId="0" applyFont="1" applyFill="1" applyBorder="1" applyAlignment="1">
      <alignment vertical="center"/>
    </xf>
    <xf numFmtId="172" fontId="45" fillId="46" borderId="81" xfId="2" applyNumberFormat="1" applyFont="1" applyFill="1" applyBorder="1" applyAlignment="1">
      <alignment horizontal="center" vertical="center"/>
    </xf>
    <xf numFmtId="10" fontId="45" fillId="48" borderId="82" xfId="2" applyNumberFormat="1" applyFont="1" applyFill="1" applyBorder="1" applyAlignment="1">
      <alignment vertical="center"/>
    </xf>
    <xf numFmtId="10" fontId="45" fillId="46" borderId="82" xfId="2" applyNumberFormat="1" applyFont="1" applyFill="1" applyBorder="1" applyAlignment="1">
      <alignment vertical="center"/>
    </xf>
    <xf numFmtId="10" fontId="0" fillId="48" borderId="75" xfId="0" applyNumberFormat="1" applyFill="1" applyBorder="1" applyAlignment="1">
      <alignment vertical="center" wrapText="1"/>
    </xf>
    <xf numFmtId="10" fontId="42" fillId="48" borderId="73" xfId="0" applyNumberFormat="1" applyFont="1" applyFill="1" applyBorder="1" applyAlignment="1">
      <alignment vertical="center" wrapText="1"/>
    </xf>
    <xf numFmtId="10" fontId="42" fillId="48" borderId="73" xfId="1" applyNumberFormat="1" applyFont="1" applyFill="1" applyBorder="1" applyAlignment="1">
      <alignment vertical="center" wrapText="1"/>
    </xf>
    <xf numFmtId="10" fontId="0" fillId="46" borderId="123" xfId="0" applyNumberFormat="1" applyFill="1" applyBorder="1" applyAlignment="1">
      <alignment vertical="center" wrapText="1"/>
    </xf>
    <xf numFmtId="10" fontId="0" fillId="48" borderId="123" xfId="0" applyNumberFormat="1" applyFill="1" applyBorder="1" applyAlignment="1">
      <alignment vertical="center" wrapText="1"/>
    </xf>
    <xf numFmtId="10" fontId="0" fillId="46" borderId="75" xfId="0" applyNumberFormat="1" applyFill="1" applyBorder="1" applyAlignment="1">
      <alignment vertical="center" wrapText="1"/>
    </xf>
    <xf numFmtId="10" fontId="42" fillId="46" borderId="73" xfId="0" applyNumberFormat="1" applyFont="1" applyFill="1" applyBorder="1" applyAlignment="1">
      <alignment vertical="center" wrapText="1"/>
    </xf>
    <xf numFmtId="10" fontId="42" fillId="46" borderId="73" xfId="1" applyNumberFormat="1" applyFont="1" applyFill="1" applyBorder="1" applyAlignment="1">
      <alignment vertical="center" wrapText="1"/>
    </xf>
    <xf numFmtId="10" fontId="42" fillId="46" borderId="85" xfId="1" applyNumberFormat="1" applyFont="1" applyFill="1" applyBorder="1" applyAlignment="1">
      <alignment vertical="center" wrapText="1"/>
    </xf>
    <xf numFmtId="10" fontId="0" fillId="46" borderId="102" xfId="0" applyNumberFormat="1" applyFill="1" applyBorder="1" applyAlignment="1">
      <alignment vertical="center" wrapText="1"/>
    </xf>
    <xf numFmtId="10" fontId="47" fillId="46" borderId="73" xfId="0" applyNumberFormat="1" applyFont="1" applyFill="1" applyBorder="1" applyAlignment="1">
      <alignment vertical="center" wrapText="1"/>
    </xf>
    <xf numFmtId="10" fontId="47" fillId="46" borderId="103" xfId="1" applyNumberFormat="1" applyFont="1" applyFill="1" applyBorder="1" applyAlignment="1">
      <alignment vertical="center" wrapText="1"/>
    </xf>
    <xf numFmtId="0" fontId="2" fillId="4" borderId="81" xfId="0" applyFont="1" applyFill="1" applyBorder="1" applyAlignment="1">
      <alignment vertical="center"/>
    </xf>
    <xf numFmtId="0" fontId="45" fillId="4" borderId="87" xfId="0" applyFont="1" applyFill="1" applyBorder="1"/>
    <xf numFmtId="0" fontId="46" fillId="4" borderId="71" xfId="0" applyFont="1" applyFill="1" applyBorder="1" applyAlignment="1">
      <alignment horizontal="center"/>
    </xf>
    <xf numFmtId="0" fontId="0" fillId="4" borderId="81" xfId="0" applyFill="1" applyBorder="1" applyAlignment="1">
      <alignment vertical="center" wrapText="1"/>
    </xf>
    <xf numFmtId="0" fontId="0" fillId="4" borderId="82" xfId="0" applyFill="1" applyBorder="1" applyAlignment="1">
      <alignment horizontal="right" vertical="center" wrapText="1"/>
    </xf>
    <xf numFmtId="10" fontId="1" fillId="4" borderId="43" xfId="1" applyNumberFormat="1" applyFont="1" applyFill="1" applyBorder="1"/>
    <xf numFmtId="0" fontId="0" fillId="4" borderId="43" xfId="0" applyFill="1" applyBorder="1"/>
    <xf numFmtId="165" fontId="1" fillId="4" borderId="43" xfId="1" applyNumberFormat="1" applyFont="1" applyFill="1" applyBorder="1"/>
    <xf numFmtId="10" fontId="0" fillId="4" borderId="43" xfId="0" applyNumberFormat="1" applyFill="1" applyBorder="1"/>
    <xf numFmtId="10" fontId="0" fillId="4" borderId="43" xfId="0" applyNumberFormat="1" applyFill="1" applyBorder="1" applyAlignment="1">
      <alignment horizontal="right"/>
    </xf>
    <xf numFmtId="165" fontId="0" fillId="4" borderId="43" xfId="0" applyNumberFormat="1" applyFill="1" applyBorder="1" applyAlignment="1">
      <alignment wrapText="1"/>
    </xf>
    <xf numFmtId="10" fontId="0" fillId="4" borderId="43" xfId="0" applyNumberFormat="1" applyFill="1" applyBorder="1" applyAlignment="1">
      <alignment horizontal="center" vertical="center"/>
    </xf>
    <xf numFmtId="10" fontId="0" fillId="47" borderId="89" xfId="0" applyNumberFormat="1" applyFill="1" applyBorder="1" applyAlignment="1">
      <alignment horizontal="center" vertical="center"/>
    </xf>
    <xf numFmtId="10" fontId="0" fillId="4" borderId="90" xfId="0" applyNumberFormat="1" applyFill="1" applyBorder="1" applyAlignment="1">
      <alignment vertical="center"/>
    </xf>
    <xf numFmtId="10" fontId="0" fillId="4" borderId="90" xfId="0" applyNumberFormat="1" applyFill="1" applyBorder="1" applyAlignment="1">
      <alignment vertical="center" wrapText="1"/>
    </xf>
    <xf numFmtId="0" fontId="0" fillId="4" borderId="90" xfId="0" applyFill="1" applyBorder="1" applyAlignment="1">
      <alignment horizontal="center" vertical="center"/>
    </xf>
    <xf numFmtId="166" fontId="1" fillId="4" borderId="90" xfId="5" applyNumberFormat="1" applyFont="1" applyFill="1" applyBorder="1" applyAlignment="1">
      <alignment horizontal="center" vertical="center"/>
    </xf>
    <xf numFmtId="0" fontId="0" fillId="4" borderId="90" xfId="0" applyFill="1" applyBorder="1" applyAlignment="1">
      <alignment vertical="center"/>
    </xf>
    <xf numFmtId="171" fontId="45" fillId="4" borderId="91" xfId="0" applyNumberFormat="1" applyFont="1" applyFill="1" applyBorder="1" applyAlignment="1">
      <alignment vertical="center" wrapText="1"/>
    </xf>
    <xf numFmtId="171" fontId="45" fillId="4" borderId="90" xfId="0" applyNumberFormat="1" applyFont="1" applyFill="1" applyBorder="1" applyAlignment="1">
      <alignment vertical="center" wrapText="1"/>
    </xf>
    <xf numFmtId="171" fontId="2" fillId="4" borderId="92" xfId="0" applyNumberFormat="1" applyFont="1" applyFill="1" applyBorder="1" applyAlignment="1">
      <alignment vertical="center" wrapText="1"/>
    </xf>
    <xf numFmtId="171" fontId="0" fillId="4" borderId="91" xfId="0" applyNumberFormat="1" applyFill="1" applyBorder="1" applyAlignment="1">
      <alignment vertical="center" wrapText="1"/>
    </xf>
    <xf numFmtId="171" fontId="0" fillId="4" borderId="92" xfId="0" applyNumberFormat="1" applyFill="1" applyBorder="1" applyAlignment="1">
      <alignment vertical="center" wrapText="1"/>
    </xf>
    <xf numFmtId="0" fontId="45" fillId="4" borderId="80" xfId="0" applyFont="1" applyFill="1" applyBorder="1" applyAlignment="1">
      <alignment vertical="center"/>
    </xf>
    <xf numFmtId="172" fontId="45" fillId="4" borderId="81" xfId="2" applyNumberFormat="1" applyFont="1" applyFill="1" applyBorder="1" applyAlignment="1">
      <alignment horizontal="center" vertical="center"/>
    </xf>
    <xf numFmtId="10" fontId="45" fillId="49" borderId="82" xfId="2" applyNumberFormat="1" applyFont="1" applyFill="1" applyBorder="1" applyAlignment="1">
      <alignment vertical="center"/>
    </xf>
    <xf numFmtId="10" fontId="45" fillId="4" borderId="82" xfId="2" applyNumberFormat="1" applyFont="1" applyFill="1" applyBorder="1" applyAlignment="1">
      <alignment vertical="center"/>
    </xf>
    <xf numFmtId="10" fontId="0" fillId="49" borderId="91" xfId="0" applyNumberFormat="1" applyFill="1" applyBorder="1" applyAlignment="1">
      <alignment vertical="center" wrapText="1"/>
    </xf>
    <xf numFmtId="10" fontId="42" fillId="49" borderId="90" xfId="0" applyNumberFormat="1" applyFont="1" applyFill="1" applyBorder="1" applyAlignment="1">
      <alignment vertical="center" wrapText="1"/>
    </xf>
    <xf numFmtId="10" fontId="42" fillId="49" borderId="90" xfId="1" applyNumberFormat="1" applyFont="1" applyFill="1" applyBorder="1" applyAlignment="1">
      <alignment vertical="center" wrapText="1"/>
    </xf>
    <xf numFmtId="10" fontId="0" fillId="4" borderId="95" xfId="0" applyNumberFormat="1" applyFill="1" applyBorder="1" applyAlignment="1">
      <alignment vertical="center" wrapText="1"/>
    </xf>
    <xf numFmtId="10" fontId="0" fillId="49" borderId="95" xfId="0" applyNumberFormat="1" applyFill="1" applyBorder="1" applyAlignment="1">
      <alignment vertical="center" wrapText="1"/>
    </xf>
    <xf numFmtId="10" fontId="0" fillId="4" borderId="91" xfId="0" applyNumberFormat="1" applyFill="1" applyBorder="1" applyAlignment="1">
      <alignment vertical="center" wrapText="1"/>
    </xf>
    <xf numFmtId="10" fontId="42" fillId="4" borderId="90" xfId="0" applyNumberFormat="1" applyFont="1" applyFill="1" applyBorder="1" applyAlignment="1">
      <alignment vertical="center" wrapText="1"/>
    </xf>
    <xf numFmtId="10" fontId="42" fillId="4" borderId="90" xfId="1" applyNumberFormat="1" applyFont="1" applyFill="1" applyBorder="1" applyAlignment="1">
      <alignment vertical="center" wrapText="1"/>
    </xf>
    <xf numFmtId="10" fontId="42" fillId="4" borderId="96" xfId="1" applyNumberFormat="1" applyFont="1" applyFill="1" applyBorder="1" applyAlignment="1">
      <alignment vertical="center" wrapText="1"/>
    </xf>
    <xf numFmtId="10" fontId="0" fillId="4" borderId="97" xfId="0" applyNumberFormat="1" applyFill="1" applyBorder="1" applyAlignment="1">
      <alignment vertical="center" wrapText="1"/>
    </xf>
    <xf numFmtId="10" fontId="47" fillId="4" borderId="90" xfId="0" applyNumberFormat="1" applyFont="1" applyFill="1" applyBorder="1" applyAlignment="1">
      <alignment vertical="center" wrapText="1"/>
    </xf>
    <xf numFmtId="10" fontId="47" fillId="4" borderId="98" xfId="1" applyNumberFormat="1" applyFont="1" applyFill="1" applyBorder="1" applyAlignment="1">
      <alignment vertical="center" wrapText="1"/>
    </xf>
    <xf numFmtId="0" fontId="2" fillId="46" borderId="81" xfId="0" applyFont="1" applyFill="1" applyBorder="1" applyAlignment="1">
      <alignment vertical="center"/>
    </xf>
    <xf numFmtId="0" fontId="45" fillId="46" borderId="87" xfId="0" applyFont="1" applyFill="1" applyBorder="1"/>
    <xf numFmtId="0" fontId="0" fillId="46" borderId="82" xfId="0" applyFill="1" applyBorder="1" applyAlignment="1">
      <alignment horizontal="right" vertical="center" wrapText="1"/>
    </xf>
    <xf numFmtId="10" fontId="0" fillId="46" borderId="43" xfId="0" applyNumberFormat="1" applyFill="1" applyBorder="1"/>
    <xf numFmtId="0" fontId="0" fillId="46" borderId="43" xfId="0" applyFill="1" applyBorder="1"/>
    <xf numFmtId="165" fontId="1" fillId="46" borderId="43" xfId="1" applyNumberFormat="1" applyFont="1" applyFill="1" applyBorder="1"/>
    <xf numFmtId="10" fontId="0" fillId="46" borderId="43" xfId="0" applyNumberFormat="1" applyFill="1" applyBorder="1" applyAlignment="1">
      <alignment horizontal="right"/>
    </xf>
    <xf numFmtId="165" fontId="0" fillId="46" borderId="43" xfId="0" applyNumberFormat="1" applyFill="1" applyBorder="1" applyAlignment="1">
      <alignment wrapText="1"/>
    </xf>
    <xf numFmtId="10" fontId="0" fillId="46" borderId="43" xfId="0" applyNumberFormat="1" applyFill="1" applyBorder="1" applyAlignment="1">
      <alignment horizontal="center" vertical="center"/>
    </xf>
    <xf numFmtId="10" fontId="0" fillId="46" borderId="90" xfId="0" applyNumberFormat="1" applyFill="1" applyBorder="1" applyAlignment="1">
      <alignment vertical="center"/>
    </xf>
    <xf numFmtId="10" fontId="0" fillId="46" borderId="90" xfId="0" applyNumberFormat="1" applyFill="1" applyBorder="1" applyAlignment="1">
      <alignment vertical="center" wrapText="1"/>
    </xf>
    <xf numFmtId="0" fontId="0" fillId="46" borderId="90" xfId="0" applyFill="1" applyBorder="1" applyAlignment="1">
      <alignment horizontal="center" vertical="center"/>
    </xf>
    <xf numFmtId="166" fontId="1" fillId="46" borderId="90" xfId="5" applyNumberFormat="1" applyFont="1" applyFill="1" applyBorder="1" applyAlignment="1">
      <alignment horizontal="center" vertical="center"/>
    </xf>
    <xf numFmtId="0" fontId="0" fillId="46" borderId="90" xfId="0" applyFill="1" applyBorder="1" applyAlignment="1">
      <alignment vertical="center"/>
    </xf>
    <xf numFmtId="171" fontId="45" fillId="46" borderId="91" xfId="0" applyNumberFormat="1" applyFont="1" applyFill="1" applyBorder="1" applyAlignment="1">
      <alignment vertical="center" wrapText="1"/>
    </xf>
    <xf numFmtId="171" fontId="45" fillId="46" borderId="90" xfId="0" applyNumberFormat="1" applyFont="1" applyFill="1" applyBorder="1" applyAlignment="1">
      <alignment vertical="center" wrapText="1"/>
    </xf>
    <xf numFmtId="171" fontId="2" fillId="46" borderId="92" xfId="0" applyNumberFormat="1" applyFont="1" applyFill="1" applyBorder="1" applyAlignment="1">
      <alignment vertical="center" wrapText="1"/>
    </xf>
    <xf numFmtId="171" fontId="0" fillId="46" borderId="91" xfId="0" applyNumberFormat="1" applyFill="1" applyBorder="1" applyAlignment="1">
      <alignment vertical="center" wrapText="1"/>
    </xf>
    <xf numFmtId="171" fontId="0" fillId="46" borderId="92" xfId="0" applyNumberFormat="1" applyFill="1" applyBorder="1" applyAlignment="1">
      <alignment vertical="center" wrapText="1"/>
    </xf>
    <xf numFmtId="10" fontId="0" fillId="48" borderId="91" xfId="0" applyNumberFormat="1" applyFill="1" applyBorder="1" applyAlignment="1">
      <alignment vertical="center" wrapText="1"/>
    </xf>
    <xf numFmtId="10" fontId="42" fillId="48" borderId="90" xfId="0" applyNumberFormat="1" applyFont="1" applyFill="1" applyBorder="1" applyAlignment="1">
      <alignment vertical="center" wrapText="1"/>
    </xf>
    <xf numFmtId="10" fontId="42" fillId="48" borderId="90" xfId="1" applyNumberFormat="1" applyFont="1" applyFill="1" applyBorder="1" applyAlignment="1">
      <alignment vertical="center" wrapText="1"/>
    </xf>
    <xf numFmtId="10" fontId="0" fillId="46" borderId="95" xfId="0" applyNumberFormat="1" applyFill="1" applyBorder="1" applyAlignment="1">
      <alignment vertical="center" wrapText="1"/>
    </xf>
    <xf numFmtId="10" fontId="0" fillId="48" borderId="95" xfId="0" applyNumberFormat="1" applyFill="1" applyBorder="1" applyAlignment="1">
      <alignment vertical="center" wrapText="1"/>
    </xf>
    <xf numFmtId="10" fontId="0" fillId="46" borderId="91" xfId="0" applyNumberFormat="1" applyFill="1" applyBorder="1" applyAlignment="1">
      <alignment vertical="center" wrapText="1"/>
    </xf>
    <xf numFmtId="10" fontId="42" fillId="46" borderId="90" xfId="0" applyNumberFormat="1" applyFont="1" applyFill="1" applyBorder="1" applyAlignment="1">
      <alignment vertical="center" wrapText="1"/>
    </xf>
    <xf numFmtId="10" fontId="42" fillId="46" borderId="90" xfId="1" applyNumberFormat="1" applyFont="1" applyFill="1" applyBorder="1" applyAlignment="1">
      <alignment vertical="center" wrapText="1"/>
    </xf>
    <xf numFmtId="10" fontId="42" fillId="46" borderId="96" xfId="1" applyNumberFormat="1" applyFont="1" applyFill="1" applyBorder="1" applyAlignment="1">
      <alignment vertical="center" wrapText="1"/>
    </xf>
    <xf numFmtId="10" fontId="0" fillId="46" borderId="97" xfId="0" applyNumberFormat="1" applyFill="1" applyBorder="1" applyAlignment="1">
      <alignment vertical="center" wrapText="1"/>
    </xf>
    <xf numFmtId="10" fontId="47" fillId="46" borderId="90" xfId="0" applyNumberFormat="1" applyFont="1" applyFill="1" applyBorder="1" applyAlignment="1">
      <alignment vertical="center" wrapText="1"/>
    </xf>
    <xf numFmtId="10" fontId="47" fillId="46" borderId="98" xfId="1" applyNumberFormat="1" applyFont="1" applyFill="1" applyBorder="1" applyAlignment="1">
      <alignment vertical="center" wrapText="1"/>
    </xf>
    <xf numFmtId="0" fontId="2" fillId="4" borderId="126" xfId="0" applyFont="1" applyFill="1" applyBorder="1" applyAlignment="1">
      <alignment vertical="center"/>
    </xf>
    <xf numFmtId="0" fontId="45" fillId="4" borderId="127" xfId="0" applyFont="1" applyFill="1" applyBorder="1"/>
    <xf numFmtId="0" fontId="46" fillId="4" borderId="106" xfId="0" applyFont="1" applyFill="1" applyBorder="1" applyAlignment="1">
      <alignment horizontal="center"/>
    </xf>
    <xf numFmtId="0" fontId="0" fillId="4" borderId="107" xfId="0" applyFill="1" applyBorder="1" applyAlignment="1">
      <alignment vertical="center" wrapText="1"/>
    </xf>
    <xf numFmtId="0" fontId="0" fillId="4" borderId="108" xfId="0" applyFill="1" applyBorder="1" applyAlignment="1">
      <alignment horizontal="right" vertical="center" wrapText="1"/>
    </xf>
    <xf numFmtId="0" fontId="0" fillId="4" borderId="109" xfId="0" applyFill="1" applyBorder="1" applyAlignment="1">
      <alignment horizontal="right" vertical="center" wrapText="1"/>
    </xf>
    <xf numFmtId="10" fontId="1" fillId="4" borderId="109" xfId="1" applyNumberFormat="1" applyFont="1" applyFill="1" applyBorder="1"/>
    <xf numFmtId="0" fontId="0" fillId="4" borderId="109" xfId="0" applyFill="1" applyBorder="1"/>
    <xf numFmtId="165" fontId="1" fillId="4" borderId="109" xfId="1" applyNumberFormat="1" applyFont="1" applyFill="1" applyBorder="1"/>
    <xf numFmtId="10" fontId="0" fillId="4" borderId="109" xfId="0" applyNumberFormat="1" applyFill="1" applyBorder="1"/>
    <xf numFmtId="10" fontId="0" fillId="4" borderId="109" xfId="0" applyNumberFormat="1" applyFill="1" applyBorder="1" applyAlignment="1">
      <alignment horizontal="right"/>
    </xf>
    <xf numFmtId="165" fontId="0" fillId="4" borderId="109" xfId="0" applyNumberFormat="1" applyFill="1" applyBorder="1" applyAlignment="1">
      <alignment wrapText="1"/>
    </xf>
    <xf numFmtId="10" fontId="0" fillId="4" borderId="109" xfId="0" applyNumberFormat="1" applyFill="1" applyBorder="1" applyAlignment="1">
      <alignment horizontal="center" vertical="center"/>
    </xf>
    <xf numFmtId="10" fontId="0" fillId="47" borderId="128" xfId="0" applyNumberFormat="1" applyFill="1" applyBorder="1" applyAlignment="1">
      <alignment horizontal="center" vertical="center"/>
    </xf>
    <xf numFmtId="10" fontId="0" fillId="4" borderId="109" xfId="0" applyNumberFormat="1" applyFill="1" applyBorder="1" applyAlignment="1">
      <alignment vertical="center"/>
    </xf>
    <xf numFmtId="10" fontId="0" fillId="4" borderId="109" xfId="0" applyNumberFormat="1" applyFill="1" applyBorder="1" applyAlignment="1">
      <alignment vertical="center" wrapText="1"/>
    </xf>
    <xf numFmtId="0" fontId="0" fillId="4" borderId="109" xfId="0" applyFill="1" applyBorder="1" applyAlignment="1">
      <alignment horizontal="center" vertical="center"/>
    </xf>
    <xf numFmtId="166" fontId="1" fillId="4" borderId="109" xfId="5" applyNumberFormat="1" applyFont="1" applyFill="1" applyBorder="1" applyAlignment="1">
      <alignment horizontal="center" vertical="center"/>
    </xf>
    <xf numFmtId="0" fontId="0" fillId="4" borderId="109" xfId="0" applyFill="1" applyBorder="1" applyAlignment="1">
      <alignment vertical="center"/>
    </xf>
    <xf numFmtId="171" fontId="45" fillId="4" borderId="108" xfId="0" applyNumberFormat="1" applyFont="1" applyFill="1" applyBorder="1" applyAlignment="1">
      <alignment vertical="center" wrapText="1"/>
    </xf>
    <xf numFmtId="171" fontId="45" fillId="4" borderId="109" xfId="0" applyNumberFormat="1" applyFont="1" applyFill="1" applyBorder="1" applyAlignment="1">
      <alignment vertical="center" wrapText="1"/>
    </xf>
    <xf numFmtId="171" fontId="2" fillId="4" borderId="111" xfId="0" applyNumberFormat="1" applyFont="1" applyFill="1" applyBorder="1" applyAlignment="1">
      <alignment vertical="center" wrapText="1"/>
    </xf>
    <xf numFmtId="171" fontId="0" fillId="4" borderId="108" xfId="0" applyNumberFormat="1" applyFill="1" applyBorder="1" applyAlignment="1">
      <alignment vertical="center" wrapText="1"/>
    </xf>
    <xf numFmtId="171" fontId="0" fillId="4" borderId="111" xfId="0" applyNumberFormat="1" applyFill="1" applyBorder="1" applyAlignment="1">
      <alignment vertical="center" wrapText="1"/>
    </xf>
    <xf numFmtId="0" fontId="45" fillId="4" borderId="112" xfId="0" applyFont="1" applyFill="1" applyBorder="1" applyAlignment="1">
      <alignment vertical="center"/>
    </xf>
    <xf numFmtId="172" fontId="45" fillId="4" borderId="107" xfId="2" applyNumberFormat="1" applyFont="1" applyFill="1" applyBorder="1" applyAlignment="1">
      <alignment horizontal="center" vertical="center"/>
    </xf>
    <xf numFmtId="10" fontId="45" fillId="49" borderId="113" xfId="2" applyNumberFormat="1" applyFont="1" applyFill="1" applyBorder="1" applyAlignment="1">
      <alignment vertical="center"/>
    </xf>
    <xf numFmtId="10" fontId="45" fillId="4" borderId="113" xfId="2" applyNumberFormat="1" applyFont="1" applyFill="1" applyBorder="1" applyAlignment="1">
      <alignment vertical="center"/>
    </xf>
    <xf numFmtId="10" fontId="0" fillId="49" borderId="108" xfId="0" applyNumberFormat="1" applyFill="1" applyBorder="1" applyAlignment="1">
      <alignment vertical="center" wrapText="1"/>
    </xf>
    <xf numFmtId="10" fontId="42" fillId="49" borderId="109" xfId="0" applyNumberFormat="1" applyFont="1" applyFill="1" applyBorder="1" applyAlignment="1">
      <alignment vertical="center" wrapText="1"/>
    </xf>
    <xf numFmtId="10" fontId="42" fillId="49" borderId="109" xfId="1" applyNumberFormat="1" applyFont="1" applyFill="1" applyBorder="1" applyAlignment="1">
      <alignment vertical="center" wrapText="1"/>
    </xf>
    <xf numFmtId="10" fontId="0" fillId="4" borderId="115" xfId="0" applyNumberFormat="1" applyFill="1" applyBorder="1" applyAlignment="1">
      <alignment vertical="center" wrapText="1"/>
    </xf>
    <xf numFmtId="10" fontId="0" fillId="49" borderId="115" xfId="0" applyNumberFormat="1" applyFill="1" applyBorder="1" applyAlignment="1">
      <alignment vertical="center" wrapText="1"/>
    </xf>
    <xf numFmtId="10" fontId="0" fillId="4" borderId="108" xfId="0" applyNumberFormat="1" applyFill="1" applyBorder="1" applyAlignment="1">
      <alignment vertical="center" wrapText="1"/>
    </xf>
    <xf numFmtId="10" fontId="42" fillId="4" borderId="109" xfId="0" applyNumberFormat="1" applyFont="1" applyFill="1" applyBorder="1" applyAlignment="1">
      <alignment vertical="center" wrapText="1"/>
    </xf>
    <xf numFmtId="10" fontId="42" fillId="4" borderId="109" xfId="1" applyNumberFormat="1" applyFont="1" applyFill="1" applyBorder="1" applyAlignment="1">
      <alignment vertical="center" wrapText="1"/>
    </xf>
    <xf numFmtId="10" fontId="42" fillId="4" borderId="116" xfId="1" applyNumberFormat="1" applyFont="1" applyFill="1" applyBorder="1" applyAlignment="1">
      <alignment vertical="center" wrapText="1"/>
    </xf>
    <xf numFmtId="10" fontId="0" fillId="4" borderId="104" xfId="0" applyNumberFormat="1" applyFill="1" applyBorder="1" applyAlignment="1">
      <alignment vertical="center" wrapText="1"/>
    </xf>
    <xf numFmtId="10" fontId="47" fillId="4" borderId="109" xfId="0" applyNumberFormat="1" applyFont="1" applyFill="1" applyBorder="1" applyAlignment="1">
      <alignment vertical="center" wrapText="1"/>
    </xf>
    <xf numFmtId="10" fontId="47" fillId="4" borderId="105" xfId="1" applyNumberFormat="1" applyFont="1" applyFill="1" applyBorder="1" applyAlignment="1">
      <alignment vertical="center" wrapText="1"/>
    </xf>
    <xf numFmtId="0" fontId="2" fillId="13" borderId="69" xfId="0" applyFont="1" applyFill="1" applyBorder="1" applyAlignment="1">
      <alignment vertical="center"/>
    </xf>
    <xf numFmtId="0" fontId="45" fillId="13" borderId="70" xfId="0" applyFont="1" applyFill="1" applyBorder="1"/>
    <xf numFmtId="0" fontId="46" fillId="13" borderId="71" xfId="0" applyFont="1" applyFill="1" applyBorder="1" applyAlignment="1">
      <alignment horizontal="center"/>
    </xf>
    <xf numFmtId="0" fontId="0" fillId="33" borderId="81" xfId="0" applyFill="1" applyBorder="1" applyAlignment="1">
      <alignment vertical="center" wrapText="1"/>
    </xf>
    <xf numFmtId="0" fontId="0" fillId="13" borderId="75" xfId="0" applyFill="1" applyBorder="1" applyAlignment="1">
      <alignment horizontal="right" vertical="center" wrapText="1"/>
    </xf>
    <xf numFmtId="0" fontId="0" fillId="13" borderId="73" xfId="0" applyFill="1" applyBorder="1" applyAlignment="1">
      <alignment horizontal="right" vertical="center" wrapText="1"/>
    </xf>
    <xf numFmtId="10" fontId="0" fillId="13" borderId="73" xfId="0" applyNumberFormat="1" applyFill="1" applyBorder="1"/>
    <xf numFmtId="164" fontId="1" fillId="13" borderId="73" xfId="1" applyNumberFormat="1" applyFont="1" applyFill="1" applyBorder="1"/>
    <xf numFmtId="165" fontId="1" fillId="13" borderId="73" xfId="1" applyNumberFormat="1" applyFont="1" applyFill="1" applyBorder="1"/>
    <xf numFmtId="10" fontId="1" fillId="13" borderId="73" xfId="1" applyNumberFormat="1" applyFont="1" applyFill="1" applyBorder="1"/>
    <xf numFmtId="164" fontId="1" fillId="13" borderId="73" xfId="1" applyNumberFormat="1" applyFont="1" applyFill="1" applyBorder="1" applyAlignment="1">
      <alignment wrapText="1"/>
    </xf>
    <xf numFmtId="10" fontId="0" fillId="13" borderId="73" xfId="0" applyNumberFormat="1" applyFill="1" applyBorder="1" applyAlignment="1">
      <alignment horizontal="right"/>
    </xf>
    <xf numFmtId="165" fontId="0" fillId="13" borderId="73" xfId="0" applyNumberFormat="1" applyFill="1" applyBorder="1" applyAlignment="1">
      <alignment wrapText="1"/>
    </xf>
    <xf numFmtId="0" fontId="0" fillId="13" borderId="73" xfId="0" applyFill="1" applyBorder="1"/>
    <xf numFmtId="0" fontId="0" fillId="13" borderId="89" xfId="0" applyFill="1" applyBorder="1" applyAlignment="1">
      <alignment horizontal="center" vertical="center"/>
    </xf>
    <xf numFmtId="0" fontId="0" fillId="13" borderId="73" xfId="0" applyFill="1" applyBorder="1" applyAlignment="1">
      <alignment vertical="center"/>
    </xf>
    <xf numFmtId="0" fontId="0" fillId="13" borderId="73" xfId="0" applyFill="1" applyBorder="1" applyAlignment="1">
      <alignment vertical="center" wrapText="1"/>
    </xf>
    <xf numFmtId="0" fontId="0" fillId="13" borderId="73" xfId="0" applyFill="1" applyBorder="1" applyAlignment="1">
      <alignment horizontal="center" vertical="center"/>
    </xf>
    <xf numFmtId="166" fontId="1" fillId="13" borderId="73" xfId="5" applyNumberFormat="1" applyFont="1" applyFill="1" applyBorder="1" applyAlignment="1">
      <alignment horizontal="center" vertical="center"/>
    </xf>
    <xf numFmtId="171" fontId="45" fillId="13" borderId="75" xfId="0" applyNumberFormat="1" applyFont="1" applyFill="1" applyBorder="1" applyAlignment="1">
      <alignment vertical="center" wrapText="1"/>
    </xf>
    <xf numFmtId="171" fontId="45" fillId="13" borderId="73" xfId="0" applyNumberFormat="1" applyFont="1" applyFill="1" applyBorder="1" applyAlignment="1">
      <alignment vertical="center" wrapText="1"/>
    </xf>
    <xf numFmtId="171" fontId="2" fillId="13" borderId="76" xfId="0" applyNumberFormat="1" applyFont="1" applyFill="1" applyBorder="1" applyAlignment="1">
      <alignment vertical="center" wrapText="1"/>
    </xf>
    <xf numFmtId="171" fontId="0" fillId="13" borderId="75" xfId="0" applyNumberFormat="1" applyFill="1" applyBorder="1" applyAlignment="1">
      <alignment vertical="center" wrapText="1"/>
    </xf>
    <xf numFmtId="171" fontId="0" fillId="13" borderId="76" xfId="0" applyNumberFormat="1" applyFill="1" applyBorder="1" applyAlignment="1">
      <alignment vertical="center" wrapText="1"/>
    </xf>
    <xf numFmtId="0" fontId="45" fillId="13" borderId="80" xfId="0" applyFont="1" applyFill="1" applyBorder="1" applyAlignment="1">
      <alignment vertical="center"/>
    </xf>
    <xf numFmtId="172" fontId="45" fillId="13" borderId="81" xfId="2" applyNumberFormat="1" applyFont="1" applyFill="1" applyBorder="1" applyAlignment="1">
      <alignment horizontal="center" vertical="center"/>
    </xf>
    <xf numFmtId="10" fontId="45" fillId="33" borderId="82" xfId="2" applyNumberFormat="1" applyFont="1" applyFill="1" applyBorder="1" applyAlignment="1">
      <alignment vertical="center"/>
    </xf>
    <xf numFmtId="10" fontId="45" fillId="13" borderId="82" xfId="2" applyNumberFormat="1" applyFont="1" applyFill="1" applyBorder="1" applyAlignment="1">
      <alignment vertical="center"/>
    </xf>
    <xf numFmtId="10" fontId="0" fillId="33" borderId="75" xfId="0" applyNumberFormat="1" applyFill="1" applyBorder="1" applyAlignment="1">
      <alignment vertical="center" wrapText="1"/>
    </xf>
    <xf numFmtId="10" fontId="42" fillId="33" borderId="73" xfId="0" applyNumberFormat="1" applyFont="1" applyFill="1" applyBorder="1" applyAlignment="1">
      <alignment vertical="center" wrapText="1"/>
    </xf>
    <xf numFmtId="10" fontId="42" fillId="33" borderId="73" xfId="1" applyNumberFormat="1" applyFont="1" applyFill="1" applyBorder="1" applyAlignment="1">
      <alignment vertical="center" wrapText="1"/>
    </xf>
    <xf numFmtId="10" fontId="0" fillId="13" borderId="123" xfId="0" applyNumberFormat="1" applyFill="1" applyBorder="1" applyAlignment="1">
      <alignment vertical="center" wrapText="1"/>
    </xf>
    <xf numFmtId="10" fontId="0" fillId="33" borderId="123" xfId="0" applyNumberFormat="1" applyFill="1" applyBorder="1" applyAlignment="1">
      <alignment vertical="center" wrapText="1"/>
    </xf>
    <xf numFmtId="10" fontId="0" fillId="13" borderId="75" xfId="0" applyNumberFormat="1" applyFill="1" applyBorder="1" applyAlignment="1">
      <alignment vertical="center" wrapText="1"/>
    </xf>
    <xf numFmtId="10" fontId="42" fillId="13" borderId="73" xfId="0" applyNumberFormat="1" applyFont="1" applyFill="1" applyBorder="1" applyAlignment="1">
      <alignment vertical="center" wrapText="1"/>
    </xf>
    <xf numFmtId="10" fontId="42" fillId="13" borderId="73" xfId="1" applyNumberFormat="1" applyFont="1" applyFill="1" applyBorder="1" applyAlignment="1">
      <alignment vertical="center" wrapText="1"/>
    </xf>
    <xf numFmtId="10" fontId="42" fillId="13" borderId="85" xfId="1" applyNumberFormat="1" applyFont="1" applyFill="1" applyBorder="1" applyAlignment="1">
      <alignment vertical="center" wrapText="1"/>
    </xf>
    <xf numFmtId="10" fontId="0" fillId="13" borderId="102" xfId="0" applyNumberFormat="1" applyFill="1" applyBorder="1" applyAlignment="1">
      <alignment vertical="center" wrapText="1"/>
    </xf>
    <xf numFmtId="10" fontId="47" fillId="13" borderId="73" xfId="0" applyNumberFormat="1" applyFont="1" applyFill="1" applyBorder="1" applyAlignment="1">
      <alignment vertical="center" wrapText="1"/>
    </xf>
    <xf numFmtId="10" fontId="47" fillId="13" borderId="103" xfId="1" applyNumberFormat="1" applyFont="1" applyFill="1" applyBorder="1" applyAlignment="1">
      <alignment vertical="center" wrapText="1"/>
    </xf>
    <xf numFmtId="0" fontId="2" fillId="13" borderId="126" xfId="0" applyFont="1" applyFill="1" applyBorder="1" applyAlignment="1">
      <alignment vertical="center"/>
    </xf>
    <xf numFmtId="0" fontId="45" fillId="13" borderId="127" xfId="0" applyFont="1" applyFill="1" applyBorder="1"/>
    <xf numFmtId="0" fontId="46" fillId="13" borderId="106" xfId="0" applyFont="1" applyFill="1" applyBorder="1" applyAlignment="1">
      <alignment horizontal="center"/>
    </xf>
    <xf numFmtId="0" fontId="0" fillId="33" borderId="107" xfId="0" applyFill="1" applyBorder="1" applyAlignment="1">
      <alignment vertical="center" wrapText="1"/>
    </xf>
    <xf numFmtId="0" fontId="0" fillId="13" borderId="108" xfId="0" applyFill="1" applyBorder="1" applyAlignment="1">
      <alignment horizontal="right" vertical="center" wrapText="1"/>
    </xf>
    <xf numFmtId="0" fontId="0" fillId="13" borderId="109" xfId="0" applyFill="1" applyBorder="1" applyAlignment="1">
      <alignment horizontal="right" vertical="center" wrapText="1"/>
    </xf>
    <xf numFmtId="10" fontId="0" fillId="13" borderId="109" xfId="0" applyNumberFormat="1" applyFill="1" applyBorder="1"/>
    <xf numFmtId="164" fontId="1" fillId="13" borderId="109" xfId="1" applyNumberFormat="1" applyFont="1" applyFill="1" applyBorder="1"/>
    <xf numFmtId="165" fontId="1" fillId="13" borderId="109" xfId="1" applyNumberFormat="1" applyFont="1" applyFill="1" applyBorder="1"/>
    <xf numFmtId="10" fontId="1" fillId="13" borderId="109" xfId="1" applyNumberFormat="1" applyFont="1" applyFill="1" applyBorder="1"/>
    <xf numFmtId="164" fontId="1" fillId="13" borderId="109" xfId="1" applyNumberFormat="1" applyFont="1" applyFill="1" applyBorder="1" applyAlignment="1">
      <alignment wrapText="1"/>
    </xf>
    <xf numFmtId="10" fontId="0" fillId="13" borderId="109" xfId="0" applyNumberFormat="1" applyFill="1" applyBorder="1" applyAlignment="1">
      <alignment horizontal="right"/>
    </xf>
    <xf numFmtId="165" fontId="0" fillId="13" borderId="109" xfId="0" applyNumberFormat="1" applyFill="1" applyBorder="1" applyAlignment="1">
      <alignment wrapText="1"/>
    </xf>
    <xf numFmtId="0" fontId="0" fillId="13" borderId="109" xfId="0" applyFill="1" applyBorder="1"/>
    <xf numFmtId="0" fontId="0" fillId="13" borderId="128" xfId="0" applyFill="1" applyBorder="1" applyAlignment="1">
      <alignment horizontal="center" vertical="center"/>
    </xf>
    <xf numFmtId="0" fontId="0" fillId="13" borderId="109" xfId="0" applyFill="1" applyBorder="1" applyAlignment="1">
      <alignment vertical="center"/>
    </xf>
    <xf numFmtId="0" fontId="0" fillId="13" borderId="109" xfId="0" applyFill="1" applyBorder="1" applyAlignment="1">
      <alignment vertical="center" wrapText="1"/>
    </xf>
    <xf numFmtId="0" fontId="0" fillId="13" borderId="109" xfId="0" applyFill="1" applyBorder="1" applyAlignment="1">
      <alignment horizontal="center" vertical="center"/>
    </xf>
    <xf numFmtId="166" fontId="1" fillId="13" borderId="109" xfId="5" applyNumberFormat="1" applyFont="1" applyFill="1" applyBorder="1" applyAlignment="1">
      <alignment horizontal="center" vertical="center"/>
    </xf>
    <xf numFmtId="171" fontId="45" fillId="13" borderId="108" xfId="0" applyNumberFormat="1" applyFont="1" applyFill="1" applyBorder="1" applyAlignment="1">
      <alignment vertical="center" wrapText="1"/>
    </xf>
    <xf numFmtId="171" fontId="45" fillId="13" borderId="109" xfId="0" applyNumberFormat="1" applyFont="1" applyFill="1" applyBorder="1" applyAlignment="1">
      <alignment vertical="center" wrapText="1"/>
    </xf>
    <xf numFmtId="171" fontId="2" fillId="13" borderId="111" xfId="0" applyNumberFormat="1" applyFont="1" applyFill="1" applyBorder="1" applyAlignment="1">
      <alignment vertical="center" wrapText="1"/>
    </xf>
    <xf numFmtId="171" fontId="0" fillId="13" borderId="108" xfId="0" applyNumberFormat="1" applyFill="1" applyBorder="1" applyAlignment="1">
      <alignment vertical="center" wrapText="1"/>
    </xf>
    <xf numFmtId="171" fontId="0" fillId="13" borderId="111" xfId="0" applyNumberFormat="1" applyFill="1" applyBorder="1" applyAlignment="1">
      <alignment vertical="center" wrapText="1"/>
    </xf>
    <xf numFmtId="0" fontId="45" fillId="13" borderId="112" xfId="0" applyFont="1" applyFill="1" applyBorder="1" applyAlignment="1">
      <alignment vertical="center"/>
    </xf>
    <xf numFmtId="172" fontId="45" fillId="13" borderId="107" xfId="2" applyNumberFormat="1" applyFont="1" applyFill="1" applyBorder="1" applyAlignment="1">
      <alignment horizontal="center" vertical="center"/>
    </xf>
    <xf numFmtId="10" fontId="45" fillId="33" borderId="113" xfId="2" applyNumberFormat="1" applyFont="1" applyFill="1" applyBorder="1" applyAlignment="1">
      <alignment vertical="center"/>
    </xf>
    <xf numFmtId="10" fontId="45" fillId="13" borderId="113" xfId="2" applyNumberFormat="1" applyFont="1" applyFill="1" applyBorder="1" applyAlignment="1">
      <alignment vertical="center"/>
    </xf>
    <xf numFmtId="10" fontId="0" fillId="33" borderId="108" xfId="0" applyNumberFormat="1" applyFill="1" applyBorder="1" applyAlignment="1">
      <alignment vertical="center" wrapText="1"/>
    </xf>
    <xf numFmtId="10" fontId="42" fillId="33" borderId="109" xfId="0" applyNumberFormat="1" applyFont="1" applyFill="1" applyBorder="1" applyAlignment="1">
      <alignment vertical="center" wrapText="1"/>
    </xf>
    <xf numFmtId="10" fontId="42" fillId="33" borderId="109" xfId="1" applyNumberFormat="1" applyFont="1" applyFill="1" applyBorder="1" applyAlignment="1">
      <alignment vertical="center" wrapText="1"/>
    </xf>
    <xf numFmtId="10" fontId="0" fillId="13" borderId="115" xfId="0" applyNumberFormat="1" applyFill="1" applyBorder="1" applyAlignment="1">
      <alignment vertical="center" wrapText="1"/>
    </xf>
    <xf numFmtId="10" fontId="0" fillId="33" borderId="115" xfId="0" applyNumberFormat="1" applyFill="1" applyBorder="1" applyAlignment="1">
      <alignment vertical="center" wrapText="1"/>
    </xf>
    <xf numFmtId="10" fontId="0" fillId="13" borderId="108" xfId="0" applyNumberFormat="1" applyFill="1" applyBorder="1" applyAlignment="1">
      <alignment vertical="center" wrapText="1"/>
    </xf>
    <xf numFmtId="10" fontId="42" fillId="13" borderId="109" xfId="0" applyNumberFormat="1" applyFont="1" applyFill="1" applyBorder="1" applyAlignment="1">
      <alignment vertical="center" wrapText="1"/>
    </xf>
    <xf numFmtId="10" fontId="42" fillId="13" borderId="109" xfId="1" applyNumberFormat="1" applyFont="1" applyFill="1" applyBorder="1" applyAlignment="1">
      <alignment vertical="center" wrapText="1"/>
    </xf>
    <xf numFmtId="10" fontId="42" fillId="13" borderId="116" xfId="1" applyNumberFormat="1" applyFont="1" applyFill="1" applyBorder="1" applyAlignment="1">
      <alignment vertical="center" wrapText="1"/>
    </xf>
    <xf numFmtId="10" fontId="0" fillId="13" borderId="104" xfId="0" applyNumberFormat="1" applyFill="1" applyBorder="1" applyAlignment="1">
      <alignment vertical="center" wrapText="1"/>
    </xf>
    <xf numFmtId="10" fontId="47" fillId="13" borderId="109" xfId="0" applyNumberFormat="1" applyFont="1" applyFill="1" applyBorder="1" applyAlignment="1">
      <alignment vertical="center" wrapText="1"/>
    </xf>
    <xf numFmtId="10" fontId="47" fillId="13" borderId="105" xfId="1" applyNumberFormat="1" applyFont="1" applyFill="1" applyBorder="1" applyAlignment="1">
      <alignment vertical="center" wrapText="1"/>
    </xf>
    <xf numFmtId="0" fontId="38" fillId="50" borderId="130" xfId="0" applyFont="1" applyFill="1" applyBorder="1" applyAlignment="1">
      <alignment horizontal="center" vertical="center"/>
    </xf>
    <xf numFmtId="0" fontId="2" fillId="50" borderId="69" xfId="0" applyFont="1" applyFill="1" applyBorder="1" applyAlignment="1">
      <alignment vertical="center"/>
    </xf>
    <xf numFmtId="0" fontId="45" fillId="50" borderId="70" xfId="0" applyFont="1" applyFill="1" applyBorder="1"/>
    <xf numFmtId="0" fontId="46" fillId="50" borderId="71" xfId="0" applyFont="1" applyFill="1" applyBorder="1" applyAlignment="1">
      <alignment horizontal="center"/>
    </xf>
    <xf numFmtId="0" fontId="0" fillId="51" borderId="81" xfId="0" applyFill="1" applyBorder="1" applyAlignment="1">
      <alignment vertical="center" wrapText="1"/>
    </xf>
    <xf numFmtId="0" fontId="0" fillId="50" borderId="75" xfId="0" applyFill="1" applyBorder="1" applyAlignment="1">
      <alignment horizontal="right" vertical="center" wrapText="1"/>
    </xf>
    <xf numFmtId="0" fontId="0" fillId="50" borderId="73" xfId="0" applyFill="1" applyBorder="1" applyAlignment="1">
      <alignment horizontal="right" vertical="center" wrapText="1"/>
    </xf>
    <xf numFmtId="10" fontId="0" fillId="50" borderId="73" xfId="0" applyNumberFormat="1" applyFill="1" applyBorder="1"/>
    <xf numFmtId="164" fontId="1" fillId="50" borderId="73" xfId="1" applyNumberFormat="1" applyFont="1" applyFill="1" applyBorder="1"/>
    <xf numFmtId="165" fontId="1" fillId="50" borderId="73" xfId="1" applyNumberFormat="1" applyFont="1" applyFill="1" applyBorder="1"/>
    <xf numFmtId="10" fontId="1" fillId="50" borderId="73" xfId="1" applyNumberFormat="1" applyFont="1" applyFill="1" applyBorder="1"/>
    <xf numFmtId="10" fontId="0" fillId="50" borderId="73" xfId="0" applyNumberFormat="1" applyFill="1" applyBorder="1" applyAlignment="1">
      <alignment horizontal="right"/>
    </xf>
    <xf numFmtId="165" fontId="0" fillId="50" borderId="73" xfId="0" applyNumberFormat="1" applyFill="1" applyBorder="1" applyAlignment="1">
      <alignment wrapText="1"/>
    </xf>
    <xf numFmtId="0" fontId="0" fillId="50" borderId="73" xfId="0" applyFill="1" applyBorder="1"/>
    <xf numFmtId="0" fontId="0" fillId="50" borderId="74" xfId="0" applyFill="1" applyBorder="1" applyAlignment="1">
      <alignment horizontal="center" vertical="center"/>
    </xf>
    <xf numFmtId="0" fontId="0" fillId="50" borderId="73" xfId="0" applyFill="1" applyBorder="1" applyAlignment="1">
      <alignment vertical="center"/>
    </xf>
    <xf numFmtId="0" fontId="0" fillId="50" borderId="73" xfId="0" applyFill="1" applyBorder="1" applyAlignment="1">
      <alignment vertical="center" wrapText="1"/>
    </xf>
    <xf numFmtId="0" fontId="0" fillId="50" borderId="73" xfId="0" applyFill="1" applyBorder="1" applyAlignment="1">
      <alignment horizontal="center" vertical="center"/>
    </xf>
    <xf numFmtId="166" fontId="1" fillId="50" borderId="73" xfId="5" applyNumberFormat="1" applyFont="1" applyFill="1" applyBorder="1" applyAlignment="1">
      <alignment horizontal="center" vertical="center"/>
    </xf>
    <xf numFmtId="171" fontId="45" fillId="50" borderId="75" xfId="0" applyNumberFormat="1" applyFont="1" applyFill="1" applyBorder="1" applyAlignment="1">
      <alignment vertical="center" wrapText="1"/>
    </xf>
    <xf numFmtId="171" fontId="45" fillId="50" borderId="73" xfId="0" applyNumberFormat="1" applyFont="1" applyFill="1" applyBorder="1" applyAlignment="1">
      <alignment vertical="center" wrapText="1"/>
    </xf>
    <xf numFmtId="171" fontId="2" fillId="50" borderId="76" xfId="0" applyNumberFormat="1" applyFont="1" applyFill="1" applyBorder="1" applyAlignment="1">
      <alignment vertical="center" wrapText="1"/>
    </xf>
    <xf numFmtId="171" fontId="0" fillId="50" borderId="75" xfId="0" applyNumberFormat="1" applyFill="1" applyBorder="1" applyAlignment="1">
      <alignment vertical="center" wrapText="1"/>
    </xf>
    <xf numFmtId="171" fontId="0" fillId="50" borderId="76" xfId="0" applyNumberFormat="1" applyFill="1" applyBorder="1" applyAlignment="1">
      <alignment vertical="center" wrapText="1"/>
    </xf>
    <xf numFmtId="164" fontId="0" fillId="0" borderId="119" xfId="0" applyNumberFormat="1" applyBorder="1" applyAlignment="1">
      <alignment vertical="center"/>
    </xf>
    <xf numFmtId="164" fontId="0" fillId="37" borderId="121" xfId="0" applyNumberFormat="1" applyFill="1" applyBorder="1" applyAlignment="1">
      <alignment vertical="center"/>
    </xf>
    <xf numFmtId="0" fontId="45" fillId="50" borderId="80" xfId="0" applyFont="1" applyFill="1" applyBorder="1" applyAlignment="1">
      <alignment vertical="center"/>
    </xf>
    <xf numFmtId="172" fontId="45" fillId="50" borderId="81" xfId="2" applyNumberFormat="1" applyFont="1" applyFill="1" applyBorder="1" applyAlignment="1">
      <alignment horizontal="center" vertical="center"/>
    </xf>
    <xf numFmtId="10" fontId="45" fillId="51" borderId="82" xfId="2" applyNumberFormat="1" applyFont="1" applyFill="1" applyBorder="1" applyAlignment="1">
      <alignment vertical="center"/>
    </xf>
    <xf numFmtId="10" fontId="45" fillId="50" borderId="82" xfId="2" applyNumberFormat="1" applyFont="1" applyFill="1" applyBorder="1" applyAlignment="1">
      <alignment vertical="center"/>
    </xf>
    <xf numFmtId="10" fontId="0" fillId="51" borderId="75" xfId="0" applyNumberFormat="1" applyFill="1" applyBorder="1" applyAlignment="1">
      <alignment vertical="center" wrapText="1"/>
    </xf>
    <xf numFmtId="10" fontId="42" fillId="51" borderId="73" xfId="0" applyNumberFormat="1" applyFont="1" applyFill="1" applyBorder="1" applyAlignment="1">
      <alignment vertical="center" wrapText="1"/>
    </xf>
    <xf numFmtId="10" fontId="42" fillId="51" borderId="73" xfId="1" applyNumberFormat="1" applyFont="1" applyFill="1" applyBorder="1" applyAlignment="1">
      <alignment vertical="center" wrapText="1"/>
    </xf>
    <xf numFmtId="10" fontId="0" fillId="50" borderId="123" xfId="0" applyNumberFormat="1" applyFill="1" applyBorder="1" applyAlignment="1">
      <alignment vertical="center" wrapText="1"/>
    </xf>
    <xf numFmtId="10" fontId="0" fillId="51" borderId="123" xfId="0" applyNumberFormat="1" applyFill="1" applyBorder="1" applyAlignment="1">
      <alignment vertical="center" wrapText="1"/>
    </xf>
    <xf numFmtId="10" fontId="0" fillId="50" borderId="75" xfId="0" applyNumberFormat="1" applyFill="1" applyBorder="1" applyAlignment="1">
      <alignment vertical="center" wrapText="1"/>
    </xf>
    <xf numFmtId="10" fontId="42" fillId="50" borderId="73" xfId="0" applyNumberFormat="1" applyFont="1" applyFill="1" applyBorder="1" applyAlignment="1">
      <alignment vertical="center" wrapText="1"/>
    </xf>
    <xf numFmtId="10" fontId="42" fillId="50" borderId="73" xfId="1" applyNumberFormat="1" applyFont="1" applyFill="1" applyBorder="1" applyAlignment="1">
      <alignment vertical="center" wrapText="1"/>
    </xf>
    <xf numFmtId="10" fontId="42" fillId="50" borderId="85" xfId="1" applyNumberFormat="1" applyFont="1" applyFill="1" applyBorder="1" applyAlignment="1">
      <alignment vertical="center" wrapText="1"/>
    </xf>
    <xf numFmtId="10" fontId="0" fillId="50" borderId="102" xfId="0" applyNumberFormat="1" applyFill="1" applyBorder="1" applyAlignment="1">
      <alignment vertical="center" wrapText="1"/>
    </xf>
    <xf numFmtId="10" fontId="47" fillId="50" borderId="73" xfId="0" applyNumberFormat="1" applyFont="1" applyFill="1" applyBorder="1" applyAlignment="1">
      <alignment vertical="center" wrapText="1"/>
    </xf>
    <xf numFmtId="10" fontId="47" fillId="50" borderId="103" xfId="1" applyNumberFormat="1" applyFont="1" applyFill="1" applyBorder="1" applyAlignment="1">
      <alignment vertical="center" wrapText="1"/>
    </xf>
    <xf numFmtId="0" fontId="0" fillId="0" borderId="62" xfId="0" applyBorder="1" applyAlignment="1">
      <alignment horizontal="center" vertical="center"/>
    </xf>
    <xf numFmtId="0" fontId="38" fillId="50" borderId="16" xfId="0" applyFont="1" applyFill="1" applyBorder="1" applyAlignment="1">
      <alignment horizontal="center" vertical="center"/>
    </xf>
    <xf numFmtId="0" fontId="2" fillId="50" borderId="126" xfId="0" applyFont="1" applyFill="1" applyBorder="1" applyAlignment="1">
      <alignment vertical="center"/>
    </xf>
    <xf numFmtId="0" fontId="45" fillId="50" borderId="127" xfId="0" applyFont="1" applyFill="1" applyBorder="1"/>
    <xf numFmtId="0" fontId="46" fillId="50" borderId="131" xfId="0" applyFont="1" applyFill="1" applyBorder="1" applyAlignment="1">
      <alignment horizontal="center"/>
    </xf>
    <xf numFmtId="0" fontId="0" fillId="51" borderId="132" xfId="0" applyFill="1" applyBorder="1" applyAlignment="1">
      <alignment vertical="center" wrapText="1"/>
    </xf>
    <xf numFmtId="0" fontId="0" fillId="50" borderId="109" xfId="0" applyFill="1" applyBorder="1" applyAlignment="1">
      <alignment horizontal="right" vertical="center" wrapText="1"/>
    </xf>
    <xf numFmtId="10" fontId="0" fillId="50" borderId="109" xfId="0" applyNumberFormat="1" applyFill="1" applyBorder="1"/>
    <xf numFmtId="164" fontId="1" fillId="50" borderId="109" xfId="1" applyNumberFormat="1" applyFont="1" applyFill="1" applyBorder="1"/>
    <xf numFmtId="165" fontId="1" fillId="50" borderId="109" xfId="1" applyNumberFormat="1" applyFont="1" applyFill="1" applyBorder="1"/>
    <xf numFmtId="10" fontId="1" fillId="50" borderId="109" xfId="1" applyNumberFormat="1" applyFont="1" applyFill="1" applyBorder="1"/>
    <xf numFmtId="10" fontId="0" fillId="50" borderId="109" xfId="0" applyNumberFormat="1" applyFill="1" applyBorder="1" applyAlignment="1">
      <alignment horizontal="right"/>
    </xf>
    <xf numFmtId="165" fontId="0" fillId="50" borderId="109" xfId="0" applyNumberFormat="1" applyFill="1" applyBorder="1" applyAlignment="1">
      <alignment wrapText="1"/>
    </xf>
    <xf numFmtId="0" fontId="0" fillId="50" borderId="109" xfId="0" applyFill="1" applyBorder="1"/>
    <xf numFmtId="0" fontId="0" fillId="50" borderId="128" xfId="0" applyFill="1" applyBorder="1" applyAlignment="1">
      <alignment horizontal="center" vertical="center"/>
    </xf>
    <xf numFmtId="0" fontId="0" fillId="50" borderId="109" xfId="0" applyFill="1" applyBorder="1" applyAlignment="1">
      <alignment vertical="center"/>
    </xf>
    <xf numFmtId="0" fontId="0" fillId="50" borderId="109" xfId="0" applyFill="1" applyBorder="1" applyAlignment="1">
      <alignment vertical="center" wrapText="1"/>
    </xf>
    <xf numFmtId="0" fontId="0" fillId="50" borderId="109" xfId="0" applyFill="1" applyBorder="1" applyAlignment="1">
      <alignment horizontal="center" vertical="center"/>
    </xf>
    <xf numFmtId="166" fontId="1" fillId="50" borderId="109" xfId="5" applyNumberFormat="1" applyFont="1" applyFill="1" applyBorder="1" applyAlignment="1">
      <alignment horizontal="center" vertical="center"/>
    </xf>
    <xf numFmtId="171" fontId="45" fillId="50" borderId="108" xfId="0" applyNumberFormat="1" applyFont="1" applyFill="1" applyBorder="1" applyAlignment="1">
      <alignment vertical="center" wrapText="1"/>
    </xf>
    <xf numFmtId="171" fontId="45" fillId="50" borderId="109" xfId="0" applyNumberFormat="1" applyFont="1" applyFill="1" applyBorder="1" applyAlignment="1">
      <alignment vertical="center" wrapText="1"/>
    </xf>
    <xf numFmtId="171" fontId="2" fillId="50" borderId="111" xfId="0" applyNumberFormat="1" applyFont="1" applyFill="1" applyBorder="1" applyAlignment="1">
      <alignment vertical="center" wrapText="1"/>
    </xf>
    <xf numFmtId="171" fontId="0" fillId="50" borderId="108" xfId="0" applyNumberFormat="1" applyFill="1" applyBorder="1" applyAlignment="1">
      <alignment vertical="center" wrapText="1"/>
    </xf>
    <xf numFmtId="171" fontId="0" fillId="50" borderId="111" xfId="0" applyNumberFormat="1" applyFill="1" applyBorder="1" applyAlignment="1">
      <alignment vertical="center" wrapText="1"/>
    </xf>
    <xf numFmtId="0" fontId="45" fillId="50" borderId="133" xfId="0" applyFont="1" applyFill="1" applyBorder="1" applyAlignment="1">
      <alignment vertical="center"/>
    </xf>
    <xf numFmtId="172" fontId="45" fillId="50" borderId="134" xfId="2" applyNumberFormat="1" applyFont="1" applyFill="1" applyBorder="1" applyAlignment="1">
      <alignment horizontal="center" vertical="center"/>
    </xf>
    <xf numFmtId="10" fontId="45" fillId="51" borderId="135" xfId="2" applyNumberFormat="1" applyFont="1" applyFill="1" applyBorder="1" applyAlignment="1">
      <alignment vertical="center"/>
    </xf>
    <xf numFmtId="10" fontId="45" fillId="50" borderId="135" xfId="2" applyNumberFormat="1" applyFont="1" applyFill="1" applyBorder="1" applyAlignment="1">
      <alignment vertical="center"/>
    </xf>
    <xf numFmtId="0" fontId="45" fillId="7" borderId="136" xfId="0" applyFont="1" applyFill="1" applyBorder="1" applyAlignment="1">
      <alignment vertical="center"/>
    </xf>
    <xf numFmtId="10" fontId="0" fillId="51" borderId="137" xfId="0" applyNumberFormat="1" applyFill="1" applyBorder="1" applyAlignment="1">
      <alignment vertical="center" wrapText="1"/>
    </xf>
    <xf numFmtId="10" fontId="42" fillId="51" borderId="109" xfId="0" applyNumberFormat="1" applyFont="1" applyFill="1" applyBorder="1" applyAlignment="1">
      <alignment vertical="center" wrapText="1"/>
    </xf>
    <xf numFmtId="10" fontId="42" fillId="51" borderId="109" xfId="1" applyNumberFormat="1" applyFont="1" applyFill="1" applyBorder="1" applyAlignment="1">
      <alignment vertical="center" wrapText="1"/>
    </xf>
    <xf numFmtId="10" fontId="0" fillId="50" borderId="115" xfId="0" applyNumberFormat="1" applyFill="1" applyBorder="1" applyAlignment="1">
      <alignment vertical="center" wrapText="1"/>
    </xf>
    <xf numFmtId="10" fontId="0" fillId="51" borderId="108" xfId="0" applyNumberFormat="1" applyFill="1" applyBorder="1" applyAlignment="1">
      <alignment vertical="center" wrapText="1"/>
    </xf>
    <xf numFmtId="10" fontId="0" fillId="51" borderId="115" xfId="0" applyNumberFormat="1" applyFill="1" applyBorder="1" applyAlignment="1">
      <alignment vertical="center" wrapText="1"/>
    </xf>
    <xf numFmtId="10" fontId="0" fillId="50" borderId="108" xfId="0" applyNumberFormat="1" applyFill="1" applyBorder="1" applyAlignment="1">
      <alignment vertical="center" wrapText="1"/>
    </xf>
    <xf numFmtId="10" fontId="42" fillId="50" borderId="109" xfId="0" applyNumberFormat="1" applyFont="1" applyFill="1" applyBorder="1" applyAlignment="1">
      <alignment vertical="center" wrapText="1"/>
    </xf>
    <xf numFmtId="10" fontId="42" fillId="50" borderId="109" xfId="1" applyNumberFormat="1" applyFont="1" applyFill="1" applyBorder="1" applyAlignment="1">
      <alignment vertical="center" wrapText="1"/>
    </xf>
    <xf numFmtId="10" fontId="42" fillId="50" borderId="116" xfId="1" applyNumberFormat="1" applyFont="1" applyFill="1" applyBorder="1" applyAlignment="1">
      <alignment vertical="center" wrapText="1"/>
    </xf>
    <xf numFmtId="10" fontId="0" fillId="50" borderId="126" xfId="0" applyNumberFormat="1" applyFill="1" applyBorder="1" applyAlignment="1">
      <alignment vertical="center" wrapText="1"/>
    </xf>
    <xf numFmtId="10" fontId="47" fillId="50" borderId="138" xfId="0" applyNumberFormat="1" applyFont="1" applyFill="1" applyBorder="1" applyAlignment="1">
      <alignment vertical="center" wrapText="1"/>
    </xf>
    <xf numFmtId="10" fontId="47" fillId="50" borderId="127" xfId="1" applyNumberFormat="1" applyFont="1" applyFill="1" applyBorder="1" applyAlignment="1">
      <alignment vertical="center" wrapText="1"/>
    </xf>
    <xf numFmtId="0" fontId="2" fillId="17" borderId="2" xfId="0" applyFont="1" applyFill="1" applyBorder="1" applyAlignment="1">
      <alignment vertical="center" wrapText="1"/>
    </xf>
    <xf numFmtId="0" fontId="2" fillId="17" borderId="5" xfId="0" applyFont="1" applyFill="1" applyBorder="1" applyAlignment="1">
      <alignment vertical="center" wrapText="1"/>
    </xf>
    <xf numFmtId="0" fontId="2" fillId="17" borderId="0" xfId="0" applyFont="1" applyFill="1" applyAlignment="1">
      <alignment vertical="center" wrapText="1"/>
    </xf>
    <xf numFmtId="0" fontId="33" fillId="17" borderId="0" xfId="0" applyFont="1" applyFill="1" applyAlignment="1">
      <alignment vertical="center" wrapText="1"/>
    </xf>
    <xf numFmtId="166" fontId="2" fillId="17" borderId="10" xfId="0" applyNumberFormat="1" applyFont="1" applyFill="1" applyBorder="1" applyAlignment="1">
      <alignment horizontal="center" vertical="center" wrapText="1"/>
    </xf>
    <xf numFmtId="0" fontId="2" fillId="17" borderId="139" xfId="0" applyFont="1" applyFill="1" applyBorder="1" applyAlignment="1">
      <alignment vertical="center" wrapText="1"/>
    </xf>
    <xf numFmtId="164" fontId="35" fillId="17" borderId="1" xfId="1" applyNumberFormat="1" applyFont="1" applyFill="1" applyBorder="1" applyAlignment="1">
      <alignment vertical="center" wrapText="1"/>
    </xf>
    <xf numFmtId="164" fontId="35" fillId="17" borderId="2" xfId="1" applyNumberFormat="1" applyFont="1" applyFill="1" applyBorder="1" applyAlignment="1">
      <alignment vertical="center" wrapText="1"/>
    </xf>
    <xf numFmtId="164" fontId="35" fillId="17" borderId="68" xfId="1" applyNumberFormat="1" applyFont="1" applyFill="1" applyBorder="1" applyAlignment="1">
      <alignment vertical="center" wrapText="1"/>
    </xf>
    <xf numFmtId="164" fontId="35" fillId="17" borderId="14" xfId="1" applyNumberFormat="1" applyFont="1" applyFill="1" applyBorder="1" applyAlignment="1">
      <alignment vertical="center" wrapText="1"/>
    </xf>
    <xf numFmtId="164" fontId="35" fillId="17" borderId="12" xfId="1" applyNumberFormat="1" applyFont="1" applyFill="1" applyBorder="1" applyAlignment="1">
      <alignment vertical="center" wrapText="1"/>
    </xf>
    <xf numFmtId="164" fontId="35" fillId="17" borderId="16" xfId="1" applyNumberFormat="1" applyFont="1" applyFill="1" applyBorder="1" applyAlignment="1">
      <alignment vertical="center" wrapText="1"/>
    </xf>
    <xf numFmtId="0" fontId="2" fillId="17" borderId="58" xfId="0" applyFont="1" applyFill="1" applyBorder="1" applyAlignment="1">
      <alignment vertical="center" wrapText="1"/>
    </xf>
    <xf numFmtId="164" fontId="35" fillId="17" borderId="36" xfId="1" applyNumberFormat="1" applyFont="1" applyFill="1" applyBorder="1" applyAlignment="1">
      <alignment vertical="center" wrapText="1"/>
    </xf>
    <xf numFmtId="164" fontId="35" fillId="7" borderId="27" xfId="1" applyNumberFormat="1" applyFont="1" applyFill="1" applyBorder="1" applyAlignment="1">
      <alignment vertical="center" wrapText="1"/>
    </xf>
    <xf numFmtId="0" fontId="2" fillId="52" borderId="69" xfId="0" applyFont="1" applyFill="1" applyBorder="1" applyAlignment="1">
      <alignment horizontal="center" vertical="center" wrapText="1"/>
    </xf>
    <xf numFmtId="0" fontId="45" fillId="52" borderId="70" xfId="0" applyFont="1" applyFill="1" applyBorder="1" applyAlignment="1">
      <alignment horizontal="center" vertical="center"/>
    </xf>
    <xf numFmtId="0" fontId="46" fillId="53" borderId="140" xfId="0" applyFont="1" applyFill="1" applyBorder="1" applyAlignment="1">
      <alignment horizontal="center" vertical="center"/>
    </xf>
    <xf numFmtId="0" fontId="0" fillId="53" borderId="141" xfId="0" applyFill="1" applyBorder="1" applyAlignment="1">
      <alignment vertical="center" wrapText="1"/>
    </xf>
    <xf numFmtId="0" fontId="0" fillId="53" borderId="73" xfId="0" applyFill="1" applyBorder="1" applyAlignment="1">
      <alignment horizontal="right" vertical="center" wrapText="1"/>
    </xf>
    <xf numFmtId="10" fontId="0" fillId="53" borderId="142" xfId="0" applyNumberFormat="1" applyFill="1" applyBorder="1" applyAlignment="1">
      <alignment vertical="center"/>
    </xf>
    <xf numFmtId="164" fontId="1" fillId="53" borderId="142" xfId="1" applyNumberFormat="1" applyFont="1" applyFill="1" applyBorder="1" applyAlignment="1">
      <alignment vertical="center"/>
    </xf>
    <xf numFmtId="165" fontId="1" fillId="53" borderId="142" xfId="1" applyNumberFormat="1" applyFont="1" applyFill="1" applyBorder="1" applyAlignment="1">
      <alignment vertical="center"/>
    </xf>
    <xf numFmtId="10" fontId="18" fillId="53" borderId="142" xfId="0" applyNumberFormat="1" applyFont="1" applyFill="1" applyBorder="1" applyAlignment="1">
      <alignment horizontal="right" vertical="center" wrapText="1"/>
    </xf>
    <xf numFmtId="10" fontId="18" fillId="53" borderId="142" xfId="0" applyNumberFormat="1" applyFont="1" applyFill="1" applyBorder="1" applyAlignment="1">
      <alignment vertical="center" wrapText="1"/>
    </xf>
    <xf numFmtId="165" fontId="0" fillId="53" borderId="142" xfId="0" applyNumberFormat="1" applyFill="1" applyBorder="1" applyAlignment="1">
      <alignment vertical="center" wrapText="1"/>
    </xf>
    <xf numFmtId="0" fontId="0" fillId="53" borderId="142" xfId="0" applyFill="1" applyBorder="1" applyAlignment="1">
      <alignment vertical="center"/>
    </xf>
    <xf numFmtId="0" fontId="0" fillId="53" borderId="85" xfId="0" applyFill="1" applyBorder="1" applyAlignment="1">
      <alignment vertical="center"/>
    </xf>
    <xf numFmtId="0" fontId="0" fillId="53" borderId="21" xfId="0" applyFill="1" applyBorder="1" applyAlignment="1">
      <alignment vertical="center" wrapText="1"/>
    </xf>
    <xf numFmtId="0" fontId="0" fillId="53" borderId="21" xfId="0" applyFill="1" applyBorder="1" applyAlignment="1">
      <alignment horizontal="center" vertical="center" wrapText="1"/>
    </xf>
    <xf numFmtId="166" fontId="1" fillId="53" borderId="21" xfId="4" applyNumberFormat="1" applyFont="1" applyFill="1" applyBorder="1" applyAlignment="1">
      <alignment horizontal="center" vertical="center" wrapText="1"/>
    </xf>
    <xf numFmtId="167" fontId="0" fillId="53" borderId="21" xfId="0" applyNumberFormat="1" applyFill="1" applyBorder="1" applyAlignment="1">
      <alignment horizontal="center" vertical="center" wrapText="1"/>
    </xf>
    <xf numFmtId="167" fontId="2" fillId="53" borderId="23" xfId="0" applyNumberFormat="1" applyFont="1" applyFill="1" applyBorder="1" applyAlignment="1">
      <alignment horizontal="center" vertical="center" wrapText="1"/>
    </xf>
    <xf numFmtId="167" fontId="0" fillId="53" borderId="143" xfId="0" applyNumberFormat="1" applyFill="1" applyBorder="1" applyAlignment="1">
      <alignment horizontal="center" vertical="center" wrapText="1"/>
    </xf>
    <xf numFmtId="167" fontId="0" fillId="53" borderId="144" xfId="0" applyNumberFormat="1" applyFill="1" applyBorder="1" applyAlignment="1">
      <alignment horizontal="center" vertical="center" wrapText="1"/>
    </xf>
    <xf numFmtId="167" fontId="0" fillId="53" borderId="20" xfId="0" applyNumberFormat="1" applyFill="1" applyBorder="1" applyAlignment="1">
      <alignment horizontal="center" vertical="center" wrapText="1"/>
    </xf>
    <xf numFmtId="164" fontId="1" fillId="0" borderId="77" xfId="1" applyNumberFormat="1" applyFont="1" applyFill="1" applyBorder="1" applyAlignment="1">
      <alignment vertical="center"/>
    </xf>
    <xf numFmtId="164" fontId="1" fillId="0" borderId="78" xfId="1" applyNumberFormat="1" applyFont="1" applyFill="1" applyBorder="1" applyAlignment="1">
      <alignment vertical="center"/>
    </xf>
    <xf numFmtId="164" fontId="1" fillId="0" borderId="20" xfId="1" applyNumberFormat="1" applyFont="1" applyFill="1" applyBorder="1" applyAlignment="1">
      <alignment vertical="center"/>
    </xf>
    <xf numFmtId="0" fontId="0" fillId="53" borderId="79" xfId="0" applyFill="1" applyBorder="1" applyAlignment="1">
      <alignment horizontal="left" vertical="center" wrapText="1"/>
    </xf>
    <xf numFmtId="10" fontId="1" fillId="53" borderId="40" xfId="2" applyNumberFormat="1" applyFont="1" applyFill="1" applyBorder="1" applyAlignment="1">
      <alignment horizontal="center" vertical="center" wrapText="1"/>
    </xf>
    <xf numFmtId="10" fontId="1" fillId="52" borderId="145" xfId="2" applyNumberFormat="1" applyFont="1" applyFill="1" applyBorder="1" applyAlignment="1">
      <alignment horizontal="center" vertical="center" wrapText="1"/>
    </xf>
    <xf numFmtId="10" fontId="1" fillId="52" borderId="21" xfId="2" applyNumberFormat="1" applyFont="1" applyFill="1" applyBorder="1" applyAlignment="1">
      <alignment horizontal="center" vertical="center" wrapText="1"/>
    </xf>
    <xf numFmtId="0" fontId="0" fillId="7" borderId="21" xfId="0" applyFill="1" applyBorder="1" applyAlignment="1">
      <alignment horizontal="left" vertical="center" wrapText="1"/>
    </xf>
    <xf numFmtId="10" fontId="1" fillId="53" borderId="20" xfId="2" applyNumberFormat="1" applyFont="1" applyFill="1" applyBorder="1" applyAlignment="1">
      <alignment horizontal="right" vertical="center" wrapText="1"/>
    </xf>
    <xf numFmtId="10" fontId="42" fillId="53" borderId="21" xfId="2" applyNumberFormat="1" applyFont="1" applyFill="1" applyBorder="1" applyAlignment="1">
      <alignment horizontal="right" vertical="center" wrapText="1"/>
    </xf>
    <xf numFmtId="0" fontId="2" fillId="54" borderId="134" xfId="0" applyFont="1" applyFill="1" applyBorder="1" applyAlignment="1">
      <alignment horizontal="center" vertical="center" wrapText="1"/>
    </xf>
    <xf numFmtId="0" fontId="45" fillId="54" borderId="146" xfId="0" applyFont="1" applyFill="1" applyBorder="1" applyAlignment="1">
      <alignment horizontal="center" vertical="center"/>
    </xf>
    <xf numFmtId="0" fontId="46" fillId="34" borderId="131" xfId="0" applyFont="1" applyFill="1" applyBorder="1" applyAlignment="1">
      <alignment horizontal="center" vertical="center"/>
    </xf>
    <xf numFmtId="0" fontId="0" fillId="34" borderId="134" xfId="0" applyFill="1" applyBorder="1" applyAlignment="1">
      <alignment vertical="center" wrapText="1"/>
    </xf>
    <xf numFmtId="0" fontId="0" fillId="34" borderId="135" xfId="0" applyFill="1" applyBorder="1" applyAlignment="1">
      <alignment horizontal="right" vertical="center" wrapText="1"/>
    </xf>
    <xf numFmtId="10" fontId="0" fillId="34" borderId="136" xfId="0" applyNumberFormat="1" applyFill="1" applyBorder="1" applyAlignment="1">
      <alignment vertical="center"/>
    </xf>
    <xf numFmtId="164" fontId="1" fillId="34" borderId="136" xfId="1" applyNumberFormat="1" applyFont="1" applyFill="1" applyBorder="1" applyAlignment="1">
      <alignment vertical="center"/>
    </xf>
    <xf numFmtId="165" fontId="1" fillId="34" borderId="136" xfId="1" applyNumberFormat="1" applyFont="1" applyFill="1" applyBorder="1" applyAlignment="1">
      <alignment vertical="center"/>
    </xf>
    <xf numFmtId="10" fontId="1" fillId="34" borderId="136" xfId="1" applyNumberFormat="1" applyFont="1" applyFill="1" applyBorder="1" applyAlignment="1">
      <alignment vertical="center"/>
    </xf>
    <xf numFmtId="10" fontId="0" fillId="34" borderId="136" xfId="0" applyNumberFormat="1" applyFill="1" applyBorder="1" applyAlignment="1">
      <alignment horizontal="right" vertical="center" wrapText="1"/>
    </xf>
    <xf numFmtId="10" fontId="0" fillId="34" borderId="136" xfId="0" applyNumberFormat="1" applyFill="1" applyBorder="1" applyAlignment="1">
      <alignment vertical="center" wrapText="1"/>
    </xf>
    <xf numFmtId="165" fontId="0" fillId="34" borderId="136" xfId="0" applyNumberFormat="1" applyFill="1" applyBorder="1" applyAlignment="1">
      <alignment vertical="center" wrapText="1"/>
    </xf>
    <xf numFmtId="0" fontId="0" fillId="34" borderId="136" xfId="0" applyFill="1" applyBorder="1" applyAlignment="1">
      <alignment vertical="center"/>
    </xf>
    <xf numFmtId="0" fontId="0" fillId="34" borderId="147" xfId="0" applyFill="1" applyBorder="1" applyAlignment="1">
      <alignment vertical="center"/>
    </xf>
    <xf numFmtId="0" fontId="0" fillId="34" borderId="32" xfId="0" applyFill="1" applyBorder="1" applyAlignment="1">
      <alignment vertical="center" wrapText="1"/>
    </xf>
    <xf numFmtId="0" fontId="0" fillId="34" borderId="32" xfId="0" applyFill="1" applyBorder="1" applyAlignment="1">
      <alignment horizontal="center" vertical="center" wrapText="1"/>
    </xf>
    <xf numFmtId="166" fontId="1" fillId="34" borderId="32" xfId="4" applyNumberFormat="1" applyFont="1" applyFill="1" applyBorder="1" applyAlignment="1">
      <alignment horizontal="center" vertical="center" wrapText="1"/>
    </xf>
    <xf numFmtId="167" fontId="0" fillId="34" borderId="32" xfId="0" applyNumberFormat="1" applyFill="1" applyBorder="1" applyAlignment="1">
      <alignment horizontal="center" vertical="center" wrapText="1"/>
    </xf>
    <xf numFmtId="167" fontId="2" fillId="34" borderId="148" xfId="0" applyNumberFormat="1" applyFont="1" applyFill="1" applyBorder="1" applyAlignment="1">
      <alignment horizontal="center" vertical="center" wrapText="1"/>
    </xf>
    <xf numFmtId="167" fontId="0" fillId="34" borderId="61" xfId="0" applyNumberFormat="1" applyFill="1" applyBorder="1" applyAlignment="1">
      <alignment horizontal="center" vertical="center" wrapText="1"/>
    </xf>
    <xf numFmtId="167" fontId="0" fillId="34" borderId="62" xfId="0" applyNumberFormat="1" applyFill="1" applyBorder="1" applyAlignment="1">
      <alignment horizontal="center" vertical="center" wrapText="1"/>
    </xf>
    <xf numFmtId="167" fontId="0" fillId="34" borderId="149" xfId="0" applyNumberFormat="1" applyFill="1" applyBorder="1" applyAlignment="1">
      <alignment horizontal="center" vertical="center" wrapText="1"/>
    </xf>
    <xf numFmtId="164" fontId="0" fillId="0" borderId="150" xfId="0" applyNumberFormat="1" applyBorder="1" applyAlignment="1">
      <alignment vertical="center"/>
    </xf>
    <xf numFmtId="164" fontId="0" fillId="0" borderId="151" xfId="0" applyNumberFormat="1" applyBorder="1" applyAlignment="1">
      <alignment vertical="center"/>
    </xf>
    <xf numFmtId="164" fontId="0" fillId="37" borderId="152" xfId="0" applyNumberFormat="1" applyFill="1" applyBorder="1" applyAlignment="1">
      <alignment vertical="center"/>
    </xf>
    <xf numFmtId="164" fontId="1" fillId="15" borderId="152" xfId="1" applyNumberFormat="1" applyFont="1" applyFill="1" applyBorder="1" applyAlignment="1">
      <alignment vertical="center"/>
    </xf>
    <xf numFmtId="0" fontId="0" fillId="34" borderId="152" xfId="0" applyFill="1" applyBorder="1" applyAlignment="1">
      <alignment horizontal="left" vertical="center" wrapText="1"/>
    </xf>
    <xf numFmtId="10" fontId="1" fillId="34" borderId="65" xfId="2" applyNumberFormat="1" applyFont="1" applyFill="1" applyBorder="1" applyAlignment="1">
      <alignment horizontal="center" vertical="center" wrapText="1"/>
    </xf>
    <xf numFmtId="10" fontId="1" fillId="54" borderId="32" xfId="2" applyNumberFormat="1" applyFont="1" applyFill="1" applyBorder="1" applyAlignment="1">
      <alignment horizontal="center" vertical="center" wrapText="1"/>
    </xf>
    <xf numFmtId="0" fontId="0" fillId="7" borderId="32" xfId="0" applyFill="1" applyBorder="1" applyAlignment="1">
      <alignment horizontal="left" vertical="center" wrapText="1"/>
    </xf>
    <xf numFmtId="10" fontId="1" fillId="34" borderId="61" xfId="2" applyNumberFormat="1" applyFont="1" applyFill="1" applyBorder="1" applyAlignment="1">
      <alignment horizontal="right" vertical="center" wrapText="1"/>
    </xf>
    <xf numFmtId="10" fontId="42" fillId="34" borderId="32" xfId="2" applyNumberFormat="1" applyFont="1" applyFill="1" applyBorder="1" applyAlignment="1">
      <alignment horizontal="right" vertical="center" wrapText="1"/>
    </xf>
    <xf numFmtId="0" fontId="49" fillId="35" borderId="153" xfId="0" applyFont="1" applyFill="1" applyBorder="1" applyAlignment="1">
      <alignment vertical="center"/>
    </xf>
    <xf numFmtId="0" fontId="46" fillId="35" borderId="154" xfId="0" applyFont="1" applyFill="1" applyBorder="1" applyAlignment="1">
      <alignment horizontal="center" vertical="center"/>
    </xf>
    <xf numFmtId="0" fontId="0" fillId="35" borderId="155" xfId="0" applyFill="1" applyBorder="1" applyAlignment="1">
      <alignment vertical="center" wrapText="1"/>
    </xf>
    <xf numFmtId="10" fontId="0" fillId="35" borderId="142" xfId="0" applyNumberFormat="1" applyFill="1" applyBorder="1" applyAlignment="1">
      <alignment vertical="center"/>
    </xf>
    <xf numFmtId="164" fontId="1" fillId="35" borderId="142" xfId="1" applyNumberFormat="1" applyFont="1" applyFill="1" applyBorder="1" applyAlignment="1">
      <alignment vertical="center"/>
    </xf>
    <xf numFmtId="165" fontId="1" fillId="35" borderId="142" xfId="1" applyNumberFormat="1" applyFont="1" applyFill="1" applyBorder="1" applyAlignment="1">
      <alignment vertical="center"/>
    </xf>
    <xf numFmtId="10" fontId="0" fillId="35" borderId="142" xfId="0" applyNumberFormat="1" applyFill="1" applyBorder="1" applyAlignment="1">
      <alignment horizontal="right" vertical="center"/>
    </xf>
    <xf numFmtId="165" fontId="0" fillId="35" borderId="142" xfId="0" applyNumberFormat="1" applyFill="1" applyBorder="1" applyAlignment="1">
      <alignment vertical="center" wrapText="1"/>
    </xf>
    <xf numFmtId="0" fontId="0" fillId="35" borderId="142" xfId="0" applyFill="1" applyBorder="1" applyAlignment="1">
      <alignment vertical="center"/>
    </xf>
    <xf numFmtId="0" fontId="0" fillId="36" borderId="156" xfId="0" applyFill="1" applyBorder="1" applyAlignment="1">
      <alignment horizontal="center" vertical="center"/>
    </xf>
    <xf numFmtId="171" fontId="0" fillId="35" borderId="117" xfId="0" applyNumberFormat="1" applyFill="1" applyBorder="1" applyAlignment="1">
      <alignment vertical="center" wrapText="1"/>
    </xf>
    <xf numFmtId="10" fontId="45" fillId="35" borderId="81" xfId="2" applyNumberFormat="1" applyFont="1" applyFill="1" applyBorder="1" applyAlignment="1">
      <alignment horizontal="center" vertical="center"/>
    </xf>
    <xf numFmtId="10" fontId="45" fillId="38" borderId="43" xfId="2" applyNumberFormat="1" applyFont="1" applyFill="1" applyBorder="1" applyAlignment="1">
      <alignment horizontal="center" vertical="center"/>
    </xf>
    <xf numFmtId="0" fontId="0" fillId="0" borderId="0" xfId="0" applyAlignment="1">
      <alignment vertical="center"/>
    </xf>
    <xf numFmtId="0" fontId="49" fillId="39" borderId="157" xfId="0" applyFont="1" applyFill="1" applyBorder="1" applyAlignment="1">
      <alignment vertical="center"/>
    </xf>
    <xf numFmtId="10" fontId="45" fillId="39" borderId="81" xfId="2" applyNumberFormat="1" applyFont="1" applyFill="1" applyBorder="1" applyAlignment="1">
      <alignment horizontal="center" vertical="center"/>
    </xf>
    <xf numFmtId="10" fontId="45" fillId="40" borderId="43" xfId="2" applyNumberFormat="1" applyFont="1" applyFill="1" applyBorder="1" applyAlignment="1">
      <alignment horizontal="center" vertical="center"/>
    </xf>
    <xf numFmtId="0" fontId="49" fillId="35" borderId="157" xfId="0" applyFont="1" applyFill="1" applyBorder="1"/>
    <xf numFmtId="0" fontId="49" fillId="39" borderId="157" xfId="0" applyFont="1" applyFill="1" applyBorder="1"/>
    <xf numFmtId="0" fontId="49" fillId="39" borderId="126" xfId="0" applyFont="1" applyFill="1" applyBorder="1"/>
    <xf numFmtId="0" fontId="45" fillId="39" borderId="127" xfId="0" applyFont="1" applyFill="1" applyBorder="1"/>
    <xf numFmtId="10" fontId="45" fillId="39" borderId="107" xfId="2" applyNumberFormat="1" applyFont="1" applyFill="1" applyBorder="1" applyAlignment="1">
      <alignment horizontal="center" vertical="center"/>
    </xf>
    <xf numFmtId="10" fontId="45" fillId="40" borderId="114" xfId="2" applyNumberFormat="1" applyFont="1" applyFill="1" applyBorder="1" applyAlignment="1">
      <alignment horizontal="center" vertical="center"/>
    </xf>
    <xf numFmtId="0" fontId="49" fillId="23" borderId="69" xfId="0" applyFont="1" applyFill="1" applyBorder="1"/>
    <xf numFmtId="0" fontId="45" fillId="23" borderId="70" xfId="0" applyFont="1" applyFill="1" applyBorder="1"/>
    <xf numFmtId="10" fontId="45" fillId="23" borderId="81" xfId="2" applyNumberFormat="1" applyFont="1" applyFill="1" applyBorder="1" applyAlignment="1">
      <alignment horizontal="center" vertical="center"/>
    </xf>
    <xf numFmtId="10" fontId="45" fillId="24" borderId="43" xfId="2" applyNumberFormat="1" applyFont="1" applyFill="1" applyBorder="1" applyAlignment="1">
      <alignment horizontal="center" vertical="center"/>
    </xf>
    <xf numFmtId="0" fontId="49" fillId="43" borderId="157" xfId="0" applyFont="1" applyFill="1" applyBorder="1"/>
    <xf numFmtId="0" fontId="45" fillId="43" borderId="158" xfId="0" applyFont="1" applyFill="1" applyBorder="1"/>
    <xf numFmtId="10" fontId="45" fillId="43" borderId="81" xfId="2" applyNumberFormat="1" applyFont="1" applyFill="1" applyBorder="1" applyAlignment="1">
      <alignment horizontal="center" vertical="center"/>
    </xf>
    <xf numFmtId="10" fontId="45" fillId="44" borderId="43" xfId="2" applyNumberFormat="1" applyFont="1" applyFill="1" applyBorder="1" applyAlignment="1">
      <alignment horizontal="center" vertical="center"/>
    </xf>
    <xf numFmtId="0" fontId="49" fillId="23" borderId="157" xfId="0" applyFont="1" applyFill="1" applyBorder="1"/>
    <xf numFmtId="0" fontId="49" fillId="43" borderId="126" xfId="0" applyFont="1" applyFill="1" applyBorder="1"/>
    <xf numFmtId="0" fontId="45" fillId="43" borderId="127" xfId="0" applyFont="1" applyFill="1" applyBorder="1"/>
    <xf numFmtId="10" fontId="45" fillId="43" borderId="107" xfId="2" applyNumberFormat="1" applyFont="1" applyFill="1" applyBorder="1" applyAlignment="1">
      <alignment horizontal="center" vertical="center"/>
    </xf>
    <xf numFmtId="10" fontId="45" fillId="44" borderId="114" xfId="2" applyNumberFormat="1" applyFont="1" applyFill="1" applyBorder="1" applyAlignment="1">
      <alignment horizontal="center" vertical="center"/>
    </xf>
    <xf numFmtId="0" fontId="49" fillId="46" borderId="69" xfId="0" applyFont="1" applyFill="1" applyBorder="1"/>
    <xf numFmtId="0" fontId="45" fillId="46" borderId="70" xfId="0" applyFont="1" applyFill="1" applyBorder="1"/>
    <xf numFmtId="10" fontId="45" fillId="46" borderId="81" xfId="2" applyNumberFormat="1" applyFont="1" applyFill="1" applyBorder="1" applyAlignment="1">
      <alignment horizontal="center" vertical="center"/>
    </xf>
    <xf numFmtId="10" fontId="45" fillId="48" borderId="43" xfId="2" applyNumberFormat="1" applyFont="1" applyFill="1" applyBorder="1" applyAlignment="1">
      <alignment horizontal="center" vertical="center"/>
    </xf>
    <xf numFmtId="0" fontId="49" fillId="4" borderId="157" xfId="0" applyFont="1" applyFill="1" applyBorder="1"/>
    <xf numFmtId="10" fontId="45" fillId="4" borderId="81" xfId="2" applyNumberFormat="1" applyFont="1" applyFill="1" applyBorder="1" applyAlignment="1">
      <alignment horizontal="center" vertical="center"/>
    </xf>
    <xf numFmtId="10" fontId="45" fillId="49" borderId="43" xfId="2" applyNumberFormat="1" applyFont="1" applyFill="1" applyBorder="1" applyAlignment="1">
      <alignment horizontal="center" vertical="center"/>
    </xf>
    <xf numFmtId="0" fontId="49" fillId="46" borderId="157" xfId="0" applyFont="1" applyFill="1" applyBorder="1"/>
    <xf numFmtId="0" fontId="49" fillId="4" borderId="159" xfId="0" applyFont="1" applyFill="1" applyBorder="1"/>
    <xf numFmtId="10" fontId="45" fillId="4" borderId="107" xfId="2" applyNumberFormat="1" applyFont="1" applyFill="1" applyBorder="1" applyAlignment="1">
      <alignment horizontal="center" vertical="center"/>
    </xf>
    <xf numFmtId="10" fontId="45" fillId="49" borderId="114" xfId="2" applyNumberFormat="1" applyFont="1" applyFill="1" applyBorder="1" applyAlignment="1">
      <alignment horizontal="center" vertical="center"/>
    </xf>
    <xf numFmtId="0" fontId="49" fillId="13" borderId="153" xfId="0" applyFont="1" applyFill="1" applyBorder="1"/>
    <xf numFmtId="10" fontId="45" fillId="13" borderId="81" xfId="2" applyNumberFormat="1" applyFont="1" applyFill="1" applyBorder="1" applyAlignment="1">
      <alignment horizontal="center" vertical="center"/>
    </xf>
    <xf numFmtId="10" fontId="45" fillId="33" borderId="43" xfId="2" applyNumberFormat="1" applyFont="1" applyFill="1" applyBorder="1" applyAlignment="1">
      <alignment horizontal="center" vertical="center"/>
    </xf>
    <xf numFmtId="0" fontId="49" fillId="13" borderId="159" xfId="0" applyFont="1" applyFill="1" applyBorder="1"/>
    <xf numFmtId="10" fontId="45" fillId="13" borderId="107" xfId="2" applyNumberFormat="1" applyFont="1" applyFill="1" applyBorder="1" applyAlignment="1">
      <alignment horizontal="center" vertical="center"/>
    </xf>
    <xf numFmtId="10" fontId="45" fillId="33" borderId="114" xfId="2" applyNumberFormat="1" applyFont="1" applyFill="1" applyBorder="1" applyAlignment="1">
      <alignment horizontal="center" vertical="center"/>
    </xf>
    <xf numFmtId="0" fontId="38" fillId="50" borderId="130" xfId="0" applyFont="1" applyFill="1" applyBorder="1" applyAlignment="1">
      <alignment vertical="center"/>
    </xf>
    <xf numFmtId="0" fontId="49" fillId="50" borderId="153" xfId="0" applyFont="1" applyFill="1" applyBorder="1"/>
    <xf numFmtId="10" fontId="45" fillId="50" borderId="81" xfId="2" applyNumberFormat="1" applyFont="1" applyFill="1" applyBorder="1" applyAlignment="1">
      <alignment horizontal="center" vertical="center"/>
    </xf>
    <xf numFmtId="10" fontId="45" fillId="51" borderId="43" xfId="2" applyNumberFormat="1" applyFont="1" applyFill="1" applyBorder="1" applyAlignment="1">
      <alignment horizontal="center" vertical="center"/>
    </xf>
    <xf numFmtId="0" fontId="38" fillId="50" borderId="16" xfId="0" applyFont="1" applyFill="1" applyBorder="1" applyAlignment="1">
      <alignment vertical="center"/>
    </xf>
    <xf numFmtId="0" fontId="49" fillId="50" borderId="159" xfId="0" applyFont="1" applyFill="1" applyBorder="1"/>
    <xf numFmtId="10" fontId="45" fillId="50" borderId="134" xfId="2" applyNumberFormat="1" applyFont="1" applyFill="1" applyBorder="1" applyAlignment="1">
      <alignment horizontal="center" vertical="center"/>
    </xf>
    <xf numFmtId="10" fontId="45" fillId="51" borderId="136" xfId="2" applyNumberFormat="1" applyFont="1" applyFill="1" applyBorder="1" applyAlignment="1">
      <alignment horizontal="center" vertical="center"/>
    </xf>
    <xf numFmtId="10" fontId="0" fillId="50" borderId="137" xfId="0" applyNumberFormat="1" applyFill="1" applyBorder="1" applyAlignment="1">
      <alignment vertical="center" wrapText="1"/>
    </xf>
    <xf numFmtId="0" fontId="49" fillId="53" borderId="69" xfId="0" applyFont="1" applyFill="1" applyBorder="1" applyAlignment="1">
      <alignment horizontal="left" vertical="center"/>
    </xf>
    <xf numFmtId="0" fontId="45" fillId="53" borderId="140" xfId="0" applyFont="1" applyFill="1" applyBorder="1" applyAlignment="1">
      <alignment horizontal="center" vertical="center" wrapText="1"/>
    </xf>
    <xf numFmtId="0" fontId="46" fillId="53" borderId="154" xfId="0" applyFont="1" applyFill="1" applyBorder="1" applyAlignment="1">
      <alignment horizontal="center" vertical="center"/>
    </xf>
    <xf numFmtId="0" fontId="0" fillId="53" borderId="161" xfId="0" applyFill="1" applyBorder="1" applyAlignment="1">
      <alignment vertical="center"/>
    </xf>
    <xf numFmtId="0" fontId="0" fillId="53" borderId="46" xfId="0" applyFill="1" applyBorder="1" applyAlignment="1">
      <alignment vertical="center" wrapText="1"/>
    </xf>
    <xf numFmtId="0" fontId="0" fillId="53" borderId="46" xfId="0" applyFill="1" applyBorder="1" applyAlignment="1">
      <alignment horizontal="center" vertical="center" wrapText="1"/>
    </xf>
    <xf numFmtId="166" fontId="1" fillId="53" borderId="46" xfId="4" applyNumberFormat="1" applyFont="1" applyFill="1" applyBorder="1" applyAlignment="1">
      <alignment horizontal="center" vertical="center" wrapText="1"/>
    </xf>
    <xf numFmtId="167" fontId="0" fillId="53" borderId="46" xfId="0" applyNumberFormat="1" applyFill="1" applyBorder="1" applyAlignment="1">
      <alignment horizontal="center" vertical="center" wrapText="1"/>
    </xf>
    <xf numFmtId="167" fontId="2" fillId="53" borderId="53" xfId="0" applyNumberFormat="1" applyFont="1" applyFill="1" applyBorder="1" applyAlignment="1">
      <alignment horizontal="center" vertical="center" wrapText="1"/>
    </xf>
    <xf numFmtId="167" fontId="0" fillId="53" borderId="162" xfId="0" applyNumberFormat="1" applyFill="1" applyBorder="1" applyAlignment="1">
      <alignment horizontal="center" vertical="center" wrapText="1"/>
    </xf>
    <xf numFmtId="167" fontId="0" fillId="53" borderId="163" xfId="0" applyNumberFormat="1" applyFill="1" applyBorder="1" applyAlignment="1">
      <alignment horizontal="center" vertical="center" wrapText="1"/>
    </xf>
    <xf numFmtId="167" fontId="0" fillId="53" borderId="50" xfId="0" applyNumberFormat="1" applyFill="1" applyBorder="1" applyAlignment="1">
      <alignment horizontal="center" vertical="center" wrapText="1"/>
    </xf>
    <xf numFmtId="164" fontId="1" fillId="0" borderId="118" xfId="1" applyNumberFormat="1" applyFont="1" applyFill="1" applyBorder="1" applyAlignment="1">
      <alignment vertical="center"/>
    </xf>
    <xf numFmtId="164" fontId="1" fillId="0" borderId="119" xfId="1" applyNumberFormat="1" applyFont="1" applyFill="1" applyBorder="1" applyAlignment="1">
      <alignment vertical="center"/>
    </xf>
    <xf numFmtId="164" fontId="1" fillId="0" borderId="120" xfId="1" applyNumberFormat="1" applyFont="1" applyFill="1" applyBorder="1" applyAlignment="1">
      <alignment vertical="center"/>
    </xf>
    <xf numFmtId="0" fontId="0" fillId="53" borderId="121" xfId="0" applyFill="1" applyBorder="1" applyAlignment="1">
      <alignment horizontal="left" vertical="center" wrapText="1"/>
    </xf>
    <xf numFmtId="10" fontId="1" fillId="53" borderId="164" xfId="2" applyNumberFormat="1" applyFont="1" applyFill="1" applyBorder="1" applyAlignment="1">
      <alignment horizontal="center" vertical="center" wrapText="1"/>
    </xf>
    <xf numFmtId="0" fontId="49" fillId="34" borderId="126" xfId="0" applyFont="1" applyFill="1" applyBorder="1" applyAlignment="1">
      <alignment horizontal="left" vertical="center"/>
    </xf>
    <xf numFmtId="0" fontId="45" fillId="34" borderId="131" xfId="0" applyFont="1" applyFill="1" applyBorder="1" applyAlignment="1">
      <alignment horizontal="left" vertical="center" wrapText="1"/>
    </xf>
    <xf numFmtId="0" fontId="49" fillId="35" borderId="69" xfId="0" applyFont="1" applyFill="1" applyBorder="1" applyAlignment="1">
      <alignment horizontal="left" vertical="center"/>
    </xf>
    <xf numFmtId="0" fontId="45" fillId="35" borderId="140" xfId="0" applyFont="1" applyFill="1" applyBorder="1" applyAlignment="1">
      <alignment horizontal="center" vertical="center"/>
    </xf>
    <xf numFmtId="0" fontId="0" fillId="35" borderId="73" xfId="0" applyFill="1" applyBorder="1" applyAlignment="1">
      <alignment horizontal="center" vertical="center" wrapText="1"/>
    </xf>
    <xf numFmtId="166" fontId="1" fillId="35" borderId="73" xfId="4" applyNumberFormat="1" applyFont="1" applyFill="1" applyBorder="1" applyAlignment="1">
      <alignment horizontal="center" vertical="center"/>
    </xf>
    <xf numFmtId="0" fontId="45" fillId="35" borderId="80" xfId="0" applyFont="1" applyFill="1" applyBorder="1" applyAlignment="1">
      <alignment vertical="center" wrapText="1"/>
    </xf>
    <xf numFmtId="10" fontId="45" fillId="35" borderId="81" xfId="2" applyNumberFormat="1" applyFont="1" applyFill="1" applyBorder="1" applyAlignment="1">
      <alignment horizontal="center" vertical="center" wrapText="1"/>
    </xf>
    <xf numFmtId="10" fontId="45" fillId="38" borderId="43" xfId="2" applyNumberFormat="1" applyFont="1" applyFill="1" applyBorder="1" applyAlignment="1">
      <alignment horizontal="center" vertical="center" wrapText="1"/>
    </xf>
    <xf numFmtId="0" fontId="45" fillId="7" borderId="43" xfId="0" applyFont="1" applyFill="1" applyBorder="1" applyAlignment="1">
      <alignment vertical="center" wrapText="1"/>
    </xf>
    <xf numFmtId="0" fontId="49" fillId="39" borderId="157" xfId="0" applyFont="1" applyFill="1" applyBorder="1" applyAlignment="1">
      <alignment horizontal="left" vertical="center"/>
    </xf>
    <xf numFmtId="0" fontId="45" fillId="39" borderId="158" xfId="0" applyFont="1" applyFill="1" applyBorder="1" applyAlignment="1">
      <alignment horizontal="center" vertical="center"/>
    </xf>
    <xf numFmtId="166" fontId="1" fillId="39" borderId="90" xfId="4" applyNumberFormat="1" applyFont="1" applyFill="1" applyBorder="1" applyAlignment="1">
      <alignment horizontal="center" vertical="center"/>
    </xf>
    <xf numFmtId="0" fontId="45" fillId="39" borderId="80" xfId="0" applyFont="1" applyFill="1" applyBorder="1" applyAlignment="1">
      <alignment vertical="center" wrapText="1"/>
    </xf>
    <xf numFmtId="10" fontId="45" fillId="39" borderId="81" xfId="2" applyNumberFormat="1" applyFont="1" applyFill="1" applyBorder="1" applyAlignment="1">
      <alignment horizontal="center" vertical="center" wrapText="1"/>
    </xf>
    <xf numFmtId="10" fontId="45" fillId="40" borderId="43" xfId="2" applyNumberFormat="1" applyFont="1" applyFill="1" applyBorder="1" applyAlignment="1">
      <alignment horizontal="center" vertical="center" wrapText="1"/>
    </xf>
    <xf numFmtId="0" fontId="49" fillId="35" borderId="157" xfId="0" applyFont="1" applyFill="1" applyBorder="1" applyAlignment="1">
      <alignment horizontal="left" vertical="center"/>
    </xf>
    <xf numFmtId="0" fontId="45" fillId="35" borderId="87" xfId="0" applyFont="1" applyFill="1" applyBorder="1" applyAlignment="1">
      <alignment horizontal="center" vertical="center"/>
    </xf>
    <xf numFmtId="166" fontId="1" fillId="35" borderId="90" xfId="4" applyNumberFormat="1" applyFont="1" applyFill="1" applyBorder="1" applyAlignment="1">
      <alignment horizontal="center" vertical="center"/>
    </xf>
    <xf numFmtId="0" fontId="45" fillId="39" borderId="87" xfId="0" applyFont="1" applyFill="1" applyBorder="1" applyAlignment="1">
      <alignment horizontal="center" vertical="center"/>
    </xf>
    <xf numFmtId="0" fontId="45" fillId="35" borderId="158" xfId="0" applyFont="1" applyFill="1" applyBorder="1" applyAlignment="1">
      <alignment horizontal="center" vertical="center"/>
    </xf>
    <xf numFmtId="0" fontId="49" fillId="39" borderId="159" xfId="0" applyFont="1" applyFill="1" applyBorder="1" applyAlignment="1">
      <alignment horizontal="left" vertical="center"/>
    </xf>
    <xf numFmtId="0" fontId="45" fillId="39" borderId="146" xfId="0" applyFont="1" applyFill="1" applyBorder="1" applyAlignment="1">
      <alignment horizontal="center" vertical="center"/>
    </xf>
    <xf numFmtId="0" fontId="46" fillId="39" borderId="106" xfId="0" applyFont="1" applyFill="1" applyBorder="1" applyAlignment="1">
      <alignment horizontal="center" vertical="center"/>
    </xf>
    <xf numFmtId="166" fontId="1" fillId="39" borderId="109" xfId="4" applyNumberFormat="1" applyFont="1" applyFill="1" applyBorder="1" applyAlignment="1">
      <alignment horizontal="center" vertical="center"/>
    </xf>
    <xf numFmtId="0" fontId="45" fillId="39" borderId="112" xfId="0" applyFont="1" applyFill="1" applyBorder="1" applyAlignment="1">
      <alignment vertical="center" wrapText="1"/>
    </xf>
    <xf numFmtId="10" fontId="45" fillId="39" borderId="107" xfId="2" applyNumberFormat="1" applyFont="1" applyFill="1" applyBorder="1" applyAlignment="1">
      <alignment horizontal="center" vertical="center" wrapText="1"/>
    </xf>
    <xf numFmtId="10" fontId="45" fillId="40" borderId="114" xfId="2" applyNumberFormat="1" applyFont="1" applyFill="1" applyBorder="1" applyAlignment="1">
      <alignment horizontal="center" vertical="center" wrapText="1"/>
    </xf>
    <xf numFmtId="0" fontId="45" fillId="7" borderId="114" xfId="0" applyFont="1" applyFill="1" applyBorder="1" applyAlignment="1">
      <alignment vertical="center" wrapText="1"/>
    </xf>
    <xf numFmtId="0" fontId="49" fillId="23" borderId="157" xfId="0" applyFont="1" applyFill="1" applyBorder="1" applyAlignment="1">
      <alignment horizontal="left" vertical="center"/>
    </xf>
    <xf numFmtId="0" fontId="45" fillId="23" borderId="87" xfId="0" applyFont="1" applyFill="1" applyBorder="1" applyAlignment="1">
      <alignment horizontal="center" vertical="center"/>
    </xf>
    <xf numFmtId="0" fontId="46" fillId="23" borderId="87" xfId="0" applyFont="1" applyFill="1" applyBorder="1" applyAlignment="1">
      <alignment horizontal="center" vertical="center"/>
    </xf>
    <xf numFmtId="0" fontId="0" fillId="23" borderId="73" xfId="0" applyFill="1" applyBorder="1"/>
    <xf numFmtId="166" fontId="1" fillId="23" borderId="73" xfId="4" applyNumberFormat="1" applyFont="1" applyFill="1" applyBorder="1" applyAlignment="1">
      <alignment horizontal="center" vertical="center"/>
    </xf>
    <xf numFmtId="0" fontId="45" fillId="23" borderId="80" xfId="0" applyFont="1" applyFill="1" applyBorder="1" applyAlignment="1">
      <alignment vertical="center" wrapText="1"/>
    </xf>
    <xf numFmtId="10" fontId="45" fillId="23" borderId="81" xfId="2" applyNumberFormat="1" applyFont="1" applyFill="1" applyBorder="1" applyAlignment="1">
      <alignment horizontal="center" vertical="center" wrapText="1"/>
    </xf>
    <xf numFmtId="10" fontId="45" fillId="24" borderId="43" xfId="2" applyNumberFormat="1" applyFont="1" applyFill="1" applyBorder="1" applyAlignment="1">
      <alignment horizontal="center" vertical="center" wrapText="1"/>
    </xf>
    <xf numFmtId="0" fontId="49" fillId="43" borderId="157" xfId="0" applyFont="1" applyFill="1" applyBorder="1" applyAlignment="1">
      <alignment horizontal="left" vertical="center"/>
    </xf>
    <xf numFmtId="0" fontId="45" fillId="43" borderId="87" xfId="0" applyFont="1" applyFill="1" applyBorder="1" applyAlignment="1">
      <alignment horizontal="center" vertical="center"/>
    </xf>
    <xf numFmtId="0" fontId="46" fillId="43" borderId="87" xfId="0" applyFont="1" applyFill="1" applyBorder="1" applyAlignment="1">
      <alignment horizontal="center" vertical="center"/>
    </xf>
    <xf numFmtId="0" fontId="0" fillId="43" borderId="43" xfId="0" applyFill="1" applyBorder="1"/>
    <xf numFmtId="166" fontId="1" fillId="43" borderId="90" xfId="4" applyNumberFormat="1" applyFont="1" applyFill="1" applyBorder="1" applyAlignment="1">
      <alignment horizontal="center" vertical="center"/>
    </xf>
    <xf numFmtId="0" fontId="45" fillId="43" borderId="80" xfId="0" applyFont="1" applyFill="1" applyBorder="1" applyAlignment="1">
      <alignment vertical="center" wrapText="1"/>
    </xf>
    <xf numFmtId="10" fontId="45" fillId="43" borderId="81" xfId="2" applyNumberFormat="1" applyFont="1" applyFill="1" applyBorder="1" applyAlignment="1">
      <alignment horizontal="center" vertical="center" wrapText="1"/>
    </xf>
    <xf numFmtId="10" fontId="45" fillId="44" borderId="43" xfId="2" applyNumberFormat="1" applyFont="1" applyFill="1" applyBorder="1" applyAlignment="1">
      <alignment horizontal="center" vertical="center" wrapText="1"/>
    </xf>
    <xf numFmtId="166" fontId="1" fillId="23" borderId="90" xfId="4" applyNumberFormat="1" applyFont="1" applyFill="1" applyBorder="1" applyAlignment="1">
      <alignment horizontal="center" vertical="center"/>
    </xf>
    <xf numFmtId="0" fontId="45" fillId="23" borderId="158" xfId="0" applyFont="1" applyFill="1" applyBorder="1" applyAlignment="1">
      <alignment horizontal="center" vertical="center"/>
    </xf>
    <xf numFmtId="0" fontId="49" fillId="43" borderId="166" xfId="0" applyFont="1" applyFill="1" applyBorder="1" applyAlignment="1">
      <alignment horizontal="left" vertical="center"/>
    </xf>
    <xf numFmtId="0" fontId="45" fillId="43" borderId="167" xfId="0" applyFont="1" applyFill="1" applyBorder="1" applyAlignment="1">
      <alignment horizontal="center" vertical="center"/>
    </xf>
    <xf numFmtId="0" fontId="46" fillId="43" borderId="168" xfId="0" applyFont="1" applyFill="1" applyBorder="1" applyAlignment="1">
      <alignment horizontal="center" vertical="center"/>
    </xf>
    <xf numFmtId="166" fontId="1" fillId="43" borderId="109" xfId="4" applyNumberFormat="1" applyFont="1" applyFill="1" applyBorder="1" applyAlignment="1">
      <alignment horizontal="center" vertical="center"/>
    </xf>
    <xf numFmtId="0" fontId="45" fillId="43" borderId="112" xfId="0" applyFont="1" applyFill="1" applyBorder="1" applyAlignment="1">
      <alignment vertical="center" wrapText="1"/>
    </xf>
    <xf numFmtId="10" fontId="45" fillId="43" borderId="107" xfId="2" applyNumberFormat="1" applyFont="1" applyFill="1" applyBorder="1" applyAlignment="1">
      <alignment horizontal="center" vertical="center" wrapText="1"/>
    </xf>
    <xf numFmtId="10" fontId="45" fillId="44" borderId="114" xfId="2" applyNumberFormat="1" applyFont="1" applyFill="1" applyBorder="1" applyAlignment="1">
      <alignment horizontal="center" vertical="center" wrapText="1"/>
    </xf>
    <xf numFmtId="0" fontId="49" fillId="46" borderId="153" xfId="0" applyFont="1" applyFill="1" applyBorder="1" applyAlignment="1">
      <alignment horizontal="left" vertical="center"/>
    </xf>
    <xf numFmtId="0" fontId="45" fillId="46" borderId="169" xfId="0" applyFont="1" applyFill="1" applyBorder="1" applyAlignment="1">
      <alignment horizontal="center" vertical="center"/>
    </xf>
    <xf numFmtId="0" fontId="46" fillId="46" borderId="71" xfId="0" applyFont="1" applyFill="1" applyBorder="1" applyAlignment="1">
      <alignment horizontal="center" vertical="center"/>
    </xf>
    <xf numFmtId="0" fontId="45" fillId="46" borderId="80" xfId="0" applyFont="1" applyFill="1" applyBorder="1" applyAlignment="1">
      <alignment vertical="center" wrapText="1"/>
    </xf>
    <xf numFmtId="10" fontId="45" fillId="46" borderId="81" xfId="2" applyNumberFormat="1" applyFont="1" applyFill="1" applyBorder="1" applyAlignment="1">
      <alignment horizontal="center" vertical="center" wrapText="1"/>
    </xf>
    <xf numFmtId="10" fontId="45" fillId="48" borderId="43" xfId="2" applyNumberFormat="1" applyFont="1" applyFill="1" applyBorder="1" applyAlignment="1">
      <alignment horizontal="center" vertical="center" wrapText="1"/>
    </xf>
    <xf numFmtId="0" fontId="49" fillId="4" borderId="157" xfId="0" applyFont="1" applyFill="1" applyBorder="1" applyAlignment="1">
      <alignment horizontal="left" vertical="center"/>
    </xf>
    <xf numFmtId="0" fontId="45" fillId="4" borderId="158" xfId="0" applyFont="1" applyFill="1" applyBorder="1" applyAlignment="1">
      <alignment horizontal="center" vertical="center"/>
    </xf>
    <xf numFmtId="0" fontId="46" fillId="4" borderId="71" xfId="0" applyFont="1" applyFill="1" applyBorder="1" applyAlignment="1">
      <alignment horizontal="center" vertical="center"/>
    </xf>
    <xf numFmtId="0" fontId="45" fillId="4" borderId="80" xfId="0" applyFont="1" applyFill="1" applyBorder="1" applyAlignment="1">
      <alignment vertical="center" wrapText="1"/>
    </xf>
    <xf numFmtId="10" fontId="45" fillId="4" borderId="81" xfId="2" applyNumberFormat="1" applyFont="1" applyFill="1" applyBorder="1" applyAlignment="1">
      <alignment horizontal="center" vertical="center" wrapText="1"/>
    </xf>
    <xf numFmtId="10" fontId="45" fillId="49" borderId="43" xfId="2" applyNumberFormat="1" applyFont="1" applyFill="1" applyBorder="1" applyAlignment="1">
      <alignment horizontal="center" vertical="center" wrapText="1"/>
    </xf>
    <xf numFmtId="0" fontId="49" fillId="46" borderId="157" xfId="0" applyFont="1" applyFill="1" applyBorder="1" applyAlignment="1">
      <alignment horizontal="left" vertical="center"/>
    </xf>
    <xf numFmtId="0" fontId="45" fillId="46" borderId="87" xfId="0" applyFont="1" applyFill="1" applyBorder="1" applyAlignment="1">
      <alignment horizontal="center" vertical="center"/>
    </xf>
    <xf numFmtId="0" fontId="45" fillId="4" borderId="87" xfId="0" applyFont="1" applyFill="1" applyBorder="1" applyAlignment="1">
      <alignment horizontal="center" vertical="center"/>
    </xf>
    <xf numFmtId="0" fontId="0" fillId="4" borderId="88" xfId="0" applyFill="1" applyBorder="1" applyAlignment="1">
      <alignment vertical="center" wrapText="1"/>
    </xf>
    <xf numFmtId="0" fontId="49" fillId="4" borderId="126" xfId="0" applyFont="1" applyFill="1" applyBorder="1" applyAlignment="1">
      <alignment horizontal="left" vertical="center"/>
    </xf>
    <xf numFmtId="0" fontId="45" fillId="4" borderId="131" xfId="0" applyFont="1" applyFill="1" applyBorder="1" applyAlignment="1">
      <alignment horizontal="center" vertical="center"/>
    </xf>
    <xf numFmtId="0" fontId="46" fillId="4" borderId="170" xfId="0" applyFont="1" applyFill="1" applyBorder="1" applyAlignment="1">
      <alignment horizontal="center" vertical="center"/>
    </xf>
    <xf numFmtId="0" fontId="45" fillId="4" borderId="112" xfId="0" applyFont="1" applyFill="1" applyBorder="1" applyAlignment="1">
      <alignment vertical="center" wrapText="1"/>
    </xf>
    <xf numFmtId="10" fontId="45" fillId="4" borderId="107" xfId="2" applyNumberFormat="1" applyFont="1" applyFill="1" applyBorder="1" applyAlignment="1">
      <alignment horizontal="center" vertical="center" wrapText="1"/>
    </xf>
    <xf numFmtId="10" fontId="45" fillId="49" borderId="114" xfId="2" applyNumberFormat="1" applyFont="1" applyFill="1" applyBorder="1" applyAlignment="1">
      <alignment horizontal="center" vertical="center" wrapText="1"/>
    </xf>
    <xf numFmtId="0" fontId="49" fillId="13" borderId="102" xfId="0" applyFont="1" applyFill="1" applyBorder="1" applyAlignment="1">
      <alignment horizontal="left" vertical="center"/>
    </xf>
    <xf numFmtId="0" fontId="45" fillId="13" borderId="72" xfId="0" applyFont="1" applyFill="1" applyBorder="1" applyAlignment="1">
      <alignment horizontal="center" vertical="center"/>
    </xf>
    <xf numFmtId="0" fontId="46" fillId="13" borderId="171" xfId="0" applyFont="1" applyFill="1" applyBorder="1" applyAlignment="1">
      <alignment horizontal="center" vertical="center"/>
    </xf>
    <xf numFmtId="0" fontId="0" fillId="13" borderId="81" xfId="0" applyFill="1" applyBorder="1" applyAlignment="1">
      <alignment horizontal="center" vertical="center" wrapText="1"/>
    </xf>
    <xf numFmtId="0" fontId="45" fillId="13" borderId="80" xfId="0" applyFont="1" applyFill="1" applyBorder="1" applyAlignment="1">
      <alignment vertical="center" wrapText="1"/>
    </xf>
    <xf numFmtId="10" fontId="45" fillId="13" borderId="81" xfId="2" applyNumberFormat="1" applyFont="1" applyFill="1" applyBorder="1" applyAlignment="1">
      <alignment horizontal="center" vertical="center" wrapText="1"/>
    </xf>
    <xf numFmtId="10" fontId="45" fillId="33" borderId="43" xfId="2" applyNumberFormat="1" applyFont="1" applyFill="1" applyBorder="1" applyAlignment="1">
      <alignment horizontal="center" vertical="center" wrapText="1"/>
    </xf>
    <xf numFmtId="0" fontId="49" fillId="13" borderId="104" xfId="0" applyFont="1" applyFill="1" applyBorder="1" applyAlignment="1">
      <alignment horizontal="left" vertical="center"/>
    </xf>
    <xf numFmtId="0" fontId="45" fillId="13" borderId="132" xfId="0" applyFont="1" applyFill="1" applyBorder="1" applyAlignment="1">
      <alignment horizontal="center" vertical="center"/>
    </xf>
    <xf numFmtId="0" fontId="46" fillId="13" borderId="112" xfId="0" applyFont="1" applyFill="1" applyBorder="1" applyAlignment="1">
      <alignment horizontal="center" vertical="center"/>
    </xf>
    <xf numFmtId="0" fontId="0" fillId="13" borderId="107" xfId="0" applyFill="1" applyBorder="1" applyAlignment="1">
      <alignment horizontal="center" vertical="center" wrapText="1"/>
    </xf>
    <xf numFmtId="0" fontId="45" fillId="13" borderId="112" xfId="0" applyFont="1" applyFill="1" applyBorder="1" applyAlignment="1">
      <alignment vertical="center" wrapText="1"/>
    </xf>
    <xf numFmtId="10" fontId="45" fillId="13" borderId="107" xfId="2" applyNumberFormat="1" applyFont="1" applyFill="1" applyBorder="1" applyAlignment="1">
      <alignment horizontal="center" vertical="center" wrapText="1"/>
    </xf>
    <xf numFmtId="10" fontId="45" fillId="33" borderId="114" xfId="2" applyNumberFormat="1" applyFont="1" applyFill="1" applyBorder="1" applyAlignment="1">
      <alignment horizontal="center" vertical="center" wrapText="1"/>
    </xf>
    <xf numFmtId="0" fontId="49" fillId="50" borderId="102" xfId="0" applyFont="1" applyFill="1" applyBorder="1" applyAlignment="1">
      <alignment horizontal="left" vertical="center"/>
    </xf>
    <xf numFmtId="0" fontId="45" fillId="50" borderId="72" xfId="0" applyFont="1" applyFill="1" applyBorder="1" applyAlignment="1">
      <alignment horizontal="center" vertical="center"/>
    </xf>
    <xf numFmtId="0" fontId="46" fillId="50" borderId="80" xfId="0" applyFont="1" applyFill="1" applyBorder="1" applyAlignment="1">
      <alignment horizontal="center" vertical="center"/>
    </xf>
    <xf numFmtId="0" fontId="0" fillId="50" borderId="81" xfId="0" applyFill="1" applyBorder="1" applyAlignment="1">
      <alignment horizontal="center" vertical="center" wrapText="1"/>
    </xf>
    <xf numFmtId="0" fontId="45" fillId="50" borderId="80" xfId="0" applyFont="1" applyFill="1" applyBorder="1" applyAlignment="1">
      <alignment vertical="center" wrapText="1"/>
    </xf>
    <xf numFmtId="10" fontId="45" fillId="50" borderId="81" xfId="2" applyNumberFormat="1" applyFont="1" applyFill="1" applyBorder="1" applyAlignment="1">
      <alignment horizontal="center" vertical="center" wrapText="1"/>
    </xf>
    <xf numFmtId="10" fontId="45" fillId="51" borderId="43" xfId="2" applyNumberFormat="1" applyFont="1" applyFill="1" applyBorder="1" applyAlignment="1">
      <alignment horizontal="center" vertical="center" wrapText="1"/>
    </xf>
    <xf numFmtId="0" fontId="0" fillId="0" borderId="62" xfId="0" applyBorder="1" applyAlignment="1">
      <alignment horizontal="center" vertical="center" wrapText="1"/>
    </xf>
    <xf numFmtId="0" fontId="49" fillId="50" borderId="126" xfId="0" applyFont="1" applyFill="1" applyBorder="1" applyAlignment="1">
      <alignment horizontal="left" vertical="center"/>
    </xf>
    <xf numFmtId="0" fontId="45" fillId="50" borderId="172" xfId="0" applyFont="1" applyFill="1" applyBorder="1" applyAlignment="1">
      <alignment horizontal="left" vertical="center" wrapText="1"/>
    </xf>
    <xf numFmtId="0" fontId="46" fillId="50" borderId="133" xfId="0" applyFont="1" applyFill="1" applyBorder="1" applyAlignment="1">
      <alignment horizontal="center" vertical="center"/>
    </xf>
    <xf numFmtId="0" fontId="0" fillId="50" borderId="107" xfId="0" applyFill="1" applyBorder="1" applyAlignment="1">
      <alignment horizontal="center" vertical="center" wrapText="1"/>
    </xf>
    <xf numFmtId="0" fontId="45" fillId="50" borderId="133" xfId="0" applyFont="1" applyFill="1" applyBorder="1" applyAlignment="1">
      <alignment vertical="center" wrapText="1"/>
    </xf>
    <xf numFmtId="10" fontId="45" fillId="50" borderId="134" xfId="2" applyNumberFormat="1" applyFont="1" applyFill="1" applyBorder="1" applyAlignment="1">
      <alignment horizontal="center" vertical="center" wrapText="1"/>
    </xf>
    <xf numFmtId="10" fontId="45" fillId="51" borderId="136" xfId="2" applyNumberFormat="1" applyFont="1" applyFill="1" applyBorder="1" applyAlignment="1">
      <alignment horizontal="center" vertical="center" wrapText="1"/>
    </xf>
    <xf numFmtId="0" fontId="45" fillId="7" borderId="136" xfId="0" applyFont="1" applyFill="1" applyBorder="1" applyAlignment="1">
      <alignment vertical="center" wrapText="1"/>
    </xf>
    <xf numFmtId="0" fontId="0" fillId="0" borderId="173" xfId="0" applyBorder="1"/>
    <xf numFmtId="0" fontId="49" fillId="18" borderId="20" xfId="0" applyFont="1" applyFill="1" applyBorder="1" applyAlignment="1">
      <alignment horizontal="left" vertical="center"/>
    </xf>
    <xf numFmtId="0" fontId="45" fillId="18" borderId="23" xfId="0" applyFont="1" applyFill="1" applyBorder="1" applyAlignment="1">
      <alignment horizontal="left" vertical="center" wrapText="1"/>
    </xf>
    <xf numFmtId="0" fontId="46" fillId="18" borderId="79" xfId="0" applyFont="1" applyFill="1" applyBorder="1" applyAlignment="1">
      <alignment horizontal="center" vertical="center"/>
    </xf>
    <xf numFmtId="0" fontId="0" fillId="18" borderId="82" xfId="0" applyFill="1" applyBorder="1" applyAlignment="1">
      <alignment vertical="center" wrapText="1"/>
    </xf>
    <xf numFmtId="10" fontId="0" fillId="18" borderId="21" xfId="0" applyNumberFormat="1" applyFill="1" applyBorder="1"/>
    <xf numFmtId="164" fontId="1" fillId="18" borderId="21" xfId="1" applyNumberFormat="1" applyFont="1" applyFill="1" applyBorder="1"/>
    <xf numFmtId="165" fontId="1" fillId="18" borderId="21" xfId="1" applyNumberFormat="1" applyFont="1" applyFill="1" applyBorder="1"/>
    <xf numFmtId="10" fontId="1" fillId="18" borderId="21" xfId="1" applyNumberFormat="1" applyFont="1" applyFill="1" applyBorder="1"/>
    <xf numFmtId="10" fontId="0" fillId="18" borderId="21" xfId="0" applyNumberFormat="1" applyFill="1" applyBorder="1" applyAlignment="1">
      <alignment horizontal="right"/>
    </xf>
    <xf numFmtId="165" fontId="0" fillId="18" borderId="21" xfId="0" applyNumberFormat="1" applyFill="1" applyBorder="1" applyAlignment="1">
      <alignment wrapText="1"/>
    </xf>
    <xf numFmtId="0" fontId="0" fillId="18" borderId="43" xfId="0" applyFill="1" applyBorder="1" applyAlignment="1">
      <alignment vertical="center"/>
    </xf>
    <xf numFmtId="0" fontId="0" fillId="18" borderId="21" xfId="0" applyFill="1" applyBorder="1" applyAlignment="1">
      <alignment horizontal="center" vertical="center"/>
    </xf>
    <xf numFmtId="0" fontId="0" fillId="18" borderId="21" xfId="0" applyFill="1" applyBorder="1" applyAlignment="1">
      <alignment vertical="center"/>
    </xf>
    <xf numFmtId="166" fontId="1" fillId="18" borderId="21" xfId="5" applyNumberFormat="1" applyFont="1" applyFill="1" applyBorder="1" applyAlignment="1">
      <alignment horizontal="center" vertical="center"/>
    </xf>
    <xf numFmtId="0" fontId="0" fillId="18" borderId="73" xfId="0" applyFill="1" applyBorder="1" applyAlignment="1">
      <alignment vertical="center"/>
    </xf>
    <xf numFmtId="171" fontId="45" fillId="18" borderId="75" xfId="0" applyNumberFormat="1" applyFont="1" applyFill="1" applyBorder="1" applyAlignment="1">
      <alignment vertical="center" wrapText="1"/>
    </xf>
    <xf numFmtId="171" fontId="45" fillId="18" borderId="73" xfId="0" applyNumberFormat="1" applyFont="1" applyFill="1" applyBorder="1" applyAlignment="1">
      <alignment vertical="center" wrapText="1"/>
    </xf>
    <xf numFmtId="171" fontId="2" fillId="18" borderId="76" xfId="0" applyNumberFormat="1" applyFont="1" applyFill="1" applyBorder="1" applyAlignment="1">
      <alignment vertical="center" wrapText="1"/>
    </xf>
    <xf numFmtId="171" fontId="0" fillId="18" borderId="75" xfId="0" applyNumberFormat="1" applyFill="1" applyBorder="1" applyAlignment="1">
      <alignment vertical="center" wrapText="1"/>
    </xf>
    <xf numFmtId="171" fontId="0" fillId="18" borderId="76" xfId="0" applyNumberFormat="1" applyFill="1" applyBorder="1" applyAlignment="1">
      <alignment vertical="center" wrapText="1"/>
    </xf>
    <xf numFmtId="171" fontId="0" fillId="18" borderId="85" xfId="0" applyNumberFormat="1" applyFill="1" applyBorder="1" applyAlignment="1">
      <alignment vertical="center" wrapText="1"/>
    </xf>
    <xf numFmtId="164" fontId="1" fillId="18" borderId="174" xfId="1" applyNumberFormat="1" applyFont="1" applyFill="1" applyBorder="1" applyAlignment="1">
      <alignment vertical="center"/>
    </xf>
    <xf numFmtId="164" fontId="1" fillId="18" borderId="21" xfId="1" applyNumberFormat="1" applyFont="1" applyFill="1" applyBorder="1" applyAlignment="1">
      <alignment vertical="center"/>
    </xf>
    <xf numFmtId="164" fontId="1" fillId="5" borderId="23" xfId="1" applyNumberFormat="1" applyFont="1" applyFill="1" applyBorder="1" applyAlignment="1">
      <alignment vertical="center"/>
    </xf>
    <xf numFmtId="164" fontId="1" fillId="55" borderId="79" xfId="1" applyNumberFormat="1" applyFont="1" applyFill="1" applyBorder="1" applyAlignment="1">
      <alignment vertical="center"/>
    </xf>
    <xf numFmtId="164" fontId="1" fillId="18" borderId="20" xfId="1" applyNumberFormat="1" applyFont="1" applyFill="1" applyBorder="1" applyAlignment="1">
      <alignment vertical="center"/>
    </xf>
    <xf numFmtId="164" fontId="1" fillId="5" borderId="175" xfId="1" applyNumberFormat="1" applyFont="1" applyFill="1" applyBorder="1" applyAlignment="1">
      <alignment vertical="center"/>
    </xf>
    <xf numFmtId="164" fontId="0" fillId="18" borderId="20" xfId="0" applyNumberFormat="1" applyFill="1" applyBorder="1" applyAlignment="1">
      <alignment vertical="center"/>
    </xf>
    <xf numFmtId="164" fontId="0" fillId="18" borderId="21" xfId="0" applyNumberFormat="1" applyFill="1" applyBorder="1" applyAlignment="1">
      <alignment vertical="center"/>
    </xf>
    <xf numFmtId="164" fontId="0" fillId="18" borderId="23" xfId="0" applyNumberFormat="1" applyFill="1" applyBorder="1" applyAlignment="1">
      <alignment vertical="center"/>
    </xf>
    <xf numFmtId="164" fontId="0" fillId="21" borderId="79" xfId="0" applyNumberFormat="1" applyFill="1" applyBorder="1" applyAlignment="1">
      <alignment vertical="center"/>
    </xf>
    <xf numFmtId="0" fontId="45" fillId="18" borderId="20" xfId="0" applyFont="1" applyFill="1" applyBorder="1" applyAlignment="1">
      <alignment vertical="center" wrapText="1"/>
    </xf>
    <xf numFmtId="10" fontId="45" fillId="18" borderId="21" xfId="2" applyNumberFormat="1" applyFont="1" applyFill="1" applyBorder="1" applyAlignment="1">
      <alignment horizontal="center" vertical="center" wrapText="1"/>
    </xf>
    <xf numFmtId="10" fontId="45" fillId="20" borderId="21" xfId="2" applyNumberFormat="1" applyFont="1" applyFill="1" applyBorder="1" applyAlignment="1">
      <alignment horizontal="center" vertical="center" wrapText="1"/>
    </xf>
    <xf numFmtId="0" fontId="45" fillId="7" borderId="0" xfId="0" applyFont="1" applyFill="1" applyAlignment="1">
      <alignment vertical="center" wrapText="1"/>
    </xf>
    <xf numFmtId="10" fontId="0" fillId="56" borderId="0" xfId="0" applyNumberFormat="1" applyFill="1" applyAlignment="1">
      <alignment vertical="center" wrapText="1"/>
    </xf>
    <xf numFmtId="10" fontId="42" fillId="56" borderId="0" xfId="0" applyNumberFormat="1" applyFont="1" applyFill="1" applyAlignment="1">
      <alignment vertical="center" wrapText="1"/>
    </xf>
    <xf numFmtId="10" fontId="42" fillId="56" borderId="0" xfId="1" applyNumberFormat="1" applyFont="1" applyFill="1" applyBorder="1" applyAlignment="1">
      <alignment vertical="center" wrapText="1"/>
    </xf>
    <xf numFmtId="0" fontId="45" fillId="18" borderId="43" xfId="0" applyFont="1" applyFill="1" applyBorder="1" applyAlignment="1">
      <alignment horizontal="center" vertical="center" wrapText="1"/>
    </xf>
    <xf numFmtId="0" fontId="49" fillId="19" borderId="50" xfId="0" applyFont="1" applyFill="1" applyBorder="1" applyAlignment="1">
      <alignment horizontal="left" vertical="center"/>
    </xf>
    <xf numFmtId="0" fontId="45" fillId="19" borderId="53" xfId="0" applyFont="1" applyFill="1" applyBorder="1" applyAlignment="1">
      <alignment horizontal="left" vertical="center" wrapText="1"/>
    </xf>
    <xf numFmtId="0" fontId="46" fillId="19" borderId="176" xfId="0" applyFont="1" applyFill="1" applyBorder="1" applyAlignment="1">
      <alignment horizontal="center" vertical="center"/>
    </xf>
    <xf numFmtId="0" fontId="0" fillId="19" borderId="82" xfId="0" applyFill="1" applyBorder="1" applyAlignment="1">
      <alignment vertical="center" wrapText="1"/>
    </xf>
    <xf numFmtId="0" fontId="0" fillId="19" borderId="46" xfId="0" applyFill="1" applyBorder="1" applyAlignment="1">
      <alignment horizontal="right" vertical="center" wrapText="1"/>
    </xf>
    <xf numFmtId="10" fontId="0" fillId="19" borderId="46" xfId="0" applyNumberFormat="1" applyFill="1" applyBorder="1"/>
    <xf numFmtId="164" fontId="1" fillId="19" borderId="46" xfId="1" applyNumberFormat="1" applyFont="1" applyFill="1" applyBorder="1"/>
    <xf numFmtId="165" fontId="1" fillId="19" borderId="46" xfId="1" applyNumberFormat="1" applyFont="1" applyFill="1" applyBorder="1"/>
    <xf numFmtId="10" fontId="1" fillId="19" borderId="46" xfId="1" applyNumberFormat="1" applyFont="1" applyFill="1" applyBorder="1"/>
    <xf numFmtId="10" fontId="0" fillId="19" borderId="46" xfId="0" applyNumberFormat="1" applyFill="1" applyBorder="1" applyAlignment="1">
      <alignment horizontal="right"/>
    </xf>
    <xf numFmtId="165" fontId="0" fillId="19" borderId="46" xfId="0" applyNumberFormat="1" applyFill="1" applyBorder="1" applyAlignment="1">
      <alignment wrapText="1"/>
    </xf>
    <xf numFmtId="0" fontId="0" fillId="19" borderId="43" xfId="0" applyFill="1" applyBorder="1"/>
    <xf numFmtId="0" fontId="0" fillId="19" borderId="46" xfId="0" applyFill="1" applyBorder="1" applyAlignment="1">
      <alignment horizontal="center" vertical="center"/>
    </xf>
    <xf numFmtId="0" fontId="0" fillId="19" borderId="46" xfId="0" applyFill="1" applyBorder="1" applyAlignment="1">
      <alignment vertical="center"/>
    </xf>
    <xf numFmtId="0" fontId="0" fillId="19" borderId="46" xfId="0" applyFill="1" applyBorder="1" applyAlignment="1">
      <alignment vertical="center" wrapText="1"/>
    </xf>
    <xf numFmtId="166" fontId="1" fillId="19" borderId="46" xfId="5" applyNumberFormat="1" applyFont="1" applyFill="1" applyBorder="1" applyAlignment="1">
      <alignment horizontal="center" vertical="center"/>
    </xf>
    <xf numFmtId="0" fontId="0" fillId="19" borderId="90" xfId="0" applyFill="1" applyBorder="1" applyAlignment="1">
      <alignment vertical="center"/>
    </xf>
    <xf numFmtId="171" fontId="45" fillId="19" borderId="91" xfId="0" applyNumberFormat="1" applyFont="1" applyFill="1" applyBorder="1" applyAlignment="1">
      <alignment vertical="center" wrapText="1"/>
    </xf>
    <xf numFmtId="171" fontId="45" fillId="19" borderId="90" xfId="0" applyNumberFormat="1" applyFont="1" applyFill="1" applyBorder="1" applyAlignment="1">
      <alignment vertical="center" wrapText="1"/>
    </xf>
    <xf numFmtId="171" fontId="2" fillId="19" borderId="92" xfId="0" applyNumberFormat="1" applyFont="1" applyFill="1" applyBorder="1" applyAlignment="1">
      <alignment vertical="center" wrapText="1"/>
    </xf>
    <xf numFmtId="171" fontId="0" fillId="19" borderId="91" xfId="0" applyNumberFormat="1" applyFill="1" applyBorder="1" applyAlignment="1">
      <alignment vertical="center" wrapText="1"/>
    </xf>
    <xf numFmtId="171" fontId="0" fillId="19" borderId="92" xfId="0" applyNumberFormat="1" applyFill="1" applyBorder="1" applyAlignment="1">
      <alignment vertical="center" wrapText="1"/>
    </xf>
    <xf numFmtId="171" fontId="0" fillId="19" borderId="96" xfId="0" applyNumberFormat="1" applyFill="1" applyBorder="1" applyAlignment="1">
      <alignment vertical="center" wrapText="1"/>
    </xf>
    <xf numFmtId="164" fontId="1" fillId="19" borderId="177" xfId="1" applyNumberFormat="1" applyFont="1" applyFill="1" applyBorder="1" applyAlignment="1">
      <alignment vertical="center"/>
    </xf>
    <xf numFmtId="164" fontId="1" fillId="19" borderId="46" xfId="1" applyNumberFormat="1" applyFont="1" applyFill="1" applyBorder="1" applyAlignment="1">
      <alignment vertical="center"/>
    </xf>
    <xf numFmtId="164" fontId="1" fillId="5" borderId="53" xfId="1" applyNumberFormat="1" applyFont="1" applyFill="1" applyBorder="1" applyAlignment="1">
      <alignment vertical="center"/>
    </xf>
    <xf numFmtId="164" fontId="1" fillId="55" borderId="176" xfId="1" applyNumberFormat="1" applyFont="1" applyFill="1" applyBorder="1" applyAlignment="1">
      <alignment vertical="center"/>
    </xf>
    <xf numFmtId="164" fontId="1" fillId="19" borderId="50" xfId="1" applyNumberFormat="1" applyFont="1" applyFill="1" applyBorder="1" applyAlignment="1">
      <alignment vertical="center"/>
    </xf>
    <xf numFmtId="164" fontId="1" fillId="5" borderId="178" xfId="1" applyNumberFormat="1" applyFont="1" applyFill="1" applyBorder="1" applyAlignment="1">
      <alignment vertical="center"/>
    </xf>
    <xf numFmtId="164" fontId="0" fillId="19" borderId="50" xfId="0" applyNumberFormat="1" applyFill="1" applyBorder="1" applyAlignment="1">
      <alignment vertical="center"/>
    </xf>
    <xf numFmtId="164" fontId="0" fillId="19" borderId="46" xfId="0" applyNumberFormat="1" applyFill="1" applyBorder="1" applyAlignment="1">
      <alignment vertical="center"/>
    </xf>
    <xf numFmtId="164" fontId="0" fillId="19" borderId="53" xfId="0" applyNumberFormat="1" applyFill="1" applyBorder="1" applyAlignment="1">
      <alignment vertical="center"/>
    </xf>
    <xf numFmtId="164" fontId="0" fillId="21" borderId="176" xfId="0" applyNumberFormat="1" applyFill="1" applyBorder="1" applyAlignment="1">
      <alignment vertical="center"/>
    </xf>
    <xf numFmtId="0" fontId="45" fillId="19" borderId="50" xfId="0" applyFont="1" applyFill="1" applyBorder="1" applyAlignment="1">
      <alignment vertical="center" wrapText="1"/>
    </xf>
    <xf numFmtId="10" fontId="45" fillId="19" borderId="46" xfId="2" applyNumberFormat="1" applyFont="1" applyFill="1" applyBorder="1" applyAlignment="1">
      <alignment horizontal="center" vertical="center" wrapText="1"/>
    </xf>
    <xf numFmtId="10" fontId="45" fillId="57" borderId="46" xfId="2" applyNumberFormat="1" applyFont="1" applyFill="1" applyBorder="1" applyAlignment="1">
      <alignment horizontal="center" vertical="center" wrapText="1"/>
    </xf>
    <xf numFmtId="0" fontId="45" fillId="19" borderId="43" xfId="0" applyFont="1" applyFill="1" applyBorder="1" applyAlignment="1">
      <alignment horizontal="center" vertical="center" wrapText="1"/>
    </xf>
    <xf numFmtId="0" fontId="49" fillId="18" borderId="61" xfId="0" applyFont="1" applyFill="1" applyBorder="1" applyAlignment="1">
      <alignment horizontal="left" vertical="center"/>
    </xf>
    <xf numFmtId="0" fontId="45" fillId="18" borderId="62" xfId="0" applyFont="1" applyFill="1" applyBorder="1" applyAlignment="1">
      <alignment horizontal="left" vertical="center" wrapText="1"/>
    </xf>
    <xf numFmtId="0" fontId="46" fillId="18" borderId="152" xfId="0" applyFont="1" applyFill="1" applyBorder="1" applyAlignment="1">
      <alignment horizontal="center" vertical="center"/>
    </xf>
    <xf numFmtId="0" fontId="0" fillId="18" borderId="36" xfId="0" applyFill="1" applyBorder="1" applyAlignment="1">
      <alignment vertical="center" wrapText="1"/>
    </xf>
    <xf numFmtId="10" fontId="0" fillId="18" borderId="32" xfId="0" applyNumberFormat="1" applyFill="1" applyBorder="1"/>
    <xf numFmtId="164" fontId="1" fillId="18" borderId="32" xfId="1" applyNumberFormat="1" applyFont="1" applyFill="1" applyBorder="1"/>
    <xf numFmtId="165" fontId="1" fillId="18" borderId="32" xfId="1" applyNumberFormat="1" applyFont="1" applyFill="1" applyBorder="1"/>
    <xf numFmtId="10" fontId="1" fillId="18" borderId="32" xfId="1" applyNumberFormat="1" applyFont="1" applyFill="1" applyBorder="1"/>
    <xf numFmtId="10" fontId="0" fillId="18" borderId="32" xfId="0" applyNumberFormat="1" applyFill="1" applyBorder="1" applyAlignment="1">
      <alignment horizontal="right"/>
    </xf>
    <xf numFmtId="165" fontId="0" fillId="18" borderId="32" xfId="0" applyNumberFormat="1" applyFill="1" applyBorder="1" applyAlignment="1">
      <alignment wrapText="1"/>
    </xf>
    <xf numFmtId="0" fontId="0" fillId="18" borderId="27" xfId="0" applyFill="1" applyBorder="1"/>
    <xf numFmtId="0" fontId="0" fillId="18" borderId="32" xfId="0" applyFill="1" applyBorder="1" applyAlignment="1">
      <alignment horizontal="center" vertical="center"/>
    </xf>
    <xf numFmtId="0" fontId="0" fillId="18" borderId="32" xfId="0" applyFill="1" applyBorder="1" applyAlignment="1">
      <alignment vertical="center"/>
    </xf>
    <xf numFmtId="166" fontId="1" fillId="18" borderId="32" xfId="5" applyNumberFormat="1" applyFont="1" applyFill="1" applyBorder="1" applyAlignment="1">
      <alignment horizontal="center" vertical="center"/>
    </xf>
    <xf numFmtId="0" fontId="0" fillId="18" borderId="138" xfId="0" applyFill="1" applyBorder="1" applyAlignment="1">
      <alignment vertical="center"/>
    </xf>
    <xf numFmtId="171" fontId="45" fillId="18" borderId="137" xfId="0" applyNumberFormat="1" applyFont="1" applyFill="1" applyBorder="1" applyAlignment="1">
      <alignment vertical="center" wrapText="1"/>
    </xf>
    <xf numFmtId="171" fontId="45" fillId="18" borderId="138" xfId="0" applyNumberFormat="1" applyFont="1" applyFill="1" applyBorder="1" applyAlignment="1">
      <alignment vertical="center" wrapText="1"/>
    </xf>
    <xf numFmtId="171" fontId="2" fillId="18" borderId="179" xfId="0" applyNumberFormat="1" applyFont="1" applyFill="1" applyBorder="1" applyAlignment="1">
      <alignment vertical="center" wrapText="1"/>
    </xf>
    <xf numFmtId="171" fontId="0" fillId="18" borderId="137" xfId="0" applyNumberFormat="1" applyFill="1" applyBorder="1" applyAlignment="1">
      <alignment vertical="center" wrapText="1"/>
    </xf>
    <xf numFmtId="171" fontId="0" fillId="18" borderId="179" xfId="0" applyNumberFormat="1" applyFill="1" applyBorder="1" applyAlignment="1">
      <alignment vertical="center" wrapText="1"/>
    </xf>
    <xf numFmtId="171" fontId="0" fillId="18" borderId="147" xfId="0" applyNumberFormat="1" applyFill="1" applyBorder="1" applyAlignment="1">
      <alignment vertical="center" wrapText="1"/>
    </xf>
    <xf numFmtId="164" fontId="1" fillId="18" borderId="180" xfId="1" applyNumberFormat="1" applyFont="1" applyFill="1" applyBorder="1" applyAlignment="1">
      <alignment vertical="center"/>
    </xf>
    <xf numFmtId="164" fontId="1" fillId="18" borderId="32" xfId="1" applyNumberFormat="1" applyFont="1" applyFill="1" applyBorder="1" applyAlignment="1">
      <alignment vertical="center"/>
    </xf>
    <xf numFmtId="164" fontId="1" fillId="5" borderId="62" xfId="1" applyNumberFormat="1" applyFont="1" applyFill="1" applyBorder="1" applyAlignment="1">
      <alignment vertical="center"/>
    </xf>
    <xf numFmtId="164" fontId="1" fillId="55" borderId="152" xfId="1" applyNumberFormat="1" applyFont="1" applyFill="1" applyBorder="1" applyAlignment="1">
      <alignment vertical="center"/>
    </xf>
    <xf numFmtId="164" fontId="1" fillId="18" borderId="61" xfId="1" applyNumberFormat="1" applyFont="1" applyFill="1" applyBorder="1" applyAlignment="1">
      <alignment vertical="center"/>
    </xf>
    <xf numFmtId="164" fontId="1" fillId="5" borderId="181" xfId="1" applyNumberFormat="1" applyFont="1" applyFill="1" applyBorder="1" applyAlignment="1">
      <alignment vertical="center"/>
    </xf>
    <xf numFmtId="164" fontId="0" fillId="18" borderId="61" xfId="0" applyNumberFormat="1" applyFill="1" applyBorder="1" applyAlignment="1">
      <alignment vertical="center"/>
    </xf>
    <xf numFmtId="164" fontId="0" fillId="18" borderId="32" xfId="0" applyNumberFormat="1" applyFill="1" applyBorder="1" applyAlignment="1">
      <alignment vertical="center"/>
    </xf>
    <xf numFmtId="164" fontId="0" fillId="18" borderId="62" xfId="0" applyNumberFormat="1" applyFill="1" applyBorder="1" applyAlignment="1">
      <alignment vertical="center"/>
    </xf>
    <xf numFmtId="164" fontId="0" fillId="21" borderId="152" xfId="0" applyNumberFormat="1" applyFill="1" applyBorder="1" applyAlignment="1">
      <alignment vertical="center"/>
    </xf>
    <xf numFmtId="0" fontId="45" fillId="18" borderId="61" xfId="0" applyFont="1" applyFill="1" applyBorder="1" applyAlignment="1">
      <alignment vertical="center" wrapText="1"/>
    </xf>
    <xf numFmtId="10" fontId="45" fillId="18" borderId="32" xfId="2" applyNumberFormat="1" applyFont="1" applyFill="1" applyBorder="1" applyAlignment="1">
      <alignment horizontal="center" vertical="center" wrapText="1"/>
    </xf>
    <xf numFmtId="10" fontId="45" fillId="20" borderId="32" xfId="2" applyNumberFormat="1" applyFont="1" applyFill="1" applyBorder="1" applyAlignment="1">
      <alignment horizontal="center" vertical="center" wrapText="1"/>
    </xf>
    <xf numFmtId="10" fontId="0" fillId="56" borderId="10" xfId="0" applyNumberFormat="1" applyFill="1" applyBorder="1" applyAlignment="1">
      <alignment vertical="center" wrapText="1"/>
    </xf>
    <xf numFmtId="10" fontId="42" fillId="56" borderId="10" xfId="0" applyNumberFormat="1" applyFont="1" applyFill="1" applyBorder="1" applyAlignment="1">
      <alignment vertical="center" wrapText="1"/>
    </xf>
    <xf numFmtId="10" fontId="42" fillId="56" borderId="10" xfId="1" applyNumberFormat="1" applyFont="1" applyFill="1" applyBorder="1" applyAlignment="1">
      <alignment vertical="center" wrapText="1"/>
    </xf>
    <xf numFmtId="10" fontId="0" fillId="56" borderId="36" xfId="0" applyNumberFormat="1" applyFill="1" applyBorder="1" applyAlignment="1">
      <alignment vertical="center" wrapText="1"/>
    </xf>
    <xf numFmtId="0" fontId="45" fillId="18" borderId="27" xfId="0" applyFont="1" applyFill="1" applyBorder="1" applyAlignment="1">
      <alignment horizontal="center" vertical="center" wrapText="1"/>
    </xf>
    <xf numFmtId="0" fontId="2" fillId="21" borderId="12" xfId="0" applyFont="1" applyFill="1" applyBorder="1" applyAlignment="1">
      <alignment horizontal="center" vertical="center" wrapText="1"/>
    </xf>
    <xf numFmtId="0" fontId="2" fillId="21" borderId="1" xfId="0" applyFont="1" applyFill="1" applyBorder="1" applyAlignment="1">
      <alignment horizontal="center" vertical="center" wrapText="1"/>
    </xf>
    <xf numFmtId="0" fontId="2" fillId="21" borderId="14" xfId="0" applyFont="1" applyFill="1" applyBorder="1" applyAlignment="1">
      <alignment horizontal="center" vertical="center" wrapText="1"/>
    </xf>
    <xf numFmtId="0" fontId="0" fillId="0" borderId="21" xfId="0" applyBorder="1" applyAlignment="1">
      <alignment horizontal="center"/>
    </xf>
    <xf numFmtId="0" fontId="0" fillId="0" borderId="20" xfId="0" applyBorder="1"/>
    <xf numFmtId="0" fontId="0" fillId="0" borderId="23" xfId="0" applyBorder="1"/>
    <xf numFmtId="0" fontId="33" fillId="0" borderId="79" xfId="0" applyFont="1" applyBorder="1" applyAlignment="1">
      <alignment horizontal="center"/>
    </xf>
    <xf numFmtId="0" fontId="0" fillId="12" borderId="20" xfId="0" applyFill="1" applyBorder="1" applyAlignment="1">
      <alignment wrapText="1"/>
    </xf>
    <xf numFmtId="0" fontId="0" fillId="0" borderId="21" xfId="0" applyBorder="1" applyAlignment="1">
      <alignment horizontal="center" vertical="center"/>
    </xf>
    <xf numFmtId="172" fontId="1" fillId="31" borderId="182" xfId="1" applyNumberFormat="1" applyFont="1" applyFill="1" applyBorder="1" applyAlignment="1">
      <alignment horizontal="center"/>
    </xf>
    <xf numFmtId="165" fontId="1" fillId="31" borderId="182" xfId="1" applyNumberFormat="1" applyFont="1" applyFill="1" applyBorder="1" applyAlignment="1">
      <alignment horizontal="center"/>
    </xf>
    <xf numFmtId="0" fontId="0" fillId="0" borderId="21" xfId="0" applyBorder="1"/>
    <xf numFmtId="10" fontId="1" fillId="31" borderId="182" xfId="1" applyNumberFormat="1" applyFont="1" applyFill="1" applyBorder="1" applyAlignment="1">
      <alignment horizontal="center"/>
    </xf>
    <xf numFmtId="10" fontId="1" fillId="0" borderId="21" xfId="2" applyNumberFormat="1" applyFont="1" applyBorder="1"/>
    <xf numFmtId="9" fontId="0" fillId="0" borderId="21" xfId="0" applyNumberFormat="1" applyBorder="1"/>
    <xf numFmtId="0" fontId="0" fillId="0" borderId="21" xfId="0" applyBorder="1" applyAlignment="1">
      <alignment wrapText="1"/>
    </xf>
    <xf numFmtId="173" fontId="0" fillId="0" borderId="21" xfId="0" applyNumberFormat="1" applyBorder="1"/>
    <xf numFmtId="2" fontId="0" fillId="0" borderId="21" xfId="0" applyNumberFormat="1" applyBorder="1"/>
    <xf numFmtId="2" fontId="0" fillId="0" borderId="183" xfId="0" applyNumberFormat="1" applyBorder="1"/>
    <xf numFmtId="2" fontId="0" fillId="0" borderId="20" xfId="0" applyNumberFormat="1" applyBorder="1"/>
    <xf numFmtId="2" fontId="0" fillId="0" borderId="23" xfId="0" applyNumberFormat="1" applyBorder="1"/>
    <xf numFmtId="10" fontId="1" fillId="0" borderId="184" xfId="2" applyNumberFormat="1" applyFont="1" applyBorder="1"/>
    <xf numFmtId="10" fontId="0" fillId="5" borderId="23" xfId="0" applyNumberFormat="1" applyFill="1" applyBorder="1"/>
    <xf numFmtId="10" fontId="1" fillId="55" borderId="79" xfId="2" applyNumberFormat="1" applyFont="1" applyFill="1" applyBorder="1"/>
    <xf numFmtId="10" fontId="1" fillId="0" borderId="20" xfId="2" applyNumberFormat="1" applyFont="1" applyBorder="1"/>
    <xf numFmtId="10" fontId="0" fillId="5" borderId="175" xfId="0" applyNumberFormat="1" applyFill="1" applyBorder="1"/>
    <xf numFmtId="10" fontId="1" fillId="0" borderId="23" xfId="2" applyNumberFormat="1" applyFont="1" applyBorder="1"/>
    <xf numFmtId="10" fontId="0" fillId="21" borderId="79" xfId="0" applyNumberFormat="1" applyFill="1" applyBorder="1"/>
    <xf numFmtId="10" fontId="0" fillId="55" borderId="79" xfId="0" applyNumberFormat="1" applyFill="1" applyBorder="1"/>
    <xf numFmtId="10" fontId="1" fillId="0" borderId="185" xfId="2" applyNumberFormat="1" applyFont="1" applyBorder="1"/>
    <xf numFmtId="10" fontId="1" fillId="56" borderId="186" xfId="2" applyNumberFormat="1" applyFont="1" applyFill="1" applyBorder="1"/>
    <xf numFmtId="0" fontId="0" fillId="56" borderId="0" xfId="0" applyFill="1"/>
    <xf numFmtId="0" fontId="0" fillId="56" borderId="187" xfId="0" applyFill="1" applyBorder="1"/>
    <xf numFmtId="0" fontId="0" fillId="12" borderId="40" xfId="0" applyFill="1" applyBorder="1"/>
    <xf numFmtId="172" fontId="1" fillId="12" borderId="187" xfId="1" applyNumberFormat="1" applyFont="1" applyFill="1" applyBorder="1" applyAlignment="1">
      <alignment horizontal="center"/>
    </xf>
    <xf numFmtId="172" fontId="1" fillId="12" borderId="41" xfId="1" applyNumberFormat="1" applyFont="1" applyFill="1" applyBorder="1" applyAlignment="1">
      <alignment horizontal="center"/>
    </xf>
    <xf numFmtId="0" fontId="0" fillId="0" borderId="46" xfId="0" applyBorder="1" applyAlignment="1">
      <alignment horizontal="center"/>
    </xf>
    <xf numFmtId="0" fontId="0" fillId="0" borderId="50" xfId="0" applyBorder="1"/>
    <xf numFmtId="0" fontId="0" fillId="0" borderId="53" xfId="0" applyBorder="1"/>
    <xf numFmtId="0" fontId="33" fillId="0" borderId="176" xfId="0" applyFont="1" applyBorder="1" applyAlignment="1">
      <alignment horizontal="center"/>
    </xf>
    <xf numFmtId="0" fontId="0" fillId="12" borderId="50" xfId="0" applyFill="1" applyBorder="1" applyAlignment="1">
      <alignment wrapText="1"/>
    </xf>
    <xf numFmtId="0" fontId="0" fillId="0" borderId="46" xfId="0" applyBorder="1" applyAlignment="1">
      <alignment horizontal="center" vertical="center"/>
    </xf>
    <xf numFmtId="172" fontId="1" fillId="31" borderId="46" xfId="1" applyNumberFormat="1" applyFont="1" applyFill="1" applyBorder="1" applyAlignment="1">
      <alignment horizontal="center"/>
    </xf>
    <xf numFmtId="165" fontId="1" fillId="31" borderId="46" xfId="1" applyNumberFormat="1" applyFont="1" applyFill="1" applyBorder="1" applyAlignment="1">
      <alignment horizontal="center"/>
    </xf>
    <xf numFmtId="0" fontId="0" fillId="0" borderId="46" xfId="0" applyBorder="1"/>
    <xf numFmtId="10" fontId="1" fillId="31" borderId="46" xfId="1" applyNumberFormat="1" applyFont="1" applyFill="1" applyBorder="1" applyAlignment="1">
      <alignment horizontal="center"/>
    </xf>
    <xf numFmtId="9" fontId="0" fillId="0" borderId="46" xfId="0" applyNumberFormat="1" applyBorder="1"/>
    <xf numFmtId="0" fontId="0" fillId="0" borderId="46" xfId="0" applyBorder="1" applyAlignment="1">
      <alignment wrapText="1"/>
    </xf>
    <xf numFmtId="173" fontId="0" fillId="0" borderId="46" xfId="0" applyNumberFormat="1" applyBorder="1"/>
    <xf numFmtId="2" fontId="0" fillId="0" borderId="46" xfId="0" applyNumberFormat="1" applyBorder="1"/>
    <xf numFmtId="2" fontId="0" fillId="0" borderId="188" xfId="0" applyNumberFormat="1" applyBorder="1"/>
    <xf numFmtId="2" fontId="0" fillId="0" borderId="50" xfId="0" applyNumberFormat="1" applyBorder="1"/>
    <xf numFmtId="2" fontId="0" fillId="0" borderId="178" xfId="0" applyNumberFormat="1" applyBorder="1"/>
    <xf numFmtId="10" fontId="1" fillId="0" borderId="50" xfId="2" applyNumberFormat="1" applyFont="1" applyBorder="1"/>
    <xf numFmtId="10" fontId="1" fillId="0" borderId="46" xfId="2" applyNumberFormat="1" applyFont="1" applyBorder="1"/>
    <xf numFmtId="10" fontId="0" fillId="5" borderId="53" xfId="0" applyNumberFormat="1" applyFill="1" applyBorder="1"/>
    <xf numFmtId="10" fontId="1" fillId="55" borderId="176" xfId="2" applyNumberFormat="1" applyFont="1" applyFill="1" applyBorder="1"/>
    <xf numFmtId="10" fontId="0" fillId="5" borderId="178" xfId="0" applyNumberFormat="1" applyFill="1" applyBorder="1"/>
    <xf numFmtId="10" fontId="1" fillId="0" borderId="53" xfId="2" applyNumberFormat="1" applyFont="1" applyBorder="1"/>
    <xf numFmtId="10" fontId="0" fillId="21" borderId="176" xfId="0" applyNumberFormat="1" applyFill="1" applyBorder="1"/>
    <xf numFmtId="10" fontId="0" fillId="55" borderId="176" xfId="0" applyNumberFormat="1" applyFill="1" applyBorder="1"/>
    <xf numFmtId="10" fontId="1" fillId="0" borderId="189" xfId="2" applyNumberFormat="1" applyFont="1" applyBorder="1"/>
    <xf numFmtId="10" fontId="1" fillId="56" borderId="190" xfId="2" applyNumberFormat="1" applyFont="1" applyFill="1" applyBorder="1"/>
    <xf numFmtId="0" fontId="0" fillId="56" borderId="182" xfId="0" applyFill="1" applyBorder="1"/>
    <xf numFmtId="0" fontId="0" fillId="12" borderId="47" xfId="0" applyFill="1" applyBorder="1"/>
    <xf numFmtId="172" fontId="1" fillId="12" borderId="46" xfId="1" applyNumberFormat="1" applyFont="1" applyFill="1" applyBorder="1" applyAlignment="1">
      <alignment horizontal="center"/>
    </xf>
    <xf numFmtId="172" fontId="1" fillId="12" borderId="191" xfId="1" applyNumberFormat="1" applyFont="1" applyFill="1" applyBorder="1" applyAlignment="1">
      <alignment horizontal="center"/>
    </xf>
    <xf numFmtId="172" fontId="1" fillId="12" borderId="57" xfId="1" applyNumberFormat="1" applyFont="1" applyFill="1" applyBorder="1" applyAlignment="1">
      <alignment horizontal="center"/>
    </xf>
    <xf numFmtId="172" fontId="1" fillId="12" borderId="55" xfId="1" applyNumberFormat="1" applyFont="1" applyFill="1" applyBorder="1" applyAlignment="1">
      <alignment horizontal="center"/>
    </xf>
    <xf numFmtId="0" fontId="0" fillId="12" borderId="182" xfId="0" applyFill="1" applyBorder="1" applyAlignment="1">
      <alignment wrapText="1"/>
    </xf>
    <xf numFmtId="10" fontId="1" fillId="56" borderId="0" xfId="2" applyNumberFormat="1" applyFont="1" applyFill="1" applyBorder="1"/>
    <xf numFmtId="0" fontId="0" fillId="12" borderId="192" xfId="0" applyFill="1" applyBorder="1"/>
    <xf numFmtId="0" fontId="0" fillId="0" borderId="32" xfId="0" applyBorder="1" applyAlignment="1">
      <alignment horizontal="center"/>
    </xf>
    <xf numFmtId="0" fontId="0" fillId="12" borderId="61" xfId="0" applyFill="1" applyBorder="1"/>
    <xf numFmtId="0" fontId="0" fillId="12" borderId="62" xfId="0" applyFill="1" applyBorder="1"/>
    <xf numFmtId="0" fontId="33" fillId="12" borderId="152" xfId="0" applyFont="1" applyFill="1" applyBorder="1" applyAlignment="1">
      <alignment horizontal="center"/>
    </xf>
    <xf numFmtId="0" fontId="0" fillId="12" borderId="61" xfId="0" applyFill="1" applyBorder="1" applyAlignment="1">
      <alignment horizontal="center" wrapText="1"/>
    </xf>
    <xf numFmtId="0" fontId="0" fillId="12" borderId="32" xfId="0" applyFill="1" applyBorder="1" applyAlignment="1">
      <alignment horizontal="center" vertical="center"/>
    </xf>
    <xf numFmtId="172" fontId="1" fillId="12" borderId="32" xfId="1" applyNumberFormat="1" applyFont="1" applyFill="1" applyBorder="1" applyAlignment="1">
      <alignment horizontal="center"/>
    </xf>
    <xf numFmtId="165" fontId="1" fillId="12" borderId="32" xfId="1" applyNumberFormat="1" applyFont="1" applyFill="1" applyBorder="1" applyAlignment="1">
      <alignment horizontal="center"/>
    </xf>
    <xf numFmtId="0" fontId="0" fillId="12" borderId="32" xfId="0" applyFill="1" applyBorder="1"/>
    <xf numFmtId="10" fontId="1" fillId="12" borderId="32" xfId="1" applyNumberFormat="1" applyFont="1" applyFill="1" applyBorder="1" applyAlignment="1">
      <alignment horizontal="center"/>
    </xf>
    <xf numFmtId="10" fontId="1" fillId="12" borderId="32" xfId="2" applyNumberFormat="1" applyFont="1" applyFill="1" applyBorder="1"/>
    <xf numFmtId="9" fontId="0" fillId="12" borderId="32" xfId="0" applyNumberFormat="1" applyFill="1" applyBorder="1"/>
    <xf numFmtId="0" fontId="0" fillId="12" borderId="32" xfId="0" applyFill="1" applyBorder="1" applyAlignment="1">
      <alignment horizontal="center"/>
    </xf>
    <xf numFmtId="0" fontId="0" fillId="12" borderId="32" xfId="0" applyFill="1" applyBorder="1" applyAlignment="1">
      <alignment wrapText="1"/>
    </xf>
    <xf numFmtId="173" fontId="0" fillId="12" borderId="32" xfId="0" applyNumberFormat="1" applyFill="1" applyBorder="1"/>
    <xf numFmtId="2" fontId="0" fillId="12" borderId="32" xfId="0" applyNumberFormat="1" applyFill="1" applyBorder="1"/>
    <xf numFmtId="2" fontId="0" fillId="12" borderId="148" xfId="0" applyNumberFormat="1" applyFill="1" applyBorder="1"/>
    <xf numFmtId="2" fontId="0" fillId="12" borderId="61" xfId="0" applyNumberFormat="1" applyFill="1" applyBorder="1"/>
    <xf numFmtId="2" fontId="0" fillId="12" borderId="181" xfId="0" applyNumberFormat="1" applyFill="1" applyBorder="1"/>
    <xf numFmtId="10" fontId="1" fillId="12" borderId="61" xfId="2" applyNumberFormat="1" applyFont="1" applyFill="1" applyBorder="1"/>
    <xf numFmtId="10" fontId="0" fillId="5" borderId="62" xfId="0" applyNumberFormat="1" applyFill="1" applyBorder="1"/>
    <xf numFmtId="10" fontId="1" fillId="55" borderId="152" xfId="2" applyNumberFormat="1" applyFont="1" applyFill="1" applyBorder="1"/>
    <xf numFmtId="10" fontId="0" fillId="5" borderId="181" xfId="0" applyNumberFormat="1" applyFill="1" applyBorder="1"/>
    <xf numFmtId="10" fontId="1" fillId="12" borderId="62" xfId="2" applyNumberFormat="1" applyFont="1" applyFill="1" applyBorder="1"/>
    <xf numFmtId="10" fontId="0" fillId="21" borderId="152" xfId="0" applyNumberFormat="1" applyFill="1" applyBorder="1"/>
    <xf numFmtId="10" fontId="0" fillId="55" borderId="152" xfId="0" applyNumberFormat="1" applyFill="1" applyBorder="1"/>
    <xf numFmtId="10" fontId="1" fillId="0" borderId="193" xfId="2" applyNumberFormat="1" applyFont="1" applyBorder="1"/>
    <xf numFmtId="10" fontId="1" fillId="56" borderId="194" xfId="2" applyNumberFormat="1" applyFont="1" applyFill="1" applyBorder="1"/>
    <xf numFmtId="10" fontId="1" fillId="56" borderId="10" xfId="2" applyNumberFormat="1" applyFont="1" applyFill="1" applyBorder="1"/>
    <xf numFmtId="0" fontId="0" fillId="12" borderId="65" xfId="0" applyFill="1" applyBorder="1"/>
    <xf numFmtId="172" fontId="1" fillId="12" borderId="67" xfId="1" applyNumberFormat="1" applyFont="1" applyFill="1" applyBorder="1" applyAlignment="1">
      <alignment horizontal="center"/>
    </xf>
    <xf numFmtId="0" fontId="0" fillId="0" borderId="145" xfId="0" applyBorder="1" applyAlignment="1">
      <alignment horizontal="center"/>
    </xf>
    <xf numFmtId="0" fontId="0" fillId="0" borderId="195" xfId="0" applyBorder="1" applyAlignment="1">
      <alignment horizontal="center" vertical="center"/>
    </xf>
    <xf numFmtId="0" fontId="0" fillId="0" borderId="120" xfId="0" applyBorder="1"/>
    <xf numFmtId="0" fontId="0" fillId="0" borderId="195" xfId="0" applyBorder="1"/>
    <xf numFmtId="0" fontId="33" fillId="0" borderId="121" xfId="0" applyFont="1" applyBorder="1" applyAlignment="1">
      <alignment horizontal="center"/>
    </xf>
    <xf numFmtId="0" fontId="0" fillId="4" borderId="120" xfId="0" applyFill="1" applyBorder="1" applyAlignment="1">
      <alignment wrapText="1"/>
    </xf>
    <xf numFmtId="0" fontId="0" fillId="0" borderId="145" xfId="0" applyBorder="1" applyAlignment="1">
      <alignment horizontal="center" vertical="center"/>
    </xf>
    <xf numFmtId="172" fontId="1" fillId="4" borderId="145" xfId="1" applyNumberFormat="1" applyFont="1" applyFill="1" applyBorder="1" applyAlignment="1">
      <alignment horizontal="center"/>
    </xf>
    <xf numFmtId="165" fontId="1" fillId="4" borderId="145" xfId="1" applyNumberFormat="1" applyFont="1" applyFill="1" applyBorder="1" applyAlignment="1">
      <alignment horizontal="center"/>
    </xf>
    <xf numFmtId="0" fontId="0" fillId="0" borderId="145" xfId="0" applyBorder="1"/>
    <xf numFmtId="10" fontId="1" fillId="4" borderId="145" xfId="1" applyNumberFormat="1" applyFont="1" applyFill="1" applyBorder="1" applyAlignment="1">
      <alignment horizontal="center"/>
    </xf>
    <xf numFmtId="10" fontId="1" fillId="0" borderId="145" xfId="2" applyNumberFormat="1" applyFont="1" applyBorder="1"/>
    <xf numFmtId="9" fontId="0" fillId="0" borderId="145" xfId="0" applyNumberFormat="1" applyBorder="1"/>
    <xf numFmtId="0" fontId="0" fillId="0" borderId="145" xfId="0" applyBorder="1" applyAlignment="1">
      <alignment wrapText="1"/>
    </xf>
    <xf numFmtId="173" fontId="0" fillId="0" borderId="145" xfId="0" applyNumberFormat="1" applyBorder="1"/>
    <xf numFmtId="2" fontId="0" fillId="0" borderId="145" xfId="0" applyNumberFormat="1" applyBorder="1"/>
    <xf numFmtId="2" fontId="0" fillId="0" borderId="120" xfId="0" applyNumberFormat="1" applyBorder="1"/>
    <xf numFmtId="2" fontId="0" fillId="0" borderId="196" xfId="0" applyNumberFormat="1" applyBorder="1"/>
    <xf numFmtId="10" fontId="1" fillId="0" borderId="120" xfId="2" applyNumberFormat="1" applyFont="1" applyBorder="1"/>
    <xf numFmtId="10" fontId="0" fillId="5" borderId="195" xfId="0" applyNumberFormat="1" applyFill="1" applyBorder="1"/>
    <xf numFmtId="10" fontId="1" fillId="55" borderId="121" xfId="2" applyNumberFormat="1" applyFont="1" applyFill="1" applyBorder="1"/>
    <xf numFmtId="10" fontId="0" fillId="5" borderId="196" xfId="0" applyNumberFormat="1" applyFill="1" applyBorder="1"/>
    <xf numFmtId="10" fontId="1" fillId="0" borderId="195" xfId="2" applyNumberFormat="1" applyFont="1" applyBorder="1"/>
    <xf numFmtId="10" fontId="0" fillId="21" borderId="121" xfId="0" applyNumberFormat="1" applyFill="1" applyBorder="1"/>
    <xf numFmtId="10" fontId="0" fillId="55" borderId="121" xfId="0" applyNumberFormat="1" applyFill="1" applyBorder="1"/>
    <xf numFmtId="10" fontId="1" fillId="56" borderId="5" xfId="2" applyNumberFormat="1" applyFont="1" applyFill="1" applyBorder="1"/>
    <xf numFmtId="0" fontId="0" fillId="4" borderId="164" xfId="0" applyFill="1" applyBorder="1"/>
    <xf numFmtId="172" fontId="1" fillId="4" borderId="21" xfId="1" applyNumberFormat="1" applyFont="1" applyFill="1" applyBorder="1" applyAlignment="1">
      <alignment horizontal="center"/>
    </xf>
    <xf numFmtId="172" fontId="1" fillId="4" borderId="48" xfId="1" applyNumberFormat="1" applyFont="1" applyFill="1" applyBorder="1" applyAlignment="1">
      <alignment horizontal="center"/>
    </xf>
    <xf numFmtId="0" fontId="0" fillId="4" borderId="20" xfId="0" applyFill="1" applyBorder="1" applyAlignment="1">
      <alignment wrapText="1"/>
    </xf>
    <xf numFmtId="172" fontId="1" fillId="4" borderId="46" xfId="1" applyNumberFormat="1" applyFont="1" applyFill="1" applyBorder="1" applyAlignment="1">
      <alignment horizontal="center"/>
    </xf>
    <xf numFmtId="165" fontId="1" fillId="4" borderId="46" xfId="1" applyNumberFormat="1" applyFont="1" applyFill="1" applyBorder="1" applyAlignment="1">
      <alignment horizontal="center"/>
    </xf>
    <xf numFmtId="10" fontId="1" fillId="4" borderId="46" xfId="1" applyNumberFormat="1" applyFont="1" applyFill="1" applyBorder="1" applyAlignment="1">
      <alignment horizontal="center"/>
    </xf>
    <xf numFmtId="0" fontId="0" fillId="4" borderId="50" xfId="0" applyFill="1" applyBorder="1" applyAlignment="1">
      <alignment wrapText="1"/>
    </xf>
    <xf numFmtId="0" fontId="0" fillId="4" borderId="47" xfId="0" applyFill="1" applyBorder="1"/>
    <xf numFmtId="172" fontId="1" fillId="4" borderId="55" xfId="1" applyNumberFormat="1" applyFont="1" applyFill="1" applyBorder="1" applyAlignment="1">
      <alignment horizontal="center"/>
    </xf>
    <xf numFmtId="172" fontId="1" fillId="4" borderId="197" xfId="1" applyNumberFormat="1" applyFont="1" applyFill="1" applyBorder="1" applyAlignment="1">
      <alignment horizontal="center"/>
    </xf>
    <xf numFmtId="172" fontId="1" fillId="4" borderId="57" xfId="1" applyNumberFormat="1" applyFont="1" applyFill="1" applyBorder="1" applyAlignment="1">
      <alignment horizontal="center"/>
    </xf>
    <xf numFmtId="0" fontId="0" fillId="4" borderId="61" xfId="0" applyFill="1" applyBorder="1"/>
    <xf numFmtId="0" fontId="0" fillId="4" borderId="62" xfId="0" applyFill="1" applyBorder="1"/>
    <xf numFmtId="0" fontId="33" fillId="4" borderId="152" xfId="0" applyFont="1" applyFill="1" applyBorder="1" applyAlignment="1">
      <alignment horizontal="center"/>
    </xf>
    <xf numFmtId="0" fontId="0" fillId="4" borderId="61" xfId="0" applyFill="1" applyBorder="1" applyAlignment="1">
      <alignment horizontal="center" wrapText="1"/>
    </xf>
    <xf numFmtId="0" fontId="0" fillId="4" borderId="32" xfId="0" applyFill="1" applyBorder="1" applyAlignment="1">
      <alignment horizontal="center" vertical="center"/>
    </xf>
    <xf numFmtId="172" fontId="1" fillId="4" borderId="32" xfId="1" applyNumberFormat="1" applyFont="1" applyFill="1" applyBorder="1" applyAlignment="1">
      <alignment horizontal="center"/>
    </xf>
    <xf numFmtId="165" fontId="1" fillId="4" borderId="32" xfId="1" applyNumberFormat="1" applyFont="1" applyFill="1" applyBorder="1" applyAlignment="1">
      <alignment horizontal="center"/>
    </xf>
    <xf numFmtId="0" fontId="0" fillId="4" borderId="32" xfId="0" applyFill="1" applyBorder="1"/>
    <xf numFmtId="10" fontId="1" fillId="4" borderId="32" xfId="1" applyNumberFormat="1" applyFont="1" applyFill="1" applyBorder="1" applyAlignment="1">
      <alignment horizontal="center"/>
    </xf>
    <xf numFmtId="10" fontId="1" fillId="4" borderId="32" xfId="2" applyNumberFormat="1" applyFont="1" applyFill="1" applyBorder="1"/>
    <xf numFmtId="9" fontId="0" fillId="4" borderId="32" xfId="0" applyNumberFormat="1" applyFill="1" applyBorder="1"/>
    <xf numFmtId="0" fontId="0" fillId="4" borderId="32" xfId="0" applyFill="1" applyBorder="1" applyAlignment="1">
      <alignment horizontal="center"/>
    </xf>
    <xf numFmtId="0" fontId="0" fillId="4" borderId="32" xfId="0" applyFill="1" applyBorder="1" applyAlignment="1">
      <alignment wrapText="1"/>
    </xf>
    <xf numFmtId="173" fontId="0" fillId="4" borderId="32" xfId="0" applyNumberFormat="1" applyFill="1" applyBorder="1"/>
    <xf numFmtId="2" fontId="0" fillId="4" borderId="32" xfId="0" applyNumberFormat="1" applyFill="1" applyBorder="1"/>
    <xf numFmtId="2" fontId="0" fillId="4" borderId="148" xfId="0" applyNumberFormat="1" applyFill="1" applyBorder="1"/>
    <xf numFmtId="2" fontId="0" fillId="4" borderId="61" xfId="0" applyNumberFormat="1" applyFill="1" applyBorder="1"/>
    <xf numFmtId="2" fontId="0" fillId="4" borderId="181" xfId="0" applyNumberFormat="1" applyFill="1" applyBorder="1"/>
    <xf numFmtId="10" fontId="1" fillId="4" borderId="61" xfId="2" applyNumberFormat="1" applyFont="1" applyFill="1" applyBorder="1"/>
    <xf numFmtId="10" fontId="1" fillId="4" borderId="62" xfId="2" applyNumberFormat="1" applyFont="1" applyFill="1" applyBorder="1"/>
    <xf numFmtId="0" fontId="0" fillId="4" borderId="65" xfId="0" applyFill="1" applyBorder="1"/>
    <xf numFmtId="172" fontId="1" fillId="4" borderId="67" xfId="1" applyNumberFormat="1" applyFont="1" applyFill="1" applyBorder="1" applyAlignment="1">
      <alignment horizontal="center"/>
    </xf>
    <xf numFmtId="0" fontId="0" fillId="10" borderId="120" xfId="0" applyFill="1" applyBorder="1" applyAlignment="1">
      <alignment wrapText="1"/>
    </xf>
    <xf numFmtId="172" fontId="1" fillId="39" borderId="145" xfId="1" applyNumberFormat="1" applyFont="1" applyFill="1" applyBorder="1" applyAlignment="1">
      <alignment horizontal="center"/>
    </xf>
    <xf numFmtId="165" fontId="1" fillId="39" borderId="145" xfId="1" applyNumberFormat="1" applyFont="1" applyFill="1" applyBorder="1" applyAlignment="1">
      <alignment horizontal="center"/>
    </xf>
    <xf numFmtId="10" fontId="1" fillId="39" borderId="145" xfId="1" applyNumberFormat="1" applyFont="1" applyFill="1" applyBorder="1" applyAlignment="1">
      <alignment horizontal="center"/>
    </xf>
    <xf numFmtId="0" fontId="0" fillId="10" borderId="164" xfId="0" applyFill="1" applyBorder="1"/>
    <xf numFmtId="172" fontId="1" fillId="10" borderId="21" xfId="1" applyNumberFormat="1" applyFont="1" applyFill="1" applyBorder="1" applyAlignment="1">
      <alignment horizontal="center"/>
    </xf>
    <xf numFmtId="172" fontId="1" fillId="10" borderId="48" xfId="1" applyNumberFormat="1" applyFont="1" applyFill="1" applyBorder="1" applyAlignment="1">
      <alignment horizontal="center"/>
    </xf>
    <xf numFmtId="0" fontId="0" fillId="10" borderId="20" xfId="0" applyFill="1" applyBorder="1" applyAlignment="1">
      <alignment wrapText="1"/>
    </xf>
    <xf numFmtId="172" fontId="1" fillId="39" borderId="46" xfId="1" applyNumberFormat="1" applyFont="1" applyFill="1" applyBorder="1" applyAlignment="1">
      <alignment horizontal="center"/>
    </xf>
    <xf numFmtId="165" fontId="1" fillId="39" borderId="46" xfId="1" applyNumberFormat="1" applyFont="1" applyFill="1" applyBorder="1" applyAlignment="1">
      <alignment horizontal="center"/>
    </xf>
    <xf numFmtId="10" fontId="1" fillId="39" borderId="46" xfId="1" applyNumberFormat="1" applyFont="1" applyFill="1" applyBorder="1" applyAlignment="1">
      <alignment horizontal="center"/>
    </xf>
    <xf numFmtId="172" fontId="1" fillId="10" borderId="46" xfId="1" applyNumberFormat="1" applyFont="1" applyFill="1" applyBorder="1" applyAlignment="1">
      <alignment horizontal="center"/>
    </xf>
    <xf numFmtId="0" fontId="0" fillId="10" borderId="50" xfId="0" applyFill="1" applyBorder="1" applyAlignment="1">
      <alignment wrapText="1"/>
    </xf>
    <xf numFmtId="0" fontId="0" fillId="10" borderId="47" xfId="0" applyFill="1" applyBorder="1"/>
    <xf numFmtId="172" fontId="1" fillId="10" borderId="55" xfId="1" applyNumberFormat="1" applyFont="1" applyFill="1" applyBorder="1" applyAlignment="1">
      <alignment horizontal="center"/>
    </xf>
    <xf numFmtId="0" fontId="0" fillId="10" borderId="198" xfId="0" applyFill="1" applyBorder="1" applyAlignment="1">
      <alignment wrapText="1"/>
    </xf>
    <xf numFmtId="0" fontId="0" fillId="10" borderId="56" xfId="0" applyFill="1" applyBorder="1"/>
    <xf numFmtId="172" fontId="1" fillId="10" borderId="197" xfId="1" applyNumberFormat="1" applyFont="1" applyFill="1" applyBorder="1" applyAlignment="1">
      <alignment horizontal="center"/>
    </xf>
    <xf numFmtId="172" fontId="1" fillId="10" borderId="57" xfId="1" applyNumberFormat="1" applyFont="1" applyFill="1" applyBorder="1" applyAlignment="1">
      <alignment horizontal="center"/>
    </xf>
    <xf numFmtId="172" fontId="1" fillId="39" borderId="197" xfId="1" applyNumberFormat="1" applyFont="1" applyFill="1" applyBorder="1" applyAlignment="1">
      <alignment horizontal="center"/>
    </xf>
    <xf numFmtId="165" fontId="1" fillId="39" borderId="197" xfId="1" applyNumberFormat="1" applyFont="1" applyFill="1" applyBorder="1" applyAlignment="1">
      <alignment horizontal="center"/>
    </xf>
    <xf numFmtId="10" fontId="1" fillId="39" borderId="197" xfId="1" applyNumberFormat="1" applyFont="1" applyFill="1" applyBorder="1" applyAlignment="1">
      <alignment horizontal="center"/>
    </xf>
    <xf numFmtId="0" fontId="0" fillId="0" borderId="61" xfId="0" applyBorder="1"/>
    <xf numFmtId="0" fontId="0" fillId="0" borderId="62" xfId="0" applyBorder="1"/>
    <xf numFmtId="0" fontId="33" fillId="0" borderId="152" xfId="0" applyFont="1" applyBorder="1" applyAlignment="1">
      <alignment horizontal="center"/>
    </xf>
    <xf numFmtId="0" fontId="0" fillId="10" borderId="61" xfId="0" applyFill="1" applyBorder="1" applyAlignment="1">
      <alignment wrapText="1"/>
    </xf>
    <xf numFmtId="172" fontId="1" fillId="39" borderId="32" xfId="1" applyNumberFormat="1" applyFont="1" applyFill="1" applyBorder="1" applyAlignment="1">
      <alignment horizontal="center"/>
    </xf>
    <xf numFmtId="165" fontId="1" fillId="39" borderId="32" xfId="1" applyNumberFormat="1" applyFont="1" applyFill="1" applyBorder="1" applyAlignment="1">
      <alignment horizontal="center"/>
    </xf>
    <xf numFmtId="0" fontId="0" fillId="0" borderId="32" xfId="0" applyBorder="1"/>
    <xf numFmtId="10" fontId="1" fillId="39" borderId="32" xfId="1" applyNumberFormat="1" applyFont="1" applyFill="1" applyBorder="1" applyAlignment="1">
      <alignment horizontal="center"/>
    </xf>
    <xf numFmtId="10" fontId="1" fillId="0" borderId="32" xfId="2" applyNumberFormat="1" applyFont="1" applyBorder="1"/>
    <xf numFmtId="9" fontId="0" fillId="0" borderId="32" xfId="0" applyNumberFormat="1" applyBorder="1"/>
    <xf numFmtId="0" fontId="0" fillId="0" borderId="32" xfId="0" applyBorder="1" applyAlignment="1">
      <alignment wrapText="1"/>
    </xf>
    <xf numFmtId="173" fontId="0" fillId="0" borderId="32" xfId="0" applyNumberFormat="1" applyBorder="1"/>
    <xf numFmtId="2" fontId="0" fillId="0" borderId="32" xfId="0" applyNumberFormat="1" applyBorder="1"/>
    <xf numFmtId="2" fontId="0" fillId="0" borderId="148" xfId="0" applyNumberFormat="1" applyBorder="1"/>
    <xf numFmtId="2" fontId="0" fillId="0" borderId="61" xfId="0" applyNumberFormat="1" applyBorder="1"/>
    <xf numFmtId="2" fontId="0" fillId="0" borderId="181" xfId="0" applyNumberFormat="1" applyBorder="1"/>
    <xf numFmtId="10" fontId="1" fillId="0" borderId="61" xfId="2" applyNumberFormat="1" applyFont="1" applyBorder="1"/>
    <xf numFmtId="10" fontId="1" fillId="0" borderId="62" xfId="2" applyNumberFormat="1" applyFont="1" applyBorder="1"/>
    <xf numFmtId="0" fontId="0" fillId="10" borderId="65" xfId="0" applyFill="1" applyBorder="1"/>
    <xf numFmtId="172" fontId="1" fillId="10" borderId="32" xfId="1" applyNumberFormat="1" applyFont="1" applyFill="1" applyBorder="1" applyAlignment="1">
      <alignment horizontal="center"/>
    </xf>
    <xf numFmtId="172" fontId="1" fillId="10" borderId="67" xfId="1" applyNumberFormat="1" applyFont="1" applyFill="1" applyBorder="1" applyAlignment="1">
      <alignment horizontal="center"/>
    </xf>
    <xf numFmtId="0" fontId="0" fillId="41" borderId="120" xfId="0" applyFill="1" applyBorder="1" applyAlignment="1">
      <alignment horizontal="center" wrapText="1"/>
    </xf>
    <xf numFmtId="172" fontId="1" fillId="43" borderId="145" xfId="1" applyNumberFormat="1" applyFont="1" applyFill="1" applyBorder="1" applyAlignment="1">
      <alignment horizontal="center"/>
    </xf>
    <xf numFmtId="165" fontId="1" fillId="43" borderId="145" xfId="1" applyNumberFormat="1" applyFont="1" applyFill="1" applyBorder="1" applyAlignment="1">
      <alignment horizontal="center"/>
    </xf>
    <xf numFmtId="0" fontId="0" fillId="0" borderId="145" xfId="0" applyBorder="1" applyAlignment="1">
      <alignment vertical="top" wrapText="1"/>
    </xf>
    <xf numFmtId="10" fontId="1" fillId="43" borderId="145" xfId="1" applyNumberFormat="1" applyFont="1" applyFill="1" applyBorder="1" applyAlignment="1">
      <alignment horizontal="center"/>
    </xf>
    <xf numFmtId="0" fontId="0" fillId="43" borderId="164" xfId="0" applyFill="1" applyBorder="1"/>
    <xf numFmtId="172" fontId="1" fillId="43" borderId="21" xfId="1" applyNumberFormat="1" applyFont="1" applyFill="1" applyBorder="1" applyAlignment="1">
      <alignment horizontal="center"/>
    </xf>
    <xf numFmtId="172" fontId="1" fillId="43" borderId="48" xfId="1" applyNumberFormat="1" applyFont="1" applyFill="1" applyBorder="1" applyAlignment="1">
      <alignment horizontal="center"/>
    </xf>
    <xf numFmtId="0" fontId="0" fillId="41" borderId="36" xfId="0" applyFill="1" applyBorder="1" applyAlignment="1">
      <alignment horizontal="center" wrapText="1"/>
    </xf>
    <xf numFmtId="0" fontId="0" fillId="0" borderId="32" xfId="0" applyBorder="1" applyAlignment="1">
      <alignment horizontal="center" vertical="center"/>
    </xf>
    <xf numFmtId="172" fontId="1" fillId="43" borderId="27" xfId="1" applyNumberFormat="1" applyFont="1" applyFill="1" applyBorder="1" applyAlignment="1">
      <alignment horizontal="center"/>
    </xf>
    <xf numFmtId="165" fontId="1" fillId="43" borderId="27" xfId="1" applyNumberFormat="1" applyFont="1" applyFill="1" applyBorder="1" applyAlignment="1">
      <alignment horizontal="center"/>
    </xf>
    <xf numFmtId="10" fontId="1" fillId="43" borderId="27" xfId="1" applyNumberFormat="1" applyFont="1" applyFill="1" applyBorder="1" applyAlignment="1">
      <alignment horizontal="center"/>
    </xf>
    <xf numFmtId="0" fontId="0" fillId="59" borderId="120" xfId="0" applyFill="1" applyBorder="1" applyAlignment="1">
      <alignment wrapText="1"/>
    </xf>
    <xf numFmtId="172" fontId="1" fillId="59" borderId="145" xfId="1" applyNumberFormat="1" applyFont="1" applyFill="1" applyBorder="1" applyAlignment="1">
      <alignment horizontal="center"/>
    </xf>
    <xf numFmtId="165" fontId="1" fillId="59" borderId="145" xfId="1" applyNumberFormat="1" applyFont="1" applyFill="1" applyBorder="1" applyAlignment="1">
      <alignment horizontal="center"/>
    </xf>
    <xf numFmtId="10" fontId="1" fillId="59" borderId="145" xfId="1" applyNumberFormat="1" applyFont="1" applyFill="1" applyBorder="1" applyAlignment="1">
      <alignment horizontal="center"/>
    </xf>
    <xf numFmtId="0" fontId="0" fillId="59" borderId="164" xfId="0" applyFill="1" applyBorder="1"/>
    <xf numFmtId="172" fontId="1" fillId="59" borderId="21" xfId="1" applyNumberFormat="1" applyFont="1" applyFill="1" applyBorder="1" applyAlignment="1">
      <alignment horizontal="center"/>
    </xf>
    <xf numFmtId="172" fontId="1" fillId="59" borderId="48" xfId="1" applyNumberFormat="1" applyFont="1" applyFill="1" applyBorder="1" applyAlignment="1">
      <alignment horizontal="center"/>
    </xf>
    <xf numFmtId="0" fontId="0" fillId="59" borderId="20" xfId="0" applyFill="1" applyBorder="1" applyAlignment="1">
      <alignment wrapText="1"/>
    </xf>
    <xf numFmtId="172" fontId="1" fillId="59" borderId="46" xfId="1" applyNumberFormat="1" applyFont="1" applyFill="1" applyBorder="1" applyAlignment="1">
      <alignment horizontal="center"/>
    </xf>
    <xf numFmtId="165" fontId="1" fillId="59" borderId="46" xfId="1" applyNumberFormat="1" applyFont="1" applyFill="1" applyBorder="1" applyAlignment="1">
      <alignment horizontal="center"/>
    </xf>
    <xf numFmtId="10" fontId="1" fillId="59" borderId="46" xfId="1" applyNumberFormat="1" applyFont="1" applyFill="1" applyBorder="1" applyAlignment="1">
      <alignment horizontal="center"/>
    </xf>
    <xf numFmtId="0" fontId="0" fillId="59" borderId="61" xfId="0" applyFill="1" applyBorder="1" applyAlignment="1">
      <alignment wrapText="1"/>
    </xf>
    <xf numFmtId="172" fontId="1" fillId="59" borderId="32" xfId="1" applyNumberFormat="1" applyFont="1" applyFill="1" applyBorder="1" applyAlignment="1">
      <alignment horizontal="center"/>
    </xf>
    <xf numFmtId="165" fontId="1" fillId="59" borderId="32" xfId="1" applyNumberFormat="1" applyFont="1" applyFill="1" applyBorder="1" applyAlignment="1">
      <alignment horizontal="center"/>
    </xf>
    <xf numFmtId="10" fontId="1" fillId="59" borderId="32" xfId="1" applyNumberFormat="1" applyFont="1" applyFill="1" applyBorder="1" applyAlignment="1">
      <alignment horizontal="center"/>
    </xf>
    <xf numFmtId="0" fontId="0" fillId="56" borderId="10" xfId="0" applyFill="1" applyBorder="1"/>
    <xf numFmtId="0" fontId="0" fillId="56" borderId="36" xfId="0" applyFill="1" applyBorder="1"/>
    <xf numFmtId="0" fontId="0" fillId="59" borderId="65" xfId="0" applyFill="1" applyBorder="1"/>
    <xf numFmtId="172" fontId="1" fillId="59" borderId="67" xfId="1" applyNumberFormat="1" applyFont="1" applyFill="1" applyBorder="1" applyAlignment="1">
      <alignment horizontal="center"/>
    </xf>
    <xf numFmtId="0" fontId="50" fillId="60" borderId="121" xfId="0" applyFont="1" applyFill="1" applyBorder="1" applyAlignment="1">
      <alignment vertical="center" wrapText="1"/>
    </xf>
    <xf numFmtId="0" fontId="0" fillId="17" borderId="61" xfId="0" applyFill="1" applyBorder="1" applyAlignment="1">
      <alignment horizontal="center"/>
    </xf>
    <xf numFmtId="0" fontId="0" fillId="60" borderId="61" xfId="0" applyFill="1" applyBorder="1" applyAlignment="1">
      <alignment wrapText="1"/>
    </xf>
    <xf numFmtId="0" fontId="0" fillId="17" borderId="32" xfId="0" applyFill="1" applyBorder="1" applyAlignment="1">
      <alignment horizontal="center" vertical="center"/>
    </xf>
    <xf numFmtId="172" fontId="1" fillId="60" borderId="32" xfId="1" applyNumberFormat="1" applyFont="1" applyFill="1" applyBorder="1" applyAlignment="1">
      <alignment horizontal="center" wrapText="1"/>
    </xf>
    <xf numFmtId="172" fontId="1" fillId="60" borderId="32" xfId="1" applyNumberFormat="1" applyFont="1" applyFill="1" applyBorder="1" applyAlignment="1">
      <alignment horizontal="center"/>
    </xf>
    <xf numFmtId="10" fontId="1" fillId="60" borderId="61" xfId="2" applyNumberFormat="1" applyFont="1" applyFill="1" applyBorder="1" applyAlignment="1">
      <alignment wrapText="1"/>
    </xf>
    <xf numFmtId="10" fontId="1" fillId="60" borderId="32" xfId="2" applyNumberFormat="1" applyFont="1" applyFill="1" applyBorder="1" applyAlignment="1">
      <alignment wrapText="1"/>
    </xf>
    <xf numFmtId="10" fontId="0" fillId="60" borderId="62" xfId="0" applyNumberFormat="1" applyFill="1" applyBorder="1" applyAlignment="1">
      <alignment wrapText="1"/>
    </xf>
    <xf numFmtId="10" fontId="1" fillId="60" borderId="152" xfId="2" applyNumberFormat="1" applyFont="1" applyFill="1" applyBorder="1" applyAlignment="1">
      <alignment wrapText="1"/>
    </xf>
    <xf numFmtId="10" fontId="0" fillId="60" borderId="181" xfId="0" applyNumberFormat="1" applyFill="1" applyBorder="1" applyAlignment="1">
      <alignment wrapText="1"/>
    </xf>
    <xf numFmtId="10" fontId="1" fillId="60" borderId="62" xfId="2" applyNumberFormat="1" applyFont="1" applyFill="1" applyBorder="1" applyAlignment="1">
      <alignment wrapText="1"/>
    </xf>
    <xf numFmtId="10" fontId="0" fillId="60" borderId="152" xfId="0" applyNumberFormat="1" applyFill="1" applyBorder="1" applyAlignment="1">
      <alignment wrapText="1"/>
    </xf>
    <xf numFmtId="0" fontId="0" fillId="0" borderId="65" xfId="0" applyBorder="1"/>
    <xf numFmtId="172" fontId="1" fillId="0" borderId="67" xfId="1" applyNumberFormat="1" applyFont="1" applyFill="1" applyBorder="1" applyAlignment="1">
      <alignment horizontal="center"/>
    </xf>
    <xf numFmtId="0" fontId="11" fillId="0" borderId="46" xfId="0" applyFont="1" applyBorder="1" applyAlignment="1">
      <alignment horizontal="center" vertical="center" wrapText="1"/>
    </xf>
    <xf numFmtId="0" fontId="11" fillId="0" borderId="0" xfId="0" applyFont="1" applyAlignment="1">
      <alignment horizontal="center" vertical="center" wrapText="1"/>
    </xf>
    <xf numFmtId="0" fontId="11" fillId="0" borderId="46" xfId="0" applyFont="1" applyBorder="1" applyAlignment="1">
      <alignment vertical="center" wrapText="1"/>
    </xf>
    <xf numFmtId="0" fontId="18" fillId="0" borderId="46" xfId="0" applyFont="1" applyBorder="1" applyAlignment="1">
      <alignment vertical="center" wrapText="1"/>
    </xf>
    <xf numFmtId="0" fontId="26" fillId="0" borderId="0" xfId="0" applyFont="1"/>
    <xf numFmtId="0" fontId="26" fillId="5" borderId="46" xfId="0" applyFont="1" applyFill="1" applyBorder="1"/>
    <xf numFmtId="0" fontId="7" fillId="0" borderId="0" xfId="0" applyFont="1"/>
    <xf numFmtId="0" fontId="59" fillId="0" borderId="0" xfId="0" applyFont="1"/>
    <xf numFmtId="0" fontId="7" fillId="0" borderId="0" xfId="0" applyFont="1" applyAlignment="1">
      <alignment horizontal="center"/>
    </xf>
    <xf numFmtId="0" fontId="60" fillId="0" borderId="0" xfId="0" applyFont="1" applyAlignment="1">
      <alignment horizontal="center"/>
    </xf>
    <xf numFmtId="0" fontId="25" fillId="0" borderId="40" xfId="0" applyFont="1" applyBorder="1" applyAlignment="1">
      <alignment vertical="center"/>
    </xf>
    <xf numFmtId="0" fontId="26" fillId="5" borderId="41" xfId="0" applyFont="1" applyFill="1" applyBorder="1" applyAlignment="1">
      <alignment horizontal="right" vertical="center"/>
    </xf>
    <xf numFmtId="0" fontId="61" fillId="0" borderId="0" xfId="0" applyFont="1" applyAlignment="1">
      <alignment horizontal="left"/>
    </xf>
    <xf numFmtId="0" fontId="25" fillId="0" borderId="164" xfId="0" applyFont="1" applyBorder="1" applyAlignment="1">
      <alignment vertical="center"/>
    </xf>
    <xf numFmtId="14" fontId="26" fillId="5" borderId="48" xfId="0" applyNumberFormat="1" applyFont="1" applyFill="1" applyBorder="1" applyAlignment="1">
      <alignment vertical="center"/>
    </xf>
    <xf numFmtId="0" fontId="25" fillId="0" borderId="47" xfId="0" applyFont="1" applyBorder="1" applyAlignment="1">
      <alignment vertical="center"/>
    </xf>
    <xf numFmtId="14" fontId="26" fillId="5" borderId="55" xfId="0" applyNumberFormat="1" applyFont="1" applyFill="1" applyBorder="1" applyAlignment="1">
      <alignment vertical="center"/>
    </xf>
    <xf numFmtId="0" fontId="62" fillId="0" borderId="0" xfId="0" applyFont="1" applyAlignment="1">
      <alignment horizontal="center"/>
    </xf>
    <xf numFmtId="0" fontId="25" fillId="0" borderId="65" xfId="0" applyFont="1" applyBorder="1" applyAlignment="1">
      <alignment vertical="center"/>
    </xf>
    <xf numFmtId="4" fontId="26" fillId="5" borderId="67" xfId="0" applyNumberFormat="1" applyFont="1" applyFill="1" applyBorder="1" applyAlignment="1">
      <alignment vertical="center"/>
    </xf>
    <xf numFmtId="0" fontId="63" fillId="3" borderId="17" xfId="0" applyFont="1" applyFill="1" applyBorder="1" applyAlignment="1">
      <alignment horizontal="center"/>
    </xf>
    <xf numFmtId="164" fontId="60" fillId="3" borderId="28" xfId="0" applyNumberFormat="1" applyFont="1" applyFill="1" applyBorder="1" applyAlignment="1">
      <alignment horizontal="center" vertical="top" wrapText="1"/>
    </xf>
    <xf numFmtId="164" fontId="60" fillId="3" borderId="14" xfId="0" applyNumberFormat="1" applyFont="1" applyFill="1" applyBorder="1" applyAlignment="1">
      <alignment horizontal="center" vertical="top" wrapText="1"/>
    </xf>
    <xf numFmtId="164" fontId="60" fillId="0" borderId="0" xfId="0" applyNumberFormat="1" applyFont="1" applyAlignment="1">
      <alignment horizontal="center" vertical="top" wrapText="1"/>
    </xf>
    <xf numFmtId="0" fontId="64" fillId="0" borderId="0" xfId="0" applyFont="1"/>
    <xf numFmtId="0" fontId="25" fillId="0" borderId="40" xfId="0" applyFont="1" applyBorder="1"/>
    <xf numFmtId="172" fontId="26" fillId="0" borderId="145" xfId="0" applyNumberFormat="1" applyFont="1" applyBorder="1"/>
    <xf numFmtId="172" fontId="26" fillId="0" borderId="41" xfId="0" applyNumberFormat="1" applyFont="1" applyBorder="1"/>
    <xf numFmtId="0" fontId="25" fillId="0" borderId="47" xfId="0" applyFont="1" applyBorder="1"/>
    <xf numFmtId="10" fontId="26" fillId="0" borderId="46" xfId="0" applyNumberFormat="1" applyFont="1" applyBorder="1"/>
    <xf numFmtId="10" fontId="26" fillId="0" borderId="55" xfId="0" applyNumberFormat="1" applyFont="1" applyBorder="1"/>
    <xf numFmtId="0" fontId="65" fillId="0" borderId="0" xfId="0" applyFont="1" applyAlignment="1">
      <alignment horizontal="center"/>
    </xf>
    <xf numFmtId="0" fontId="11" fillId="0" borderId="47" xfId="0" applyFont="1" applyBorder="1"/>
    <xf numFmtId="10" fontId="18" fillId="0" borderId="46" xfId="0" applyNumberFormat="1" applyFont="1" applyBorder="1"/>
    <xf numFmtId="10" fontId="26" fillId="0" borderId="0" xfId="0" applyNumberFormat="1" applyFont="1" applyAlignment="1">
      <alignment horizontal="center"/>
    </xf>
    <xf numFmtId="174" fontId="26" fillId="0" borderId="46" xfId="0" applyNumberFormat="1" applyFont="1" applyBorder="1"/>
    <xf numFmtId="174" fontId="26" fillId="0" borderId="55" xfId="0" applyNumberFormat="1" applyFont="1" applyBorder="1"/>
    <xf numFmtId="0" fontId="68" fillId="0" borderId="0" xfId="0" applyFont="1" applyAlignment="1">
      <alignment horizontal="center" vertical="center"/>
    </xf>
    <xf numFmtId="0" fontId="25" fillId="0" borderId="65" xfId="0" applyFont="1" applyBorder="1"/>
    <xf numFmtId="174" fontId="26" fillId="0" borderId="32" xfId="0" applyNumberFormat="1" applyFont="1" applyBorder="1"/>
    <xf numFmtId="174" fontId="26" fillId="0" borderId="67" xfId="0" applyNumberFormat="1" applyFont="1" applyBorder="1"/>
    <xf numFmtId="10" fontId="26" fillId="0" borderId="0" xfId="0" applyNumberFormat="1" applyFont="1"/>
    <xf numFmtId="0" fontId="60" fillId="3" borderId="17" xfId="0" applyFont="1" applyFill="1" applyBorder="1" applyAlignment="1">
      <alignment horizontal="center"/>
    </xf>
    <xf numFmtId="175" fontId="26" fillId="0" borderId="0" xfId="0" applyNumberFormat="1" applyFont="1"/>
    <xf numFmtId="0" fontId="60" fillId="0" borderId="0" xfId="0" applyFont="1"/>
    <xf numFmtId="2" fontId="18" fillId="17" borderId="121" xfId="0" applyNumberFormat="1" applyFont="1" applyFill="1" applyBorder="1"/>
    <xf numFmtId="1" fontId="18" fillId="56" borderId="5" xfId="0" applyNumberFormat="1" applyFont="1" applyFill="1" applyBorder="1"/>
    <xf numFmtId="1" fontId="18" fillId="56" borderId="6" xfId="0" applyNumberFormat="1" applyFont="1" applyFill="1" applyBorder="1"/>
    <xf numFmtId="0" fontId="70" fillId="0" borderId="0" xfId="0" applyFont="1"/>
    <xf numFmtId="0" fontId="26" fillId="0" borderId="0" xfId="0" applyFont="1" applyAlignment="1">
      <alignment horizontal="left"/>
    </xf>
    <xf numFmtId="0" fontId="18" fillId="0" borderId="79" xfId="0" applyFont="1" applyBorder="1" applyAlignment="1">
      <alignment horizontal="left" indent="1"/>
    </xf>
    <xf numFmtId="2" fontId="18" fillId="56" borderId="0" xfId="0" applyNumberFormat="1" applyFont="1" applyFill="1"/>
    <xf numFmtId="2" fontId="18" fillId="56" borderId="8" xfId="0" applyNumberFormat="1" applyFont="1" applyFill="1" applyBorder="1"/>
    <xf numFmtId="0" fontId="70" fillId="0" borderId="0" xfId="0" applyFont="1" applyAlignment="1">
      <alignment horizontal="left"/>
    </xf>
    <xf numFmtId="2" fontId="18" fillId="0" borderId="11" xfId="0" applyNumberFormat="1" applyFont="1" applyBorder="1"/>
    <xf numFmtId="2" fontId="18" fillId="56" borderId="10" xfId="0" applyNumberFormat="1" applyFont="1" applyFill="1" applyBorder="1"/>
    <xf numFmtId="2" fontId="18" fillId="56" borderId="11" xfId="0" applyNumberFormat="1" applyFont="1" applyFill="1" applyBorder="1"/>
    <xf numFmtId="174" fontId="70" fillId="0" borderId="0" xfId="0" applyNumberFormat="1" applyFont="1" applyAlignment="1">
      <alignment horizontal="right"/>
    </xf>
    <xf numFmtId="2" fontId="11" fillId="0" borderId="0" xfId="0" applyNumberFormat="1" applyFont="1" applyAlignment="1">
      <alignment horizontal="center"/>
    </xf>
    <xf numFmtId="4" fontId="18" fillId="0" borderId="21" xfId="0" applyNumberFormat="1" applyFont="1" applyBorder="1"/>
    <xf numFmtId="4" fontId="18" fillId="0" borderId="48" xfId="0" applyNumberFormat="1" applyFont="1" applyBorder="1"/>
    <xf numFmtId="176" fontId="26" fillId="0" borderId="0" xfId="0" applyNumberFormat="1" applyFont="1"/>
    <xf numFmtId="2" fontId="26" fillId="0" borderId="0" xfId="0" applyNumberFormat="1" applyFont="1"/>
    <xf numFmtId="2" fontId="26" fillId="0" borderId="0" xfId="4" applyNumberFormat="1" applyFont="1" applyBorder="1" applyAlignment="1">
      <alignment horizontal="right"/>
    </xf>
    <xf numFmtId="0" fontId="25" fillId="0" borderId="0" xfId="0" applyFont="1"/>
    <xf numFmtId="0" fontId="25" fillId="61" borderId="176" xfId="0" applyFont="1" applyFill="1" applyBorder="1" applyAlignment="1">
      <alignment horizontal="left" indent="1"/>
    </xf>
    <xf numFmtId="174" fontId="25" fillId="62" borderId="46" xfId="0" applyNumberFormat="1" applyFont="1" applyFill="1" applyBorder="1"/>
    <xf numFmtId="174" fontId="25" fillId="62" borderId="55" xfId="0" applyNumberFormat="1" applyFont="1" applyFill="1" applyBorder="1"/>
    <xf numFmtId="176" fontId="18" fillId="0" borderId="0" xfId="0" applyNumberFormat="1" applyFont="1"/>
    <xf numFmtId="0" fontId="25" fillId="18" borderId="200" xfId="0" applyFont="1" applyFill="1" applyBorder="1" applyAlignment="1">
      <alignment horizontal="left" indent="1"/>
    </xf>
    <xf numFmtId="174" fontId="11" fillId="63" borderId="202" xfId="0" applyNumberFormat="1" applyFont="1" applyFill="1" applyBorder="1"/>
    <xf numFmtId="174" fontId="11" fillId="63" borderId="203" xfId="0" applyNumberFormat="1" applyFont="1" applyFill="1" applyBorder="1"/>
    <xf numFmtId="0" fontId="25" fillId="0" borderId="16" xfId="0" applyFont="1" applyBorder="1" applyAlignment="1">
      <alignment horizontal="left" indent="1"/>
    </xf>
    <xf numFmtId="174" fontId="25" fillId="0" borderId="27" xfId="0" applyNumberFormat="1" applyFont="1" applyBorder="1"/>
    <xf numFmtId="174" fontId="25" fillId="0" borderId="59" xfId="0" applyNumberFormat="1" applyFont="1" applyBorder="1"/>
    <xf numFmtId="0" fontId="71" fillId="0" borderId="0" xfId="0" applyFont="1"/>
    <xf numFmtId="174" fontId="71" fillId="0" borderId="0" xfId="0" applyNumberFormat="1" applyFont="1"/>
    <xf numFmtId="0" fontId="72" fillId="0" borderId="0" xfId="0" applyFont="1"/>
    <xf numFmtId="43" fontId="26" fillId="0" borderId="0" xfId="4" applyFont="1" applyBorder="1"/>
    <xf numFmtId="4" fontId="72" fillId="0" borderId="0" xfId="0" applyNumberFormat="1" applyFont="1"/>
    <xf numFmtId="0" fontId="70" fillId="0" borderId="204" xfId="0" applyFont="1" applyBorder="1"/>
    <xf numFmtId="174" fontId="26" fillId="0" borderId="205" xfId="0" applyNumberFormat="1" applyFont="1" applyBorder="1"/>
    <xf numFmtId="174" fontId="26" fillId="0" borderId="187" xfId="0" applyNumberFormat="1" applyFont="1" applyBorder="1"/>
    <xf numFmtId="175" fontId="72" fillId="0" borderId="0" xfId="0" applyNumberFormat="1" applyFont="1"/>
    <xf numFmtId="0" fontId="73" fillId="0" borderId="192" xfId="0" applyFont="1" applyBorder="1" applyAlignment="1">
      <alignment horizontal="right"/>
    </xf>
    <xf numFmtId="174" fontId="18" fillId="0" borderId="37" xfId="0" applyNumberFormat="1" applyFont="1" applyBorder="1"/>
    <xf numFmtId="174" fontId="18" fillId="0" borderId="182" xfId="0" applyNumberFormat="1" applyFont="1" applyBorder="1"/>
    <xf numFmtId="0" fontId="70" fillId="61" borderId="192" xfId="0" applyFont="1" applyFill="1" applyBorder="1"/>
    <xf numFmtId="174" fontId="67" fillId="62" borderId="37" xfId="0" applyNumberFormat="1" applyFont="1" applyFill="1" applyBorder="1"/>
    <xf numFmtId="174" fontId="67" fillId="62" borderId="182" xfId="0" applyNumberFormat="1" applyFont="1" applyFill="1" applyBorder="1"/>
    <xf numFmtId="0" fontId="70" fillId="0" borderId="192" xfId="0" applyFont="1" applyBorder="1"/>
    <xf numFmtId="0" fontId="70" fillId="18" borderId="58" xfId="0" applyFont="1" applyFill="1" applyBorder="1"/>
    <xf numFmtId="174" fontId="70" fillId="63" borderId="27" xfId="0" applyNumberFormat="1" applyFont="1" applyFill="1" applyBorder="1"/>
    <xf numFmtId="174" fontId="70" fillId="63" borderId="36" xfId="0" applyNumberFormat="1" applyFont="1" applyFill="1" applyBorder="1"/>
    <xf numFmtId="0" fontId="75" fillId="0" borderId="0" xfId="0" applyFont="1"/>
    <xf numFmtId="0" fontId="11" fillId="0" borderId="0" xfId="0" applyFont="1" applyAlignment="1">
      <alignment vertical="center"/>
    </xf>
    <xf numFmtId="175" fontId="25" fillId="0" borderId="206" xfId="0" applyNumberFormat="1" applyFont="1" applyBorder="1" applyAlignment="1">
      <alignment vertical="center"/>
    </xf>
    <xf numFmtId="175" fontId="75" fillId="0" borderId="0" xfId="0" applyNumberFormat="1" applyFont="1"/>
    <xf numFmtId="177" fontId="26" fillId="0" borderId="0" xfId="0" applyNumberFormat="1" applyFont="1"/>
    <xf numFmtId="175" fontId="25" fillId="0" borderId="0" xfId="0" applyNumberFormat="1" applyFont="1" applyAlignment="1">
      <alignment vertical="center"/>
    </xf>
    <xf numFmtId="0" fontId="76" fillId="0" borderId="0" xfId="0" applyFont="1" applyAlignment="1">
      <alignment horizontal="right"/>
    </xf>
    <xf numFmtId="0" fontId="25" fillId="0" borderId="78" xfId="0" applyFont="1" applyBorder="1"/>
    <xf numFmtId="43" fontId="25" fillId="0" borderId="78" xfId="4" applyFont="1" applyBorder="1"/>
    <xf numFmtId="2" fontId="76" fillId="0" borderId="0" xfId="0" applyNumberFormat="1" applyFont="1" applyAlignment="1">
      <alignment horizontal="right"/>
    </xf>
    <xf numFmtId="43" fontId="25" fillId="0" borderId="0" xfId="0" applyNumberFormat="1" applyFont="1"/>
    <xf numFmtId="43" fontId="25" fillId="0" borderId="0" xfId="4" applyFont="1" applyBorder="1"/>
    <xf numFmtId="0" fontId="26" fillId="0" borderId="207" xfId="0" applyFont="1" applyBorder="1"/>
    <xf numFmtId="174" fontId="25" fillId="0" borderId="0" xfId="0" applyNumberFormat="1" applyFont="1"/>
    <xf numFmtId="0" fontId="25" fillId="0" borderId="208" xfId="0" applyFont="1" applyBorder="1" applyAlignment="1">
      <alignment horizontal="left" indent="1"/>
    </xf>
    <xf numFmtId="175" fontId="25" fillId="0" borderId="208" xfId="0" applyNumberFormat="1" applyFont="1" applyBorder="1" applyAlignment="1">
      <alignment vertical="center"/>
    </xf>
    <xf numFmtId="174" fontId="77" fillId="0" borderId="0" xfId="0" applyNumberFormat="1" applyFont="1"/>
    <xf numFmtId="0" fontId="78" fillId="0" borderId="0" xfId="0" applyFont="1"/>
    <xf numFmtId="0" fontId="26" fillId="0" borderId="0" xfId="0" applyFont="1" applyAlignment="1">
      <alignment horizontal="center"/>
    </xf>
    <xf numFmtId="178" fontId="11" fillId="0" borderId="0" xfId="4" applyNumberFormat="1" applyFont="1" applyFill="1" applyBorder="1" applyAlignment="1">
      <alignment horizontal="center"/>
    </xf>
    <xf numFmtId="0" fontId="79" fillId="0" borderId="0" xfId="0" applyFont="1" applyAlignment="1">
      <alignment horizontal="left"/>
    </xf>
    <xf numFmtId="14" fontId="82" fillId="0" borderId="0" xfId="0" applyNumberFormat="1" applyFont="1" applyAlignment="1">
      <alignment horizontal="center"/>
    </xf>
    <xf numFmtId="14" fontId="62" fillId="0" borderId="0" xfId="0" applyNumberFormat="1" applyFont="1" applyAlignment="1">
      <alignment horizontal="center"/>
    </xf>
    <xf numFmtId="14" fontId="26" fillId="15" borderId="55" xfId="0" applyNumberFormat="1" applyFont="1" applyFill="1" applyBorder="1" applyAlignment="1">
      <alignment vertical="center"/>
    </xf>
    <xf numFmtId="4" fontId="26" fillId="5" borderId="55" xfId="0" applyNumberFormat="1" applyFont="1" applyFill="1" applyBorder="1" applyAlignment="1">
      <alignment vertical="center"/>
    </xf>
    <xf numFmtId="4" fontId="26" fillId="15" borderId="67" xfId="0" applyNumberFormat="1" applyFont="1" applyFill="1" applyBorder="1" applyAlignment="1">
      <alignment vertical="center"/>
    </xf>
    <xf numFmtId="14" fontId="79" fillId="0" borderId="0" xfId="0" applyNumberFormat="1" applyFont="1" applyAlignment="1">
      <alignment horizontal="left"/>
    </xf>
    <xf numFmtId="4" fontId="84" fillId="0" borderId="0" xfId="0" applyNumberFormat="1" applyFont="1" applyAlignment="1">
      <alignment horizontal="center"/>
    </xf>
    <xf numFmtId="0" fontId="85" fillId="0" borderId="164" xfId="0" applyFont="1" applyBorder="1" applyAlignment="1">
      <alignment vertical="center"/>
    </xf>
    <xf numFmtId="4" fontId="18" fillId="5" borderId="48" xfId="0" applyNumberFormat="1" applyFont="1" applyFill="1" applyBorder="1" applyAlignment="1">
      <alignment vertical="center"/>
    </xf>
    <xf numFmtId="0" fontId="85" fillId="0" borderId="47" xfId="0" applyFont="1" applyBorder="1" applyAlignment="1">
      <alignment vertical="center"/>
    </xf>
    <xf numFmtId="172" fontId="87" fillId="0" borderId="0" xfId="0" applyNumberFormat="1" applyFont="1" applyAlignment="1">
      <alignment horizontal="center" vertical="center"/>
    </xf>
    <xf numFmtId="0" fontId="85" fillId="0" borderId="65" xfId="0" applyFont="1" applyBorder="1" applyAlignment="1">
      <alignment vertical="center"/>
    </xf>
    <xf numFmtId="4" fontId="26" fillId="5" borderId="59" xfId="0" applyNumberFormat="1" applyFont="1" applyFill="1" applyBorder="1" applyAlignment="1">
      <alignment vertical="center"/>
    </xf>
    <xf numFmtId="43" fontId="88" fillId="0" borderId="0" xfId="4" applyFont="1" applyFill="1" applyBorder="1" applyAlignment="1">
      <alignment horizontal="center"/>
    </xf>
    <xf numFmtId="179" fontId="26" fillId="0" borderId="0" xfId="0" applyNumberFormat="1" applyFont="1"/>
    <xf numFmtId="4" fontId="26" fillId="0" borderId="55" xfId="0" applyNumberFormat="1" applyFont="1" applyBorder="1" applyAlignment="1">
      <alignment vertical="center"/>
    </xf>
    <xf numFmtId="0" fontId="25" fillId="0" borderId="0" xfId="0" applyFont="1" applyAlignment="1">
      <alignment vertical="center"/>
    </xf>
    <xf numFmtId="4" fontId="26" fillId="0" borderId="0" xfId="0" applyNumberFormat="1" applyFont="1" applyAlignment="1">
      <alignment vertical="center"/>
    </xf>
    <xf numFmtId="43" fontId="89" fillId="0" borderId="0" xfId="4" applyFont="1" applyFill="1" applyBorder="1" applyAlignment="1">
      <alignment horizontal="center"/>
    </xf>
    <xf numFmtId="172" fontId="26" fillId="0" borderId="0" xfId="0" applyNumberFormat="1" applyFont="1"/>
    <xf numFmtId="164" fontId="26" fillId="0" borderId="145" xfId="0" applyNumberFormat="1" applyFont="1" applyBorder="1"/>
    <xf numFmtId="164" fontId="26" fillId="0" borderId="41" xfId="0" applyNumberFormat="1" applyFont="1" applyBorder="1"/>
    <xf numFmtId="10" fontId="90" fillId="0" borderId="46" xfId="0" applyNumberFormat="1" applyFont="1" applyBorder="1"/>
    <xf numFmtId="4" fontId="25" fillId="0" borderId="23" xfId="0" applyNumberFormat="1" applyFont="1" applyBorder="1"/>
    <xf numFmtId="4" fontId="11" fillId="0" borderId="21" xfId="0" applyNumberFormat="1" applyFont="1" applyBorder="1"/>
    <xf numFmtId="4" fontId="11" fillId="0" borderId="48" xfId="0" applyNumberFormat="1" applyFont="1" applyBorder="1"/>
    <xf numFmtId="0" fontId="91" fillId="0" borderId="0" xfId="0" applyFont="1"/>
    <xf numFmtId="0" fontId="92" fillId="0" borderId="0" xfId="0" applyFont="1" applyAlignment="1">
      <alignment horizontal="center"/>
    </xf>
    <xf numFmtId="0" fontId="25" fillId="0" borderId="47" xfId="0" applyFont="1" applyBorder="1" applyAlignment="1">
      <alignment horizontal="left"/>
    </xf>
    <xf numFmtId="4" fontId="26" fillId="0" borderId="23" xfId="0" applyNumberFormat="1" applyFont="1" applyBorder="1"/>
    <xf numFmtId="0" fontId="25" fillId="0" borderId="65" xfId="0" applyFont="1" applyBorder="1" applyAlignment="1">
      <alignment horizontal="left"/>
    </xf>
    <xf numFmtId="4" fontId="26" fillId="0" borderId="62" xfId="0" applyNumberFormat="1" applyFont="1" applyBorder="1"/>
    <xf numFmtId="4" fontId="18" fillId="0" borderId="32" xfId="0" applyNumberFormat="1" applyFont="1" applyBorder="1"/>
    <xf numFmtId="4" fontId="18" fillId="0" borderId="67" xfId="0" applyNumberFormat="1" applyFont="1" applyBorder="1"/>
    <xf numFmtId="174" fontId="70" fillId="0" borderId="0" xfId="0" applyNumberFormat="1" applyFont="1"/>
    <xf numFmtId="0" fontId="11" fillId="0" borderId="40" xfId="0" applyFont="1" applyBorder="1"/>
    <xf numFmtId="10" fontId="18" fillId="0" borderId="145" xfId="0" applyNumberFormat="1" applyFont="1" applyBorder="1" applyAlignment="1">
      <alignment horizontal="right"/>
    </xf>
    <xf numFmtId="10" fontId="18" fillId="0" borderId="41" xfId="0" applyNumberFormat="1" applyFont="1" applyBorder="1" applyAlignment="1">
      <alignment horizontal="right"/>
    </xf>
    <xf numFmtId="176" fontId="93" fillId="0" borderId="0" xfId="0" applyNumberFormat="1" applyFont="1"/>
    <xf numFmtId="43" fontId="93" fillId="0" borderId="0" xfId="4" applyFont="1" applyBorder="1"/>
    <xf numFmtId="43" fontId="93" fillId="0" borderId="0" xfId="0" applyNumberFormat="1" applyFont="1"/>
    <xf numFmtId="2" fontId="93" fillId="0" borderId="0" xfId="0" applyNumberFormat="1" applyFont="1"/>
    <xf numFmtId="2" fontId="93" fillId="0" borderId="0" xfId="4" applyNumberFormat="1" applyFont="1" applyBorder="1" applyAlignment="1">
      <alignment horizontal="right"/>
    </xf>
    <xf numFmtId="176" fontId="94" fillId="0" borderId="0" xfId="0" applyNumberFormat="1" applyFont="1"/>
    <xf numFmtId="0" fontId="93" fillId="0" borderId="0" xfId="0" applyFont="1"/>
    <xf numFmtId="0" fontId="25" fillId="0" borderId="56" xfId="0" applyFont="1" applyBorder="1"/>
    <xf numFmtId="10" fontId="26" fillId="0" borderId="37" xfId="2" applyNumberFormat="1" applyFont="1" applyFill="1" applyBorder="1"/>
    <xf numFmtId="10" fontId="26" fillId="0" borderId="197" xfId="0" applyNumberFormat="1" applyFont="1" applyBorder="1"/>
    <xf numFmtId="10" fontId="26" fillId="0" borderId="191" xfId="2" applyNumberFormat="1" applyFont="1" applyFill="1" applyBorder="1"/>
    <xf numFmtId="0" fontId="95" fillId="0" borderId="65" xfId="0" applyFont="1" applyBorder="1"/>
    <xf numFmtId="10" fontId="77" fillId="0" borderId="32" xfId="2" applyNumberFormat="1" applyFont="1" applyFill="1" applyBorder="1"/>
    <xf numFmtId="10" fontId="77" fillId="0" borderId="32" xfId="0" applyNumberFormat="1" applyFont="1" applyBorder="1"/>
    <xf numFmtId="10" fontId="77" fillId="0" borderId="67" xfId="2" applyNumberFormat="1" applyFont="1" applyFill="1" applyBorder="1"/>
    <xf numFmtId="10" fontId="26" fillId="0" borderId="0" xfId="2" applyNumberFormat="1" applyFont="1" applyFill="1" applyBorder="1"/>
    <xf numFmtId="0" fontId="18" fillId="0" borderId="40" xfId="0" applyFont="1" applyBorder="1" applyAlignment="1">
      <alignment horizontal="left" wrapText="1" indent="1"/>
    </xf>
    <xf numFmtId="2" fontId="18" fillId="0" borderId="145" xfId="0" applyNumberFormat="1" applyFont="1" applyBorder="1"/>
    <xf numFmtId="0" fontId="18" fillId="0" borderId="47" xfId="0" applyFont="1" applyBorder="1" applyAlignment="1">
      <alignment horizontal="left" indent="1"/>
    </xf>
    <xf numFmtId="2" fontId="18" fillId="0" borderId="46" xfId="0" applyNumberFormat="1" applyFont="1" applyBorder="1"/>
    <xf numFmtId="0" fontId="18" fillId="0" borderId="65" xfId="0" applyFont="1" applyBorder="1" applyAlignment="1">
      <alignment horizontal="left" indent="1"/>
    </xf>
    <xf numFmtId="2" fontId="18" fillId="0" borderId="32" xfId="0" applyNumberFormat="1" applyFont="1" applyBorder="1"/>
    <xf numFmtId="2" fontId="18" fillId="56" borderId="35" xfId="0" applyNumberFormat="1" applyFont="1" applyFill="1" applyBorder="1"/>
    <xf numFmtId="0" fontId="5" fillId="0" borderId="164" xfId="0" applyFont="1" applyBorder="1" applyAlignment="1">
      <alignment horizontal="left" indent="1"/>
    </xf>
    <xf numFmtId="0" fontId="25" fillId="61" borderId="47" xfId="0" applyFont="1" applyFill="1" applyBorder="1" applyAlignment="1">
      <alignment horizontal="left" indent="1"/>
    </xf>
    <xf numFmtId="174" fontId="25" fillId="62" borderId="53" xfId="0" applyNumberFormat="1" applyFont="1" applyFill="1" applyBorder="1"/>
    <xf numFmtId="0" fontId="25" fillId="18" borderId="65" xfId="0" applyFont="1" applyFill="1" applyBorder="1" applyAlignment="1">
      <alignment horizontal="left" indent="1"/>
    </xf>
    <xf numFmtId="174" fontId="11" fillId="63" borderId="62" xfId="0" applyNumberFormat="1" applyFont="1" applyFill="1" applyBorder="1"/>
    <xf numFmtId="174" fontId="11" fillId="63" borderId="32" xfId="0" applyNumberFormat="1" applyFont="1" applyFill="1" applyBorder="1"/>
    <xf numFmtId="174" fontId="11" fillId="63" borderId="67" xfId="0" applyNumberFormat="1" applyFont="1" applyFill="1" applyBorder="1"/>
    <xf numFmtId="0" fontId="60" fillId="3" borderId="17" xfId="0" applyFont="1" applyFill="1" applyBorder="1" applyAlignment="1">
      <alignment horizontal="left"/>
    </xf>
    <xf numFmtId="43" fontId="26" fillId="0" borderId="0" xfId="0" applyNumberFormat="1" applyFont="1"/>
    <xf numFmtId="2" fontId="75" fillId="0" borderId="0" xfId="0" applyNumberFormat="1" applyFont="1"/>
    <xf numFmtId="0" fontId="25" fillId="5" borderId="1" xfId="0" applyFont="1" applyFill="1" applyBorder="1"/>
    <xf numFmtId="174" fontId="25" fillId="5" borderId="2" xfId="0" applyNumberFormat="1" applyFont="1" applyFill="1" applyBorder="1"/>
    <xf numFmtId="174" fontId="25" fillId="5" borderId="3" xfId="0" applyNumberFormat="1" applyFont="1" applyFill="1" applyBorder="1"/>
    <xf numFmtId="2" fontId="64" fillId="0" borderId="0" xfId="0" applyNumberFormat="1" applyFont="1"/>
    <xf numFmtId="0" fontId="25" fillId="0" borderId="12" xfId="0" applyFont="1" applyBorder="1"/>
    <xf numFmtId="164" fontId="60" fillId="3" borderId="17" xfId="0" applyNumberFormat="1" applyFont="1" applyFill="1" applyBorder="1" applyAlignment="1">
      <alignment horizontal="center" vertical="top" wrapText="1"/>
    </xf>
    <xf numFmtId="10" fontId="91" fillId="64" borderId="0" xfId="2" applyNumberFormat="1" applyFont="1" applyFill="1" applyBorder="1"/>
    <xf numFmtId="10" fontId="26" fillId="0" borderId="0" xfId="2" applyNumberFormat="1" applyFont="1" applyBorder="1"/>
    <xf numFmtId="0" fontId="11" fillId="0" borderId="0" xfId="0" applyFont="1"/>
    <xf numFmtId="43" fontId="75" fillId="0" borderId="0" xfId="0" applyNumberFormat="1" applyFont="1"/>
    <xf numFmtId="43" fontId="18" fillId="0" borderId="0" xfId="0" applyNumberFormat="1" applyFont="1"/>
    <xf numFmtId="0" fontId="25" fillId="14" borderId="208" xfId="0" applyFont="1" applyFill="1" applyBorder="1"/>
    <xf numFmtId="2" fontId="25" fillId="14" borderId="208" xfId="0" applyNumberFormat="1" applyFont="1" applyFill="1" applyBorder="1"/>
    <xf numFmtId="0" fontId="36" fillId="0" borderId="0" xfId="0" applyFont="1"/>
    <xf numFmtId="2" fontId="25" fillId="0" borderId="0" xfId="0" applyNumberFormat="1" applyFont="1"/>
    <xf numFmtId="0" fontId="97" fillId="0" borderId="0" xfId="0" applyFont="1"/>
    <xf numFmtId="0" fontId="75" fillId="0" borderId="0" xfId="0" applyFont="1" applyAlignment="1">
      <alignment horizontal="left"/>
    </xf>
    <xf numFmtId="10" fontId="91" fillId="2" borderId="0" xfId="2" applyNumberFormat="1" applyFont="1" applyFill="1" applyBorder="1"/>
    <xf numFmtId="43" fontId="11" fillId="0" borderId="0" xfId="0" applyNumberFormat="1" applyFont="1"/>
    <xf numFmtId="0" fontId="75" fillId="0" borderId="0" xfId="0" applyFont="1" applyAlignment="1">
      <alignment horizontal="center" wrapText="1"/>
    </xf>
    <xf numFmtId="174" fontId="90" fillId="0" borderId="0" xfId="0" applyNumberFormat="1" applyFont="1"/>
    <xf numFmtId="0" fontId="98" fillId="0" borderId="0" xfId="0" applyFont="1"/>
    <xf numFmtId="0" fontId="90" fillId="0" borderId="0" xfId="0" applyFont="1"/>
    <xf numFmtId="0" fontId="77" fillId="0" borderId="0" xfId="0" applyFont="1"/>
    <xf numFmtId="43" fontId="77" fillId="0" borderId="0" xfId="0" applyNumberFormat="1" applyFont="1"/>
    <xf numFmtId="43" fontId="77" fillId="0" borderId="0" xfId="4" applyFont="1" applyBorder="1"/>
    <xf numFmtId="43" fontId="90" fillId="0" borderId="0" xfId="4" applyFont="1" applyBorder="1"/>
    <xf numFmtId="0" fontId="101" fillId="0" borderId="0" xfId="0" applyFont="1"/>
    <xf numFmtId="43" fontId="77" fillId="0" borderId="0" xfId="4" applyFont="1" applyFill="1" applyBorder="1"/>
    <xf numFmtId="0" fontId="75" fillId="0" borderId="0" xfId="0" applyFont="1" applyAlignment="1">
      <alignment horizontal="center" vertical="center" wrapText="1"/>
    </xf>
    <xf numFmtId="0" fontId="77" fillId="0" borderId="0" xfId="0" applyFont="1" applyAlignment="1">
      <alignment horizontal="left"/>
    </xf>
    <xf numFmtId="9" fontId="90" fillId="0" borderId="0" xfId="2" applyFont="1" applyFill="1" applyBorder="1"/>
    <xf numFmtId="4" fontId="25" fillId="0" borderId="0" xfId="0" applyNumberFormat="1" applyFont="1"/>
    <xf numFmtId="0" fontId="25" fillId="0" borderId="56" xfId="0" applyFont="1" applyBorder="1" applyAlignment="1">
      <alignment vertical="center"/>
    </xf>
    <xf numFmtId="14" fontId="26" fillId="5" borderId="57" xfId="0" applyNumberFormat="1" applyFont="1" applyFill="1" applyBorder="1" applyAlignment="1">
      <alignment vertical="center"/>
    </xf>
    <xf numFmtId="10" fontId="18" fillId="0" borderId="55" xfId="0" applyNumberFormat="1" applyFont="1" applyBorder="1"/>
    <xf numFmtId="0" fontId="91" fillId="0" borderId="0" xfId="0" applyFont="1" applyAlignment="1">
      <alignment horizontal="right"/>
    </xf>
    <xf numFmtId="1" fontId="18" fillId="0" borderId="145" xfId="0" applyNumberFormat="1" applyFont="1" applyBorder="1"/>
    <xf numFmtId="174" fontId="67" fillId="0" borderId="0" xfId="0" applyNumberFormat="1" applyFont="1"/>
    <xf numFmtId="0" fontId="18" fillId="0" borderId="164" xfId="0" applyFont="1" applyBorder="1" applyAlignment="1">
      <alignment horizontal="left" indent="1"/>
    </xf>
    <xf numFmtId="0" fontId="25" fillId="18" borderId="209" xfId="0" applyFont="1" applyFill="1" applyBorder="1" applyAlignment="1">
      <alignment horizontal="left" indent="1"/>
    </xf>
    <xf numFmtId="174" fontId="11" fillId="63" borderId="210" xfId="0" applyNumberFormat="1" applyFont="1" applyFill="1" applyBorder="1"/>
    <xf numFmtId="0" fontId="25" fillId="0" borderId="58" xfId="0" applyFont="1" applyBorder="1" applyAlignment="1">
      <alignment horizontal="left" indent="1"/>
    </xf>
    <xf numFmtId="174" fontId="25" fillId="0" borderId="35" xfId="0" applyNumberFormat="1" applyFont="1" applyBorder="1"/>
    <xf numFmtId="180" fontId="1" fillId="0" borderId="0" xfId="4" applyNumberFormat="1" applyFont="1"/>
    <xf numFmtId="0" fontId="2" fillId="0" borderId="46" xfId="0" applyFont="1" applyBorder="1" applyAlignment="1">
      <alignment horizontal="center"/>
    </xf>
    <xf numFmtId="180" fontId="2" fillId="0" borderId="0" xfId="4" applyNumberFormat="1" applyFont="1"/>
    <xf numFmtId="178" fontId="1" fillId="5" borderId="46" xfId="5" applyNumberFormat="1" applyFont="1" applyFill="1" applyBorder="1"/>
    <xf numFmtId="2" fontId="0" fillId="5" borderId="46" xfId="0" applyNumberFormat="1" applyFill="1" applyBorder="1"/>
    <xf numFmtId="10" fontId="0" fillId="5" borderId="46" xfId="0" applyNumberFormat="1" applyFill="1" applyBorder="1"/>
    <xf numFmtId="167" fontId="0" fillId="0" borderId="0" xfId="0" applyNumberFormat="1"/>
    <xf numFmtId="178" fontId="2" fillId="0" borderId="0" xfId="5" applyNumberFormat="1" applyFont="1" applyAlignment="1">
      <alignment horizontal="center"/>
    </xf>
    <xf numFmtId="0" fontId="2" fillId="0" borderId="0" xfId="0" applyFont="1" applyAlignment="1">
      <alignment horizontal="center"/>
    </xf>
    <xf numFmtId="180" fontId="108" fillId="0" borderId="0" xfId="4" applyNumberFormat="1" applyFont="1"/>
    <xf numFmtId="43" fontId="1" fillId="43" borderId="12" xfId="5" applyFont="1" applyFill="1" applyBorder="1"/>
    <xf numFmtId="180" fontId="109" fillId="0" borderId="0" xfId="4" applyNumberFormat="1" applyFont="1"/>
    <xf numFmtId="166" fontId="0" fillId="0" borderId="0" xfId="0" applyNumberFormat="1"/>
    <xf numFmtId="43" fontId="0" fillId="0" borderId="0" xfId="0" applyNumberFormat="1"/>
    <xf numFmtId="178" fontId="0" fillId="0" borderId="0" xfId="0" applyNumberFormat="1"/>
    <xf numFmtId="170" fontId="76" fillId="0" borderId="0" xfId="0" applyNumberFormat="1" applyFont="1" applyAlignment="1">
      <alignment horizontal="right"/>
    </xf>
    <xf numFmtId="2" fontId="18" fillId="0" borderId="49" xfId="0" applyNumberFormat="1" applyFont="1" applyBorder="1"/>
    <xf numFmtId="181" fontId="26" fillId="0" borderId="78" xfId="0" applyNumberFormat="1" applyFont="1" applyBorder="1"/>
    <xf numFmtId="181" fontId="25" fillId="62" borderId="199" xfId="0" applyNumberFormat="1" applyFont="1" applyFill="1" applyBorder="1"/>
    <xf numFmtId="182" fontId="25" fillId="0" borderId="78" xfId="4" applyNumberFormat="1" applyFont="1" applyBorder="1"/>
    <xf numFmtId="182" fontId="25" fillId="0" borderId="0" xfId="4" applyNumberFormat="1" applyFont="1" applyBorder="1"/>
    <xf numFmtId="183" fontId="67" fillId="62" borderId="37" xfId="0" applyNumberFormat="1" applyFont="1" applyFill="1" applyBorder="1"/>
    <xf numFmtId="0" fontId="110" fillId="17" borderId="0" xfId="0" applyFont="1" applyFill="1" applyAlignment="1">
      <alignment horizontal="center"/>
    </xf>
    <xf numFmtId="181" fontId="25" fillId="62" borderId="55" xfId="0" applyNumberFormat="1" applyFont="1" applyFill="1" applyBorder="1" applyAlignment="1">
      <alignment horizontal="right"/>
    </xf>
    <xf numFmtId="181" fontId="11" fillId="63" borderId="203" xfId="0" applyNumberFormat="1" applyFont="1" applyFill="1" applyBorder="1"/>
    <xf numFmtId="181" fontId="25" fillId="0" borderId="59" xfId="0" applyNumberFormat="1" applyFont="1" applyBorder="1"/>
    <xf numFmtId="183" fontId="18" fillId="0" borderId="37" xfId="0" applyNumberFormat="1" applyFont="1" applyBorder="1"/>
    <xf numFmtId="183" fontId="67" fillId="63" borderId="27" xfId="0" applyNumberFormat="1" applyFont="1" applyFill="1" applyBorder="1"/>
    <xf numFmtId="183" fontId="25" fillId="0" borderId="206" xfId="0" applyNumberFormat="1" applyFont="1" applyBorder="1" applyAlignment="1">
      <alignment vertical="center"/>
    </xf>
    <xf numFmtId="182" fontId="26" fillId="0" borderId="0" xfId="0" applyNumberFormat="1" applyFont="1"/>
    <xf numFmtId="182" fontId="25" fillId="0" borderId="0" xfId="0" applyNumberFormat="1" applyFont="1"/>
    <xf numFmtId="182" fontId="25" fillId="0" borderId="208" xfId="0" applyNumberFormat="1" applyFont="1" applyBorder="1" applyAlignment="1">
      <alignment vertical="center"/>
    </xf>
    <xf numFmtId="183" fontId="26" fillId="0" borderId="205" xfId="0" applyNumberFormat="1" applyFont="1" applyBorder="1"/>
    <xf numFmtId="183" fontId="25" fillId="0" borderId="0" xfId="0" applyNumberFormat="1" applyFont="1" applyAlignment="1">
      <alignment vertical="center"/>
    </xf>
    <xf numFmtId="183" fontId="25" fillId="0" borderId="78" xfId="4" applyNumberFormat="1" applyFont="1" applyBorder="1"/>
    <xf numFmtId="183" fontId="25" fillId="0" borderId="0" xfId="0" applyNumberFormat="1" applyFont="1"/>
    <xf numFmtId="183" fontId="26" fillId="0" borderId="0" xfId="0" applyNumberFormat="1" applyFont="1"/>
    <xf numFmtId="183" fontId="25" fillId="0" borderId="208" xfId="0" applyNumberFormat="1" applyFont="1" applyBorder="1" applyAlignment="1">
      <alignment vertical="center"/>
    </xf>
    <xf numFmtId="181" fontId="11" fillId="63" borderId="201" xfId="0" applyNumberFormat="1" applyFont="1" applyFill="1" applyBorder="1"/>
    <xf numFmtId="181" fontId="25" fillId="0" borderId="10" xfId="0" applyNumberFormat="1" applyFont="1" applyBorder="1"/>
    <xf numFmtId="43" fontId="25" fillId="0" borderId="78" xfId="4" applyFont="1" applyBorder="1" applyAlignment="1">
      <alignment horizontal="right"/>
    </xf>
    <xf numFmtId="43" fontId="25" fillId="0" borderId="0" xfId="4" applyFont="1" applyBorder="1" applyAlignment="1">
      <alignment horizontal="right"/>
    </xf>
    <xf numFmtId="2" fontId="26" fillId="0" borderId="0" xfId="0" applyNumberFormat="1" applyFont="1" applyAlignment="1">
      <alignment horizontal="right"/>
    </xf>
    <xf numFmtId="174" fontId="25" fillId="0" borderId="0" xfId="0" applyNumberFormat="1" applyFont="1" applyAlignment="1">
      <alignment horizontal="right"/>
    </xf>
    <xf numFmtId="175" fontId="25" fillId="0" borderId="208" xfId="0" applyNumberFormat="1" applyFont="1" applyBorder="1" applyAlignment="1">
      <alignment horizontal="right" vertical="center"/>
    </xf>
    <xf numFmtId="174" fontId="26" fillId="0" borderId="187" xfId="0" applyNumberFormat="1" applyFont="1" applyBorder="1" applyAlignment="1">
      <alignment horizontal="right"/>
    </xf>
    <xf numFmtId="174" fontId="18" fillId="0" borderId="182" xfId="0" applyNumberFormat="1" applyFont="1" applyBorder="1" applyAlignment="1">
      <alignment horizontal="right"/>
    </xf>
    <xf numFmtId="174" fontId="67" fillId="62" borderId="182" xfId="0" applyNumberFormat="1" applyFont="1" applyFill="1" applyBorder="1" applyAlignment="1">
      <alignment horizontal="right"/>
    </xf>
    <xf numFmtId="174" fontId="67" fillId="63" borderId="36" xfId="0" applyNumberFormat="1" applyFont="1" applyFill="1" applyBorder="1" applyAlignment="1">
      <alignment horizontal="right"/>
    </xf>
    <xf numFmtId="4" fontId="18" fillId="0" borderId="21" xfId="0" applyNumberFormat="1" applyFont="1" applyBorder="1" applyAlignment="1">
      <alignment horizontal="right"/>
    </xf>
    <xf numFmtId="174" fontId="25" fillId="62" borderId="46" xfId="0" applyNumberFormat="1" applyFont="1" applyFill="1" applyBorder="1" applyAlignment="1">
      <alignment horizontal="right"/>
    </xf>
    <xf numFmtId="174" fontId="11" fillId="63" borderId="202" xfId="0" applyNumberFormat="1" applyFont="1" applyFill="1" applyBorder="1" applyAlignment="1">
      <alignment horizontal="right"/>
    </xf>
    <xf numFmtId="174" fontId="25" fillId="0" borderId="27" xfId="0" applyNumberFormat="1" applyFont="1" applyBorder="1" applyAlignment="1">
      <alignment horizontal="right"/>
    </xf>
    <xf numFmtId="172" fontId="26" fillId="0" borderId="145" xfId="0" applyNumberFormat="1" applyFont="1" applyBorder="1" applyAlignment="1">
      <alignment horizontal="right"/>
    </xf>
    <xf numFmtId="10" fontId="26" fillId="0" borderId="46" xfId="0" applyNumberFormat="1" applyFont="1" applyBorder="1" applyAlignment="1">
      <alignment horizontal="right"/>
    </xf>
    <xf numFmtId="10" fontId="18" fillId="0" borderId="46" xfId="0" applyNumberFormat="1" applyFont="1" applyBorder="1" applyAlignment="1">
      <alignment horizontal="right"/>
    </xf>
    <xf numFmtId="174" fontId="26" fillId="0" borderId="46" xfId="0" applyNumberFormat="1" applyFont="1" applyBorder="1" applyAlignment="1">
      <alignment horizontal="right"/>
    </xf>
    <xf numFmtId="174" fontId="26" fillId="0" borderId="32" xfId="0" applyNumberFormat="1" applyFont="1" applyBorder="1" applyAlignment="1">
      <alignment horizontal="right"/>
    </xf>
    <xf numFmtId="170" fontId="26" fillId="0" borderId="0" xfId="0" applyNumberFormat="1" applyFont="1"/>
    <xf numFmtId="184" fontId="26" fillId="0" borderId="0" xfId="0" applyNumberFormat="1" applyFont="1"/>
    <xf numFmtId="0" fontId="5" fillId="0" borderId="121" xfId="0" applyFont="1" applyBorder="1" applyAlignment="1">
      <alignment horizontal="left" wrapText="1" indent="1"/>
    </xf>
    <xf numFmtId="0" fontId="5" fillId="0" borderId="79" xfId="0" applyFont="1" applyBorder="1" applyAlignment="1">
      <alignment horizontal="left" indent="1"/>
    </xf>
    <xf numFmtId="0" fontId="5" fillId="0" borderId="152" xfId="0" applyFont="1" applyBorder="1" applyAlignment="1">
      <alignment horizontal="left" indent="1"/>
    </xf>
    <xf numFmtId="181" fontId="18" fillId="0" borderId="48" xfId="0" applyNumberFormat="1" applyFont="1" applyBorder="1"/>
    <xf numFmtId="0" fontId="10" fillId="0" borderId="7" xfId="0" applyFont="1" applyBorder="1" applyAlignment="1">
      <alignment horizontal="left"/>
    </xf>
    <xf numFmtId="0" fontId="10" fillId="0" borderId="0" xfId="0" applyFont="1" applyAlignment="1">
      <alignment horizontal="left"/>
    </xf>
    <xf numFmtId="0" fontId="10" fillId="0" borderId="8" xfId="0" applyFont="1" applyBorder="1" applyAlignment="1">
      <alignment horizontal="left"/>
    </xf>
    <xf numFmtId="0" fontId="4" fillId="2" borderId="0" xfId="0" applyFont="1" applyFill="1" applyAlignment="1">
      <alignment horizontal="center" vertical="center"/>
    </xf>
    <xf numFmtId="0" fontId="6" fillId="3" borderId="1" xfId="0" applyFont="1" applyFill="1" applyBorder="1" applyAlignment="1">
      <alignment horizontal="center" vertical="top" wrapText="1"/>
    </xf>
    <xf numFmtId="0" fontId="7" fillId="3" borderId="2" xfId="0" applyFont="1" applyFill="1" applyBorder="1" applyAlignment="1">
      <alignment horizontal="center" vertical="top" wrapText="1"/>
    </xf>
    <xf numFmtId="0" fontId="7" fillId="3" borderId="3" xfId="0" applyFont="1" applyFill="1" applyBorder="1" applyAlignment="1">
      <alignment horizontal="center" vertical="top" wrapText="1"/>
    </xf>
    <xf numFmtId="0" fontId="7" fillId="3" borderId="1" xfId="0" applyFont="1" applyFill="1" applyBorder="1" applyAlignment="1">
      <alignment horizontal="center"/>
    </xf>
    <xf numFmtId="0" fontId="7" fillId="3" borderId="2" xfId="0" applyFont="1" applyFill="1" applyBorder="1" applyAlignment="1">
      <alignment horizontal="center"/>
    </xf>
    <xf numFmtId="0" fontId="7" fillId="3" borderId="3" xfId="0" applyFont="1" applyFill="1" applyBorder="1" applyAlignment="1">
      <alignment horizontal="center"/>
    </xf>
    <xf numFmtId="0" fontId="9" fillId="0" borderId="4" xfId="0" applyFont="1" applyBorder="1" applyAlignment="1">
      <alignment horizontal="left"/>
    </xf>
    <xf numFmtId="0" fontId="9" fillId="0" borderId="5" xfId="0" applyFont="1" applyBorder="1" applyAlignment="1">
      <alignment horizontal="left"/>
    </xf>
    <xf numFmtId="0" fontId="9" fillId="0" borderId="6" xfId="0" applyFont="1" applyBorder="1" applyAlignment="1">
      <alignment horizontal="left"/>
    </xf>
    <xf numFmtId="0" fontId="11" fillId="0" borderId="7" xfId="0" applyFont="1" applyBorder="1" applyAlignment="1">
      <alignment horizontal="left"/>
    </xf>
    <xf numFmtId="0" fontId="11" fillId="0" borderId="0" xfId="0" applyFont="1" applyAlignment="1">
      <alignment horizontal="left"/>
    </xf>
    <xf numFmtId="0" fontId="11" fillId="0" borderId="8" xfId="0" applyFont="1" applyBorder="1" applyAlignment="1">
      <alignment horizontal="left"/>
    </xf>
    <xf numFmtId="0" fontId="10" fillId="0" borderId="7" xfId="0" applyFont="1" applyBorder="1" applyAlignment="1">
      <alignment horizontal="left" vertical="top"/>
    </xf>
    <xf numFmtId="0" fontId="10" fillId="0" borderId="0" xfId="0" applyFont="1" applyAlignment="1">
      <alignment horizontal="left" vertical="top"/>
    </xf>
    <xf numFmtId="0" fontId="10" fillId="0" borderId="8" xfId="0" applyFont="1" applyBorder="1" applyAlignment="1">
      <alignment horizontal="left" vertical="top"/>
    </xf>
    <xf numFmtId="0" fontId="5" fillId="0" borderId="9" xfId="0" applyFont="1" applyBorder="1" applyAlignment="1">
      <alignment horizontal="left"/>
    </xf>
    <xf numFmtId="0" fontId="5" fillId="0" borderId="10" xfId="0" applyFont="1" applyBorder="1" applyAlignment="1">
      <alignment horizontal="left"/>
    </xf>
    <xf numFmtId="0" fontId="5" fillId="0" borderId="11" xfId="0" applyFont="1" applyBorder="1" applyAlignment="1">
      <alignment horizontal="left"/>
    </xf>
    <xf numFmtId="0" fontId="10" fillId="0" borderId="9" xfId="0" applyFont="1" applyBorder="1" applyAlignment="1">
      <alignment horizontal="left" vertical="top" wrapText="1"/>
    </xf>
    <xf numFmtId="0" fontId="10" fillId="0" borderId="10" xfId="0" applyFont="1" applyBorder="1" applyAlignment="1">
      <alignment horizontal="left" vertical="top"/>
    </xf>
    <xf numFmtId="0" fontId="10" fillId="0" borderId="11" xfId="0" applyFont="1" applyBorder="1" applyAlignment="1">
      <alignment horizontal="left" vertical="top"/>
    </xf>
    <xf numFmtId="0" fontId="16" fillId="0" borderId="7" xfId="0" applyFont="1" applyBorder="1" applyAlignment="1">
      <alignment horizontal="left" vertical="top" wrapText="1"/>
    </xf>
    <xf numFmtId="0" fontId="16" fillId="0" borderId="0" xfId="0" applyFont="1" applyAlignment="1">
      <alignment horizontal="left" vertical="top"/>
    </xf>
    <xf numFmtId="0" fontId="16" fillId="0" borderId="8" xfId="0" applyFont="1" applyBorder="1" applyAlignment="1">
      <alignment horizontal="left" vertical="top"/>
    </xf>
    <xf numFmtId="0" fontId="5" fillId="0" borderId="7" xfId="0" applyFont="1" applyBorder="1" applyAlignment="1">
      <alignment horizontal="left"/>
    </xf>
    <xf numFmtId="0" fontId="5" fillId="0" borderId="0" xfId="0" applyFont="1" applyAlignment="1">
      <alignment horizontal="left"/>
    </xf>
    <xf numFmtId="0" fontId="5" fillId="0" borderId="8" xfId="0" applyFont="1" applyBorder="1" applyAlignment="1">
      <alignment horizontal="left"/>
    </xf>
    <xf numFmtId="0" fontId="10" fillId="0" borderId="9" xfId="0" applyFont="1" applyBorder="1" applyAlignment="1">
      <alignment horizontal="left"/>
    </xf>
    <xf numFmtId="0" fontId="10" fillId="0" borderId="10" xfId="0" applyFont="1" applyBorder="1" applyAlignment="1">
      <alignment horizontal="left"/>
    </xf>
    <xf numFmtId="0" fontId="10" fillId="0" borderId="11" xfId="0" applyFont="1" applyBorder="1" applyAlignment="1">
      <alignment horizontal="left"/>
    </xf>
    <xf numFmtId="0" fontId="11" fillId="0" borderId="9" xfId="0" applyFont="1" applyBorder="1" applyAlignment="1">
      <alignment horizontal="left"/>
    </xf>
    <xf numFmtId="0" fontId="11" fillId="0" borderId="10" xfId="0" applyFont="1" applyBorder="1" applyAlignment="1">
      <alignment horizontal="left"/>
    </xf>
    <xf numFmtId="0" fontId="11" fillId="0" borderId="11" xfId="0" applyFont="1" applyBorder="1" applyAlignment="1">
      <alignment horizontal="left"/>
    </xf>
    <xf numFmtId="0" fontId="10" fillId="0" borderId="7" xfId="0" applyFont="1" applyBorder="1" applyAlignment="1">
      <alignment horizontal="left" vertical="top" wrapText="1"/>
    </xf>
    <xf numFmtId="0" fontId="38" fillId="13" borderId="15" xfId="0" applyFont="1" applyFill="1" applyBorder="1" applyAlignment="1">
      <alignment horizontal="center" vertical="center" wrapText="1"/>
    </xf>
    <xf numFmtId="0" fontId="38" fillId="13" borderId="16" xfId="0" applyFont="1" applyFill="1" applyBorder="1" applyAlignment="1">
      <alignment horizontal="center" vertical="center" wrapText="1"/>
    </xf>
    <xf numFmtId="0" fontId="29" fillId="3" borderId="18" xfId="0" applyFont="1" applyFill="1" applyBorder="1" applyAlignment="1">
      <alignment horizontal="center"/>
    </xf>
    <xf numFmtId="0" fontId="29" fillId="8" borderId="18" xfId="0" applyFont="1" applyFill="1" applyBorder="1" applyAlignment="1">
      <alignment horizontal="center"/>
    </xf>
    <xf numFmtId="0" fontId="30" fillId="3" borderId="18" xfId="0" applyFont="1" applyFill="1" applyBorder="1" applyAlignment="1">
      <alignment horizontal="center"/>
    </xf>
    <xf numFmtId="0" fontId="31" fillId="0" borderId="4" xfId="0" applyFont="1" applyBorder="1" applyAlignment="1">
      <alignment horizontal="center"/>
    </xf>
    <xf numFmtId="0" fontId="31" fillId="0" borderId="5" xfId="0" applyFont="1" applyBorder="1" applyAlignment="1">
      <alignment horizontal="center"/>
    </xf>
    <xf numFmtId="0" fontId="31" fillId="0" borderId="3" xfId="0" applyFont="1" applyBorder="1" applyAlignment="1">
      <alignment horizontal="center"/>
    </xf>
    <xf numFmtId="0" fontId="0" fillId="9" borderId="20" xfId="0" applyFill="1" applyBorder="1" applyAlignment="1">
      <alignment horizontal="center" vertical="center" wrapText="1"/>
    </xf>
    <xf numFmtId="0" fontId="0" fillId="9" borderId="21" xfId="0" applyFill="1" applyBorder="1" applyAlignment="1">
      <alignment horizontal="center" vertical="center" wrapText="1"/>
    </xf>
    <xf numFmtId="0" fontId="0" fillId="9" borderId="22" xfId="0" applyFill="1" applyBorder="1" applyAlignment="1">
      <alignment horizontal="center" vertical="center" wrapText="1"/>
    </xf>
    <xf numFmtId="0" fontId="0" fillId="10" borderId="20" xfId="0" applyFill="1" applyBorder="1" applyAlignment="1">
      <alignment horizontal="center" vertical="center" wrapText="1"/>
    </xf>
    <xf numFmtId="0" fontId="0" fillId="10" borderId="21" xfId="0" applyFill="1" applyBorder="1" applyAlignment="1">
      <alignment horizontal="center" vertical="center" wrapText="1"/>
    </xf>
    <xf numFmtId="0" fontId="0" fillId="10" borderId="22" xfId="0" applyFill="1" applyBorder="1" applyAlignment="1">
      <alignment horizontal="center" vertical="center" wrapText="1"/>
    </xf>
    <xf numFmtId="0" fontId="0" fillId="11" borderId="20" xfId="0" applyFill="1" applyBorder="1" applyAlignment="1">
      <alignment horizontal="center" vertical="center" wrapText="1"/>
    </xf>
    <xf numFmtId="0" fontId="0" fillId="11" borderId="21" xfId="0" applyFill="1" applyBorder="1" applyAlignment="1">
      <alignment horizontal="center" vertical="center" wrapText="1"/>
    </xf>
    <xf numFmtId="0" fontId="0" fillId="11" borderId="22" xfId="0" applyFill="1" applyBorder="1" applyAlignment="1">
      <alignment horizontal="center" vertical="center" wrapText="1"/>
    </xf>
    <xf numFmtId="0" fontId="0" fillId="12" borderId="20" xfId="0" applyFill="1" applyBorder="1" applyAlignment="1">
      <alignment horizontal="center" vertical="center" wrapText="1"/>
    </xf>
    <xf numFmtId="0" fontId="0" fillId="12" borderId="21" xfId="0" applyFill="1" applyBorder="1" applyAlignment="1">
      <alignment horizontal="center" vertical="center" wrapText="1"/>
    </xf>
    <xf numFmtId="0" fontId="0" fillId="12" borderId="23" xfId="0" applyFill="1" applyBorder="1" applyAlignment="1">
      <alignment horizontal="center" vertical="center" wrapText="1"/>
    </xf>
    <xf numFmtId="0" fontId="0" fillId="13" borderId="24" xfId="0" applyFill="1" applyBorder="1" applyAlignment="1">
      <alignment horizontal="center"/>
    </xf>
    <xf numFmtId="0" fontId="0" fillId="13" borderId="25" xfId="0" applyFill="1" applyBorder="1" applyAlignment="1">
      <alignment horizontal="center"/>
    </xf>
    <xf numFmtId="0" fontId="38" fillId="18" borderId="15" xfId="0" applyFont="1" applyFill="1" applyBorder="1" applyAlignment="1">
      <alignment horizontal="center" vertical="center" wrapText="1"/>
    </xf>
    <xf numFmtId="0" fontId="38" fillId="18" borderId="16" xfId="0" applyFont="1" applyFill="1" applyBorder="1" applyAlignment="1">
      <alignment horizontal="center" vertical="center" wrapText="1"/>
    </xf>
    <xf numFmtId="0" fontId="38" fillId="11" borderId="66" xfId="0" applyFont="1" applyFill="1" applyBorder="1" applyAlignment="1">
      <alignment horizontal="center" vertical="center" wrapText="1"/>
    </xf>
    <xf numFmtId="0" fontId="38" fillId="11" borderId="15" xfId="0" applyFont="1" applyFill="1" applyBorder="1" applyAlignment="1">
      <alignment horizontal="center" vertical="center" wrapText="1"/>
    </xf>
    <xf numFmtId="0" fontId="38" fillId="11" borderId="16" xfId="0" applyFont="1" applyFill="1" applyBorder="1" applyAlignment="1">
      <alignment horizontal="center" vertical="center" wrapText="1"/>
    </xf>
    <xf numFmtId="0" fontId="38" fillId="23" borderId="66" xfId="0" applyFont="1" applyFill="1" applyBorder="1" applyAlignment="1">
      <alignment horizontal="center" vertical="center" wrapText="1"/>
    </xf>
    <xf numFmtId="0" fontId="38" fillId="23" borderId="15" xfId="0" applyFont="1" applyFill="1" applyBorder="1" applyAlignment="1">
      <alignment horizontal="center" vertical="center" wrapText="1"/>
    </xf>
    <xf numFmtId="0" fontId="38" fillId="23" borderId="16" xfId="0" applyFont="1" applyFill="1" applyBorder="1" applyAlignment="1">
      <alignment horizontal="center" vertical="center" wrapText="1"/>
    </xf>
    <xf numFmtId="0" fontId="38" fillId="29" borderId="66" xfId="0" applyFont="1" applyFill="1" applyBorder="1" applyAlignment="1">
      <alignment horizontal="center" vertical="center" wrapText="1"/>
    </xf>
    <xf numFmtId="0" fontId="38" fillId="29" borderId="15" xfId="0" applyFont="1" applyFill="1" applyBorder="1" applyAlignment="1">
      <alignment horizontal="center" vertical="center" wrapText="1"/>
    </xf>
    <xf numFmtId="0" fontId="38" fillId="29" borderId="16" xfId="0" applyFont="1" applyFill="1" applyBorder="1" applyAlignment="1">
      <alignment horizontal="center" vertical="center" wrapText="1"/>
    </xf>
    <xf numFmtId="0" fontId="38" fillId="31" borderId="66" xfId="0" applyFont="1" applyFill="1" applyBorder="1" applyAlignment="1">
      <alignment horizontal="center" vertical="center" wrapText="1"/>
    </xf>
    <xf numFmtId="0" fontId="38" fillId="31" borderId="16" xfId="0" applyFont="1" applyFill="1" applyBorder="1" applyAlignment="1">
      <alignment horizontal="center" vertical="center" wrapText="1"/>
    </xf>
    <xf numFmtId="0" fontId="50" fillId="34" borderId="130" xfId="0" applyFont="1" applyFill="1" applyBorder="1" applyAlignment="1">
      <alignment horizontal="center" vertical="center" wrapText="1"/>
    </xf>
    <xf numFmtId="0" fontId="50" fillId="34" borderId="15" xfId="0" applyFont="1" applyFill="1" applyBorder="1" applyAlignment="1">
      <alignment horizontal="center" vertical="center" wrapText="1"/>
    </xf>
    <xf numFmtId="0" fontId="50" fillId="34" borderId="16" xfId="0" applyFont="1" applyFill="1" applyBorder="1" applyAlignment="1">
      <alignment horizontal="center" vertical="center" wrapText="1"/>
    </xf>
    <xf numFmtId="0" fontId="0" fillId="36" borderId="156" xfId="0" applyFill="1" applyBorder="1" applyAlignment="1">
      <alignment horizontal="center" vertical="center"/>
    </xf>
    <xf numFmtId="0" fontId="0" fillId="36" borderId="89" xfId="0" applyFill="1" applyBorder="1" applyAlignment="1">
      <alignment horizontal="center" vertical="center"/>
    </xf>
    <xf numFmtId="0" fontId="0" fillId="36" borderId="128" xfId="0" applyFill="1" applyBorder="1" applyAlignment="1">
      <alignment horizontal="center" vertical="center"/>
    </xf>
    <xf numFmtId="0" fontId="38" fillId="34" borderId="15" xfId="0" applyFont="1" applyFill="1" applyBorder="1" applyAlignment="1">
      <alignment horizontal="center" vertical="center"/>
    </xf>
    <xf numFmtId="0" fontId="38" fillId="34" borderId="16" xfId="0" applyFont="1" applyFill="1" applyBorder="1" applyAlignment="1">
      <alignment horizontal="center" vertical="center"/>
    </xf>
    <xf numFmtId="0" fontId="38" fillId="41" borderId="66" xfId="0" applyFont="1" applyFill="1" applyBorder="1" applyAlignment="1">
      <alignment horizontal="center" vertical="center"/>
    </xf>
    <xf numFmtId="0" fontId="38" fillId="41" borderId="15" xfId="0" applyFont="1" applyFill="1" applyBorder="1" applyAlignment="1">
      <alignment horizontal="center" vertical="center"/>
    </xf>
    <xf numFmtId="0" fontId="38" fillId="41" borderId="16" xfId="0" applyFont="1" applyFill="1" applyBorder="1" applyAlignment="1">
      <alignment horizontal="center" vertical="center"/>
    </xf>
    <xf numFmtId="0" fontId="38" fillId="45" borderId="66" xfId="0" applyFont="1" applyFill="1" applyBorder="1" applyAlignment="1">
      <alignment horizontal="center" vertical="center" wrapText="1"/>
    </xf>
    <xf numFmtId="0" fontId="38" fillId="45" borderId="15" xfId="0" applyFont="1" applyFill="1" applyBorder="1" applyAlignment="1">
      <alignment horizontal="center" vertical="center" wrapText="1"/>
    </xf>
    <xf numFmtId="0" fontId="38" fillId="45" borderId="16" xfId="0" applyFont="1" applyFill="1" applyBorder="1" applyAlignment="1">
      <alignment horizontal="center" vertical="center" wrapText="1"/>
    </xf>
    <xf numFmtId="0" fontId="38" fillId="13" borderId="66" xfId="0" applyFont="1" applyFill="1" applyBorder="1" applyAlignment="1">
      <alignment horizontal="center" vertical="center"/>
    </xf>
    <xf numFmtId="0" fontId="38" fillId="13" borderId="129" xfId="0" applyFont="1" applyFill="1" applyBorder="1" applyAlignment="1">
      <alignment horizontal="center" vertical="center"/>
    </xf>
    <xf numFmtId="0" fontId="2" fillId="35" borderId="66" xfId="0" applyFont="1" applyFill="1" applyBorder="1" applyAlignment="1">
      <alignment horizontal="center" vertical="center" wrapText="1"/>
    </xf>
    <xf numFmtId="0" fontId="2" fillId="35" borderId="129" xfId="0" applyFont="1" applyFill="1" applyBorder="1" applyAlignment="1">
      <alignment horizontal="center" vertical="center" wrapText="1"/>
    </xf>
    <xf numFmtId="0" fontId="38" fillId="34" borderId="130" xfId="0" applyFont="1" applyFill="1" applyBorder="1" applyAlignment="1">
      <alignment horizontal="center" vertical="center"/>
    </xf>
    <xf numFmtId="0" fontId="2" fillId="35" borderId="130" xfId="0" applyFont="1" applyFill="1" applyBorder="1" applyAlignment="1">
      <alignment horizontal="center" vertical="center" wrapText="1"/>
    </xf>
    <xf numFmtId="0" fontId="2" fillId="0" borderId="160" xfId="0" applyFont="1" applyBorder="1" applyAlignment="1">
      <alignment horizontal="center" vertical="center" wrapText="1"/>
    </xf>
    <xf numFmtId="0" fontId="2" fillId="0" borderId="19" xfId="0" applyFont="1" applyBorder="1" applyAlignment="1">
      <alignment horizontal="center" vertical="center" wrapText="1"/>
    </xf>
    <xf numFmtId="0" fontId="50" fillId="41" borderId="66" xfId="0" applyFont="1" applyFill="1" applyBorder="1" applyAlignment="1">
      <alignment horizontal="center" vertical="center" wrapText="1"/>
    </xf>
    <xf numFmtId="0" fontId="50" fillId="41" borderId="15" xfId="0" applyFont="1" applyFill="1" applyBorder="1" applyAlignment="1">
      <alignment horizontal="center" vertical="center" wrapText="1"/>
    </xf>
    <xf numFmtId="0" fontId="50" fillId="41" borderId="16" xfId="0" applyFont="1" applyFill="1" applyBorder="1" applyAlignment="1">
      <alignment horizontal="center" vertical="center" wrapText="1"/>
    </xf>
    <xf numFmtId="0" fontId="0" fillId="42" borderId="165" xfId="0" applyFill="1" applyBorder="1" applyAlignment="1">
      <alignment horizontal="center" vertical="center"/>
    </xf>
    <xf numFmtId="0" fontId="0" fillId="42" borderId="125" xfId="0" applyFill="1" applyBorder="1" applyAlignment="1">
      <alignment horizontal="center" vertical="center"/>
    </xf>
    <xf numFmtId="0" fontId="50" fillId="45" borderId="66" xfId="0" applyFont="1" applyFill="1" applyBorder="1" applyAlignment="1">
      <alignment horizontal="center" vertical="center" wrapText="1"/>
    </xf>
    <xf numFmtId="0" fontId="50" fillId="45" borderId="15" xfId="0" applyFont="1" applyFill="1" applyBorder="1" applyAlignment="1">
      <alignment horizontal="center" vertical="center" wrapText="1"/>
    </xf>
    <xf numFmtId="0" fontId="50" fillId="45" borderId="16" xfId="0" applyFont="1" applyFill="1" applyBorder="1" applyAlignment="1">
      <alignment horizontal="center" vertical="center" wrapText="1"/>
    </xf>
    <xf numFmtId="10" fontId="0" fillId="47" borderId="74" xfId="0" applyNumberFormat="1" applyFill="1" applyBorder="1" applyAlignment="1">
      <alignment horizontal="center" vertical="center"/>
    </xf>
    <xf numFmtId="10" fontId="0" fillId="47" borderId="89" xfId="0" applyNumberFormat="1" applyFill="1" applyBorder="1" applyAlignment="1">
      <alignment horizontal="center" vertical="center"/>
    </xf>
    <xf numFmtId="10" fontId="0" fillId="47" borderId="128" xfId="0" applyNumberFormat="1" applyFill="1" applyBorder="1" applyAlignment="1">
      <alignment horizontal="center" vertical="center"/>
    </xf>
    <xf numFmtId="0" fontId="50" fillId="13" borderId="66" xfId="0" applyFont="1" applyFill="1" applyBorder="1" applyAlignment="1">
      <alignment horizontal="center" vertical="center"/>
    </xf>
    <xf numFmtId="0" fontId="50" fillId="13" borderId="16" xfId="0" applyFont="1" applyFill="1" applyBorder="1" applyAlignment="1">
      <alignment horizontal="center" vertical="center"/>
    </xf>
    <xf numFmtId="0" fontId="0" fillId="13" borderId="89" xfId="0" applyFill="1" applyBorder="1" applyAlignment="1">
      <alignment horizontal="center" vertical="center"/>
    </xf>
    <xf numFmtId="0" fontId="0" fillId="13" borderId="128" xfId="0" applyFill="1" applyBorder="1" applyAlignment="1">
      <alignment horizontal="center" vertical="center"/>
    </xf>
    <xf numFmtId="0" fontId="50" fillId="41" borderId="66" xfId="0" applyFont="1" applyFill="1" applyBorder="1" applyAlignment="1">
      <alignment horizontal="center" vertical="center"/>
    </xf>
    <xf numFmtId="0" fontId="50" fillId="41" borderId="16" xfId="0" applyFont="1" applyFill="1" applyBorder="1" applyAlignment="1">
      <alignment horizontal="center" vertical="center"/>
    </xf>
    <xf numFmtId="0" fontId="50" fillId="58" borderId="66" xfId="0" applyFont="1" applyFill="1" applyBorder="1" applyAlignment="1">
      <alignment horizontal="center" vertical="center" wrapText="1"/>
    </xf>
    <xf numFmtId="0" fontId="50" fillId="58" borderId="15" xfId="0" applyFont="1" applyFill="1" applyBorder="1" applyAlignment="1">
      <alignment horizontal="center" vertical="center" wrapText="1"/>
    </xf>
    <xf numFmtId="0" fontId="50" fillId="58" borderId="16" xfId="0" applyFont="1" applyFill="1" applyBorder="1" applyAlignment="1">
      <alignment horizontal="center" vertical="center" wrapText="1"/>
    </xf>
    <xf numFmtId="0" fontId="50" fillId="50" borderId="15" xfId="0" applyFont="1" applyFill="1" applyBorder="1" applyAlignment="1">
      <alignment horizontal="center" vertical="center"/>
    </xf>
    <xf numFmtId="0" fontId="50" fillId="50" borderId="16" xfId="0" applyFont="1" applyFill="1" applyBorder="1" applyAlignment="1">
      <alignment horizontal="center" vertical="center"/>
    </xf>
    <xf numFmtId="0" fontId="0" fillId="50" borderId="74" xfId="0" applyFill="1" applyBorder="1" applyAlignment="1">
      <alignment horizontal="center" vertical="center"/>
    </xf>
    <xf numFmtId="0" fontId="0" fillId="50" borderId="128" xfId="0" applyFill="1" applyBorder="1" applyAlignment="1">
      <alignment horizontal="center" vertical="center"/>
    </xf>
    <xf numFmtId="0" fontId="50" fillId="18" borderId="121" xfId="0" applyFont="1" applyFill="1" applyBorder="1" applyAlignment="1">
      <alignment horizontal="center" vertical="center" wrapText="1"/>
    </xf>
    <xf numFmtId="0" fontId="50" fillId="18" borderId="176" xfId="0" applyFont="1" applyFill="1" applyBorder="1" applyAlignment="1">
      <alignment horizontal="center" vertical="center" wrapText="1"/>
    </xf>
    <xf numFmtId="0" fontId="50" fillId="18" borderId="152" xfId="0" applyFont="1" applyFill="1" applyBorder="1" applyAlignment="1">
      <alignment horizontal="center" vertical="center" wrapText="1"/>
    </xf>
    <xf numFmtId="0" fontId="50" fillId="12" borderId="15" xfId="0" applyFont="1" applyFill="1" applyBorder="1" applyAlignment="1">
      <alignment horizontal="center" vertical="center"/>
    </xf>
    <xf numFmtId="0" fontId="50" fillId="12" borderId="16" xfId="0" applyFont="1" applyFill="1" applyBorder="1" applyAlignment="1">
      <alignment horizontal="center" vertical="center"/>
    </xf>
    <xf numFmtId="0" fontId="50" fillId="45" borderId="66" xfId="0" applyFont="1" applyFill="1" applyBorder="1" applyAlignment="1">
      <alignment horizontal="center" vertical="center"/>
    </xf>
    <xf numFmtId="0" fontId="50" fillId="45" borderId="15" xfId="0" applyFont="1" applyFill="1" applyBorder="1" applyAlignment="1">
      <alignment horizontal="center" vertical="center"/>
    </xf>
    <xf numFmtId="0" fontId="50" fillId="45" borderId="16" xfId="0" applyFont="1" applyFill="1" applyBorder="1" applyAlignment="1">
      <alignment horizontal="center" vertical="center"/>
    </xf>
    <xf numFmtId="0" fontId="50" fillId="10" borderId="66" xfId="0" applyFont="1" applyFill="1" applyBorder="1" applyAlignment="1">
      <alignment horizontal="center" vertical="center" wrapText="1"/>
    </xf>
    <xf numFmtId="0" fontId="50" fillId="10" borderId="15" xfId="0" applyFont="1" applyFill="1" applyBorder="1" applyAlignment="1">
      <alignment horizontal="center" vertical="center"/>
    </xf>
    <xf numFmtId="0" fontId="50" fillId="10" borderId="16" xfId="0" applyFont="1" applyFill="1" applyBorder="1" applyAlignment="1">
      <alignment horizontal="center" vertical="center"/>
    </xf>
    <xf numFmtId="0" fontId="7" fillId="3" borderId="4" xfId="0" applyFont="1" applyFill="1" applyBorder="1" applyAlignment="1">
      <alignment horizontal="center"/>
    </xf>
    <xf numFmtId="0" fontId="7" fillId="3" borderId="5" xfId="0" applyFont="1" applyFill="1" applyBorder="1" applyAlignment="1">
      <alignment horizontal="center"/>
    </xf>
    <xf numFmtId="0" fontId="7" fillId="3" borderId="6" xfId="0" applyFont="1" applyFill="1" applyBorder="1" applyAlignment="1">
      <alignment horizontal="center"/>
    </xf>
    <xf numFmtId="0" fontId="59" fillId="3" borderId="9" xfId="0" applyFont="1" applyFill="1" applyBorder="1" applyAlignment="1">
      <alignment horizontal="center"/>
    </xf>
    <xf numFmtId="0" fontId="59" fillId="3" borderId="10" xfId="0" applyFont="1" applyFill="1" applyBorder="1" applyAlignment="1">
      <alignment horizontal="center"/>
    </xf>
    <xf numFmtId="0" fontId="59" fillId="3" borderId="11" xfId="0" applyFont="1" applyFill="1" applyBorder="1" applyAlignment="1">
      <alignment horizontal="center"/>
    </xf>
    <xf numFmtId="0" fontId="7" fillId="0" borderId="0" xfId="0" applyFont="1" applyAlignment="1">
      <alignment horizontal="center"/>
    </xf>
    <xf numFmtId="0" fontId="60" fillId="3" borderId="1" xfId="0" applyFont="1" applyFill="1" applyBorder="1" applyAlignment="1">
      <alignment horizontal="center"/>
    </xf>
    <xf numFmtId="0" fontId="60" fillId="3" borderId="3" xfId="0" applyFont="1" applyFill="1" applyBorder="1" applyAlignment="1">
      <alignment horizontal="center"/>
    </xf>
    <xf numFmtId="0" fontId="69" fillId="0" borderId="0" xfId="0" applyFont="1" applyAlignment="1">
      <alignment horizontal="center" vertical="center"/>
    </xf>
    <xf numFmtId="170" fontId="11" fillId="0" borderId="0" xfId="0" applyNumberFormat="1" applyFont="1" applyAlignment="1">
      <alignment horizontal="center"/>
    </xf>
    <xf numFmtId="0" fontId="75" fillId="0" borderId="0" xfId="0" applyFont="1" applyAlignment="1">
      <alignment horizontal="right" vertical="center" wrapText="1"/>
    </xf>
    <xf numFmtId="0" fontId="75" fillId="0" borderId="182" xfId="0" applyFont="1" applyBorder="1" applyAlignment="1">
      <alignment horizontal="center" wrapText="1"/>
    </xf>
    <xf numFmtId="0" fontId="75" fillId="0" borderId="0" xfId="0" applyFont="1" applyAlignment="1">
      <alignment horizontal="center" vertical="center" wrapText="1"/>
    </xf>
    <xf numFmtId="0" fontId="70" fillId="0" borderId="0" xfId="0" applyFont="1" applyAlignment="1">
      <alignment horizontal="left"/>
    </xf>
    <xf numFmtId="0" fontId="60" fillId="0" borderId="0" xfId="0" applyFont="1" applyAlignment="1">
      <alignment horizontal="center"/>
    </xf>
    <xf numFmtId="0" fontId="106" fillId="2" borderId="0" xfId="0" applyFont="1" applyFill="1" applyAlignment="1">
      <alignment horizontal="center" vertical="center" wrapText="1"/>
    </xf>
    <xf numFmtId="0" fontId="107" fillId="2" borderId="0" xfId="0" applyFont="1" applyFill="1" applyAlignment="1">
      <alignment horizontal="center" vertical="center"/>
    </xf>
  </cellXfs>
  <cellStyles count="6">
    <cellStyle name="Comma 2" xfId="4" xr:uid="{5A68AE30-156A-4432-AD28-7FADDB2DD487}"/>
    <cellStyle name="Comma 2 2" xfId="5" xr:uid="{875C6418-6149-49F4-90E9-96C889893455}"/>
    <cellStyle name="Normal 2" xfId="3" xr:uid="{52BB0900-D819-421F-ABED-13A1A3B3A092}"/>
    <cellStyle name="Normale" xfId="0" builtinId="0"/>
    <cellStyle name="Percent 2" xfId="1" xr:uid="{586EB1DB-E6F9-4CC5-83D8-1BD009F7F015}"/>
    <cellStyle name="Percent 3" xfId="2" xr:uid="{0A36D8DE-A6E9-4912-B5E2-C37A32002CE4}"/>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w="25400">
          <a:noFill/>
        </a:ln>
      </c:spPr>
      <c:txPr>
        <a:bodyPr/>
        <a:lstStyle/>
        <a:p>
          <a:pPr>
            <a:defRPr sz="1400" b="0" i="0" u="none" strike="noStrike" baseline="0">
              <a:solidFill>
                <a:srgbClr val="333333"/>
              </a:solidFill>
              <a:latin typeface="Calibri"/>
              <a:ea typeface="Calibri"/>
              <a:cs typeface="Calibri"/>
            </a:defRPr>
          </a:pPr>
          <a:endParaRPr lang="it-IT"/>
        </a:p>
      </c:txPr>
    </c:title>
    <c:autoTitleDeleted val="0"/>
    <c:plotArea>
      <c:layout/>
      <c:lineChart>
        <c:grouping val="standard"/>
        <c:varyColors val="0"/>
        <c:ser>
          <c:idx val="0"/>
          <c:order val="0"/>
          <c:tx>
            <c:v>Non-Life refund before ET charges</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Lit>
              <c:formatCode>General</c:formatCode>
              <c:ptCount val="78"/>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numLit>
          </c:cat>
          <c:val>
            <c:numLit>
              <c:formatCode>General</c:formatCode>
              <c:ptCount val="78"/>
              <c:pt idx="0">
                <c:v>717.895625</c:v>
              </c:pt>
              <c:pt idx="1">
                <c:v>702.62125000000003</c:v>
              </c:pt>
              <c:pt idx="2">
                <c:v>687.34687499999995</c:v>
              </c:pt>
              <c:pt idx="3">
                <c:v>672.07249999999897</c:v>
              </c:pt>
              <c:pt idx="4">
                <c:v>656.798124999999</c:v>
              </c:pt>
              <c:pt idx="5">
                <c:v>641.52374999999904</c:v>
              </c:pt>
              <c:pt idx="6">
                <c:v>626.24937499999896</c:v>
              </c:pt>
              <c:pt idx="7">
                <c:v>610.97500000000002</c:v>
              </c:pt>
              <c:pt idx="8">
                <c:v>595.70062499999904</c:v>
              </c:pt>
              <c:pt idx="9">
                <c:v>580.42624999999896</c:v>
              </c:pt>
              <c:pt idx="10">
                <c:v>565.151874999999</c:v>
              </c:pt>
              <c:pt idx="11">
                <c:v>549.87749999999903</c:v>
              </c:pt>
              <c:pt idx="12">
                <c:v>534.60312499999895</c:v>
              </c:pt>
              <c:pt idx="13">
                <c:v>519.32875000000001</c:v>
              </c:pt>
              <c:pt idx="14">
                <c:v>504.05437499999903</c:v>
              </c:pt>
              <c:pt idx="15">
                <c:v>488.78</c:v>
              </c:pt>
              <c:pt idx="16">
                <c:v>473.50562500000001</c:v>
              </c:pt>
              <c:pt idx="17">
                <c:v>458.23124999999902</c:v>
              </c:pt>
              <c:pt idx="18">
                <c:v>442.95687500000003</c:v>
              </c:pt>
              <c:pt idx="19">
                <c:v>427.68249999999898</c:v>
              </c:pt>
              <c:pt idx="20">
                <c:v>412.40812499999902</c:v>
              </c:pt>
              <c:pt idx="21">
                <c:v>397.133749999999</c:v>
              </c:pt>
              <c:pt idx="22">
                <c:v>381.859375</c:v>
              </c:pt>
              <c:pt idx="23">
                <c:v>366.58499999999901</c:v>
              </c:pt>
              <c:pt idx="24">
                <c:v>351.31062500000002</c:v>
              </c:pt>
              <c:pt idx="25">
                <c:v>336.03625</c:v>
              </c:pt>
              <c:pt idx="26">
                <c:v>320.76187499999901</c:v>
              </c:pt>
              <c:pt idx="27">
                <c:v>305.48750000000001</c:v>
              </c:pt>
              <c:pt idx="28">
                <c:v>290.21312499999902</c:v>
              </c:pt>
              <c:pt idx="29">
                <c:v>274.938749999999</c:v>
              </c:pt>
              <c:pt idx="30">
                <c:v>259.66437500000001</c:v>
              </c:pt>
              <c:pt idx="31">
                <c:v>244.39</c:v>
              </c:pt>
              <c:pt idx="32">
                <c:v>229.115624999999</c:v>
              </c:pt>
              <c:pt idx="33">
                <c:v>213.84124999999901</c:v>
              </c:pt>
              <c:pt idx="34">
                <c:v>198.56687499999899</c:v>
              </c:pt>
              <c:pt idx="35">
                <c:v>183.292499999999</c:v>
              </c:pt>
              <c:pt idx="36">
                <c:v>168.018125</c:v>
              </c:pt>
              <c:pt idx="37">
                <c:v>152.74375000000001</c:v>
              </c:pt>
              <c:pt idx="38">
                <c:v>137.46937499999899</c:v>
              </c:pt>
              <c:pt idx="39">
                <c:v>122.194999999999</c:v>
              </c:pt>
              <c:pt idx="40">
                <c:v>106.92062499999901</c:v>
              </c:pt>
              <c:pt idx="41">
                <c:v>91.646249999999895</c:v>
              </c:pt>
              <c:pt idx="42">
                <c:v>76.371875000000003</c:v>
              </c:pt>
              <c:pt idx="43">
                <c:v>61.097499999999897</c:v>
              </c:pt>
              <c:pt idx="44">
                <c:v>45.823124999999898</c:v>
              </c:pt>
              <c:pt idx="45">
                <c:v>30.548749999999899</c:v>
              </c:pt>
              <c:pt idx="46">
                <c:v>15.2743749999999</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numLit>
          </c:val>
          <c:smooth val="0"/>
          <c:extLst>
            <c:ext xmlns:c16="http://schemas.microsoft.com/office/drawing/2014/chart" uri="{C3380CC4-5D6E-409C-BE32-E72D297353CC}">
              <c16:uniqueId val="{00000000-AA4C-4BAA-B281-340B96108F23}"/>
            </c:ext>
          </c:extLst>
        </c:ser>
        <c:dLbls>
          <c:showLegendKey val="0"/>
          <c:showVal val="0"/>
          <c:showCatName val="0"/>
          <c:showSerName val="0"/>
          <c:showPercent val="0"/>
          <c:showBubbleSize val="0"/>
        </c:dLbls>
        <c:marker val="1"/>
        <c:smooth val="0"/>
        <c:axId val="2010601151"/>
        <c:axId val="1"/>
      </c:lineChart>
      <c:catAx>
        <c:axId val="2010601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vert="horz"/>
          <a:lstStyle/>
          <a:p>
            <a:pPr>
              <a:defRPr sz="900" b="0" i="0" u="none" strike="noStrike" baseline="0">
                <a:solidFill>
                  <a:srgbClr val="333333"/>
                </a:solidFill>
                <a:latin typeface="Calibri"/>
                <a:ea typeface="Calibri"/>
                <a:cs typeface="Calibri"/>
              </a:defRPr>
            </a:pPr>
            <a:endParaRPr lang="it-IT"/>
          </a:p>
        </c:txPr>
        <c:crossAx val="1"/>
        <c:crosses val="autoZero"/>
        <c:auto val="1"/>
        <c:lblAlgn val="ctr"/>
        <c:lblOffset val="100"/>
        <c:tickMarkSkip val="5"/>
        <c:noMultiLvlLbl val="0"/>
      </c:catAx>
      <c:valAx>
        <c:axId val="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ln w="9525">
            <a:noFill/>
          </a:ln>
        </c:spPr>
        <c:txPr>
          <a:bodyPr rot="0" vert="horz"/>
          <a:lstStyle/>
          <a:p>
            <a:pPr>
              <a:defRPr sz="900" b="0" i="0" u="none" strike="noStrike" baseline="0">
                <a:solidFill>
                  <a:srgbClr val="333333"/>
                </a:solidFill>
                <a:latin typeface="Calibri"/>
                <a:ea typeface="Calibri"/>
                <a:cs typeface="Calibri"/>
              </a:defRPr>
            </a:pPr>
            <a:endParaRPr lang="it-IT"/>
          </a:p>
        </c:txPr>
        <c:crossAx val="2010601151"/>
        <c:crosses val="autoZero"/>
        <c:crossBetween val="between"/>
      </c:valAx>
      <c:spPr>
        <a:noFill/>
        <a:ln w="25400">
          <a:noFill/>
        </a:ln>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0" i="0" u="none" strike="noStrike" baseline="0">
          <a:solidFill>
            <a:srgbClr val="000000"/>
          </a:solidFill>
          <a:latin typeface="Calibri"/>
          <a:ea typeface="Calibri"/>
          <a:cs typeface="Calibri"/>
        </a:defRPr>
      </a:pPr>
      <a:endParaRPr lang="it-I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w="25400">
          <a:noFill/>
        </a:ln>
      </c:spPr>
      <c:txPr>
        <a:bodyPr/>
        <a:lstStyle/>
        <a:p>
          <a:pPr>
            <a:defRPr sz="1400" b="0" i="0" u="none" strike="noStrike" baseline="0">
              <a:solidFill>
                <a:srgbClr val="333333"/>
              </a:solidFill>
              <a:latin typeface="Calibri"/>
              <a:ea typeface="Calibri"/>
              <a:cs typeface="Calibri"/>
            </a:defRPr>
          </a:pPr>
          <a:endParaRPr lang="it-IT"/>
        </a:p>
      </c:txPr>
    </c:title>
    <c:autoTitleDeleted val="0"/>
    <c:plotArea>
      <c:layout/>
      <c:lineChart>
        <c:grouping val="standard"/>
        <c:varyColors val="0"/>
        <c:ser>
          <c:idx val="0"/>
          <c:order val="0"/>
          <c:tx>
            <c:v>Non-Life refund after ET charges</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Lit>
              <c:formatCode>General</c:formatCode>
              <c:ptCount val="78"/>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numLit>
          </c:cat>
          <c:val>
            <c:numLit>
              <c:formatCode>General</c:formatCode>
              <c:ptCount val="78"/>
              <c:pt idx="0">
                <c:v>717.895625</c:v>
              </c:pt>
              <c:pt idx="1">
                <c:v>702.62125000000003</c:v>
              </c:pt>
              <c:pt idx="2">
                <c:v>687.34687499999995</c:v>
              </c:pt>
              <c:pt idx="3">
                <c:v>672.07249999999897</c:v>
              </c:pt>
              <c:pt idx="4">
                <c:v>656.798124999999</c:v>
              </c:pt>
              <c:pt idx="5">
                <c:v>641.52374999999904</c:v>
              </c:pt>
              <c:pt idx="6">
                <c:v>626.24937499999896</c:v>
              </c:pt>
              <c:pt idx="7">
                <c:v>610.97500000000002</c:v>
              </c:pt>
              <c:pt idx="8">
                <c:v>595.70062499999904</c:v>
              </c:pt>
              <c:pt idx="9">
                <c:v>580.42624999999896</c:v>
              </c:pt>
              <c:pt idx="10">
                <c:v>565.151874999999</c:v>
              </c:pt>
              <c:pt idx="11">
                <c:v>549.87749999999903</c:v>
              </c:pt>
              <c:pt idx="12">
                <c:v>534.60312499999895</c:v>
              </c:pt>
              <c:pt idx="13">
                <c:v>519.32875000000001</c:v>
              </c:pt>
              <c:pt idx="14">
                <c:v>504.05437499999903</c:v>
              </c:pt>
              <c:pt idx="15">
                <c:v>488.78</c:v>
              </c:pt>
              <c:pt idx="16">
                <c:v>473.50562500000001</c:v>
              </c:pt>
              <c:pt idx="17">
                <c:v>458.23124999999902</c:v>
              </c:pt>
              <c:pt idx="18">
                <c:v>442.95687500000003</c:v>
              </c:pt>
              <c:pt idx="19">
                <c:v>427.68249999999898</c:v>
              </c:pt>
              <c:pt idx="20">
                <c:v>412.40812499999902</c:v>
              </c:pt>
              <c:pt idx="21">
                <c:v>397.133749999999</c:v>
              </c:pt>
              <c:pt idx="22">
                <c:v>381.859375</c:v>
              </c:pt>
              <c:pt idx="23">
                <c:v>366.58499999999901</c:v>
              </c:pt>
              <c:pt idx="24">
                <c:v>351.31062500000002</c:v>
              </c:pt>
              <c:pt idx="25">
                <c:v>336.03625</c:v>
              </c:pt>
              <c:pt idx="26">
                <c:v>320.76187499999901</c:v>
              </c:pt>
              <c:pt idx="27">
                <c:v>305.48750000000001</c:v>
              </c:pt>
              <c:pt idx="28">
                <c:v>290.21312499999902</c:v>
              </c:pt>
              <c:pt idx="29">
                <c:v>274.938749999999</c:v>
              </c:pt>
              <c:pt idx="30">
                <c:v>259.66437500000001</c:v>
              </c:pt>
              <c:pt idx="31">
                <c:v>244.39</c:v>
              </c:pt>
              <c:pt idx="32">
                <c:v>229.115624999999</c:v>
              </c:pt>
              <c:pt idx="33">
                <c:v>213.84124999999901</c:v>
              </c:pt>
              <c:pt idx="34">
                <c:v>198.56687499999899</c:v>
              </c:pt>
              <c:pt idx="35">
                <c:v>183.292499999999</c:v>
              </c:pt>
              <c:pt idx="36">
                <c:v>168.018125</c:v>
              </c:pt>
              <c:pt idx="37">
                <c:v>152.74375000000001</c:v>
              </c:pt>
              <c:pt idx="38">
                <c:v>137.46937499999899</c:v>
              </c:pt>
              <c:pt idx="39">
                <c:v>122.194999999999</c:v>
              </c:pt>
              <c:pt idx="40">
                <c:v>106.92062499999901</c:v>
              </c:pt>
              <c:pt idx="41">
                <c:v>91.646249999999895</c:v>
              </c:pt>
              <c:pt idx="42">
                <c:v>76.371875000000003</c:v>
              </c:pt>
              <c:pt idx="43">
                <c:v>61.097499999999897</c:v>
              </c:pt>
              <c:pt idx="44">
                <c:v>45.823124999999898</c:v>
              </c:pt>
              <c:pt idx="45">
                <c:v>30.548749999999899</c:v>
              </c:pt>
              <c:pt idx="46">
                <c:v>15.2743749999999</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numLit>
          </c:val>
          <c:smooth val="0"/>
          <c:extLst>
            <c:ext xmlns:c16="http://schemas.microsoft.com/office/drawing/2014/chart" uri="{C3380CC4-5D6E-409C-BE32-E72D297353CC}">
              <c16:uniqueId val="{00000000-AB33-4B97-B9B8-CBAEF8A777FF}"/>
            </c:ext>
          </c:extLst>
        </c:ser>
        <c:dLbls>
          <c:showLegendKey val="0"/>
          <c:showVal val="0"/>
          <c:showCatName val="0"/>
          <c:showSerName val="0"/>
          <c:showPercent val="0"/>
          <c:showBubbleSize val="0"/>
        </c:dLbls>
        <c:marker val="1"/>
        <c:smooth val="0"/>
        <c:axId val="2010603647"/>
        <c:axId val="1"/>
      </c:lineChart>
      <c:catAx>
        <c:axId val="2010603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vert="horz"/>
          <a:lstStyle/>
          <a:p>
            <a:pPr>
              <a:defRPr sz="900" b="0" i="0" u="none" strike="noStrike" baseline="0">
                <a:solidFill>
                  <a:srgbClr val="333333"/>
                </a:solidFill>
                <a:latin typeface="Calibri"/>
                <a:ea typeface="Calibri"/>
                <a:cs typeface="Calibri"/>
              </a:defRPr>
            </a:pPr>
            <a:endParaRPr lang="it-IT"/>
          </a:p>
        </c:txPr>
        <c:crossAx val="1"/>
        <c:crosses val="autoZero"/>
        <c:auto val="1"/>
        <c:lblAlgn val="ctr"/>
        <c:lblOffset val="100"/>
        <c:tickMarkSkip val="5"/>
        <c:noMultiLvlLbl val="0"/>
      </c:catAx>
      <c:valAx>
        <c:axId val="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ln w="9525">
            <a:noFill/>
          </a:ln>
        </c:spPr>
        <c:txPr>
          <a:bodyPr rot="0" vert="horz"/>
          <a:lstStyle/>
          <a:p>
            <a:pPr>
              <a:defRPr sz="900" b="0" i="0" u="none" strike="noStrike" baseline="0">
                <a:solidFill>
                  <a:srgbClr val="333333"/>
                </a:solidFill>
                <a:latin typeface="Calibri"/>
                <a:ea typeface="Calibri"/>
                <a:cs typeface="Calibri"/>
              </a:defRPr>
            </a:pPr>
            <a:endParaRPr lang="it-IT"/>
          </a:p>
        </c:txPr>
        <c:crossAx val="2010603647"/>
        <c:crosses val="autoZero"/>
        <c:crossBetween val="between"/>
      </c:valAx>
      <c:spPr>
        <a:noFill/>
        <a:ln w="25400">
          <a:noFill/>
        </a:ln>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0" i="0" u="none" strike="noStrike" baseline="0">
          <a:solidFill>
            <a:srgbClr val="000000"/>
          </a:solidFill>
          <a:latin typeface="Calibri"/>
          <a:ea typeface="Calibri"/>
          <a:cs typeface="Calibri"/>
        </a:defRPr>
      </a:pPr>
      <a:endParaRPr lang="it-IT"/>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2668973959828917"/>
          <c:y val="3.8835113143324614E-2"/>
        </c:manualLayout>
      </c:layout>
      <c:overlay val="0"/>
      <c:spPr>
        <a:noFill/>
        <a:ln w="25400">
          <a:noFill/>
        </a:ln>
      </c:spPr>
      <c:txPr>
        <a:bodyPr/>
        <a:lstStyle/>
        <a:p>
          <a:pPr>
            <a:defRPr sz="1400" b="0" i="0" u="none" strike="noStrike" baseline="0">
              <a:solidFill>
                <a:srgbClr val="333333"/>
              </a:solidFill>
              <a:latin typeface="Calibri"/>
              <a:ea typeface="Calibri"/>
              <a:cs typeface="Calibri"/>
            </a:defRPr>
          </a:pPr>
          <a:endParaRPr lang="it-IT"/>
        </a:p>
      </c:txPr>
    </c:title>
    <c:autoTitleDeleted val="0"/>
    <c:plotArea>
      <c:layout/>
      <c:lineChart>
        <c:grouping val="standard"/>
        <c:varyColors val="0"/>
        <c:ser>
          <c:idx val="0"/>
          <c:order val="0"/>
          <c:tx>
            <c:v>Non-Life refund after ET charges</c:v>
          </c:tx>
          <c:spPr>
            <a:ln w="28575" cap="rnd">
              <a:solidFill>
                <a:schemeClr val="accent1"/>
              </a:solidFill>
              <a:round/>
            </a:ln>
            <a:effectLst/>
          </c:spPr>
          <c:marker>
            <c:symbol val="circle"/>
            <c:size val="5"/>
            <c:spPr>
              <a:solidFill>
                <a:schemeClr val="accent1"/>
              </a:solidFill>
              <a:ln w="9525">
                <a:solidFill>
                  <a:schemeClr val="accent1"/>
                </a:solidFill>
              </a:ln>
              <a:effectLst/>
            </c:spPr>
          </c:marker>
          <c:val>
            <c:numLit>
              <c:formatCode>General</c:formatCode>
              <c:ptCount val="121"/>
              <c:pt idx="0">
                <c:v>684.65203958864197</c:v>
              </c:pt>
              <c:pt idx="1">
                <c:v>674.74632307972297</c:v>
              </c:pt>
              <c:pt idx="2">
                <c:v>664.84060657080397</c:v>
              </c:pt>
              <c:pt idx="3">
                <c:v>654.93489006188497</c:v>
              </c:pt>
              <c:pt idx="4">
                <c:v>645.02917355296597</c:v>
              </c:pt>
              <c:pt idx="5">
                <c:v>635.123457044048</c:v>
              </c:pt>
              <c:pt idx="6">
                <c:v>625.217740535129</c:v>
              </c:pt>
              <c:pt idx="7">
                <c:v>615.31202402621</c:v>
              </c:pt>
              <c:pt idx="8">
                <c:v>605.406307517291</c:v>
              </c:pt>
              <c:pt idx="9">
                <c:v>595.500591008372</c:v>
              </c:pt>
              <c:pt idx="10">
                <c:v>585.594874499453</c:v>
              </c:pt>
              <c:pt idx="11">
                <c:v>575.68915799053502</c:v>
              </c:pt>
              <c:pt idx="12">
                <c:v>565.78344148161602</c:v>
              </c:pt>
              <c:pt idx="13">
                <c:v>555.87772497269702</c:v>
              </c:pt>
              <c:pt idx="14">
                <c:v>545.97200846377802</c:v>
              </c:pt>
              <c:pt idx="15">
                <c:v>536.06629195485903</c:v>
              </c:pt>
              <c:pt idx="16">
                <c:v>526.16057544594105</c:v>
              </c:pt>
              <c:pt idx="17">
                <c:v>516.25485893702205</c:v>
              </c:pt>
              <c:pt idx="18">
                <c:v>506.34914242810299</c:v>
              </c:pt>
              <c:pt idx="19">
                <c:v>496.44342591918399</c:v>
              </c:pt>
              <c:pt idx="20">
                <c:v>486.53770941026499</c:v>
              </c:pt>
              <c:pt idx="21">
                <c:v>476.631992901346</c:v>
              </c:pt>
              <c:pt idx="22">
                <c:v>466.72627639242802</c:v>
              </c:pt>
              <c:pt idx="23">
                <c:v>456.82055988350902</c:v>
              </c:pt>
              <c:pt idx="24">
                <c:v>446.91484337459002</c:v>
              </c:pt>
              <c:pt idx="25">
                <c:v>437.00912686567102</c:v>
              </c:pt>
              <c:pt idx="26">
                <c:v>427.10341035675202</c:v>
              </c:pt>
              <c:pt idx="27">
                <c:v>417.19769384783399</c:v>
              </c:pt>
              <c:pt idx="28">
                <c:v>407.29197733891499</c:v>
              </c:pt>
              <c:pt idx="29">
                <c:v>397.38626082999599</c:v>
              </c:pt>
              <c:pt idx="30">
                <c:v>387.48054432107699</c:v>
              </c:pt>
              <c:pt idx="31">
                <c:v>377.57482781215799</c:v>
              </c:pt>
              <c:pt idx="32">
                <c:v>367.66911130323899</c:v>
              </c:pt>
              <c:pt idx="33">
                <c:v>357.76339479432102</c:v>
              </c:pt>
              <c:pt idx="34">
                <c:v>347.85767828540202</c:v>
              </c:pt>
              <c:pt idx="35">
                <c:v>337.95196177648302</c:v>
              </c:pt>
              <c:pt idx="36">
                <c:v>328.04624526756402</c:v>
              </c:pt>
              <c:pt idx="37">
                <c:v>318.14052875864502</c:v>
              </c:pt>
              <c:pt idx="38">
                <c:v>308.23481224972699</c:v>
              </c:pt>
              <c:pt idx="39">
                <c:v>298.32909574080799</c:v>
              </c:pt>
              <c:pt idx="40">
                <c:v>288.42337923188899</c:v>
              </c:pt>
              <c:pt idx="41">
                <c:v>278.51766272296999</c:v>
              </c:pt>
              <c:pt idx="42">
                <c:v>268.61194621405099</c:v>
              </c:pt>
              <c:pt idx="43">
                <c:v>258.70622970513199</c:v>
              </c:pt>
              <c:pt idx="44">
                <c:v>248.80051319621401</c:v>
              </c:pt>
              <c:pt idx="45">
                <c:v>238.89479668729501</c:v>
              </c:pt>
              <c:pt idx="46">
                <c:v>228.98908017837601</c:v>
              </c:pt>
              <c:pt idx="47">
                <c:v>219.08336366945699</c:v>
              </c:pt>
              <c:pt idx="48">
                <c:v>209.17764716053799</c:v>
              </c:pt>
              <c:pt idx="49">
                <c:v>199.27193065161899</c:v>
              </c:pt>
              <c:pt idx="50">
                <c:v>189.36621414270101</c:v>
              </c:pt>
              <c:pt idx="51">
                <c:v>179.46049763378201</c:v>
              </c:pt>
              <c:pt idx="52">
                <c:v>169.55478112486301</c:v>
              </c:pt>
              <c:pt idx="53">
                <c:v>159.64906461594401</c:v>
              </c:pt>
              <c:pt idx="54">
                <c:v>149.74334810702501</c:v>
              </c:pt>
              <c:pt idx="55">
                <c:v>139.83763159810701</c:v>
              </c:pt>
              <c:pt idx="56">
                <c:v>129.93191508918801</c:v>
              </c:pt>
              <c:pt idx="57">
                <c:v>120.026198580269</c:v>
              </c:pt>
              <c:pt idx="58">
                <c:v>110.12048207135</c:v>
              </c:pt>
              <c:pt idx="59">
                <c:v>100.214765562431</c:v>
              </c:pt>
              <c:pt idx="60">
                <c:v>90.309049053512894</c:v>
              </c:pt>
              <c:pt idx="61">
                <c:v>80.403332544594093</c:v>
              </c:pt>
              <c:pt idx="62">
                <c:v>70.497616035675307</c:v>
              </c:pt>
              <c:pt idx="63">
                <c:v>60.5918995267564</c:v>
              </c:pt>
              <c:pt idx="64">
                <c:v>50.6861830178376</c:v>
              </c:pt>
              <c:pt idx="65">
                <c:v>40.780466508918799</c:v>
              </c:pt>
              <c:pt idx="66">
                <c:v>30.874749999999999</c:v>
              </c:pt>
              <c:pt idx="67">
                <c:v>20.969033491081198</c:v>
              </c:pt>
              <c:pt idx="68">
                <c:v>11.0633169821624</c:v>
              </c:pt>
              <c:pt idx="69">
                <c:v>1.1576004732435801</c:v>
              </c:pt>
              <c:pt idx="70">
                <c:v>-8.7481160356752294</c:v>
              </c:pt>
              <c:pt idx="71">
                <c:v>-18.653832544594</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numLit>
          </c:val>
          <c:smooth val="0"/>
          <c:extLst>
            <c:ext xmlns:c16="http://schemas.microsoft.com/office/drawing/2014/chart" uri="{C3380CC4-5D6E-409C-BE32-E72D297353CC}">
              <c16:uniqueId val="{00000000-6DD8-4B92-9583-29928210D52A}"/>
            </c:ext>
          </c:extLst>
        </c:ser>
        <c:dLbls>
          <c:showLegendKey val="0"/>
          <c:showVal val="0"/>
          <c:showCatName val="0"/>
          <c:showSerName val="0"/>
          <c:showPercent val="0"/>
          <c:showBubbleSize val="0"/>
        </c:dLbls>
        <c:marker val="1"/>
        <c:smooth val="0"/>
        <c:axId val="2010579519"/>
        <c:axId val="1"/>
      </c:lineChart>
      <c:catAx>
        <c:axId val="20105795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vert="horz"/>
          <a:lstStyle/>
          <a:p>
            <a:pPr>
              <a:defRPr sz="900" b="0" i="0" u="none" strike="noStrike" baseline="0">
                <a:solidFill>
                  <a:srgbClr val="333333"/>
                </a:solidFill>
                <a:latin typeface="Calibri"/>
                <a:ea typeface="Calibri"/>
                <a:cs typeface="Calibri"/>
              </a:defRPr>
            </a:pPr>
            <a:endParaRPr lang="it-IT"/>
          </a:p>
        </c:txPr>
        <c:crossAx val="1"/>
        <c:crosses val="autoZero"/>
        <c:auto val="1"/>
        <c:lblAlgn val="ctr"/>
        <c:lblOffset val="100"/>
        <c:noMultiLvlLbl val="0"/>
      </c:catAx>
      <c:valAx>
        <c:axId val="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ln w="9525">
            <a:noFill/>
          </a:ln>
        </c:spPr>
        <c:txPr>
          <a:bodyPr rot="0" vert="horz"/>
          <a:lstStyle/>
          <a:p>
            <a:pPr>
              <a:defRPr sz="900" b="0" i="0" u="none" strike="noStrike" baseline="0">
                <a:solidFill>
                  <a:srgbClr val="333333"/>
                </a:solidFill>
                <a:latin typeface="Calibri"/>
                <a:ea typeface="Calibri"/>
                <a:cs typeface="Calibri"/>
              </a:defRPr>
            </a:pPr>
            <a:endParaRPr lang="it-IT"/>
          </a:p>
        </c:txPr>
        <c:crossAx val="2010579519"/>
        <c:crosses val="autoZero"/>
        <c:crossBetween val="between"/>
      </c:valAx>
      <c:spPr>
        <a:noFill/>
        <a:ln w="25400">
          <a:noFill/>
        </a:ln>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0" i="0" u="none" strike="noStrike" baseline="0">
          <a:solidFill>
            <a:srgbClr val="000000"/>
          </a:solidFill>
          <a:latin typeface="Calibri"/>
          <a:ea typeface="Calibri"/>
          <a:cs typeface="Calibri"/>
        </a:defRPr>
      </a:pPr>
      <a:endParaRPr lang="it-IT"/>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w="25400">
          <a:noFill/>
        </a:ln>
      </c:spPr>
      <c:txPr>
        <a:bodyPr/>
        <a:lstStyle/>
        <a:p>
          <a:pPr>
            <a:defRPr sz="1400" b="0" i="0" u="none" strike="noStrike" baseline="0">
              <a:solidFill>
                <a:srgbClr val="333333"/>
              </a:solidFill>
              <a:latin typeface="Calibri"/>
              <a:ea typeface="Calibri"/>
              <a:cs typeface="Calibri"/>
            </a:defRPr>
          </a:pPr>
          <a:endParaRPr lang="it-IT"/>
        </a:p>
      </c:txPr>
    </c:title>
    <c:autoTitleDeleted val="0"/>
    <c:plotArea>
      <c:layout/>
      <c:lineChart>
        <c:grouping val="standard"/>
        <c:varyColors val="0"/>
        <c:ser>
          <c:idx val="0"/>
          <c:order val="0"/>
          <c:tx>
            <c:v>Life refund after ET charges</c:v>
          </c:tx>
          <c:spPr>
            <a:ln w="28575" cap="rnd">
              <a:solidFill>
                <a:schemeClr val="accent1"/>
              </a:solidFill>
              <a:round/>
            </a:ln>
            <a:effectLst/>
          </c:spPr>
          <c:marker>
            <c:symbol val="circle"/>
            <c:size val="5"/>
            <c:spPr>
              <a:solidFill>
                <a:schemeClr val="accent1"/>
              </a:solidFill>
              <a:ln w="9525">
                <a:solidFill>
                  <a:schemeClr val="accent1"/>
                </a:solidFill>
              </a:ln>
              <a:effectLst/>
            </c:spPr>
          </c:marker>
          <c:val>
            <c:numLit>
              <c:formatCode>General</c:formatCode>
              <c:ptCount val="121"/>
              <c:pt idx="0">
                <c:v>700.9</c:v>
              </c:pt>
              <c:pt idx="1">
                <c:v>690.77</c:v>
              </c:pt>
              <c:pt idx="2">
                <c:v>680.64</c:v>
              </c:pt>
              <c:pt idx="3">
                <c:v>670.51</c:v>
              </c:pt>
              <c:pt idx="4">
                <c:v>660.37</c:v>
              </c:pt>
              <c:pt idx="5">
                <c:v>650.24</c:v>
              </c:pt>
              <c:pt idx="6">
                <c:v>640.11</c:v>
              </c:pt>
              <c:pt idx="7">
                <c:v>629.98</c:v>
              </c:pt>
              <c:pt idx="8">
                <c:v>619.84</c:v>
              </c:pt>
              <c:pt idx="9">
                <c:v>609.71</c:v>
              </c:pt>
              <c:pt idx="10">
                <c:v>599.58000000000004</c:v>
              </c:pt>
              <c:pt idx="11">
                <c:v>589.45000000000005</c:v>
              </c:pt>
              <c:pt idx="12">
                <c:v>579.30999999999904</c:v>
              </c:pt>
              <c:pt idx="13">
                <c:v>569.17999999999904</c:v>
              </c:pt>
              <c:pt idx="14">
                <c:v>559.04999999999905</c:v>
              </c:pt>
              <c:pt idx="15">
                <c:v>548.91999999999905</c:v>
              </c:pt>
              <c:pt idx="16">
                <c:v>538.78</c:v>
              </c:pt>
              <c:pt idx="17">
                <c:v>528.65</c:v>
              </c:pt>
              <c:pt idx="18">
                <c:v>518.52</c:v>
              </c:pt>
              <c:pt idx="19">
                <c:v>508.39</c:v>
              </c:pt>
              <c:pt idx="20">
                <c:v>498.25</c:v>
              </c:pt>
              <c:pt idx="21">
                <c:v>488.12</c:v>
              </c:pt>
              <c:pt idx="22">
                <c:v>477.99</c:v>
              </c:pt>
              <c:pt idx="23">
                <c:v>467.86</c:v>
              </c:pt>
              <c:pt idx="24">
                <c:v>457.72</c:v>
              </c:pt>
              <c:pt idx="25">
                <c:v>447.59</c:v>
              </c:pt>
              <c:pt idx="26">
                <c:v>437.46</c:v>
              </c:pt>
              <c:pt idx="27">
                <c:v>427.33</c:v>
              </c:pt>
              <c:pt idx="28">
                <c:v>417.19</c:v>
              </c:pt>
              <c:pt idx="29">
                <c:v>407.06</c:v>
              </c:pt>
              <c:pt idx="30">
                <c:v>396.93</c:v>
              </c:pt>
              <c:pt idx="31">
                <c:v>386.79</c:v>
              </c:pt>
              <c:pt idx="32">
                <c:v>376.66</c:v>
              </c:pt>
              <c:pt idx="33">
                <c:v>366.53</c:v>
              </c:pt>
              <c:pt idx="34">
                <c:v>356.4</c:v>
              </c:pt>
              <c:pt idx="35">
                <c:v>346.26</c:v>
              </c:pt>
              <c:pt idx="36">
                <c:v>336.13</c:v>
              </c:pt>
              <c:pt idx="37">
                <c:v>326</c:v>
              </c:pt>
              <c:pt idx="38">
                <c:v>315.87</c:v>
              </c:pt>
              <c:pt idx="39">
                <c:v>305.73</c:v>
              </c:pt>
              <c:pt idx="40">
                <c:v>295.60000000000002</c:v>
              </c:pt>
              <c:pt idx="41">
                <c:v>285.47000000000003</c:v>
              </c:pt>
              <c:pt idx="42">
                <c:v>275.33999999999901</c:v>
              </c:pt>
              <c:pt idx="43">
                <c:v>265.2</c:v>
              </c:pt>
              <c:pt idx="44">
                <c:v>255.07</c:v>
              </c:pt>
              <c:pt idx="45">
                <c:v>244.94</c:v>
              </c:pt>
              <c:pt idx="46">
                <c:v>234.81</c:v>
              </c:pt>
              <c:pt idx="47">
                <c:v>224.67</c:v>
              </c:pt>
              <c:pt idx="48">
                <c:v>214.54</c:v>
              </c:pt>
              <c:pt idx="49">
                <c:v>204.41</c:v>
              </c:pt>
              <c:pt idx="50">
                <c:v>194.28</c:v>
              </c:pt>
              <c:pt idx="51">
                <c:v>184.14</c:v>
              </c:pt>
              <c:pt idx="52">
                <c:v>174.01</c:v>
              </c:pt>
              <c:pt idx="53">
                <c:v>163.88</c:v>
              </c:pt>
              <c:pt idx="54">
                <c:v>153.75</c:v>
              </c:pt>
              <c:pt idx="55">
                <c:v>143.61000000000001</c:v>
              </c:pt>
              <c:pt idx="56">
                <c:v>133.479999999999</c:v>
              </c:pt>
              <c:pt idx="57">
                <c:v>123.35</c:v>
              </c:pt>
              <c:pt idx="58">
                <c:v>113.22</c:v>
              </c:pt>
              <c:pt idx="59">
                <c:v>103.08</c:v>
              </c:pt>
              <c:pt idx="60">
                <c:v>92.95</c:v>
              </c:pt>
              <c:pt idx="61">
                <c:v>82.82</c:v>
              </c:pt>
              <c:pt idx="62">
                <c:v>72.680000000000007</c:v>
              </c:pt>
              <c:pt idx="63">
                <c:v>62.55</c:v>
              </c:pt>
              <c:pt idx="64">
                <c:v>52.42</c:v>
              </c:pt>
              <c:pt idx="65">
                <c:v>42.29</c:v>
              </c:pt>
              <c:pt idx="66">
                <c:v>32.15</c:v>
              </c:pt>
              <c:pt idx="67">
                <c:v>22.02</c:v>
              </c:pt>
              <c:pt idx="68">
                <c:v>11.89</c:v>
              </c:pt>
              <c:pt idx="69">
                <c:v>1.76</c:v>
              </c:pt>
              <c:pt idx="70">
                <c:v>-8.3800000000000008</c:v>
              </c:pt>
              <c:pt idx="71">
                <c:v>-18.510000000000002</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numLit>
          </c:val>
          <c:smooth val="0"/>
          <c:extLst>
            <c:ext xmlns:c16="http://schemas.microsoft.com/office/drawing/2014/chart" uri="{C3380CC4-5D6E-409C-BE32-E72D297353CC}">
              <c16:uniqueId val="{00000000-FA55-4D63-B3C9-0B982FD42B04}"/>
            </c:ext>
          </c:extLst>
        </c:ser>
        <c:dLbls>
          <c:showLegendKey val="0"/>
          <c:showVal val="0"/>
          <c:showCatName val="0"/>
          <c:showSerName val="0"/>
          <c:showPercent val="0"/>
          <c:showBubbleSize val="0"/>
        </c:dLbls>
        <c:marker val="1"/>
        <c:smooth val="0"/>
        <c:axId val="2010583679"/>
        <c:axId val="1"/>
      </c:lineChart>
      <c:catAx>
        <c:axId val="2010583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vert="horz"/>
          <a:lstStyle/>
          <a:p>
            <a:pPr>
              <a:defRPr sz="900" b="0" i="0" u="none" strike="noStrike" baseline="0">
                <a:solidFill>
                  <a:srgbClr val="333333"/>
                </a:solidFill>
                <a:latin typeface="Calibri"/>
                <a:ea typeface="Calibri"/>
                <a:cs typeface="Calibri"/>
              </a:defRPr>
            </a:pPr>
            <a:endParaRPr lang="it-IT"/>
          </a:p>
        </c:txPr>
        <c:crossAx val="1"/>
        <c:crosses val="autoZero"/>
        <c:auto val="1"/>
        <c:lblAlgn val="ctr"/>
        <c:lblOffset val="100"/>
        <c:noMultiLvlLbl val="0"/>
      </c:catAx>
      <c:valAx>
        <c:axId val="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ln w="9525">
            <a:noFill/>
          </a:ln>
        </c:spPr>
        <c:txPr>
          <a:bodyPr rot="0" vert="horz"/>
          <a:lstStyle/>
          <a:p>
            <a:pPr>
              <a:defRPr sz="900" b="0" i="0" u="none" strike="noStrike" baseline="0">
                <a:solidFill>
                  <a:srgbClr val="333333"/>
                </a:solidFill>
                <a:latin typeface="Calibri"/>
                <a:ea typeface="Calibri"/>
                <a:cs typeface="Calibri"/>
              </a:defRPr>
            </a:pPr>
            <a:endParaRPr lang="it-IT"/>
          </a:p>
        </c:txPr>
        <c:crossAx val="2010583679"/>
        <c:crosses val="autoZero"/>
        <c:crossBetween val="between"/>
      </c:valAx>
      <c:spPr>
        <a:noFill/>
        <a:ln w="25400">
          <a:noFill/>
        </a:ln>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0" i="0" u="none" strike="noStrike" baseline="0">
          <a:solidFill>
            <a:srgbClr val="000000"/>
          </a:solidFill>
          <a:latin typeface="Calibri"/>
          <a:ea typeface="Calibri"/>
          <a:cs typeface="Calibri"/>
        </a:defRPr>
      </a:pPr>
      <a:endParaRPr lang="it-IT"/>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w="25400">
          <a:noFill/>
        </a:ln>
      </c:spPr>
      <c:txPr>
        <a:bodyPr/>
        <a:lstStyle/>
        <a:p>
          <a:pPr>
            <a:defRPr sz="1400" b="0" i="0" u="none" strike="noStrike" baseline="0">
              <a:solidFill>
                <a:srgbClr val="333333"/>
              </a:solidFill>
              <a:latin typeface="Calibri"/>
              <a:ea typeface="Calibri"/>
              <a:cs typeface="Calibri"/>
            </a:defRPr>
          </a:pPr>
          <a:endParaRPr lang="it-IT"/>
        </a:p>
      </c:txPr>
    </c:title>
    <c:autoTitleDeleted val="0"/>
    <c:plotArea>
      <c:layout/>
      <c:lineChart>
        <c:grouping val="standard"/>
        <c:varyColors val="0"/>
        <c:ser>
          <c:idx val="0"/>
          <c:order val="0"/>
          <c:tx>
            <c:v>Life refund before ET charges</c:v>
          </c:tx>
          <c:spPr>
            <a:ln w="28575" cap="rnd">
              <a:solidFill>
                <a:schemeClr val="accent1"/>
              </a:solidFill>
              <a:round/>
            </a:ln>
            <a:effectLst/>
          </c:spPr>
          <c:marker>
            <c:symbol val="circle"/>
            <c:size val="5"/>
            <c:spPr>
              <a:solidFill>
                <a:schemeClr val="accent1"/>
              </a:solidFill>
              <a:ln w="9525">
                <a:solidFill>
                  <a:schemeClr val="accent1"/>
                </a:solidFill>
              </a:ln>
              <a:effectLst/>
            </c:spPr>
          </c:marker>
          <c:val>
            <c:numLit>
              <c:formatCode>General</c:formatCode>
              <c:ptCount val="121"/>
              <c:pt idx="0">
                <c:v>725.9</c:v>
              </c:pt>
              <c:pt idx="1">
                <c:v>715.77</c:v>
              </c:pt>
              <c:pt idx="2">
                <c:v>705.64</c:v>
              </c:pt>
              <c:pt idx="3">
                <c:v>695.51</c:v>
              </c:pt>
              <c:pt idx="4">
                <c:v>685.37</c:v>
              </c:pt>
              <c:pt idx="5">
                <c:v>675.24</c:v>
              </c:pt>
              <c:pt idx="6">
                <c:v>665.11</c:v>
              </c:pt>
              <c:pt idx="7">
                <c:v>654.98</c:v>
              </c:pt>
              <c:pt idx="8">
                <c:v>644.84</c:v>
              </c:pt>
              <c:pt idx="9">
                <c:v>634.71</c:v>
              </c:pt>
              <c:pt idx="10">
                <c:v>624.58000000000004</c:v>
              </c:pt>
              <c:pt idx="11">
                <c:v>614.45000000000005</c:v>
              </c:pt>
              <c:pt idx="12">
                <c:v>604.30999999999904</c:v>
              </c:pt>
              <c:pt idx="13">
                <c:v>594.17999999999904</c:v>
              </c:pt>
              <c:pt idx="14">
                <c:v>584.04999999999905</c:v>
              </c:pt>
              <c:pt idx="15">
                <c:v>573.91999999999905</c:v>
              </c:pt>
              <c:pt idx="16">
                <c:v>563.78</c:v>
              </c:pt>
              <c:pt idx="17">
                <c:v>553.65</c:v>
              </c:pt>
              <c:pt idx="18">
                <c:v>543.52</c:v>
              </c:pt>
              <c:pt idx="19">
                <c:v>533.39</c:v>
              </c:pt>
              <c:pt idx="20">
                <c:v>523.25</c:v>
              </c:pt>
              <c:pt idx="21">
                <c:v>513.12</c:v>
              </c:pt>
              <c:pt idx="22">
                <c:v>502.99</c:v>
              </c:pt>
              <c:pt idx="23">
                <c:v>492.86</c:v>
              </c:pt>
              <c:pt idx="24">
                <c:v>482.72</c:v>
              </c:pt>
              <c:pt idx="25">
                <c:v>472.59</c:v>
              </c:pt>
              <c:pt idx="26">
                <c:v>462.46</c:v>
              </c:pt>
              <c:pt idx="27">
                <c:v>452.33</c:v>
              </c:pt>
              <c:pt idx="28">
                <c:v>442.19</c:v>
              </c:pt>
              <c:pt idx="29">
                <c:v>432.06</c:v>
              </c:pt>
              <c:pt idx="30">
                <c:v>421.93</c:v>
              </c:pt>
              <c:pt idx="31">
                <c:v>411.79</c:v>
              </c:pt>
              <c:pt idx="32">
                <c:v>401.66</c:v>
              </c:pt>
              <c:pt idx="33">
                <c:v>391.53</c:v>
              </c:pt>
              <c:pt idx="34">
                <c:v>381.4</c:v>
              </c:pt>
              <c:pt idx="35">
                <c:v>371.26</c:v>
              </c:pt>
              <c:pt idx="36">
                <c:v>361.13</c:v>
              </c:pt>
              <c:pt idx="37">
                <c:v>351</c:v>
              </c:pt>
              <c:pt idx="38">
                <c:v>340.87</c:v>
              </c:pt>
              <c:pt idx="39">
                <c:v>330.73</c:v>
              </c:pt>
              <c:pt idx="40">
                <c:v>320.60000000000002</c:v>
              </c:pt>
              <c:pt idx="41">
                <c:v>310.47000000000003</c:v>
              </c:pt>
              <c:pt idx="42">
                <c:v>300.33999999999901</c:v>
              </c:pt>
              <c:pt idx="43">
                <c:v>290.2</c:v>
              </c:pt>
              <c:pt idx="44">
                <c:v>280.07</c:v>
              </c:pt>
              <c:pt idx="45">
                <c:v>269.94</c:v>
              </c:pt>
              <c:pt idx="46">
                <c:v>259.81</c:v>
              </c:pt>
              <c:pt idx="47">
                <c:v>249.67</c:v>
              </c:pt>
              <c:pt idx="48">
                <c:v>239.54</c:v>
              </c:pt>
              <c:pt idx="49">
                <c:v>229.41</c:v>
              </c:pt>
              <c:pt idx="50">
                <c:v>219.28</c:v>
              </c:pt>
              <c:pt idx="51">
                <c:v>209.14</c:v>
              </c:pt>
              <c:pt idx="52">
                <c:v>199.01</c:v>
              </c:pt>
              <c:pt idx="53">
                <c:v>188.88</c:v>
              </c:pt>
              <c:pt idx="54">
                <c:v>178.75</c:v>
              </c:pt>
              <c:pt idx="55">
                <c:v>168.61</c:v>
              </c:pt>
              <c:pt idx="56">
                <c:v>158.479999999999</c:v>
              </c:pt>
              <c:pt idx="57">
                <c:v>148.35</c:v>
              </c:pt>
              <c:pt idx="58">
                <c:v>138.22</c:v>
              </c:pt>
              <c:pt idx="59">
                <c:v>128.07999999999899</c:v>
              </c:pt>
              <c:pt idx="60">
                <c:v>117.95</c:v>
              </c:pt>
              <c:pt idx="61">
                <c:v>107.82</c:v>
              </c:pt>
              <c:pt idx="62">
                <c:v>97.68</c:v>
              </c:pt>
              <c:pt idx="63">
                <c:v>87.55</c:v>
              </c:pt>
              <c:pt idx="64">
                <c:v>77.42</c:v>
              </c:pt>
              <c:pt idx="65">
                <c:v>67.289999999999907</c:v>
              </c:pt>
              <c:pt idx="66">
                <c:v>57.15</c:v>
              </c:pt>
              <c:pt idx="67">
                <c:v>47.019999999999897</c:v>
              </c:pt>
              <c:pt idx="68">
                <c:v>36.89</c:v>
              </c:pt>
              <c:pt idx="69">
                <c:v>26.76</c:v>
              </c:pt>
              <c:pt idx="70">
                <c:v>16.619999999999902</c:v>
              </c:pt>
              <c:pt idx="71">
                <c:v>6.4899999999999904</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numLit>
          </c:val>
          <c:smooth val="0"/>
          <c:extLst>
            <c:ext xmlns:c16="http://schemas.microsoft.com/office/drawing/2014/chart" uri="{C3380CC4-5D6E-409C-BE32-E72D297353CC}">
              <c16:uniqueId val="{00000000-6508-4EA8-93C9-F35F9DEC970C}"/>
            </c:ext>
          </c:extLst>
        </c:ser>
        <c:dLbls>
          <c:showLegendKey val="0"/>
          <c:showVal val="0"/>
          <c:showCatName val="0"/>
          <c:showSerName val="0"/>
          <c:showPercent val="0"/>
          <c:showBubbleSize val="0"/>
        </c:dLbls>
        <c:marker val="1"/>
        <c:smooth val="0"/>
        <c:axId val="2010584511"/>
        <c:axId val="1"/>
      </c:lineChart>
      <c:catAx>
        <c:axId val="20105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vert="horz"/>
          <a:lstStyle/>
          <a:p>
            <a:pPr>
              <a:defRPr sz="900" b="0" i="0" u="none" strike="noStrike" baseline="0">
                <a:solidFill>
                  <a:srgbClr val="333333"/>
                </a:solidFill>
                <a:latin typeface="Calibri"/>
                <a:ea typeface="Calibri"/>
                <a:cs typeface="Calibri"/>
              </a:defRPr>
            </a:pPr>
            <a:endParaRPr lang="it-IT"/>
          </a:p>
        </c:txPr>
        <c:crossAx val="1"/>
        <c:crosses val="autoZero"/>
        <c:auto val="1"/>
        <c:lblAlgn val="ctr"/>
        <c:lblOffset val="100"/>
        <c:noMultiLvlLbl val="0"/>
      </c:catAx>
      <c:valAx>
        <c:axId val="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ln w="9525">
            <a:noFill/>
          </a:ln>
        </c:spPr>
        <c:txPr>
          <a:bodyPr rot="0" vert="horz"/>
          <a:lstStyle/>
          <a:p>
            <a:pPr>
              <a:defRPr sz="900" b="0" i="0" u="none" strike="noStrike" baseline="0">
                <a:solidFill>
                  <a:srgbClr val="333333"/>
                </a:solidFill>
                <a:latin typeface="Calibri"/>
                <a:ea typeface="Calibri"/>
                <a:cs typeface="Calibri"/>
              </a:defRPr>
            </a:pPr>
            <a:endParaRPr lang="it-IT"/>
          </a:p>
        </c:txPr>
        <c:crossAx val="2010584511"/>
        <c:crosses val="autoZero"/>
        <c:crossBetween val="between"/>
      </c:valAx>
      <c:spPr>
        <a:noFill/>
        <a:ln w="25400">
          <a:noFill/>
        </a:ln>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0" i="0" u="none" strike="noStrike" baseline="0">
          <a:solidFill>
            <a:srgbClr val="000000"/>
          </a:solidFill>
          <a:latin typeface="Calibri"/>
          <a:ea typeface="Calibri"/>
          <a:cs typeface="Calibri"/>
        </a:defRPr>
      </a:pPr>
      <a:endParaRPr lang="it-IT"/>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w="25400">
          <a:noFill/>
        </a:ln>
      </c:spPr>
      <c:txPr>
        <a:bodyPr/>
        <a:lstStyle/>
        <a:p>
          <a:pPr>
            <a:defRPr sz="1400" b="0" i="0" u="none" strike="noStrike" baseline="0">
              <a:solidFill>
                <a:srgbClr val="333333"/>
              </a:solidFill>
              <a:latin typeface="Calibri"/>
              <a:ea typeface="Calibri"/>
              <a:cs typeface="Calibri"/>
            </a:defRPr>
          </a:pPr>
          <a:endParaRPr lang="it-IT"/>
        </a:p>
      </c:txPr>
    </c:title>
    <c:autoTitleDeleted val="0"/>
    <c:plotArea>
      <c:layout/>
      <c:lineChart>
        <c:grouping val="standard"/>
        <c:varyColors val="0"/>
        <c:ser>
          <c:idx val="0"/>
          <c:order val="0"/>
          <c:tx>
            <c:v>Non-Life refund before ET charges</c:v>
          </c:tx>
          <c:spPr>
            <a:ln w="28575" cap="rnd">
              <a:solidFill>
                <a:schemeClr val="accent1"/>
              </a:solidFill>
              <a:round/>
            </a:ln>
            <a:effectLst/>
          </c:spPr>
          <c:marker>
            <c:symbol val="circle"/>
            <c:size val="5"/>
            <c:spPr>
              <a:solidFill>
                <a:schemeClr val="accent1"/>
              </a:solidFill>
              <a:ln w="9525">
                <a:solidFill>
                  <a:schemeClr val="accent1"/>
                </a:solidFill>
              </a:ln>
              <a:effectLst/>
            </c:spPr>
          </c:marker>
          <c:val>
            <c:numLit>
              <c:formatCode>General</c:formatCode>
              <c:ptCount val="120"/>
              <c:pt idx="0">
                <c:v>709.65203958864197</c:v>
              </c:pt>
              <c:pt idx="1">
                <c:v>699.74632307972297</c:v>
              </c:pt>
              <c:pt idx="2">
                <c:v>689.84060657080397</c:v>
              </c:pt>
              <c:pt idx="3">
                <c:v>679.93489006188497</c:v>
              </c:pt>
              <c:pt idx="4">
                <c:v>670.02917355296597</c:v>
              </c:pt>
              <c:pt idx="5">
                <c:v>660.123457044048</c:v>
              </c:pt>
              <c:pt idx="6">
                <c:v>650.217740535129</c:v>
              </c:pt>
              <c:pt idx="7">
                <c:v>640.31202402621</c:v>
              </c:pt>
              <c:pt idx="8">
                <c:v>630.406307517291</c:v>
              </c:pt>
              <c:pt idx="9">
                <c:v>620.500591008372</c:v>
              </c:pt>
              <c:pt idx="10">
                <c:v>610.594874499453</c:v>
              </c:pt>
              <c:pt idx="11">
                <c:v>600.68915799053502</c:v>
              </c:pt>
              <c:pt idx="12">
                <c:v>590.78344148161602</c:v>
              </c:pt>
              <c:pt idx="13">
                <c:v>580.87772497269702</c:v>
              </c:pt>
              <c:pt idx="14">
                <c:v>570.97200846377802</c:v>
              </c:pt>
              <c:pt idx="15">
                <c:v>561.06629195485903</c:v>
              </c:pt>
              <c:pt idx="16">
                <c:v>551.16057544594105</c:v>
              </c:pt>
              <c:pt idx="17">
                <c:v>541.25485893702205</c:v>
              </c:pt>
              <c:pt idx="18">
                <c:v>531.34914242810305</c:v>
              </c:pt>
              <c:pt idx="19">
                <c:v>521.44342591918405</c:v>
              </c:pt>
              <c:pt idx="20">
                <c:v>511.53770941026499</c:v>
              </c:pt>
              <c:pt idx="21">
                <c:v>501.631992901346</c:v>
              </c:pt>
              <c:pt idx="22">
                <c:v>491.72627639242802</c:v>
              </c:pt>
              <c:pt idx="23">
                <c:v>481.82055988350902</c:v>
              </c:pt>
              <c:pt idx="24">
                <c:v>471.91484337459002</c:v>
              </c:pt>
              <c:pt idx="25">
                <c:v>462.00912686567102</c:v>
              </c:pt>
              <c:pt idx="26">
                <c:v>452.10341035675202</c:v>
              </c:pt>
              <c:pt idx="27">
                <c:v>442.19769384783399</c:v>
              </c:pt>
              <c:pt idx="28">
                <c:v>432.29197733891499</c:v>
              </c:pt>
              <c:pt idx="29">
                <c:v>422.38626082999599</c:v>
              </c:pt>
              <c:pt idx="30">
                <c:v>412.48054432107699</c:v>
              </c:pt>
              <c:pt idx="31">
                <c:v>402.57482781215799</c:v>
              </c:pt>
              <c:pt idx="32">
                <c:v>392.66911130323899</c:v>
              </c:pt>
              <c:pt idx="33">
                <c:v>382.76339479432102</c:v>
              </c:pt>
              <c:pt idx="34">
                <c:v>372.85767828540202</c:v>
              </c:pt>
              <c:pt idx="35">
                <c:v>362.95196177648302</c:v>
              </c:pt>
              <c:pt idx="36">
                <c:v>353.04624526756402</c:v>
              </c:pt>
              <c:pt idx="37">
                <c:v>343.14052875864502</c:v>
              </c:pt>
              <c:pt idx="38">
                <c:v>333.23481224972699</c:v>
              </c:pt>
              <c:pt idx="39">
                <c:v>323.32909574080799</c:v>
              </c:pt>
              <c:pt idx="40">
                <c:v>313.42337923188899</c:v>
              </c:pt>
              <c:pt idx="41">
                <c:v>303.51766272296999</c:v>
              </c:pt>
              <c:pt idx="42">
                <c:v>293.61194621405099</c:v>
              </c:pt>
              <c:pt idx="43">
                <c:v>283.70622970513199</c:v>
              </c:pt>
              <c:pt idx="44">
                <c:v>273.80051319621401</c:v>
              </c:pt>
              <c:pt idx="45">
                <c:v>263.89479668729501</c:v>
              </c:pt>
              <c:pt idx="46">
                <c:v>253.98908017837601</c:v>
              </c:pt>
              <c:pt idx="47">
                <c:v>244.08336366945699</c:v>
              </c:pt>
              <c:pt idx="48">
                <c:v>234.17764716053799</c:v>
              </c:pt>
              <c:pt idx="49">
                <c:v>224.27193065161899</c:v>
              </c:pt>
              <c:pt idx="50">
                <c:v>214.36621414270101</c:v>
              </c:pt>
              <c:pt idx="51">
                <c:v>204.46049763378201</c:v>
              </c:pt>
              <c:pt idx="52">
                <c:v>194.55478112486301</c:v>
              </c:pt>
              <c:pt idx="53">
                <c:v>184.64906461594401</c:v>
              </c:pt>
              <c:pt idx="54">
                <c:v>174.74334810702501</c:v>
              </c:pt>
              <c:pt idx="55">
                <c:v>164.83763159810701</c:v>
              </c:pt>
              <c:pt idx="56">
                <c:v>154.93191508918801</c:v>
              </c:pt>
              <c:pt idx="57">
                <c:v>145.02619858026901</c:v>
              </c:pt>
              <c:pt idx="58">
                <c:v>135.12048207135001</c:v>
              </c:pt>
              <c:pt idx="59">
                <c:v>125.214765562431</c:v>
              </c:pt>
              <c:pt idx="60">
                <c:v>115.309049053512</c:v>
              </c:pt>
              <c:pt idx="61">
                <c:v>105.40333254459399</c:v>
              </c:pt>
              <c:pt idx="62">
                <c:v>95.497616035675307</c:v>
              </c:pt>
              <c:pt idx="63">
                <c:v>85.591899526756393</c:v>
              </c:pt>
              <c:pt idx="64">
                <c:v>75.686183017837607</c:v>
              </c:pt>
              <c:pt idx="65">
                <c:v>65.780466508918806</c:v>
              </c:pt>
              <c:pt idx="66">
                <c:v>55.874749999999999</c:v>
              </c:pt>
              <c:pt idx="67">
                <c:v>45.969033491081198</c:v>
              </c:pt>
              <c:pt idx="68">
                <c:v>36.063316982162398</c:v>
              </c:pt>
              <c:pt idx="69">
                <c:v>26.157600473243502</c:v>
              </c:pt>
              <c:pt idx="70">
                <c:v>16.251883964324701</c:v>
              </c:pt>
              <c:pt idx="71">
                <c:v>6.34616745540594</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numLit>
          </c:val>
          <c:smooth val="0"/>
          <c:extLst>
            <c:ext xmlns:c16="http://schemas.microsoft.com/office/drawing/2014/chart" uri="{C3380CC4-5D6E-409C-BE32-E72D297353CC}">
              <c16:uniqueId val="{00000000-BD56-4B6A-AD6E-23A1AC48574F}"/>
            </c:ext>
          </c:extLst>
        </c:ser>
        <c:dLbls>
          <c:showLegendKey val="0"/>
          <c:showVal val="0"/>
          <c:showCatName val="0"/>
          <c:showSerName val="0"/>
          <c:showPercent val="0"/>
          <c:showBubbleSize val="0"/>
        </c:dLbls>
        <c:marker val="1"/>
        <c:smooth val="0"/>
        <c:axId val="2010588255"/>
        <c:axId val="1"/>
      </c:lineChart>
      <c:catAx>
        <c:axId val="20105882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vert="horz"/>
          <a:lstStyle/>
          <a:p>
            <a:pPr>
              <a:defRPr sz="900" b="0" i="0" u="none" strike="noStrike" baseline="0">
                <a:solidFill>
                  <a:srgbClr val="333333"/>
                </a:solidFill>
                <a:latin typeface="Calibri"/>
                <a:ea typeface="Calibri"/>
                <a:cs typeface="Calibri"/>
              </a:defRPr>
            </a:pPr>
            <a:endParaRPr lang="it-IT"/>
          </a:p>
        </c:txPr>
        <c:crossAx val="1"/>
        <c:crosses val="autoZero"/>
        <c:auto val="1"/>
        <c:lblAlgn val="ctr"/>
        <c:lblOffset val="100"/>
        <c:noMultiLvlLbl val="0"/>
      </c:catAx>
      <c:valAx>
        <c:axId val="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ln w="9525">
            <a:noFill/>
          </a:ln>
        </c:spPr>
        <c:txPr>
          <a:bodyPr rot="0" vert="horz"/>
          <a:lstStyle/>
          <a:p>
            <a:pPr>
              <a:defRPr sz="900" b="0" i="0" u="none" strike="noStrike" baseline="0">
                <a:solidFill>
                  <a:srgbClr val="333333"/>
                </a:solidFill>
                <a:latin typeface="Calibri"/>
                <a:ea typeface="Calibri"/>
                <a:cs typeface="Calibri"/>
              </a:defRPr>
            </a:pPr>
            <a:endParaRPr lang="it-IT"/>
          </a:p>
        </c:txPr>
        <c:crossAx val="2010588255"/>
        <c:crosses val="autoZero"/>
        <c:crossBetween val="between"/>
      </c:valAx>
      <c:spPr>
        <a:noFill/>
        <a:ln w="25400">
          <a:noFill/>
        </a:ln>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0" i="0" u="none" strike="noStrike" baseline="0">
          <a:solidFill>
            <a:srgbClr val="000000"/>
          </a:solidFill>
          <a:latin typeface="Calibri"/>
          <a:ea typeface="Calibri"/>
          <a:cs typeface="Calibri"/>
        </a:defRPr>
      </a:pPr>
      <a:endParaRPr lang="it-IT"/>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w="25400">
          <a:noFill/>
        </a:ln>
      </c:spPr>
      <c:txPr>
        <a:bodyPr/>
        <a:lstStyle/>
        <a:p>
          <a:pPr>
            <a:defRPr sz="1400" b="0" i="0" u="none" strike="noStrike" baseline="0">
              <a:solidFill>
                <a:srgbClr val="333333"/>
              </a:solidFill>
              <a:latin typeface="Calibri"/>
              <a:ea typeface="Calibri"/>
              <a:cs typeface="Calibri"/>
            </a:defRPr>
          </a:pPr>
          <a:endParaRPr lang="it-IT"/>
        </a:p>
      </c:txPr>
    </c:title>
    <c:autoTitleDeleted val="0"/>
    <c:plotArea>
      <c:layout/>
      <c:lineChart>
        <c:grouping val="standard"/>
        <c:varyColors val="0"/>
        <c:ser>
          <c:idx val="0"/>
          <c:order val="0"/>
          <c:tx>
            <c:v>Life refund before ET charges</c:v>
          </c:tx>
          <c:spPr>
            <a:ln w="28575" cap="rnd">
              <a:solidFill>
                <a:schemeClr val="accent1"/>
              </a:solidFill>
              <a:round/>
            </a:ln>
            <a:effectLst/>
          </c:spPr>
          <c:marker>
            <c:symbol val="circle"/>
            <c:size val="5"/>
            <c:spPr>
              <a:solidFill>
                <a:schemeClr val="accent1"/>
              </a:solidFill>
              <a:ln w="9525">
                <a:solidFill>
                  <a:schemeClr val="accent1"/>
                </a:solidFill>
              </a:ln>
              <a:effectLst/>
            </c:spPr>
          </c:marker>
          <c:val>
            <c:numLit>
              <c:formatCode>General</c:formatCode>
              <c:ptCount val="121"/>
              <c:pt idx="0">
                <c:v>358.18513749847301</c:v>
              </c:pt>
              <c:pt idx="1">
                <c:v>348.97917497165702</c:v>
              </c:pt>
              <c:pt idx="2">
                <c:v>339.88211241955003</c:v>
              </c:pt>
              <c:pt idx="3">
                <c:v>330.89394984215198</c:v>
              </c:pt>
              <c:pt idx="4">
                <c:v>322.01468723946402</c:v>
              </c:pt>
              <c:pt idx="5">
                <c:v>313.24432461148598</c:v>
              </c:pt>
              <c:pt idx="6">
                <c:v>304.58286195821699</c:v>
              </c:pt>
              <c:pt idx="7">
                <c:v>296.03029927965702</c:v>
              </c:pt>
              <c:pt idx="8">
                <c:v>287.58663657580797</c:v>
              </c:pt>
              <c:pt idx="9">
                <c:v>279.25187384666702</c:v>
              </c:pt>
              <c:pt idx="10">
                <c:v>271.02601109223701</c:v>
              </c:pt>
              <c:pt idx="11">
                <c:v>262.90904831251601</c:v>
              </c:pt>
              <c:pt idx="12">
                <c:v>254.900985507504</c:v>
              </c:pt>
              <c:pt idx="13">
                <c:v>247.001822677202</c:v>
              </c:pt>
              <c:pt idx="14">
                <c:v>239.21155982161</c:v>
              </c:pt>
              <c:pt idx="15">
                <c:v>231.530196940727</c:v>
              </c:pt>
              <c:pt idx="16">
                <c:v>223.957734034553</c:v>
              </c:pt>
              <c:pt idx="17">
                <c:v>216.49417110309</c:v>
              </c:pt>
              <c:pt idx="18">
                <c:v>209.139508146335</c:v>
              </c:pt>
              <c:pt idx="19">
                <c:v>201.893745164291</c:v>
              </c:pt>
              <c:pt idx="20">
                <c:v>194.75688215695601</c:v>
              </c:pt>
              <c:pt idx="21">
                <c:v>187.72891912432999</c:v>
              </c:pt>
              <c:pt idx="22">
                <c:v>180.809856066414</c:v>
              </c:pt>
              <c:pt idx="23">
                <c:v>173.99969298320701</c:v>
              </c:pt>
              <c:pt idx="24">
                <c:v>167.29842987471099</c:v>
              </c:pt>
              <c:pt idx="25">
                <c:v>160.70606674092301</c:v>
              </c:pt>
              <c:pt idx="26">
                <c:v>154.22260358184499</c:v>
              </c:pt>
              <c:pt idx="27">
                <c:v>147.84804039747701</c:v>
              </c:pt>
              <c:pt idx="28">
                <c:v>141.582377187818</c:v>
              </c:pt>
              <c:pt idx="29">
                <c:v>135.42561395286901</c:v>
              </c:pt>
              <c:pt idx="30">
                <c:v>129.37775069263</c:v>
              </c:pt>
              <c:pt idx="31">
                <c:v>123.43878740709999</c:v>
              </c:pt>
              <c:pt idx="32">
                <c:v>117.608724096279</c:v>
              </c:pt>
              <c:pt idx="33">
                <c:v>111.887560760168</c:v>
              </c:pt>
              <c:pt idx="34">
                <c:v>106.27529739876699</c:v>
              </c:pt>
              <c:pt idx="35">
                <c:v>100.77193401207499</c:v>
              </c:pt>
              <c:pt idx="36">
                <c:v>95.377470600093005</c:v>
              </c:pt>
              <c:pt idx="37">
                <c:v>90.091907162820306</c:v>
              </c:pt>
              <c:pt idx="38">
                <c:v>84.915243700257093</c:v>
              </c:pt>
              <c:pt idx="39">
                <c:v>79.847480212403497</c:v>
              </c:pt>
              <c:pt idx="40">
                <c:v>74.888616699259401</c:v>
              </c:pt>
              <c:pt idx="41">
                <c:v>70.038653160824893</c:v>
              </c:pt>
              <c:pt idx="42">
                <c:v>65.297589597099901</c:v>
              </c:pt>
              <c:pt idx="43">
                <c:v>60.665426008084502</c:v>
              </c:pt>
              <c:pt idx="44">
                <c:v>56.142162393778598</c:v>
              </c:pt>
              <c:pt idx="45">
                <c:v>51.727798754182302</c:v>
              </c:pt>
              <c:pt idx="46">
                <c:v>47.422335089295501</c:v>
              </c:pt>
              <c:pt idx="47">
                <c:v>43.225771399118301</c:v>
              </c:pt>
              <c:pt idx="48">
                <c:v>39.138107683650702</c:v>
              </c:pt>
              <c:pt idx="49">
                <c:v>35.159343942892598</c:v>
              </c:pt>
              <c:pt idx="50">
                <c:v>31.289480176843998</c:v>
              </c:pt>
              <c:pt idx="51">
                <c:v>27.528516385505</c:v>
              </c:pt>
              <c:pt idx="52">
                <c:v>23.8764525688756</c:v>
              </c:pt>
              <c:pt idx="53">
                <c:v>20.333288726955701</c:v>
              </c:pt>
              <c:pt idx="54">
                <c:v>16.8990248597453</c:v>
              </c:pt>
              <c:pt idx="55">
                <c:v>13.5736609672445</c:v>
              </c:pt>
              <c:pt idx="56">
                <c:v>10.357197049453299</c:v>
              </c:pt>
              <c:pt idx="57">
                <c:v>7.2496331063716699</c:v>
              </c:pt>
              <c:pt idx="58">
                <c:v>4.2509691379995402</c:v>
              </c:pt>
              <c:pt idx="59">
                <c:v>1.3612051443369599</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numLit>
          </c:val>
          <c:smooth val="0"/>
          <c:extLst>
            <c:ext xmlns:c16="http://schemas.microsoft.com/office/drawing/2014/chart" uri="{C3380CC4-5D6E-409C-BE32-E72D297353CC}">
              <c16:uniqueId val="{00000000-D247-4522-9159-FD1170E4D136}"/>
            </c:ext>
          </c:extLst>
        </c:ser>
        <c:dLbls>
          <c:showLegendKey val="0"/>
          <c:showVal val="0"/>
          <c:showCatName val="0"/>
          <c:showSerName val="0"/>
          <c:showPercent val="0"/>
          <c:showBubbleSize val="0"/>
        </c:dLbls>
        <c:marker val="1"/>
        <c:smooth val="0"/>
        <c:axId val="2010596575"/>
        <c:axId val="1"/>
      </c:lineChart>
      <c:catAx>
        <c:axId val="2010596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vert="horz"/>
          <a:lstStyle/>
          <a:p>
            <a:pPr>
              <a:defRPr sz="900" b="0" i="0" u="none" strike="noStrike" baseline="0">
                <a:solidFill>
                  <a:srgbClr val="333333"/>
                </a:solidFill>
                <a:latin typeface="Calibri"/>
                <a:ea typeface="Calibri"/>
                <a:cs typeface="Calibri"/>
              </a:defRPr>
            </a:pPr>
            <a:endParaRPr lang="it-IT"/>
          </a:p>
        </c:txPr>
        <c:crossAx val="1"/>
        <c:crosses val="autoZero"/>
        <c:auto val="1"/>
        <c:lblAlgn val="ctr"/>
        <c:lblOffset val="100"/>
        <c:noMultiLvlLbl val="0"/>
      </c:catAx>
      <c:valAx>
        <c:axId val="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ln w="9525">
            <a:noFill/>
          </a:ln>
        </c:spPr>
        <c:txPr>
          <a:bodyPr rot="0" vert="horz"/>
          <a:lstStyle/>
          <a:p>
            <a:pPr>
              <a:defRPr sz="900" b="0" i="0" u="none" strike="noStrike" baseline="0">
                <a:solidFill>
                  <a:srgbClr val="333333"/>
                </a:solidFill>
                <a:latin typeface="Calibri"/>
                <a:ea typeface="Calibri"/>
                <a:cs typeface="Calibri"/>
              </a:defRPr>
            </a:pPr>
            <a:endParaRPr lang="it-IT"/>
          </a:p>
        </c:txPr>
        <c:crossAx val="2010596575"/>
        <c:crosses val="autoZero"/>
        <c:crossBetween val="between"/>
      </c:valAx>
      <c:spPr>
        <a:noFill/>
        <a:ln w="25400">
          <a:noFill/>
        </a:ln>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0" i="0" u="none" strike="noStrike" baseline="0">
          <a:solidFill>
            <a:srgbClr val="000000"/>
          </a:solidFill>
          <a:latin typeface="Calibri"/>
          <a:ea typeface="Calibri"/>
          <a:cs typeface="Calibri"/>
        </a:defRPr>
      </a:pPr>
      <a:endParaRPr lang="it-IT"/>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w="25400">
          <a:noFill/>
        </a:ln>
      </c:spPr>
      <c:txPr>
        <a:bodyPr/>
        <a:lstStyle/>
        <a:p>
          <a:pPr>
            <a:defRPr sz="1400" b="0" i="0" u="none" strike="noStrike" baseline="0">
              <a:solidFill>
                <a:srgbClr val="333333"/>
              </a:solidFill>
              <a:latin typeface="Calibri"/>
              <a:ea typeface="Calibri"/>
              <a:cs typeface="Calibri"/>
            </a:defRPr>
          </a:pPr>
          <a:endParaRPr lang="it-IT"/>
        </a:p>
      </c:txPr>
    </c:title>
    <c:autoTitleDeleted val="0"/>
    <c:plotArea>
      <c:layout/>
      <c:lineChart>
        <c:grouping val="standard"/>
        <c:varyColors val="0"/>
        <c:ser>
          <c:idx val="0"/>
          <c:order val="0"/>
          <c:tx>
            <c:v>Life refund after ET charges</c:v>
          </c:tx>
          <c:spPr>
            <a:ln w="28575" cap="rnd">
              <a:solidFill>
                <a:schemeClr val="accent1"/>
              </a:solidFill>
              <a:round/>
            </a:ln>
            <a:effectLst/>
          </c:spPr>
          <c:marker>
            <c:symbol val="circle"/>
            <c:size val="5"/>
            <c:spPr>
              <a:solidFill>
                <a:schemeClr val="accent1"/>
              </a:solidFill>
              <a:ln w="9525">
                <a:solidFill>
                  <a:schemeClr val="accent1"/>
                </a:solidFill>
              </a:ln>
              <a:effectLst/>
            </c:spPr>
          </c:marker>
          <c:val>
            <c:numLit>
              <c:formatCode>General</c:formatCode>
              <c:ptCount val="120"/>
              <c:pt idx="0">
                <c:v>337.68513749847301</c:v>
              </c:pt>
              <c:pt idx="1">
                <c:v>328.47917497165702</c:v>
              </c:pt>
              <c:pt idx="2">
                <c:v>319.38211241955003</c:v>
              </c:pt>
              <c:pt idx="3">
                <c:v>310.39394984215198</c:v>
              </c:pt>
              <c:pt idx="4">
                <c:v>301.51468723946402</c:v>
              </c:pt>
              <c:pt idx="5">
                <c:v>292.74432461148598</c:v>
              </c:pt>
              <c:pt idx="6">
                <c:v>284.08286195821699</c:v>
              </c:pt>
              <c:pt idx="7">
                <c:v>275.53029927965702</c:v>
              </c:pt>
              <c:pt idx="8">
                <c:v>267.08663657580797</c:v>
              </c:pt>
              <c:pt idx="9">
                <c:v>258.75187384666702</c:v>
              </c:pt>
              <c:pt idx="10">
                <c:v>250.52601109223701</c:v>
              </c:pt>
              <c:pt idx="11">
                <c:v>242.40904831251601</c:v>
              </c:pt>
              <c:pt idx="12">
                <c:v>234.400985507504</c:v>
              </c:pt>
              <c:pt idx="13">
                <c:v>226.501822677202</c:v>
              </c:pt>
              <c:pt idx="14">
                <c:v>218.71155982161</c:v>
              </c:pt>
              <c:pt idx="15">
                <c:v>211.030196940727</c:v>
              </c:pt>
              <c:pt idx="16">
                <c:v>203.457734034553</c:v>
              </c:pt>
              <c:pt idx="17">
                <c:v>195.99417110309</c:v>
              </c:pt>
              <c:pt idx="18">
                <c:v>188.639508146335</c:v>
              </c:pt>
              <c:pt idx="19">
                <c:v>181.393745164291</c:v>
              </c:pt>
              <c:pt idx="20">
                <c:v>174.25688215695601</c:v>
              </c:pt>
              <c:pt idx="21">
                <c:v>167.22891912432999</c:v>
              </c:pt>
              <c:pt idx="22">
                <c:v>160.309856066414</c:v>
              </c:pt>
              <c:pt idx="23">
                <c:v>153.49969298320701</c:v>
              </c:pt>
              <c:pt idx="24">
                <c:v>146.79842987471099</c:v>
              </c:pt>
              <c:pt idx="25">
                <c:v>140.20606674092301</c:v>
              </c:pt>
              <c:pt idx="26">
                <c:v>133.72260358184499</c:v>
              </c:pt>
              <c:pt idx="27">
                <c:v>127.34804039747701</c:v>
              </c:pt>
              <c:pt idx="28">
                <c:v>121.082377187818</c:v>
              </c:pt>
              <c:pt idx="29">
                <c:v>114.925613952869</c:v>
              </c:pt>
              <c:pt idx="30">
                <c:v>108.87775069263</c:v>
              </c:pt>
              <c:pt idx="31">
                <c:v>102.93878740709999</c:v>
              </c:pt>
              <c:pt idx="32">
                <c:v>97.108724096279502</c:v>
              </c:pt>
              <c:pt idx="33">
                <c:v>91.387560760168597</c:v>
              </c:pt>
              <c:pt idx="34">
                <c:v>85.775297398767194</c:v>
              </c:pt>
              <c:pt idx="35">
                <c:v>80.271934012075306</c:v>
              </c:pt>
              <c:pt idx="36">
                <c:v>74.877470600093005</c:v>
              </c:pt>
              <c:pt idx="37">
                <c:v>69.591907162820306</c:v>
              </c:pt>
              <c:pt idx="38">
                <c:v>64.415243700257093</c:v>
              </c:pt>
              <c:pt idx="39">
                <c:v>59.347480212403497</c:v>
              </c:pt>
              <c:pt idx="40">
                <c:v>54.388616699259401</c:v>
              </c:pt>
              <c:pt idx="41">
                <c:v>49.5386531608249</c:v>
              </c:pt>
              <c:pt idx="42">
                <c:v>44.797589597099901</c:v>
              </c:pt>
              <c:pt idx="43">
                <c:v>40.165426008084502</c:v>
              </c:pt>
              <c:pt idx="44">
                <c:v>35.642162393778598</c:v>
              </c:pt>
              <c:pt idx="45">
                <c:v>31.227798754182299</c:v>
              </c:pt>
              <c:pt idx="46">
                <c:v>26.922335089295501</c:v>
              </c:pt>
              <c:pt idx="47">
                <c:v>22.725771399118301</c:v>
              </c:pt>
              <c:pt idx="48">
                <c:v>18.638107683650698</c:v>
              </c:pt>
              <c:pt idx="49">
                <c:v>14.659343942892599</c:v>
              </c:pt>
              <c:pt idx="50">
                <c:v>10.789480176844</c:v>
              </c:pt>
              <c:pt idx="51">
                <c:v>7.0285163855050596</c:v>
              </c:pt>
              <c:pt idx="52">
                <c:v>3.37645256887562</c:v>
              </c:pt>
              <c:pt idx="53">
                <c:v>-0.16671127304427399</c:v>
              </c:pt>
              <c:pt idx="54">
                <c:v>-3.6009751402546102</c:v>
              </c:pt>
              <c:pt idx="55">
                <c:v>-6.9263390327553997</c:v>
              </c:pt>
              <c:pt idx="56">
                <c:v>-10.142802950546599</c:v>
              </c:pt>
              <c:pt idx="57">
                <c:v>-13.2503668936283</c:v>
              </c:pt>
              <c:pt idx="58">
                <c:v>-16.249030862000399</c:v>
              </c:pt>
              <c:pt idx="59">
                <c:v>-19.138794855663001</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numLit>
          </c:val>
          <c:smooth val="0"/>
          <c:extLst>
            <c:ext xmlns:c16="http://schemas.microsoft.com/office/drawing/2014/chart" uri="{C3380CC4-5D6E-409C-BE32-E72D297353CC}">
              <c16:uniqueId val="{00000000-7D32-4B4E-B026-3EE56175A258}"/>
            </c:ext>
          </c:extLst>
        </c:ser>
        <c:dLbls>
          <c:showLegendKey val="0"/>
          <c:showVal val="0"/>
          <c:showCatName val="0"/>
          <c:showSerName val="0"/>
          <c:showPercent val="0"/>
          <c:showBubbleSize val="0"/>
        </c:dLbls>
        <c:marker val="1"/>
        <c:smooth val="0"/>
        <c:axId val="2010592831"/>
        <c:axId val="1"/>
      </c:lineChart>
      <c:catAx>
        <c:axId val="20105928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vert="horz"/>
          <a:lstStyle/>
          <a:p>
            <a:pPr>
              <a:defRPr sz="900" b="0" i="0" u="none" strike="noStrike" baseline="0">
                <a:solidFill>
                  <a:srgbClr val="333333"/>
                </a:solidFill>
                <a:latin typeface="Calibri"/>
                <a:ea typeface="Calibri"/>
                <a:cs typeface="Calibri"/>
              </a:defRPr>
            </a:pPr>
            <a:endParaRPr lang="it-IT"/>
          </a:p>
        </c:txPr>
        <c:crossAx val="1"/>
        <c:crosses val="autoZero"/>
        <c:auto val="1"/>
        <c:lblAlgn val="ctr"/>
        <c:lblOffset val="100"/>
        <c:noMultiLvlLbl val="0"/>
      </c:catAx>
      <c:valAx>
        <c:axId val="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ln w="9525">
            <a:noFill/>
          </a:ln>
        </c:spPr>
        <c:txPr>
          <a:bodyPr rot="0" vert="horz"/>
          <a:lstStyle/>
          <a:p>
            <a:pPr>
              <a:defRPr sz="900" b="0" i="0" u="none" strike="noStrike" baseline="0">
                <a:solidFill>
                  <a:srgbClr val="333333"/>
                </a:solidFill>
                <a:latin typeface="Calibri"/>
                <a:ea typeface="Calibri"/>
                <a:cs typeface="Calibri"/>
              </a:defRPr>
            </a:pPr>
            <a:endParaRPr lang="it-IT"/>
          </a:p>
        </c:txPr>
        <c:crossAx val="2010592831"/>
        <c:crosses val="autoZero"/>
        <c:crossBetween val="between"/>
      </c:valAx>
      <c:spPr>
        <a:noFill/>
        <a:ln w="25400">
          <a:noFill/>
        </a:ln>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0" i="0" u="none" strike="noStrike" baseline="0">
          <a:solidFill>
            <a:srgbClr val="000000"/>
          </a:solidFill>
          <a:latin typeface="Calibri"/>
          <a:ea typeface="Calibri"/>
          <a:cs typeface="Calibri"/>
        </a:defRPr>
      </a:pPr>
      <a:endParaRPr lang="it-IT"/>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w="25400">
          <a:noFill/>
        </a:ln>
      </c:spPr>
      <c:txPr>
        <a:bodyPr/>
        <a:lstStyle/>
        <a:p>
          <a:pPr>
            <a:defRPr sz="1400" b="0" i="0" u="none" strike="noStrike" baseline="0">
              <a:solidFill>
                <a:srgbClr val="333333"/>
              </a:solidFill>
              <a:latin typeface="Calibri"/>
              <a:ea typeface="Calibri"/>
              <a:cs typeface="Calibri"/>
            </a:defRPr>
          </a:pPr>
          <a:endParaRPr lang="it-IT"/>
        </a:p>
      </c:txPr>
    </c:title>
    <c:autoTitleDeleted val="0"/>
    <c:plotArea>
      <c:layout/>
      <c:lineChart>
        <c:grouping val="standard"/>
        <c:varyColors val="0"/>
        <c:ser>
          <c:idx val="0"/>
          <c:order val="0"/>
          <c:tx>
            <c:v>Non-Life refund before ET charges</c:v>
          </c:tx>
          <c:spPr>
            <a:ln w="28575" cap="rnd">
              <a:solidFill>
                <a:schemeClr val="accent1"/>
              </a:solidFill>
              <a:round/>
            </a:ln>
            <a:effectLst/>
          </c:spPr>
          <c:marker>
            <c:symbol val="circle"/>
            <c:size val="5"/>
            <c:spPr>
              <a:solidFill>
                <a:schemeClr val="accent1"/>
              </a:solidFill>
              <a:ln w="9525">
                <a:solidFill>
                  <a:schemeClr val="accent1"/>
                </a:solidFill>
              </a:ln>
              <a:effectLst/>
            </c:spPr>
          </c:marker>
          <c:val>
            <c:numLit>
              <c:formatCode>General</c:formatCode>
              <c:ptCount val="121"/>
              <c:pt idx="0">
                <c:v>352.60885189650298</c:v>
              </c:pt>
              <c:pt idx="1">
                <c:v>346.68111842715302</c:v>
              </c:pt>
              <c:pt idx="2">
                <c:v>340.75338495780301</c:v>
              </c:pt>
              <c:pt idx="3">
                <c:v>334.82565148845401</c:v>
              </c:pt>
              <c:pt idx="4">
                <c:v>328.897918019104</c:v>
              </c:pt>
              <c:pt idx="5">
                <c:v>322.97018454975398</c:v>
              </c:pt>
              <c:pt idx="6">
                <c:v>317.04245108040402</c:v>
              </c:pt>
              <c:pt idx="7">
                <c:v>311.114717611054</c:v>
              </c:pt>
              <c:pt idx="8">
                <c:v>305.18698414170399</c:v>
              </c:pt>
              <c:pt idx="9">
                <c:v>299.25925067235403</c:v>
              </c:pt>
              <c:pt idx="10">
                <c:v>293.33151720300401</c:v>
              </c:pt>
              <c:pt idx="11">
                <c:v>287.403783733654</c:v>
              </c:pt>
              <c:pt idx="12">
                <c:v>281.47605026430398</c:v>
              </c:pt>
              <c:pt idx="13">
                <c:v>275.54831679495499</c:v>
              </c:pt>
              <c:pt idx="14">
                <c:v>269.62058332560503</c:v>
              </c:pt>
              <c:pt idx="15">
                <c:v>263.69284985625501</c:v>
              </c:pt>
              <c:pt idx="16">
                <c:v>257.76511638690499</c:v>
              </c:pt>
              <c:pt idx="17">
                <c:v>251.837382917555</c:v>
              </c:pt>
              <c:pt idx="18">
                <c:v>245.90964944820499</c:v>
              </c:pt>
              <c:pt idx="19">
                <c:v>239.981915978855</c:v>
              </c:pt>
              <c:pt idx="20">
                <c:v>234.05418250950501</c:v>
              </c:pt>
              <c:pt idx="21">
                <c:v>228.12644904015499</c:v>
              </c:pt>
              <c:pt idx="22">
                <c:v>222.19871557080501</c:v>
              </c:pt>
              <c:pt idx="23">
                <c:v>216.27098210145601</c:v>
              </c:pt>
              <c:pt idx="24">
                <c:v>210.343248632106</c:v>
              </c:pt>
              <c:pt idx="25">
                <c:v>204.41551516275601</c:v>
              </c:pt>
              <c:pt idx="26">
                <c:v>198.48778169340599</c:v>
              </c:pt>
              <c:pt idx="27">
                <c:v>192.560048224056</c:v>
              </c:pt>
              <c:pt idx="28">
                <c:v>186.63231475470599</c:v>
              </c:pt>
              <c:pt idx="29">
                <c:v>180.704581285356</c:v>
              </c:pt>
              <c:pt idx="30">
                <c:v>174.77684781600601</c:v>
              </c:pt>
              <c:pt idx="31">
                <c:v>168.84911434665599</c:v>
              </c:pt>
              <c:pt idx="32">
                <c:v>162.92138087730601</c:v>
              </c:pt>
              <c:pt idx="33">
                <c:v>156.99364740795599</c:v>
              </c:pt>
              <c:pt idx="34">
                <c:v>151.065913938607</c:v>
              </c:pt>
              <c:pt idx="35">
                <c:v>145.13818046925701</c:v>
              </c:pt>
              <c:pt idx="36">
                <c:v>139.21044699990699</c:v>
              </c:pt>
              <c:pt idx="37">
                <c:v>133.282713530557</c:v>
              </c:pt>
              <c:pt idx="38">
                <c:v>127.354980061207</c:v>
              </c:pt>
              <c:pt idx="39">
                <c:v>121.427246591857</c:v>
              </c:pt>
              <c:pt idx="40">
                <c:v>115.499513122507</c:v>
              </c:pt>
              <c:pt idx="41">
                <c:v>109.57177965315699</c:v>
              </c:pt>
              <c:pt idx="42">
                <c:v>103.64404618380701</c:v>
              </c:pt>
              <c:pt idx="43">
                <c:v>97.716312714457899</c:v>
              </c:pt>
              <c:pt idx="44">
                <c:v>91.788579245107996</c:v>
              </c:pt>
              <c:pt idx="45">
                <c:v>85.860845775758094</c:v>
              </c:pt>
              <c:pt idx="46">
                <c:v>79.933112306408205</c:v>
              </c:pt>
              <c:pt idx="47">
                <c:v>74.005378837058302</c:v>
              </c:pt>
              <c:pt idx="48">
                <c:v>68.077645367708399</c:v>
              </c:pt>
              <c:pt idx="49">
                <c:v>62.149911898358503</c:v>
              </c:pt>
              <c:pt idx="50">
                <c:v>56.222178429008601</c:v>
              </c:pt>
              <c:pt idx="51">
                <c:v>50.294444959658698</c:v>
              </c:pt>
              <c:pt idx="52">
                <c:v>44.366711490308802</c:v>
              </c:pt>
              <c:pt idx="53">
                <c:v>38.438978020958899</c:v>
              </c:pt>
              <c:pt idx="54">
                <c:v>32.511244551608897</c:v>
              </c:pt>
              <c:pt idx="55">
                <c:v>26.583511082259001</c:v>
              </c:pt>
              <c:pt idx="56">
                <c:v>20.655777612909102</c:v>
              </c:pt>
              <c:pt idx="57">
                <c:v>14.728044143559201</c:v>
              </c:pt>
              <c:pt idx="58">
                <c:v>8.8003106742093795</c:v>
              </c:pt>
              <c:pt idx="59">
                <c:v>2.8725772048594802</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numLit>
          </c:val>
          <c:smooth val="0"/>
          <c:extLst>
            <c:ext xmlns:c16="http://schemas.microsoft.com/office/drawing/2014/chart" uri="{C3380CC4-5D6E-409C-BE32-E72D297353CC}">
              <c16:uniqueId val="{00000000-D5D1-4E32-A8B0-D5241E5CE640}"/>
            </c:ext>
          </c:extLst>
        </c:ser>
        <c:dLbls>
          <c:showLegendKey val="0"/>
          <c:showVal val="0"/>
          <c:showCatName val="0"/>
          <c:showSerName val="0"/>
          <c:showPercent val="0"/>
          <c:showBubbleSize val="0"/>
        </c:dLbls>
        <c:marker val="1"/>
        <c:smooth val="0"/>
        <c:axId val="2010583263"/>
        <c:axId val="1"/>
      </c:lineChart>
      <c:catAx>
        <c:axId val="2010583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vert="horz"/>
          <a:lstStyle/>
          <a:p>
            <a:pPr>
              <a:defRPr sz="900" b="0" i="0" u="none" strike="noStrike" baseline="0">
                <a:solidFill>
                  <a:srgbClr val="333333"/>
                </a:solidFill>
                <a:latin typeface="Calibri"/>
                <a:ea typeface="Calibri"/>
                <a:cs typeface="Calibri"/>
              </a:defRPr>
            </a:pPr>
            <a:endParaRPr lang="it-IT"/>
          </a:p>
        </c:txPr>
        <c:crossAx val="1"/>
        <c:crosses val="autoZero"/>
        <c:auto val="1"/>
        <c:lblAlgn val="ctr"/>
        <c:lblOffset val="100"/>
        <c:noMultiLvlLbl val="0"/>
      </c:catAx>
      <c:valAx>
        <c:axId val="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ln w="9525">
            <a:noFill/>
          </a:ln>
        </c:spPr>
        <c:txPr>
          <a:bodyPr rot="0" vert="horz"/>
          <a:lstStyle/>
          <a:p>
            <a:pPr>
              <a:defRPr sz="900" b="0" i="0" u="none" strike="noStrike" baseline="0">
                <a:solidFill>
                  <a:srgbClr val="333333"/>
                </a:solidFill>
                <a:latin typeface="Calibri"/>
                <a:ea typeface="Calibri"/>
                <a:cs typeface="Calibri"/>
              </a:defRPr>
            </a:pPr>
            <a:endParaRPr lang="it-IT"/>
          </a:p>
        </c:txPr>
        <c:crossAx val="2010583263"/>
        <c:crosses val="autoZero"/>
        <c:crossBetween val="between"/>
      </c:valAx>
      <c:spPr>
        <a:noFill/>
        <a:ln w="25400">
          <a:noFill/>
        </a:ln>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0" i="0" u="none" strike="noStrike" baseline="0">
          <a:solidFill>
            <a:srgbClr val="000000"/>
          </a:solidFill>
          <a:latin typeface="Calibri"/>
          <a:ea typeface="Calibri"/>
          <a:cs typeface="Calibri"/>
        </a:defRPr>
      </a:pPr>
      <a:endParaRPr lang="it-IT"/>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w="25400">
          <a:noFill/>
        </a:ln>
      </c:spPr>
      <c:txPr>
        <a:bodyPr/>
        <a:lstStyle/>
        <a:p>
          <a:pPr>
            <a:defRPr sz="1400" b="0" i="0" u="none" strike="noStrike" baseline="0">
              <a:solidFill>
                <a:srgbClr val="333333"/>
              </a:solidFill>
              <a:latin typeface="Calibri"/>
              <a:ea typeface="Calibri"/>
              <a:cs typeface="Calibri"/>
            </a:defRPr>
          </a:pPr>
          <a:endParaRPr lang="it-IT"/>
        </a:p>
      </c:txPr>
    </c:title>
    <c:autoTitleDeleted val="0"/>
    <c:plotArea>
      <c:layout/>
      <c:lineChart>
        <c:grouping val="standard"/>
        <c:varyColors val="0"/>
        <c:ser>
          <c:idx val="0"/>
          <c:order val="0"/>
          <c:tx>
            <c:v>Non-Life refund after ET charges</c:v>
          </c:tx>
          <c:spPr>
            <a:ln w="28575" cap="rnd">
              <a:solidFill>
                <a:schemeClr val="accent1"/>
              </a:solidFill>
              <a:round/>
            </a:ln>
            <a:effectLst/>
          </c:spPr>
          <c:marker>
            <c:symbol val="circle"/>
            <c:size val="5"/>
            <c:spPr>
              <a:solidFill>
                <a:schemeClr val="accent1"/>
              </a:solidFill>
              <a:ln w="9525">
                <a:solidFill>
                  <a:schemeClr val="accent1"/>
                </a:solidFill>
              </a:ln>
              <a:effectLst/>
            </c:spPr>
          </c:marker>
          <c:val>
            <c:numLit>
              <c:formatCode>General</c:formatCode>
              <c:ptCount val="121"/>
              <c:pt idx="0">
                <c:v>332.10885189650298</c:v>
              </c:pt>
              <c:pt idx="1">
                <c:v>326.18111842715302</c:v>
              </c:pt>
              <c:pt idx="2">
                <c:v>320.25338495780301</c:v>
              </c:pt>
              <c:pt idx="3">
                <c:v>314.32565148845401</c:v>
              </c:pt>
              <c:pt idx="4">
                <c:v>308.397918019104</c:v>
              </c:pt>
              <c:pt idx="5">
                <c:v>302.47018454975398</c:v>
              </c:pt>
              <c:pt idx="6">
                <c:v>296.54245108040402</c:v>
              </c:pt>
              <c:pt idx="7">
                <c:v>290.614717611054</c:v>
              </c:pt>
              <c:pt idx="8">
                <c:v>284.68698414170399</c:v>
              </c:pt>
              <c:pt idx="9">
                <c:v>278.75925067235403</c:v>
              </c:pt>
              <c:pt idx="10">
                <c:v>272.83151720300401</c:v>
              </c:pt>
              <c:pt idx="11">
                <c:v>266.903783733654</c:v>
              </c:pt>
              <c:pt idx="12">
                <c:v>260.97605026430398</c:v>
              </c:pt>
              <c:pt idx="13">
                <c:v>255.04831679495501</c:v>
              </c:pt>
              <c:pt idx="14">
                <c:v>249.120583325605</c:v>
              </c:pt>
              <c:pt idx="15">
                <c:v>243.19284985625501</c:v>
              </c:pt>
              <c:pt idx="16">
                <c:v>237.26511638690499</c:v>
              </c:pt>
              <c:pt idx="17">
                <c:v>231.337382917555</c:v>
              </c:pt>
              <c:pt idx="18">
                <c:v>225.40964944820499</c:v>
              </c:pt>
              <c:pt idx="19">
                <c:v>219.481915978855</c:v>
              </c:pt>
              <c:pt idx="20">
                <c:v>213.55418250950501</c:v>
              </c:pt>
              <c:pt idx="21">
                <c:v>207.62644904015499</c:v>
              </c:pt>
              <c:pt idx="22">
                <c:v>201.69871557080501</c:v>
              </c:pt>
              <c:pt idx="23">
                <c:v>195.77098210145601</c:v>
              </c:pt>
              <c:pt idx="24">
                <c:v>189.843248632106</c:v>
              </c:pt>
              <c:pt idx="25">
                <c:v>183.91551516275601</c:v>
              </c:pt>
              <c:pt idx="26">
                <c:v>177.98778169340599</c:v>
              </c:pt>
              <c:pt idx="27">
                <c:v>172.060048224056</c:v>
              </c:pt>
              <c:pt idx="28">
                <c:v>166.13231475470599</c:v>
              </c:pt>
              <c:pt idx="29">
                <c:v>160.204581285356</c:v>
              </c:pt>
              <c:pt idx="30">
                <c:v>154.27684781600601</c:v>
              </c:pt>
              <c:pt idx="31">
                <c:v>148.34911434665599</c:v>
              </c:pt>
              <c:pt idx="32">
                <c:v>142.42138087730601</c:v>
              </c:pt>
              <c:pt idx="33">
                <c:v>136.49364740795599</c:v>
              </c:pt>
              <c:pt idx="34">
                <c:v>130.565913938607</c:v>
              </c:pt>
              <c:pt idx="35">
                <c:v>124.63818046925699</c:v>
              </c:pt>
              <c:pt idx="36">
                <c:v>118.71044699990701</c:v>
              </c:pt>
              <c:pt idx="37">
                <c:v>112.782713530557</c:v>
              </c:pt>
              <c:pt idx="38">
                <c:v>106.854980061207</c:v>
              </c:pt>
              <c:pt idx="39">
                <c:v>100.927246591857</c:v>
              </c:pt>
              <c:pt idx="40">
                <c:v>94.999513122507594</c:v>
              </c:pt>
              <c:pt idx="41">
                <c:v>89.071779653157705</c:v>
              </c:pt>
              <c:pt idx="42">
                <c:v>83.144046183807802</c:v>
              </c:pt>
              <c:pt idx="43">
                <c:v>77.216312714457899</c:v>
              </c:pt>
              <c:pt idx="44">
                <c:v>71.288579245107996</c:v>
              </c:pt>
              <c:pt idx="45">
                <c:v>65.360845775758094</c:v>
              </c:pt>
              <c:pt idx="46">
                <c:v>59.433112306408198</c:v>
              </c:pt>
              <c:pt idx="47">
                <c:v>53.505378837058302</c:v>
              </c:pt>
              <c:pt idx="48">
                <c:v>47.577645367708399</c:v>
              </c:pt>
              <c:pt idx="49">
                <c:v>41.649911898358503</c:v>
              </c:pt>
              <c:pt idx="50">
                <c:v>35.722178429008601</c:v>
              </c:pt>
              <c:pt idx="51">
                <c:v>29.794444959658701</c:v>
              </c:pt>
              <c:pt idx="52">
                <c:v>23.866711490308798</c:v>
              </c:pt>
              <c:pt idx="53">
                <c:v>17.938978020958899</c:v>
              </c:pt>
              <c:pt idx="54">
                <c:v>12.0112445516089</c:v>
              </c:pt>
              <c:pt idx="55">
                <c:v>6.0835110822590899</c:v>
              </c:pt>
              <c:pt idx="56">
                <c:v>0.15577761290919001</c:v>
              </c:pt>
              <c:pt idx="57">
                <c:v>-5.7719558564407096</c:v>
              </c:pt>
              <c:pt idx="58">
                <c:v>-11.699689325790599</c:v>
              </c:pt>
              <c:pt idx="59">
                <c:v>-17.6274227951405</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numLit>
          </c:val>
          <c:smooth val="0"/>
          <c:extLst>
            <c:ext xmlns:c16="http://schemas.microsoft.com/office/drawing/2014/chart" uri="{C3380CC4-5D6E-409C-BE32-E72D297353CC}">
              <c16:uniqueId val="{00000000-86D7-403F-AB78-68A3FEE8D0F0}"/>
            </c:ext>
          </c:extLst>
        </c:ser>
        <c:dLbls>
          <c:showLegendKey val="0"/>
          <c:showVal val="0"/>
          <c:showCatName val="0"/>
          <c:showSerName val="0"/>
          <c:showPercent val="0"/>
          <c:showBubbleSize val="0"/>
        </c:dLbls>
        <c:marker val="1"/>
        <c:smooth val="0"/>
        <c:axId val="2010582431"/>
        <c:axId val="1"/>
      </c:lineChart>
      <c:catAx>
        <c:axId val="20105824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vert="horz"/>
          <a:lstStyle/>
          <a:p>
            <a:pPr>
              <a:defRPr sz="900" b="0" i="0" u="none" strike="noStrike" baseline="0">
                <a:solidFill>
                  <a:srgbClr val="333333"/>
                </a:solidFill>
                <a:latin typeface="Calibri"/>
                <a:ea typeface="Calibri"/>
                <a:cs typeface="Calibri"/>
              </a:defRPr>
            </a:pPr>
            <a:endParaRPr lang="it-IT"/>
          </a:p>
        </c:txPr>
        <c:crossAx val="1"/>
        <c:crosses val="autoZero"/>
        <c:auto val="1"/>
        <c:lblAlgn val="ctr"/>
        <c:lblOffset val="100"/>
        <c:noMultiLvlLbl val="0"/>
      </c:catAx>
      <c:valAx>
        <c:axId val="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ln w="9525">
            <a:noFill/>
          </a:ln>
        </c:spPr>
        <c:txPr>
          <a:bodyPr rot="0" vert="horz"/>
          <a:lstStyle/>
          <a:p>
            <a:pPr>
              <a:defRPr sz="900" b="0" i="0" u="none" strike="noStrike" baseline="0">
                <a:solidFill>
                  <a:srgbClr val="333333"/>
                </a:solidFill>
                <a:latin typeface="Calibri"/>
                <a:ea typeface="Calibri"/>
                <a:cs typeface="Calibri"/>
              </a:defRPr>
            </a:pPr>
            <a:endParaRPr lang="it-IT"/>
          </a:p>
        </c:txPr>
        <c:crossAx val="2010582431"/>
        <c:crosses val="autoZero"/>
        <c:crossBetween val="between"/>
      </c:valAx>
      <c:spPr>
        <a:noFill/>
        <a:ln w="25400">
          <a:noFill/>
        </a:ln>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0" i="0" u="none" strike="noStrike" baseline="0">
          <a:solidFill>
            <a:srgbClr val="000000"/>
          </a:solidFill>
          <a:latin typeface="Calibri"/>
          <a:ea typeface="Calibri"/>
          <a:cs typeface="Calibri"/>
        </a:defRPr>
      </a:pPr>
      <a:endParaRPr lang="it-IT"/>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i="0" u="none" strike="noStrike" baseline="0">
                <a:solidFill>
                  <a:srgbClr val="333333"/>
                </a:solidFill>
                <a:latin typeface="Calibri"/>
                <a:ea typeface="Calibri"/>
                <a:cs typeface="Calibri"/>
              </a:defRPr>
            </a:pPr>
            <a:r>
              <a:rPr lang="en-IE"/>
              <a:t>OB/OLA</a:t>
            </a:r>
          </a:p>
        </c:rich>
      </c:tx>
      <c:overlay val="0"/>
      <c:spPr>
        <a:noFill/>
        <a:ln w="25400">
          <a:noFill/>
        </a:ln>
      </c:sp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val>
            <c:numLit>
              <c:formatCode>General</c:formatCode>
              <c:ptCount val="122"/>
              <c:pt idx="0">
                <c:v>1</c:v>
              </c:pt>
              <c:pt idx="1">
                <c:v>0.98924640292872601</c:v>
              </c:pt>
              <c:pt idx="2">
                <c:v>0.97842111521031105</c:v>
              </c:pt>
              <c:pt idx="3">
                <c:v>0.96752365890710601</c:v>
              </c:pt>
              <c:pt idx="4">
                <c:v>0.95655355289521404</c:v>
              </c:pt>
              <c:pt idx="5">
                <c:v>0.94551031284324205</c:v>
              </c:pt>
              <c:pt idx="6">
                <c:v>0.93439345119092398</c:v>
              </c:pt>
              <c:pt idx="7">
                <c:v>0.92320247712758996</c:v>
              </c:pt>
              <c:pt idx="8">
                <c:v>0.91193689657050003</c:v>
              </c:pt>
              <c:pt idx="9">
                <c:v>0.90059621214302998</c:v>
              </c:pt>
              <c:pt idx="10">
                <c:v>0.88917992315271099</c:v>
              </c:pt>
              <c:pt idx="11">
                <c:v>0.877687525569122</c:v>
              </c:pt>
              <c:pt idx="12">
                <c:v>0.86611851200164303</c:v>
              </c:pt>
              <c:pt idx="13">
                <c:v>0.85447237167704704</c:v>
              </c:pt>
              <c:pt idx="14">
                <c:v>0.84274859041695405</c:v>
              </c:pt>
              <c:pt idx="15">
                <c:v>0.83094665061512696</c:v>
              </c:pt>
              <c:pt idx="16">
                <c:v>0.81906603121462196</c:v>
              </c:pt>
              <c:pt idx="17">
                <c:v>0.80710620768477903</c:v>
              </c:pt>
              <c:pt idx="18">
                <c:v>0.79506665199807103</c:v>
              </c:pt>
              <c:pt idx="19">
                <c:v>0.78294683260678499</c:v>
              </c:pt>
              <c:pt idx="20">
                <c:v>0.77074621441955704</c:v>
              </c:pt>
              <c:pt idx="21">
                <c:v>0.75846425877774704</c:v>
              </c:pt>
              <c:pt idx="22">
                <c:v>0.74610042343165905</c:v>
              </c:pt>
              <c:pt idx="23">
                <c:v>0.73365416251659699</c:v>
              </c:pt>
              <c:pt idx="24">
                <c:v>0.72112492652876703</c:v>
              </c:pt>
              <c:pt idx="25">
                <c:v>0.70851216230101899</c:v>
              </c:pt>
              <c:pt idx="26">
                <c:v>0.69581531297841903</c:v>
              </c:pt>
              <c:pt idx="27">
                <c:v>0.68303381799366902</c:v>
              </c:pt>
              <c:pt idx="28">
                <c:v>0.67016711304235299</c:v>
              </c:pt>
              <c:pt idx="29">
                <c:v>0.65721463005802905</c:v>
              </c:pt>
              <c:pt idx="30">
                <c:v>0.64417579718714302</c:v>
              </c:pt>
              <c:pt idx="31">
                <c:v>0.63105003876378396</c:v>
              </c:pt>
              <c:pt idx="32">
                <c:v>0.61783677528426895</c:v>
              </c:pt>
              <c:pt idx="33">
                <c:v>0.60453542338155697</c:v>
              </c:pt>
              <c:pt idx="34">
                <c:v>0.59114539579949399</c:v>
              </c:pt>
              <c:pt idx="35">
                <c:v>0.57766610136688401</c:v>
              </c:pt>
              <c:pt idx="36">
                <c:v>0.56409694497138996</c:v>
              </c:pt>
              <c:pt idx="37">
                <c:v>0.55043732753326002</c:v>
              </c:pt>
              <c:pt idx="38">
                <c:v>0.53668664597887505</c:v>
              </c:pt>
              <c:pt idx="39">
                <c:v>0.52284429321412695</c:v>
              </c:pt>
              <c:pt idx="40">
                <c:v>0.50890965809761501</c:v>
              </c:pt>
              <c:pt idx="41">
                <c:v>0.494882125413659</c:v>
              </c:pt>
              <c:pt idx="42">
                <c:v>0.48076107584514299</c:v>
              </c:pt>
              <c:pt idx="43">
                <c:v>0.46654588594617102</c:v>
              </c:pt>
              <c:pt idx="44">
                <c:v>0.452235928114539</c:v>
              </c:pt>
              <c:pt idx="45">
                <c:v>0.43783057056402902</c:v>
              </c:pt>
              <c:pt idx="46">
                <c:v>0.42332917729651598</c:v>
              </c:pt>
              <c:pt idx="47">
                <c:v>0.40873110807388602</c:v>
              </c:pt>
              <c:pt idx="48">
                <c:v>0.39403571838977203</c:v>
              </c:pt>
              <c:pt idx="49">
                <c:v>0.37924235944109702</c:v>
              </c:pt>
              <c:pt idx="50">
                <c:v>0.36435037809943099</c:v>
              </c:pt>
              <c:pt idx="51">
                <c:v>0.34935911688215399</c:v>
              </c:pt>
              <c:pt idx="52">
                <c:v>0.33426791392342797</c:v>
              </c:pt>
              <c:pt idx="53">
                <c:v>0.31907610294497801</c:v>
              </c:pt>
              <c:pt idx="54">
                <c:v>0.30378301322667101</c:v>
              </c:pt>
              <c:pt idx="55">
                <c:v>0.28838796957690899</c:v>
              </c:pt>
              <c:pt idx="56">
                <c:v>0.27289029230281497</c:v>
              </c:pt>
              <c:pt idx="57">
                <c:v>0.25728929718022697</c:v>
              </c:pt>
              <c:pt idx="58">
                <c:v>0.241584295423489</c:v>
              </c:pt>
              <c:pt idx="59">
                <c:v>0.22577459365503899</c:v>
              </c:pt>
              <c:pt idx="60">
                <c:v>0.20985949387479899</c:v>
              </c:pt>
              <c:pt idx="61">
                <c:v>0.19383829342935799</c:v>
              </c:pt>
              <c:pt idx="62">
                <c:v>0.17771028498094699</c:v>
              </c:pt>
              <c:pt idx="63">
                <c:v>0.16147475647621301</c:v>
              </c:pt>
              <c:pt idx="64">
                <c:v>0.14513099111478101</c:v>
              </c:pt>
              <c:pt idx="65">
                <c:v>0.12867826731760601</c:v>
              </c:pt>
              <c:pt idx="66">
                <c:v>0.112115858695117</c:v>
              </c:pt>
              <c:pt idx="67">
                <c:v>9.5443034015145103E-2</c:v>
              </c:pt>
              <c:pt idx="68">
                <c:v>7.8659057170639493E-2</c:v>
              </c:pt>
              <c:pt idx="69">
                <c:v>6.1763187147170398E-2</c:v>
              </c:pt>
              <c:pt idx="70">
                <c:v>4.47546779902116E-2</c:v>
              </c:pt>
              <c:pt idx="71">
                <c:v>2.76327787722064E-2</c:v>
              </c:pt>
              <c:pt idx="72">
                <c:v>1.03967335594144E-2</c:v>
              </c:pt>
              <c:pt idx="73">
                <c:v>-6.9542186214627396E-3</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numLit>
          </c:val>
          <c:smooth val="0"/>
          <c:extLst>
            <c:ext xmlns:c16="http://schemas.microsoft.com/office/drawing/2014/chart" uri="{C3380CC4-5D6E-409C-BE32-E72D297353CC}">
              <c16:uniqueId val="{00000000-6047-41E0-A679-CA71D752F406}"/>
            </c:ext>
          </c:extLst>
        </c:ser>
        <c:dLbls>
          <c:showLegendKey val="0"/>
          <c:showVal val="0"/>
          <c:showCatName val="0"/>
          <c:showSerName val="0"/>
          <c:showPercent val="0"/>
          <c:showBubbleSize val="0"/>
        </c:dLbls>
        <c:marker val="1"/>
        <c:smooth val="0"/>
        <c:axId val="2010599903"/>
        <c:axId val="1"/>
      </c:lineChart>
      <c:catAx>
        <c:axId val="2010599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vert="horz"/>
          <a:lstStyle/>
          <a:p>
            <a:pPr>
              <a:defRPr sz="900" b="0" i="0" u="none" strike="noStrike" baseline="0">
                <a:solidFill>
                  <a:srgbClr val="333333"/>
                </a:solidFill>
                <a:latin typeface="Calibri"/>
                <a:ea typeface="Calibri"/>
                <a:cs typeface="Calibri"/>
              </a:defRPr>
            </a:pPr>
            <a:endParaRPr lang="it-IT"/>
          </a:p>
        </c:txPr>
        <c:crossAx val="1"/>
        <c:crosses val="autoZero"/>
        <c:auto val="1"/>
        <c:lblAlgn val="ctr"/>
        <c:lblOffset val="100"/>
        <c:noMultiLvlLbl val="0"/>
      </c:catAx>
      <c:valAx>
        <c:axId val="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ln w="9525">
            <a:noFill/>
          </a:ln>
        </c:spPr>
        <c:txPr>
          <a:bodyPr rot="0" vert="horz"/>
          <a:lstStyle/>
          <a:p>
            <a:pPr>
              <a:defRPr sz="900" b="0" i="0" u="none" strike="noStrike" baseline="0">
                <a:solidFill>
                  <a:srgbClr val="333333"/>
                </a:solidFill>
                <a:latin typeface="Calibri"/>
                <a:ea typeface="Calibri"/>
                <a:cs typeface="Calibri"/>
              </a:defRPr>
            </a:pPr>
            <a:endParaRPr lang="it-IT"/>
          </a:p>
        </c:txPr>
        <c:crossAx val="2010599903"/>
        <c:crosses val="autoZero"/>
        <c:crossBetween val="between"/>
      </c:valAx>
      <c:spPr>
        <a:noFill/>
        <a:ln w="25400">
          <a:noFill/>
        </a:ln>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0" i="0" u="none" strike="noStrike" baseline="0">
          <a:solidFill>
            <a:srgbClr val="000000"/>
          </a:solidFill>
          <a:latin typeface="Calibri"/>
          <a:ea typeface="Calibri"/>
          <a:cs typeface="Calibri"/>
        </a:defRPr>
      </a:pPr>
      <a:endParaRPr lang="it-IT"/>
    </a:p>
  </c:txPr>
  <c:printSettings>
    <c:headerFooter/>
    <c:pageMargins b="0.75" l="0.7" r="0.7" t="0.75" header="0.3" footer="0.3"/>
    <c:pageSetup/>
  </c:printSettings>
</c:chartSpace>
</file>

<file path=xl/drawings/_rels/drawing3.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image" Target="cid:image001.png@01D3A965.7351AD40" TargetMode="External"/><Relationship Id="rId5" Type="http://schemas.openxmlformats.org/officeDocument/2006/relationships/image" Target="../media/image1.png"/><Relationship Id="rId4" Type="http://schemas.openxmlformats.org/officeDocument/2006/relationships/chart" Target="../charts/chart6.xml"/></Relationships>
</file>

<file path=xl/drawings/_rels/drawing5.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4"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11</xdr:col>
      <xdr:colOff>1120</xdr:colOff>
      <xdr:row>1</xdr:row>
      <xdr:rowOff>20730</xdr:rowOff>
    </xdr:from>
    <xdr:to>
      <xdr:col>13</xdr:col>
      <xdr:colOff>87761</xdr:colOff>
      <xdr:row>83</xdr:row>
      <xdr:rowOff>87761</xdr:rowOff>
    </xdr:to>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9BE07126-AF6D-4258-844A-A276828F6716}"/>
                </a:ext>
              </a:extLst>
            </xdr:cNvPr>
            <xdr:cNvSpPr txBox="1"/>
          </xdr:nvSpPr>
          <xdr:spPr>
            <a:xfrm>
              <a:off x="7043270" y="725580"/>
              <a:ext cx="12869191" cy="144053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dk1"/>
                  </a:solidFill>
                  <a:effectLst/>
                  <a:latin typeface="+mn-lt"/>
                  <a:ea typeface="+mn-ea"/>
                  <a:cs typeface="+mn-cs"/>
                </a:rPr>
                <a:t>Section (A) Portfolio Management and Premiums</a:t>
              </a:r>
              <a:endParaRPr lang="en-GB" sz="1100">
                <a:solidFill>
                  <a:schemeClr val="dk1"/>
                </a:solidFill>
                <a:effectLst/>
                <a:latin typeface="+mn-lt"/>
                <a:ea typeface="+mn-ea"/>
                <a:cs typeface="+mn-cs"/>
              </a:endParaRPr>
            </a:p>
            <a:p>
              <a:r>
                <a:rPr lang="en-GB" sz="1100" b="1">
                  <a:solidFill>
                    <a:schemeClr val="dk1"/>
                  </a:solidFill>
                  <a:effectLst/>
                  <a:latin typeface="+mn-lt"/>
                  <a:ea typeface="+mn-ea"/>
                  <a:cs typeface="+mn-cs"/>
                </a:rPr>
                <a:t>ii) Refunds to the Adherent after early termination of the finance contract and in the case of cancellation</a:t>
              </a:r>
              <a:endParaRPr lang="en-GB" sz="1100">
                <a:solidFill>
                  <a:schemeClr val="dk1"/>
                </a:solidFill>
                <a:effectLst/>
                <a:latin typeface="+mn-lt"/>
                <a:ea typeface="+mn-ea"/>
                <a:cs typeface="+mn-cs"/>
              </a:endParaRPr>
            </a:p>
            <a:p>
              <a:pPr lvl="0"/>
              <a:r>
                <a:rPr lang="en-GB" sz="1100" b="1">
                  <a:solidFill>
                    <a:schemeClr val="dk1"/>
                  </a:solidFill>
                  <a:effectLst/>
                  <a:latin typeface="+mn-lt"/>
                  <a:ea typeface="+mn-ea"/>
                  <a:cs typeface="+mn-cs"/>
                </a:rPr>
                <a:t>Definitions:</a:t>
              </a:r>
              <a:endParaRPr lang="en-GB" sz="1100">
                <a:solidFill>
                  <a:schemeClr val="dk1"/>
                </a:solidFill>
                <a:effectLst/>
                <a:latin typeface="+mn-lt"/>
                <a:ea typeface="+mn-ea"/>
                <a:cs typeface="+mn-cs"/>
              </a:endParaRPr>
            </a:p>
            <a:p>
              <a:r>
                <a:rPr lang="en-GB" sz="1100" b="1">
                  <a:solidFill>
                    <a:schemeClr val="dk1"/>
                  </a:solidFill>
                  <a:effectLst/>
                  <a:latin typeface="+mn-lt"/>
                  <a:ea typeface="+mn-ea"/>
                  <a:cs typeface="+mn-cs"/>
                </a:rPr>
                <a:t>D</a:t>
              </a:r>
              <a:r>
                <a:rPr lang="en-GB" sz="1100">
                  <a:solidFill>
                    <a:schemeClr val="dk1"/>
                  </a:solidFill>
                  <a:effectLst/>
                  <a:latin typeface="+mn-lt"/>
                  <a:ea typeface="+mn-ea"/>
                  <a:cs typeface="+mn-cs"/>
                </a:rPr>
                <a:t> means the initial duration (expressed in months) of the insurance coverage (equal to the duration of the loan for guarantees which foresees a duration equal to that of the loan);</a:t>
              </a:r>
            </a:p>
            <a:p>
              <a:r>
                <a:rPr lang="en-GB" sz="1100" b="1">
                  <a:solidFill>
                    <a:schemeClr val="dk1"/>
                  </a:solidFill>
                  <a:effectLst/>
                  <a:latin typeface="+mn-lt"/>
                  <a:ea typeface="+mn-ea"/>
                  <a:cs typeface="+mn-cs"/>
                </a:rPr>
                <a:t>t</a:t>
              </a:r>
              <a:r>
                <a:rPr lang="en-GB" sz="1100">
                  <a:solidFill>
                    <a:schemeClr val="dk1"/>
                  </a:solidFill>
                  <a:effectLst/>
                  <a:latin typeface="+mn-lt"/>
                  <a:ea typeface="+mn-ea"/>
                  <a:cs typeface="+mn-cs"/>
                </a:rPr>
                <a:t> means </a:t>
              </a:r>
              <a:r>
                <a:rPr lang="en-GB" sz="1100">
                  <a:solidFill>
                    <a:schemeClr val="tx1"/>
                  </a:solidFill>
                  <a:effectLst/>
                  <a:latin typeface="+mn-lt"/>
                  <a:ea typeface="+mn-ea"/>
                  <a:cs typeface="+mn-cs"/>
                </a:rPr>
                <a:t>time passed at the date of the reimbursement request</a:t>
              </a:r>
              <a:r>
                <a:rPr lang="en-US" sz="1100">
                  <a:solidFill>
                    <a:schemeClr val="tx1"/>
                  </a:solidFill>
                  <a:effectLst/>
                  <a:latin typeface="+mn-lt"/>
                  <a:ea typeface="+mn-ea"/>
                  <a:cs typeface="+mn-cs"/>
                </a:rPr>
                <a:t>;</a:t>
              </a:r>
              <a:endParaRPr lang="en-GB" sz="1100">
                <a:solidFill>
                  <a:schemeClr val="tx1"/>
                </a:solidFill>
                <a:effectLst/>
                <a:latin typeface="+mn-lt"/>
                <a:ea typeface="+mn-ea"/>
                <a:cs typeface="+mn-cs"/>
              </a:endParaRPr>
            </a:p>
            <a:p>
              <a:r>
                <a:rPr lang="en-GB" sz="1100" b="1">
                  <a:solidFill>
                    <a:schemeClr val="dk1"/>
                  </a:solidFill>
                  <a:effectLst/>
                  <a:latin typeface="+mn-lt"/>
                  <a:ea typeface="+mn-ea"/>
                  <a:cs typeface="+mn-cs"/>
                </a:rPr>
                <a:t>δ </a:t>
              </a:r>
              <a:r>
                <a:rPr lang="en-GB" sz="1100">
                  <a:solidFill>
                    <a:schemeClr val="dk1"/>
                  </a:solidFill>
                  <a:effectLst/>
                  <a:latin typeface="+mn-lt"/>
                  <a:ea typeface="+mn-ea"/>
                  <a:cs typeface="+mn-cs"/>
                </a:rPr>
                <a:t>means rate of loading for commissions; </a:t>
              </a:r>
            </a:p>
            <a:p>
              <a:r>
                <a:rPr lang="en-GB" sz="1100" b="1">
                  <a:solidFill>
                    <a:schemeClr val="dk1"/>
                  </a:solidFill>
                  <a:effectLst/>
                  <a:latin typeface="+mn-lt"/>
                  <a:ea typeface="+mn-ea"/>
                  <a:cs typeface="+mn-cs"/>
                </a:rPr>
                <a:t>ε</a:t>
              </a:r>
              <a:r>
                <a:rPr lang="en-GB" sz="1100">
                  <a:solidFill>
                    <a:schemeClr val="dk1"/>
                  </a:solidFill>
                  <a:effectLst/>
                  <a:latin typeface="+mn-lt"/>
                  <a:ea typeface="+mn-ea"/>
                  <a:cs typeface="+mn-cs"/>
                </a:rPr>
                <a:t> means the full termination costs inclusive the full issuing costs in euro per type of loan. Please note that this information should be entered during the configuration phase for each version of the product as it may vary from product to product and/or from version to version; </a:t>
              </a:r>
            </a:p>
            <a:p>
              <a:r>
                <a:rPr lang="en-GB" sz="1100" b="1">
                  <a:solidFill>
                    <a:schemeClr val="dk1"/>
                  </a:solidFill>
                  <a:effectLst/>
                  <a:latin typeface="+mn-lt"/>
                  <a:ea typeface="+mn-ea"/>
                  <a:cs typeface="+mn-cs"/>
                </a:rPr>
                <a:t>εc </a:t>
              </a:r>
              <a:r>
                <a:rPr lang="en-GB" sz="1100">
                  <a:solidFill>
                    <a:schemeClr val="dk1"/>
                  </a:solidFill>
                  <a:effectLst/>
                  <a:latin typeface="+mn-lt"/>
                  <a:ea typeface="+mn-ea"/>
                  <a:cs typeface="+mn-cs"/>
                </a:rPr>
                <a:t>means part of the termination costs inclusive the full issuing costs owing to the Contractor in euro per type of loan. Please note that this information should be entered during the configuration phase for each version of the product as it may vary from product to product and/or from version to version;</a:t>
              </a:r>
            </a:p>
            <a:p>
              <a:r>
                <a:rPr lang="en-US" sz="1100" b="1">
                  <a:solidFill>
                    <a:schemeClr val="dk1"/>
                  </a:solidFill>
                  <a:effectLst/>
                  <a:latin typeface="+mn-lt"/>
                  <a:ea typeface="+mn-ea"/>
                  <a:cs typeface="+mn-cs"/>
                </a:rPr>
                <a:t>PT </a:t>
              </a:r>
              <a:r>
                <a:rPr lang="en-US" sz="1100">
                  <a:solidFill>
                    <a:schemeClr val="dk1"/>
                  </a:solidFill>
                  <a:effectLst/>
                  <a:latin typeface="+mn-lt"/>
                  <a:ea typeface="+mn-ea"/>
                  <a:cs typeface="+mn-cs"/>
                </a:rPr>
                <a:t>means</a:t>
              </a:r>
              <a:r>
                <a:rPr lang="en-US" sz="1100" b="1">
                  <a:solidFill>
                    <a:schemeClr val="dk1"/>
                  </a:solidFill>
                  <a:effectLst/>
                  <a:latin typeface="+mn-lt"/>
                  <a:ea typeface="+mn-ea"/>
                  <a:cs typeface="+mn-cs"/>
                </a:rPr>
                <a:t> </a:t>
              </a:r>
              <a:r>
                <a:rPr lang="en-GB" sz="1100">
                  <a:solidFill>
                    <a:schemeClr val="dk1"/>
                  </a:solidFill>
                  <a:effectLst/>
                  <a:latin typeface="+mn-lt"/>
                  <a:ea typeface="+mn-ea"/>
                  <a:cs typeface="+mn-cs"/>
                </a:rPr>
                <a:t>the premium paid by the insured, net of taxes and duties;</a:t>
              </a: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rgbClr val="00B050"/>
                  </a:solidFill>
                  <a:effectLst/>
                  <a:latin typeface="+mn-lt"/>
                  <a:ea typeface="+mn-ea"/>
                  <a:cs typeface="+mn-cs"/>
                </a:rPr>
                <a:t>PP</a:t>
              </a:r>
              <a:r>
                <a:rPr lang="en-US" sz="1100">
                  <a:solidFill>
                    <a:srgbClr val="00B050"/>
                  </a:solidFill>
                  <a:effectLst/>
                  <a:latin typeface="+mn-lt"/>
                  <a:ea typeface="+mn-ea"/>
                  <a:cs typeface="+mn-cs"/>
                </a:rPr>
                <a:t> means the pure premium determined in accordance with the following formula: PP= PT x (1 – </a:t>
              </a:r>
              <a:r>
                <a:rPr lang="en-GB" sz="1100">
                  <a:solidFill>
                    <a:srgbClr val="00B050"/>
                  </a:solidFill>
                  <a:effectLst/>
                  <a:latin typeface="+mn-lt"/>
                  <a:ea typeface="+mn-ea"/>
                  <a:cs typeface="+mn-cs"/>
                </a:rPr>
                <a:t>β – δ);</a:t>
              </a:r>
              <a:endParaRPr lang="en-GB">
                <a:solidFill>
                  <a:srgbClr val="00B05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rgbClr val="00B050"/>
                  </a:solidFill>
                  <a:effectLst/>
                  <a:latin typeface="+mn-lt"/>
                  <a:ea typeface="+mn-ea"/>
                  <a:cs typeface="+mn-cs"/>
                </a:rPr>
                <a:t>LOD</a:t>
              </a:r>
              <a:r>
                <a:rPr lang="en-GB" sz="1100">
                  <a:solidFill>
                    <a:srgbClr val="00B050"/>
                  </a:solidFill>
                  <a:effectLst/>
                  <a:latin typeface="+mn-lt"/>
                  <a:ea typeface="+mn-ea"/>
                  <a:cs typeface="+mn-cs"/>
                </a:rPr>
                <a:t> means the total loadings calculated in accordance with the following formula: LOD = PT x (δ + β);</a:t>
              </a:r>
              <a:endParaRPr lang="en-GB">
                <a:solidFill>
                  <a:srgbClr val="00B050"/>
                </a:solidFill>
                <a:effectLst/>
              </a:endParaRPr>
            </a:p>
            <a:p>
              <a:r>
                <a:rPr lang="en-GB" sz="1100" b="1">
                  <a:solidFill>
                    <a:srgbClr val="00B050"/>
                  </a:solidFill>
                  <a:effectLst/>
                  <a:latin typeface="+mn-lt"/>
                  <a:ea typeface="+mn-ea"/>
                  <a:cs typeface="+mn-cs"/>
                </a:rPr>
                <a:t>OB</a:t>
              </a:r>
              <a:r>
                <a:rPr lang="en-GB" sz="1100">
                  <a:solidFill>
                    <a:srgbClr val="00B050"/>
                  </a:solidFill>
                  <a:effectLst/>
                  <a:latin typeface="+mn-lt"/>
                  <a:ea typeface="+mn-ea"/>
                  <a:cs typeface="+mn-cs"/>
                </a:rPr>
                <a:t> = outstanding Balance as per original Loan amortisation schedule at the time of the early Termination of the policy;</a:t>
              </a:r>
            </a:p>
            <a:p>
              <a:r>
                <a:rPr lang="en-GB" sz="1100" b="1">
                  <a:solidFill>
                    <a:srgbClr val="00B050"/>
                  </a:solidFill>
                  <a:effectLst/>
                  <a:latin typeface="+mn-lt"/>
                  <a:ea typeface="+mn-ea"/>
                  <a:cs typeface="+mn-cs"/>
                </a:rPr>
                <a:t>OLA = </a:t>
              </a:r>
              <a:r>
                <a:rPr lang="en-GB" sz="1100" b="0">
                  <a:solidFill>
                    <a:srgbClr val="00B050"/>
                  </a:solidFill>
                  <a:effectLst/>
                  <a:latin typeface="+mn-lt"/>
                  <a:ea typeface="+mn-ea"/>
                  <a:cs typeface="+mn-cs"/>
                </a:rPr>
                <a:t>Original Loan amount</a:t>
              </a:r>
            </a:p>
            <a:p>
              <a:r>
                <a:rPr lang="en-GB" sz="1100" b="1">
                  <a:solidFill>
                    <a:schemeClr val="dk1"/>
                  </a:solidFill>
                  <a:effectLst/>
                  <a:latin typeface="+mn-lt"/>
                  <a:ea typeface="+mn-ea"/>
                  <a:cs typeface="+mn-cs"/>
                </a:rPr>
                <a:t>PR</a:t>
              </a:r>
              <a:r>
                <a:rPr lang="en-GB" sz="1100">
                  <a:solidFill>
                    <a:schemeClr val="dk1"/>
                  </a:solidFill>
                  <a:effectLst/>
                  <a:latin typeface="+mn-lt"/>
                  <a:ea typeface="+mn-ea"/>
                  <a:cs typeface="+mn-cs"/>
                </a:rPr>
                <a:t> means premium refunded to the Adherent;</a:t>
              </a:r>
            </a:p>
            <a:p>
              <a:r>
                <a:rPr lang="en-GB" sz="1100" b="1">
                  <a:solidFill>
                    <a:schemeClr val="dk1"/>
                  </a:solidFill>
                  <a:effectLst/>
                  <a:latin typeface="+mn-lt"/>
                  <a:ea typeface="+mn-ea"/>
                  <a:cs typeface="+mn-cs"/>
                </a:rPr>
                <a:t>PPR</a:t>
              </a:r>
              <a:r>
                <a:rPr lang="en-GB" sz="1100">
                  <a:solidFill>
                    <a:schemeClr val="dk1"/>
                  </a:solidFill>
                  <a:effectLst/>
                  <a:latin typeface="+mn-lt"/>
                  <a:ea typeface="+mn-ea"/>
                  <a:cs typeface="+mn-cs"/>
                </a:rPr>
                <a:t> means the pure premium refunded to the Adherent; and </a:t>
              </a:r>
            </a:p>
            <a:p>
              <a:r>
                <a:rPr lang="en-GB" sz="1100" b="1">
                  <a:solidFill>
                    <a:schemeClr val="dk1"/>
                  </a:solidFill>
                  <a:effectLst/>
                  <a:latin typeface="+mn-lt"/>
                  <a:ea typeface="+mn-ea"/>
                  <a:cs typeface="+mn-cs"/>
                </a:rPr>
                <a:t>PPC</a:t>
              </a:r>
              <a:r>
                <a:rPr lang="en-GB" sz="1100">
                  <a:solidFill>
                    <a:schemeClr val="dk1"/>
                  </a:solidFill>
                  <a:effectLst/>
                  <a:latin typeface="+mn-lt"/>
                  <a:ea typeface="+mn-ea"/>
                  <a:cs typeface="+mn-cs"/>
                </a:rPr>
                <a:t> means the pure premium refunded to the Contractor. </a:t>
              </a:r>
            </a:p>
            <a:p>
              <a:pPr hangingPunct="0"/>
              <a:r>
                <a:rPr lang="en-US" sz="1100">
                  <a:solidFill>
                    <a:schemeClr val="dk1"/>
                  </a:solidFill>
                  <a:effectLst/>
                  <a:latin typeface="+mn-lt"/>
                  <a:ea typeface="+mn-ea"/>
                  <a:cs typeface="+mn-cs"/>
                </a:rPr>
                <a:t> </a:t>
              </a:r>
              <a:endParaRPr lang="en-GB" sz="1100">
                <a:solidFill>
                  <a:schemeClr val="dk1"/>
                </a:solidFill>
                <a:effectLst/>
                <a:latin typeface="+mn-lt"/>
                <a:ea typeface="+mn-ea"/>
                <a:cs typeface="+mn-cs"/>
              </a:endParaRPr>
            </a:p>
            <a:p>
              <a:pPr lvl="0"/>
              <a:r>
                <a:rPr lang="en-US" sz="1100" b="1">
                  <a:solidFill>
                    <a:schemeClr val="dk1"/>
                  </a:solidFill>
                  <a:effectLst/>
                  <a:latin typeface="+mn-lt"/>
                  <a:ea typeface="+mn-ea"/>
                  <a:cs typeface="+mn-cs"/>
                </a:rPr>
                <a:t>Refunds to the Adherent after Early Termination of the Finance Contract and in the case of Cancellation</a:t>
              </a:r>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If the Adherent cancels their insurance cover or if in the event of early termination of the finance contract, the Adherent does not opt to continue the insurance, in accordance with the terms and conditions of the Policies, the Companies shall calculate the refund the Adherent is entitled to receive, comprising part of the risk premium and part of the Contractor’s commission but excluding taxes. Subject to the Adherent providing accurate details of the bank account to be credited together with proof of identity for the purposes of satisfying Anti Money Laundering legislation, the Companies shall pay the refund to the Adherent. The service indicator for such activity is set out in paragraph F.</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The Contractor acknowledges that the commission portion of the refund is the sole responsibility of the Contractor and that it will reimburse refunded commission to the Insurers through the monthly accounting and payment process agreed between the Parties. </a:t>
              </a:r>
            </a:p>
            <a:p>
              <a:endParaRPr lang="en-GB" sz="1100">
                <a:solidFill>
                  <a:schemeClr val="dk1"/>
                </a:solidFill>
                <a:effectLst/>
                <a:latin typeface="+mn-lt"/>
                <a:ea typeface="+mn-ea"/>
                <a:cs typeface="+mn-cs"/>
              </a:endParaRPr>
            </a:p>
            <a:p>
              <a:pPr lvl="0"/>
              <a:r>
                <a:rPr lang="en-US" sz="1100" b="1">
                  <a:solidFill>
                    <a:schemeClr val="dk1"/>
                  </a:solidFill>
                  <a:effectLst/>
                  <a:latin typeface="+mn-lt"/>
                  <a:ea typeface="+mn-ea"/>
                  <a:cs typeface="+mn-cs"/>
                </a:rPr>
                <a:t>Refund Calculation</a:t>
              </a:r>
            </a:p>
            <a:p>
              <a:pPr lvl="0"/>
              <a:endParaRPr lang="en-GB" sz="1100">
                <a:solidFill>
                  <a:schemeClr val="dk1"/>
                </a:solidFill>
                <a:effectLst/>
                <a:latin typeface="+mn-lt"/>
                <a:ea typeface="+mn-ea"/>
                <a:cs typeface="+mn-cs"/>
              </a:endParaRPr>
            </a:p>
            <a:p>
              <a:pPr lvl="0"/>
              <a:r>
                <a:rPr lang="en-GB" sz="1100" u="sng">
                  <a:solidFill>
                    <a:schemeClr val="accent1">
                      <a:lumMod val="50000"/>
                    </a:schemeClr>
                  </a:solidFill>
                  <a:effectLst/>
                  <a:latin typeface="+mn-lt"/>
                  <a:ea typeface="+mn-ea"/>
                  <a:cs typeface="+mn-cs"/>
                </a:rPr>
                <a:t>Single Premium Products (</a:t>
              </a:r>
              <a:r>
                <a:rPr lang="en-GB" sz="1100" b="1" u="sng">
                  <a:solidFill>
                    <a:schemeClr val="accent1">
                      <a:lumMod val="50000"/>
                    </a:schemeClr>
                  </a:solidFill>
                  <a:effectLst/>
                  <a:latin typeface="+mn-lt"/>
                  <a:ea typeface="+mn-ea"/>
                  <a:cs typeface="+mn-cs"/>
                </a:rPr>
                <a:t>NON-LEASING</a:t>
              </a:r>
              <a:r>
                <a:rPr lang="en-GB" sz="1100" u="sng">
                  <a:solidFill>
                    <a:schemeClr val="accent1">
                      <a:lumMod val="50000"/>
                    </a:schemeClr>
                  </a:solidFill>
                  <a:effectLst/>
                  <a:latin typeface="+mn-lt"/>
                  <a:ea typeface="+mn-ea"/>
                  <a:cs typeface="+mn-cs"/>
                </a:rPr>
                <a:t>): </a:t>
              </a:r>
              <a:r>
                <a:rPr lang="en-GB" sz="1100" u="none">
                  <a:solidFill>
                    <a:schemeClr val="accent1">
                      <a:lumMod val="50000"/>
                    </a:schemeClr>
                  </a:solidFill>
                  <a:effectLst/>
                  <a:latin typeface="+mn-lt"/>
                  <a:ea typeface="+mn-ea"/>
                  <a:cs typeface="+mn-cs"/>
                </a:rPr>
                <a:t>       </a:t>
              </a:r>
              <a:r>
                <a:rPr lang="en-GB" sz="1100">
                  <a:solidFill>
                    <a:schemeClr val="dk1"/>
                  </a:solidFill>
                  <a:effectLst/>
                  <a:latin typeface="+mn-lt"/>
                  <a:ea typeface="+mn-ea"/>
                  <a:cs typeface="+mn-cs"/>
                </a:rPr>
                <a:t>For the single premium as referenced in clause 6.2.1 of this Agreement, in the event of early termination of the finance contract, if the Adherent does not opt to continue the insurance, in accordance with the terms and conditions of the Policies, the Companies shall calculate the refund the Adherent is entitled to receive, comprising of part of the risk premium and part of the Contractor’s commission but excluding taxes. </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The formulae for calculation of the Life and Non-Life element of the refund shall be carried out by the Parties using the following: </a:t>
              </a:r>
            </a:p>
            <a:p>
              <a:r>
                <a:rPr lang="en-GB" sz="110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u="sng">
                  <a:solidFill>
                    <a:schemeClr val="dk1"/>
                  </a:solidFill>
                  <a:effectLst/>
                  <a:latin typeface="+mn-lt"/>
                  <a:ea typeface="+mn-ea"/>
                  <a:cs typeface="+mn-cs"/>
                </a:rPr>
                <a:t>Life</a:t>
              </a:r>
              <a:r>
                <a:rPr lang="en-GB" sz="1100" u="none">
                  <a:solidFill>
                    <a:schemeClr val="dk1"/>
                  </a:solidFill>
                  <a:effectLst/>
                  <a:latin typeface="+mn-lt"/>
                  <a:ea typeface="+mn-ea"/>
                  <a:cs typeface="+mn-cs"/>
                </a:rPr>
                <a:t>:    </a:t>
              </a:r>
              <a:r>
                <a:rPr lang="en-GB" sz="1100" b="1">
                  <a:solidFill>
                    <a:srgbClr val="C00000"/>
                  </a:solidFill>
                  <a:effectLst/>
                  <a:latin typeface="+mn-lt"/>
                  <a:ea typeface="+mn-ea"/>
                  <a:cs typeface="+mn-cs"/>
                </a:rPr>
                <a:t>CHANGED</a:t>
              </a:r>
              <a:endParaRPr lang="en-GB" b="1">
                <a:solidFill>
                  <a:srgbClr val="C00000"/>
                </a:solidFill>
                <a:effectLst/>
              </a:endParaRPr>
            </a:p>
            <a:p>
              <a:r>
                <a:rPr lang="en-GB" sz="1100">
                  <a:solidFill>
                    <a:schemeClr val="dk1"/>
                  </a:solidFill>
                  <a:effectLst/>
                  <a:latin typeface="+mn-lt"/>
                  <a:ea typeface="+mn-ea"/>
                  <a:cs typeface="+mn-cs"/>
                </a:rPr>
                <a:t>The following formula provides for the reimbursement of the Life element of the premium:</a:t>
              </a:r>
              <a:br>
                <a:rPr lang="en-GB" sz="1100">
                  <a:solidFill>
                    <a:schemeClr val="dk1"/>
                  </a:solidFill>
                  <a:effectLst/>
                  <a:latin typeface="+mn-lt"/>
                  <a:ea typeface="+mn-ea"/>
                  <a:cs typeface="+mn-cs"/>
                </a:rPr>
              </a:br>
              <a:r>
                <a:rPr lang="en-GB" sz="1100">
                  <a:solidFill>
                    <a:schemeClr val="dk1"/>
                  </a:solidFill>
                  <a:effectLst/>
                  <a:latin typeface="+mn-lt"/>
                  <a:ea typeface="+mn-ea"/>
                  <a:cs typeface="+mn-cs"/>
                </a:rPr>
                <a:t>PR = PT x </a:t>
              </a:r>
              <a:r>
                <a:rPr lang="en-GB" sz="1100">
                  <a:solidFill>
                    <a:srgbClr val="00B050"/>
                  </a:solidFill>
                  <a:effectLst/>
                  <a:latin typeface="+mn-lt"/>
                  <a:ea typeface="+mn-ea"/>
                  <a:cs typeface="+mn-cs"/>
                </a:rPr>
                <a:t>(β + δ)  </a:t>
              </a:r>
              <a:r>
                <a:rPr lang="en-GB" sz="1100">
                  <a:solidFill>
                    <a:schemeClr val="dk1"/>
                  </a:solidFill>
                  <a:effectLst/>
                  <a:latin typeface="+mn-lt"/>
                  <a:ea typeface="+mn-ea"/>
                  <a:cs typeface="+mn-cs"/>
                </a:rPr>
                <a:t>x </a:t>
              </a:r>
              <a14:m>
                <m:oMath xmlns:m="http://schemas.openxmlformats.org/officeDocument/2006/math">
                  <m:f>
                    <m:fPr>
                      <m:ctrlPr>
                        <a:rPr lang="en-GB" sz="1100" i="1">
                          <a:solidFill>
                            <a:schemeClr val="dk1"/>
                          </a:solidFill>
                          <a:effectLst/>
                          <a:latin typeface="Cambria Math" panose="02040503050406030204" pitchFamily="18" charset="0"/>
                          <a:ea typeface="+mn-ea"/>
                          <a:cs typeface="+mn-cs"/>
                        </a:rPr>
                      </m:ctrlPr>
                    </m:fPr>
                    <m:num>
                      <m:r>
                        <m:rPr>
                          <m:sty m:val="p"/>
                        </m:rPr>
                        <a:rPr lang="en-GB" sz="1100">
                          <a:solidFill>
                            <a:schemeClr val="dk1"/>
                          </a:solidFill>
                          <a:effectLst/>
                          <a:latin typeface="Cambria Math" panose="02040503050406030204" pitchFamily="18" charset="0"/>
                          <a:ea typeface="+mn-ea"/>
                          <a:cs typeface="+mn-cs"/>
                        </a:rPr>
                        <m:t>D</m:t>
                      </m:r>
                      <m:r>
                        <a:rPr lang="en-GB" sz="1100" i="1">
                          <a:solidFill>
                            <a:schemeClr val="dk1"/>
                          </a:solidFill>
                          <a:effectLst/>
                          <a:latin typeface="Cambria Math" panose="02040503050406030204" pitchFamily="18" charset="0"/>
                          <a:ea typeface="+mn-ea"/>
                          <a:cs typeface="+mn-cs"/>
                        </a:rPr>
                        <m:t>−</m:t>
                      </m:r>
                      <m:r>
                        <m:rPr>
                          <m:sty m:val="p"/>
                        </m:rPr>
                        <a:rPr lang="en-GB" sz="1100">
                          <a:solidFill>
                            <a:schemeClr val="dk1"/>
                          </a:solidFill>
                          <a:effectLst/>
                          <a:latin typeface="Cambria Math" panose="02040503050406030204" pitchFamily="18" charset="0"/>
                          <a:ea typeface="+mn-ea"/>
                          <a:cs typeface="+mn-cs"/>
                        </a:rPr>
                        <m:t>t</m:t>
                      </m:r>
                    </m:num>
                    <m:den>
                      <m:r>
                        <m:rPr>
                          <m:sty m:val="p"/>
                        </m:rPr>
                        <a:rPr lang="en-GB" sz="1100">
                          <a:solidFill>
                            <a:schemeClr val="dk1"/>
                          </a:solidFill>
                          <a:effectLst/>
                          <a:latin typeface="Cambria Math" panose="02040503050406030204" pitchFamily="18" charset="0"/>
                          <a:ea typeface="+mn-ea"/>
                          <a:cs typeface="+mn-cs"/>
                        </a:rPr>
                        <m:t>D</m:t>
                      </m:r>
                    </m:den>
                  </m:f>
                </m:oMath>
              </a14:m>
              <a:r>
                <a:rPr lang="en-GB" sz="1100">
                  <a:solidFill>
                    <a:schemeClr val="dk1"/>
                  </a:solidFill>
                  <a:effectLst/>
                  <a:latin typeface="+mn-lt"/>
                  <a:ea typeface="+mn-ea"/>
                  <a:cs typeface="+mn-cs"/>
                </a:rPr>
                <a:t> + PPR – ε</a:t>
              </a:r>
              <a:br>
                <a:rPr lang="en-GB" sz="1100">
                  <a:solidFill>
                    <a:schemeClr val="dk1"/>
                  </a:solidFill>
                  <a:effectLst/>
                  <a:latin typeface="+mn-lt"/>
                  <a:ea typeface="+mn-ea"/>
                  <a:cs typeface="+mn-cs"/>
                </a:rPr>
              </a:br>
              <a:r>
                <a:rPr lang="en-GB" sz="1100">
                  <a:solidFill>
                    <a:schemeClr val="dk1"/>
                  </a:solidFill>
                  <a:effectLst/>
                  <a:latin typeface="+mn-lt"/>
                  <a:ea typeface="+mn-ea"/>
                  <a:cs typeface="+mn-cs"/>
                </a:rPr>
                <a:t>with</a:t>
              </a:r>
              <a:br>
                <a:rPr lang="en-GB" sz="1100">
                  <a:solidFill>
                    <a:schemeClr val="dk1"/>
                  </a:solidFill>
                  <a:effectLst/>
                  <a:latin typeface="+mn-lt"/>
                  <a:ea typeface="+mn-ea"/>
                  <a:cs typeface="+mn-cs"/>
                </a:rPr>
              </a:br>
              <a:r>
                <a:rPr lang="en-GB" sz="1100">
                  <a:solidFill>
                    <a:schemeClr val="dk1"/>
                  </a:solidFill>
                  <a:effectLst/>
                  <a:latin typeface="+mn-lt"/>
                  <a:ea typeface="+mn-ea"/>
                  <a:cs typeface="+mn-cs"/>
                </a:rPr>
                <a:t>PPR =</a:t>
              </a:r>
              <a:r>
                <a:rPr lang="en-GB" sz="1100">
                  <a:solidFill>
                    <a:srgbClr val="00B050"/>
                  </a:solidFill>
                  <a:effectLst/>
                  <a:latin typeface="+mn-lt"/>
                  <a:ea typeface="+mn-ea"/>
                  <a:cs typeface="+mn-cs"/>
                </a:rPr>
                <a:t> PP x </a:t>
              </a:r>
              <a14:m>
                <m:oMath xmlns:m="http://schemas.openxmlformats.org/officeDocument/2006/math">
                  <m:f>
                    <m:fPr>
                      <m:ctrlPr>
                        <a:rPr lang="en-GB" sz="1100" i="1">
                          <a:solidFill>
                            <a:srgbClr val="00B050"/>
                          </a:solidFill>
                          <a:effectLst/>
                          <a:latin typeface="Cambria Math" panose="02040503050406030204" pitchFamily="18" charset="0"/>
                          <a:ea typeface="+mn-ea"/>
                          <a:cs typeface="+mn-cs"/>
                        </a:rPr>
                      </m:ctrlPr>
                    </m:fPr>
                    <m:num>
                      <m:r>
                        <m:rPr>
                          <m:sty m:val="p"/>
                        </m:rPr>
                        <a:rPr lang="en-GB" sz="1100">
                          <a:solidFill>
                            <a:srgbClr val="00B050"/>
                          </a:solidFill>
                          <a:effectLst/>
                          <a:latin typeface="Cambria Math" panose="02040503050406030204" pitchFamily="18" charset="0"/>
                          <a:ea typeface="+mn-ea"/>
                          <a:cs typeface="+mn-cs"/>
                        </a:rPr>
                        <m:t>D</m:t>
                      </m:r>
                      <m:r>
                        <a:rPr lang="en-GB" sz="1100" i="1">
                          <a:solidFill>
                            <a:srgbClr val="00B050"/>
                          </a:solidFill>
                          <a:effectLst/>
                          <a:latin typeface="Cambria Math" panose="02040503050406030204" pitchFamily="18" charset="0"/>
                          <a:ea typeface="+mn-ea"/>
                          <a:cs typeface="+mn-cs"/>
                        </a:rPr>
                        <m:t>−</m:t>
                      </m:r>
                      <m:r>
                        <m:rPr>
                          <m:sty m:val="p"/>
                        </m:rPr>
                        <a:rPr lang="en-GB" sz="1100">
                          <a:solidFill>
                            <a:srgbClr val="00B050"/>
                          </a:solidFill>
                          <a:effectLst/>
                          <a:latin typeface="Cambria Math" panose="02040503050406030204" pitchFamily="18" charset="0"/>
                          <a:ea typeface="+mn-ea"/>
                          <a:cs typeface="+mn-cs"/>
                        </a:rPr>
                        <m:t>t</m:t>
                      </m:r>
                    </m:num>
                    <m:den>
                      <m:r>
                        <m:rPr>
                          <m:sty m:val="p"/>
                        </m:rPr>
                        <a:rPr lang="en-GB" sz="1100">
                          <a:solidFill>
                            <a:srgbClr val="00B050"/>
                          </a:solidFill>
                          <a:effectLst/>
                          <a:latin typeface="Cambria Math" panose="02040503050406030204" pitchFamily="18" charset="0"/>
                          <a:ea typeface="+mn-ea"/>
                          <a:cs typeface="+mn-cs"/>
                        </a:rPr>
                        <m:t>D</m:t>
                      </m:r>
                    </m:den>
                  </m:f>
                </m:oMath>
              </a14:m>
              <a:r>
                <a:rPr lang="en-GB" sz="1100">
                  <a:solidFill>
                    <a:srgbClr val="00B050"/>
                  </a:solidFill>
                  <a:effectLst/>
                  <a:latin typeface="+mn-lt"/>
                  <a:ea typeface="+mn-ea"/>
                  <a:cs typeface="+mn-cs"/>
                </a:rPr>
                <a:t> x OB/ OLA</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u="sng">
                  <a:solidFill>
                    <a:schemeClr val="dk1"/>
                  </a:solidFill>
                  <a:effectLst/>
                  <a:latin typeface="+mn-lt"/>
                  <a:ea typeface="+mn-ea"/>
                  <a:cs typeface="+mn-cs"/>
                </a:rPr>
                <a:t>Non-Life</a:t>
              </a:r>
              <a:r>
                <a:rPr lang="en-GB" sz="1100" u="none">
                  <a:solidFill>
                    <a:schemeClr val="dk1"/>
                  </a:solidFill>
                  <a:effectLst/>
                  <a:latin typeface="+mn-lt"/>
                  <a:ea typeface="+mn-ea"/>
                  <a:cs typeface="+mn-cs"/>
                </a:rPr>
                <a:t>:    </a:t>
              </a:r>
              <a:r>
                <a:rPr lang="en-GB" sz="1100" b="1">
                  <a:solidFill>
                    <a:srgbClr val="C00000"/>
                  </a:solidFill>
                  <a:effectLst/>
                  <a:latin typeface="+mn-lt"/>
                  <a:ea typeface="+mn-ea"/>
                  <a:cs typeface="+mn-cs"/>
                </a:rPr>
                <a:t>UNCHANGED</a:t>
              </a:r>
              <a:endParaRPr lang="en-GB">
                <a:solidFill>
                  <a:srgbClr val="C00000"/>
                </a:solidFill>
                <a:effectLst/>
              </a:endParaRPr>
            </a:p>
            <a:p>
              <a:r>
                <a:rPr lang="en-GB" sz="1100">
                  <a:solidFill>
                    <a:schemeClr val="dk1"/>
                  </a:solidFill>
                  <a:effectLst/>
                  <a:latin typeface="+mn-lt"/>
                  <a:ea typeface="+mn-ea"/>
                  <a:cs typeface="+mn-cs"/>
                </a:rPr>
                <a:t>The following formula provides for the reimbursement of the Non-Life element of the premium:</a:t>
              </a:r>
            </a:p>
            <a:p>
              <a:r>
                <a:rPr lang="en-GB" sz="1100" u="none" strike="noStrike">
                  <a:solidFill>
                    <a:schemeClr val="dk1"/>
                  </a:solidFill>
                  <a:effectLst/>
                  <a:latin typeface="+mn-lt"/>
                  <a:ea typeface="+mn-ea"/>
                  <a:cs typeface="+mn-cs"/>
                </a:rPr>
                <a:t> </a:t>
              </a:r>
              <a:r>
                <a:rPr lang="en-GB" sz="1100">
                  <a:solidFill>
                    <a:schemeClr val="dk1"/>
                  </a:solidFill>
                  <a:effectLst/>
                  <a:latin typeface="+mn-lt"/>
                  <a:ea typeface="+mn-ea"/>
                  <a:cs typeface="+mn-cs"/>
                </a:rPr>
                <a:t>PR = </a:t>
              </a:r>
              <a:r>
                <a:rPr lang="en-GB" sz="1100">
                  <a:solidFill>
                    <a:schemeClr val="bg1">
                      <a:lumMod val="50000"/>
                    </a:schemeClr>
                  </a:solidFill>
                  <a:effectLst/>
                  <a:latin typeface="+mn-lt"/>
                  <a:ea typeface="+mn-ea"/>
                  <a:cs typeface="+mn-cs"/>
                </a:rPr>
                <a:t>(PT x (1 - δ) + PT x δ) x </a:t>
              </a:r>
              <a14:m>
                <m:oMath xmlns:m="http://schemas.openxmlformats.org/officeDocument/2006/math">
                  <m:f>
                    <m:fPr>
                      <m:ctrlPr>
                        <a:rPr lang="en-GB" sz="1100" i="1">
                          <a:solidFill>
                            <a:schemeClr val="bg1">
                              <a:lumMod val="50000"/>
                            </a:schemeClr>
                          </a:solidFill>
                          <a:effectLst/>
                          <a:latin typeface="Cambria Math" panose="02040503050406030204" pitchFamily="18" charset="0"/>
                          <a:ea typeface="+mn-ea"/>
                          <a:cs typeface="+mn-cs"/>
                        </a:rPr>
                      </m:ctrlPr>
                    </m:fPr>
                    <m:num>
                      <m:r>
                        <m:rPr>
                          <m:sty m:val="p"/>
                        </m:rPr>
                        <a:rPr lang="en-GB" sz="1100">
                          <a:solidFill>
                            <a:schemeClr val="bg1">
                              <a:lumMod val="50000"/>
                            </a:schemeClr>
                          </a:solidFill>
                          <a:effectLst/>
                          <a:latin typeface="Cambria Math" panose="02040503050406030204" pitchFamily="18" charset="0"/>
                          <a:ea typeface="+mn-ea"/>
                          <a:cs typeface="+mn-cs"/>
                        </a:rPr>
                        <m:t>D</m:t>
                      </m:r>
                      <m:r>
                        <a:rPr lang="en-GB" sz="1100" i="1">
                          <a:solidFill>
                            <a:schemeClr val="bg1">
                              <a:lumMod val="50000"/>
                            </a:schemeClr>
                          </a:solidFill>
                          <a:effectLst/>
                          <a:latin typeface="Cambria Math" panose="02040503050406030204" pitchFamily="18" charset="0"/>
                          <a:ea typeface="+mn-ea"/>
                          <a:cs typeface="+mn-cs"/>
                        </a:rPr>
                        <m:t>−</m:t>
                      </m:r>
                      <m:r>
                        <m:rPr>
                          <m:sty m:val="p"/>
                        </m:rPr>
                        <a:rPr lang="en-GB" sz="1100">
                          <a:solidFill>
                            <a:schemeClr val="bg1">
                              <a:lumMod val="50000"/>
                            </a:schemeClr>
                          </a:solidFill>
                          <a:effectLst/>
                          <a:latin typeface="Cambria Math" panose="02040503050406030204" pitchFamily="18" charset="0"/>
                          <a:ea typeface="+mn-ea"/>
                          <a:cs typeface="+mn-cs"/>
                        </a:rPr>
                        <m:t>t</m:t>
                      </m:r>
                    </m:num>
                    <m:den>
                      <m:r>
                        <m:rPr>
                          <m:sty m:val="p"/>
                        </m:rPr>
                        <a:rPr lang="en-GB" sz="1100">
                          <a:solidFill>
                            <a:schemeClr val="bg1">
                              <a:lumMod val="50000"/>
                            </a:schemeClr>
                          </a:solidFill>
                          <a:effectLst/>
                          <a:latin typeface="Cambria Math" panose="02040503050406030204" pitchFamily="18" charset="0"/>
                          <a:ea typeface="+mn-ea"/>
                          <a:cs typeface="+mn-cs"/>
                        </a:rPr>
                        <m:t>D</m:t>
                      </m:r>
                    </m:den>
                  </m:f>
                </m:oMath>
              </a14:m>
              <a:r>
                <a:rPr lang="en-GB" sz="1100">
                  <a:solidFill>
                    <a:schemeClr val="bg1">
                      <a:lumMod val="50000"/>
                    </a:schemeClr>
                  </a:solidFill>
                  <a:effectLst/>
                  <a:latin typeface="+mn-lt"/>
                  <a:ea typeface="+mn-ea"/>
                  <a:cs typeface="+mn-cs"/>
                </a:rPr>
                <a:t> – ε = </a:t>
              </a:r>
              <a:r>
                <a:rPr lang="en-GB" sz="1100">
                  <a:solidFill>
                    <a:schemeClr val="dk1"/>
                  </a:solidFill>
                  <a:effectLst/>
                  <a:latin typeface="+mn-lt"/>
                  <a:ea typeface="+mn-ea"/>
                  <a:cs typeface="+mn-cs"/>
                </a:rPr>
                <a:t>PT x </a:t>
              </a:r>
              <a14:m>
                <m:oMath xmlns:m="http://schemas.openxmlformats.org/officeDocument/2006/math">
                  <m:f>
                    <m:fPr>
                      <m:ctrlPr>
                        <a:rPr lang="en-GB" sz="1100" i="1">
                          <a:solidFill>
                            <a:schemeClr val="dk1"/>
                          </a:solidFill>
                          <a:effectLst/>
                          <a:latin typeface="Cambria Math" panose="02040503050406030204" pitchFamily="18" charset="0"/>
                          <a:ea typeface="+mn-ea"/>
                          <a:cs typeface="+mn-cs"/>
                        </a:rPr>
                      </m:ctrlPr>
                    </m:fPr>
                    <m:num>
                      <m:r>
                        <m:rPr>
                          <m:sty m:val="p"/>
                        </m:rPr>
                        <a:rPr lang="en-GB" sz="1100">
                          <a:solidFill>
                            <a:schemeClr val="dk1"/>
                          </a:solidFill>
                          <a:effectLst/>
                          <a:latin typeface="Cambria Math" panose="02040503050406030204" pitchFamily="18" charset="0"/>
                          <a:ea typeface="+mn-ea"/>
                          <a:cs typeface="+mn-cs"/>
                        </a:rPr>
                        <m:t>D</m:t>
                      </m:r>
                      <m:r>
                        <a:rPr lang="en-GB" sz="1100" i="1">
                          <a:solidFill>
                            <a:schemeClr val="dk1"/>
                          </a:solidFill>
                          <a:effectLst/>
                          <a:latin typeface="Cambria Math" panose="02040503050406030204" pitchFamily="18" charset="0"/>
                          <a:ea typeface="+mn-ea"/>
                          <a:cs typeface="+mn-cs"/>
                        </a:rPr>
                        <m:t>−</m:t>
                      </m:r>
                      <m:r>
                        <m:rPr>
                          <m:sty m:val="p"/>
                        </m:rPr>
                        <a:rPr lang="en-GB" sz="1100">
                          <a:solidFill>
                            <a:schemeClr val="dk1"/>
                          </a:solidFill>
                          <a:effectLst/>
                          <a:latin typeface="Cambria Math" panose="02040503050406030204" pitchFamily="18" charset="0"/>
                          <a:ea typeface="+mn-ea"/>
                          <a:cs typeface="+mn-cs"/>
                        </a:rPr>
                        <m:t>t</m:t>
                      </m:r>
                    </m:num>
                    <m:den>
                      <m:r>
                        <m:rPr>
                          <m:sty m:val="p"/>
                        </m:rPr>
                        <a:rPr lang="en-GB" sz="1100">
                          <a:solidFill>
                            <a:schemeClr val="dk1"/>
                          </a:solidFill>
                          <a:effectLst/>
                          <a:latin typeface="Cambria Math" panose="02040503050406030204" pitchFamily="18" charset="0"/>
                          <a:ea typeface="+mn-ea"/>
                          <a:cs typeface="+mn-cs"/>
                        </a:rPr>
                        <m:t>D</m:t>
                      </m:r>
                    </m:den>
                  </m:f>
                </m:oMath>
              </a14:m>
              <a:r>
                <a:rPr lang="en-GB" sz="1100">
                  <a:solidFill>
                    <a:schemeClr val="dk1"/>
                  </a:solidFill>
                  <a:effectLst/>
                  <a:latin typeface="+mn-lt"/>
                  <a:ea typeface="+mn-ea"/>
                  <a:cs typeface="+mn-cs"/>
                </a:rPr>
                <a:t> – ε</a:t>
              </a:r>
            </a:p>
            <a:p>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u="sng">
                  <a:solidFill>
                    <a:schemeClr val="dk1"/>
                  </a:solidFill>
                  <a:effectLst/>
                  <a:latin typeface="+mn-lt"/>
                  <a:ea typeface="+mn-ea"/>
                  <a:cs typeface="+mn-cs"/>
                </a:rPr>
                <a:t>In Respect of the Commission Portion of the Refund   </a:t>
              </a:r>
              <a:r>
                <a:rPr lang="en-GB" sz="1100" b="1">
                  <a:solidFill>
                    <a:srgbClr val="C00000"/>
                  </a:solidFill>
                  <a:effectLst/>
                  <a:latin typeface="+mn-lt"/>
                  <a:ea typeface="+mn-ea"/>
                  <a:cs typeface="+mn-cs"/>
                </a:rPr>
                <a:t>UNCHANGED</a:t>
              </a:r>
              <a:endParaRPr lang="en-GB">
                <a:solidFill>
                  <a:srgbClr val="C00000"/>
                </a:solidFill>
                <a:effectLst/>
              </a:endParaRP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In respect of the commission portion of the refund which forms part of the above calculation, the formula to be applied for the Life and Non-Life elements is as follows: </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Commission Portion of the Refund = PT x δ x </a:t>
              </a:r>
              <a14:m>
                <m:oMath xmlns:m="http://schemas.openxmlformats.org/officeDocument/2006/math">
                  <m:f>
                    <m:fPr>
                      <m:ctrlPr>
                        <a:rPr lang="en-GB" sz="1100" i="1">
                          <a:solidFill>
                            <a:schemeClr val="dk1"/>
                          </a:solidFill>
                          <a:effectLst/>
                          <a:latin typeface="Cambria Math" panose="02040503050406030204" pitchFamily="18" charset="0"/>
                          <a:ea typeface="+mn-ea"/>
                          <a:cs typeface="+mn-cs"/>
                        </a:rPr>
                      </m:ctrlPr>
                    </m:fPr>
                    <m:num>
                      <m:r>
                        <m:rPr>
                          <m:sty m:val="p"/>
                        </m:rPr>
                        <a:rPr lang="en-GB" sz="1100">
                          <a:solidFill>
                            <a:schemeClr val="dk1"/>
                          </a:solidFill>
                          <a:effectLst/>
                          <a:latin typeface="Cambria Math" panose="02040503050406030204" pitchFamily="18" charset="0"/>
                          <a:ea typeface="+mn-ea"/>
                          <a:cs typeface="+mn-cs"/>
                        </a:rPr>
                        <m:t>D</m:t>
                      </m:r>
                      <m:r>
                        <a:rPr lang="en-GB" sz="1100" i="1">
                          <a:solidFill>
                            <a:schemeClr val="dk1"/>
                          </a:solidFill>
                          <a:effectLst/>
                          <a:latin typeface="Cambria Math" panose="02040503050406030204" pitchFamily="18" charset="0"/>
                          <a:ea typeface="+mn-ea"/>
                          <a:cs typeface="+mn-cs"/>
                        </a:rPr>
                        <m:t>−</m:t>
                      </m:r>
                      <m:r>
                        <m:rPr>
                          <m:sty m:val="p"/>
                        </m:rPr>
                        <a:rPr lang="en-GB" sz="1100">
                          <a:solidFill>
                            <a:schemeClr val="dk1"/>
                          </a:solidFill>
                          <a:effectLst/>
                          <a:latin typeface="Cambria Math" panose="02040503050406030204" pitchFamily="18" charset="0"/>
                          <a:ea typeface="+mn-ea"/>
                          <a:cs typeface="+mn-cs"/>
                        </a:rPr>
                        <m:t>t</m:t>
                      </m:r>
                    </m:num>
                    <m:den>
                      <m:r>
                        <m:rPr>
                          <m:sty m:val="p"/>
                        </m:rPr>
                        <a:rPr lang="en-GB" sz="1100">
                          <a:solidFill>
                            <a:schemeClr val="dk1"/>
                          </a:solidFill>
                          <a:effectLst/>
                          <a:latin typeface="Cambria Math" panose="02040503050406030204" pitchFamily="18" charset="0"/>
                          <a:ea typeface="+mn-ea"/>
                          <a:cs typeface="+mn-cs"/>
                        </a:rPr>
                        <m:t>D</m:t>
                      </m:r>
                    </m:den>
                  </m:f>
                </m:oMath>
              </a14:m>
              <a:r>
                <a:rPr lang="en-GB" sz="1100">
                  <a:solidFill>
                    <a:schemeClr val="dk1"/>
                  </a:solidFill>
                  <a:effectLst/>
                  <a:latin typeface="+mn-lt"/>
                  <a:ea typeface="+mn-ea"/>
                  <a:cs typeface="+mn-cs"/>
                </a:rPr>
                <a:t>  - </a:t>
              </a:r>
              <a:r>
                <a:rPr lang="en-GB" sz="1100" b="1">
                  <a:solidFill>
                    <a:schemeClr val="dk1"/>
                  </a:solidFill>
                  <a:effectLst/>
                  <a:latin typeface="+mn-lt"/>
                  <a:ea typeface="+mn-ea"/>
                  <a:cs typeface="+mn-cs"/>
                </a:rPr>
                <a:t>εc </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refund to the Adherent shall be made by the Companies net of the total termination costs (inclusive the issuing costs) as defined and furthermore explained to the Adherent in the application form delivered to the Adherent for the insurance which includes the application of those costs. The total termination costs (inclusive the issuing costs) incurred by the Contractor are fifteen (15) euros (of which seven and half (7.5) euros relates to Life element and seven and half (7.5) euros relates to Non-Life element). </a:t>
              </a:r>
            </a:p>
            <a:p>
              <a:r>
                <a:rPr lang="en-GB" sz="110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u="sng">
                  <a:solidFill>
                    <a:schemeClr val="accent1">
                      <a:lumMod val="50000"/>
                    </a:schemeClr>
                  </a:solidFill>
                  <a:effectLst/>
                  <a:latin typeface="+mn-lt"/>
                  <a:ea typeface="+mn-ea"/>
                  <a:cs typeface="+mn-cs"/>
                </a:rPr>
                <a:t>Products with a Single Premium paid in advance by the Contractor (</a:t>
              </a:r>
              <a:r>
                <a:rPr lang="en-GB" sz="1100" b="1" u="sng">
                  <a:solidFill>
                    <a:schemeClr val="accent1">
                      <a:lumMod val="50000"/>
                    </a:schemeClr>
                  </a:solidFill>
                  <a:effectLst/>
                  <a:latin typeface="+mn-lt"/>
                  <a:ea typeface="+mn-ea"/>
                  <a:cs typeface="+mn-cs"/>
                </a:rPr>
                <a:t>LEASING</a:t>
              </a:r>
              <a:r>
                <a:rPr lang="en-GB" sz="1100" u="sng">
                  <a:solidFill>
                    <a:schemeClr val="accent1">
                      <a:lumMod val="50000"/>
                    </a:schemeClr>
                  </a:solidFill>
                  <a:effectLst/>
                  <a:latin typeface="+mn-lt"/>
                  <a:ea typeface="+mn-ea"/>
                  <a:cs typeface="+mn-cs"/>
                </a:rPr>
                <a:t>): </a:t>
              </a:r>
              <a:r>
                <a:rPr lang="en-GB" sz="1100" u="none">
                  <a:solidFill>
                    <a:schemeClr val="accent1">
                      <a:lumMod val="50000"/>
                    </a:schemeClr>
                  </a:solidFill>
                  <a:effectLst/>
                  <a:latin typeface="+mn-lt"/>
                  <a:ea typeface="+mn-ea"/>
                  <a:cs typeface="+mn-cs"/>
                </a:rPr>
                <a:t>       </a:t>
              </a:r>
              <a:r>
                <a:rPr lang="en-GB" sz="1100" b="1">
                  <a:solidFill>
                    <a:srgbClr val="C00000"/>
                  </a:solidFill>
                  <a:effectLst/>
                  <a:latin typeface="+mn-lt"/>
                  <a:ea typeface="+mn-ea"/>
                  <a:cs typeface="+mn-cs"/>
                </a:rPr>
                <a:t>UNCHANGED</a:t>
              </a:r>
              <a:endParaRPr lang="en-GB" b="1">
                <a:solidFill>
                  <a:srgbClr val="C00000"/>
                </a:solidFill>
                <a:effectLst/>
              </a:endParaRPr>
            </a:p>
            <a:p>
              <a:pPr lvl="0"/>
              <a:endParaRPr lang="en-GB" sz="1100">
                <a:solidFill>
                  <a:schemeClr val="accent1">
                    <a:lumMod val="50000"/>
                  </a:schemeClr>
                </a:solidFill>
                <a:effectLst/>
                <a:latin typeface="+mn-lt"/>
                <a:ea typeface="+mn-ea"/>
                <a:cs typeface="+mn-cs"/>
              </a:endParaRPr>
            </a:p>
            <a:p>
              <a:r>
                <a:rPr lang="en-GB" sz="1100">
                  <a:solidFill>
                    <a:schemeClr val="dk1"/>
                  </a:solidFill>
                  <a:effectLst/>
                  <a:latin typeface="+mn-lt"/>
                  <a:ea typeface="+mn-ea"/>
                  <a:cs typeface="+mn-cs"/>
                </a:rPr>
                <a:t>For products with a single premium paid in advance by the Contractor and re-paid by the Adherent by monthly instalments as referenced in clause 6.2.2 of this Agreement, following termination of the loan, the Contractor stops charging the Adherent the remaining monthly instalments and no reimbursement is made to the Adherent. </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The insurance cover is automatically cancelled and the following formulae are used by the Contractor and the Companies to determine the Life and Non-Life refund that the Companies may provide to the Contractor:</a:t>
              </a:r>
            </a:p>
            <a:p>
              <a:r>
                <a:rPr lang="en-GB" sz="1100">
                  <a:solidFill>
                    <a:schemeClr val="dk1"/>
                  </a:solidFill>
                  <a:effectLst/>
                  <a:latin typeface="+mn-lt"/>
                  <a:ea typeface="+mn-ea"/>
                  <a:cs typeface="+mn-cs"/>
                </a:rPr>
                <a:t> </a:t>
              </a:r>
            </a:p>
            <a:p>
              <a:r>
                <a:rPr lang="en-GB" sz="1100" u="sng">
                  <a:solidFill>
                    <a:schemeClr val="dk1"/>
                  </a:solidFill>
                  <a:effectLst/>
                  <a:latin typeface="+mn-lt"/>
                  <a:ea typeface="+mn-ea"/>
                  <a:cs typeface="+mn-cs"/>
                </a:rPr>
                <a:t>Life: </a:t>
              </a:r>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following formula provides for the reimbursement of the Life element of the premium:</a:t>
              </a:r>
              <a:br>
                <a:rPr lang="en-GB" sz="1100">
                  <a:solidFill>
                    <a:schemeClr val="dk1"/>
                  </a:solidFill>
                  <a:effectLst/>
                  <a:latin typeface="+mn-lt"/>
                  <a:ea typeface="+mn-ea"/>
                  <a:cs typeface="+mn-cs"/>
                </a:rPr>
              </a:br>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PPC = PT x (1 - δ) x ((D – t + 1) x (D – t)) / (D x (D + 1)) – ε + εc</a:t>
              </a:r>
            </a:p>
            <a:p>
              <a:endParaRPr lang="en-GB" sz="1100">
                <a:solidFill>
                  <a:schemeClr val="dk1"/>
                </a:solidFill>
                <a:effectLst/>
                <a:latin typeface="+mn-lt"/>
                <a:ea typeface="+mn-ea"/>
                <a:cs typeface="+mn-cs"/>
              </a:endParaRPr>
            </a:p>
            <a:p>
              <a:r>
                <a:rPr lang="en-GB" sz="1100" u="sng">
                  <a:solidFill>
                    <a:schemeClr val="dk1"/>
                  </a:solidFill>
                  <a:effectLst/>
                  <a:latin typeface="+mn-lt"/>
                  <a:ea typeface="+mn-ea"/>
                  <a:cs typeface="+mn-cs"/>
                </a:rPr>
                <a:t>Non-Life:</a:t>
              </a:r>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following formula provides for the reimbursement of the Non-Life element of the premium:</a:t>
              </a:r>
            </a:p>
            <a:p>
              <a:pPr>
                <a:lnSpc>
                  <a:spcPts val="1800"/>
                </a:lnSpc>
              </a:pPr>
              <a:r>
                <a:rPr lang="en-GB" sz="1100">
                  <a:solidFill>
                    <a:schemeClr val="dk1"/>
                  </a:solidFill>
                  <a:effectLst/>
                  <a:latin typeface="+mn-lt"/>
                  <a:ea typeface="+mn-ea"/>
                  <a:cs typeface="+mn-cs"/>
                </a:rPr>
                <a:t>PPC = PT x (1 - δ) x </a:t>
              </a:r>
              <a14:m>
                <m:oMath xmlns:m="http://schemas.openxmlformats.org/officeDocument/2006/math">
                  <m:f>
                    <m:fPr>
                      <m:ctrlPr>
                        <a:rPr lang="en-GB" sz="1100" i="1">
                          <a:solidFill>
                            <a:schemeClr val="dk1"/>
                          </a:solidFill>
                          <a:effectLst/>
                          <a:latin typeface="Cambria Math" panose="02040503050406030204" pitchFamily="18" charset="0"/>
                          <a:ea typeface="+mn-ea"/>
                          <a:cs typeface="+mn-cs"/>
                        </a:rPr>
                      </m:ctrlPr>
                    </m:fPr>
                    <m:num>
                      <m:r>
                        <m:rPr>
                          <m:sty m:val="p"/>
                        </m:rPr>
                        <a:rPr lang="en-GB" sz="1100">
                          <a:solidFill>
                            <a:schemeClr val="dk1"/>
                          </a:solidFill>
                          <a:effectLst/>
                          <a:latin typeface="Cambria Math" panose="02040503050406030204" pitchFamily="18" charset="0"/>
                          <a:ea typeface="+mn-ea"/>
                          <a:cs typeface="+mn-cs"/>
                        </a:rPr>
                        <m:t>D</m:t>
                      </m:r>
                      <m:r>
                        <a:rPr lang="en-GB" sz="1100" i="1">
                          <a:solidFill>
                            <a:schemeClr val="dk1"/>
                          </a:solidFill>
                          <a:effectLst/>
                          <a:latin typeface="Cambria Math" panose="02040503050406030204" pitchFamily="18" charset="0"/>
                          <a:ea typeface="+mn-ea"/>
                          <a:cs typeface="+mn-cs"/>
                        </a:rPr>
                        <m:t>−</m:t>
                      </m:r>
                      <m:r>
                        <m:rPr>
                          <m:sty m:val="p"/>
                        </m:rPr>
                        <a:rPr lang="en-GB" sz="1100">
                          <a:solidFill>
                            <a:schemeClr val="dk1"/>
                          </a:solidFill>
                          <a:effectLst/>
                          <a:latin typeface="Cambria Math" panose="02040503050406030204" pitchFamily="18" charset="0"/>
                          <a:ea typeface="+mn-ea"/>
                          <a:cs typeface="+mn-cs"/>
                        </a:rPr>
                        <m:t>t</m:t>
                      </m:r>
                    </m:num>
                    <m:den>
                      <m:r>
                        <m:rPr>
                          <m:sty m:val="p"/>
                        </m:rPr>
                        <a:rPr lang="en-GB" sz="1100">
                          <a:solidFill>
                            <a:schemeClr val="dk1"/>
                          </a:solidFill>
                          <a:effectLst/>
                          <a:latin typeface="Cambria Math" panose="02040503050406030204" pitchFamily="18" charset="0"/>
                          <a:ea typeface="+mn-ea"/>
                          <a:cs typeface="+mn-cs"/>
                        </a:rPr>
                        <m:t>D</m:t>
                      </m:r>
                    </m:den>
                  </m:f>
                </m:oMath>
              </a14:m>
              <a:r>
                <a:rPr lang="en-GB" sz="1100">
                  <a:solidFill>
                    <a:schemeClr val="dk1"/>
                  </a:solidFill>
                  <a:effectLst/>
                  <a:latin typeface="+mn-lt"/>
                  <a:ea typeface="+mn-ea"/>
                  <a:cs typeface="+mn-cs"/>
                </a:rPr>
                <a:t> – ε + εc</a:t>
              </a:r>
            </a:p>
            <a:p>
              <a:r>
                <a:rPr lang="en-GB" sz="1100">
                  <a:solidFill>
                    <a:schemeClr val="dk1"/>
                  </a:solidFill>
                  <a:effectLst/>
                  <a:latin typeface="+mn-lt"/>
                  <a:ea typeface="+mn-ea"/>
                  <a:cs typeface="+mn-cs"/>
                </a:rPr>
                <a:t> </a:t>
              </a:r>
            </a:p>
            <a:p>
              <a:pPr lvl="0"/>
              <a:r>
                <a:rPr lang="en-GB" sz="1100" u="sng">
                  <a:solidFill>
                    <a:schemeClr val="dk1"/>
                  </a:solidFill>
                  <a:effectLst/>
                  <a:latin typeface="+mn-lt"/>
                  <a:ea typeface="+mn-ea"/>
                  <a:cs typeface="+mn-cs"/>
                </a:rPr>
                <a:t>Cooling Off</a:t>
              </a:r>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Where the Adherent cancels the insurance cover during the permitted cooling off period, the formula for the calculation of the refund to the Adherent used by the Companies shall be as follows:</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PR = PT</a:t>
              </a:r>
            </a:p>
            <a:p>
              <a:pPr>
                <a:lnSpc>
                  <a:spcPts val="1000"/>
                </a:lnSpc>
              </a:pPr>
              <a:r>
                <a:rPr lang="en-GB" sz="1100">
                  <a:solidFill>
                    <a:schemeClr val="dk1"/>
                  </a:solidFill>
                  <a:effectLst/>
                  <a:latin typeface="+mn-lt"/>
                  <a:ea typeface="+mn-ea"/>
                  <a:cs typeface="+mn-cs"/>
                </a:rPr>
                <a:t> </a:t>
              </a:r>
            </a:p>
            <a:p>
              <a:r>
                <a:rPr lang="en-US" sz="1100">
                  <a:solidFill>
                    <a:schemeClr val="dk1"/>
                  </a:solidFill>
                  <a:effectLst/>
                  <a:latin typeface="+mn-lt"/>
                  <a:ea typeface="+mn-ea"/>
                  <a:cs typeface="+mn-cs"/>
                </a:rPr>
                <a:t>The refunds shall be made by the Companies to the Adherent and subject to the Adherent providing accurate details of the bank account to be credited together with proof of identity for the purposes of satisfying Anti-Money Laundering legislation. The Service Level Indicator number 9 set out in the table under Section F sub section 3.1 of Annex 4 specifies the level to be achieved where such refunds are processed. </a:t>
              </a:r>
              <a:endParaRPr lang="en-GB" sz="1100">
                <a:solidFill>
                  <a:schemeClr val="dk1"/>
                </a:solidFill>
                <a:effectLst/>
                <a:latin typeface="+mn-lt"/>
                <a:ea typeface="+mn-ea"/>
                <a:cs typeface="+mn-cs"/>
              </a:endParaRPr>
            </a:p>
            <a:p>
              <a:pPr>
                <a:lnSpc>
                  <a:spcPts val="900"/>
                </a:lnSpc>
              </a:pPr>
              <a:endParaRPr lang="en-GB" sz="1100"/>
            </a:p>
          </xdr:txBody>
        </xdr:sp>
      </mc:Choice>
      <mc:Fallback xmlns="">
        <xdr:sp macro="" textlink="">
          <xdr:nvSpPr>
            <xdr:cNvPr id="2" name="TextBox 1">
              <a:extLst>
                <a:ext uri="{FF2B5EF4-FFF2-40B4-BE49-F238E27FC236}">
                  <a16:creationId xmlns:a16="http://schemas.microsoft.com/office/drawing/2014/main" id="{9BE07126-AF6D-4258-844A-A276828F6716}"/>
                </a:ext>
              </a:extLst>
            </xdr:cNvPr>
            <xdr:cNvSpPr txBox="1"/>
          </xdr:nvSpPr>
          <xdr:spPr>
            <a:xfrm>
              <a:off x="7043270" y="725580"/>
              <a:ext cx="12869191" cy="144053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dk1"/>
                  </a:solidFill>
                  <a:effectLst/>
                  <a:latin typeface="+mn-lt"/>
                  <a:ea typeface="+mn-ea"/>
                  <a:cs typeface="+mn-cs"/>
                </a:rPr>
                <a:t>Section (A) Portfolio Management and Premiums</a:t>
              </a:r>
              <a:endParaRPr lang="en-GB" sz="1100">
                <a:solidFill>
                  <a:schemeClr val="dk1"/>
                </a:solidFill>
                <a:effectLst/>
                <a:latin typeface="+mn-lt"/>
                <a:ea typeface="+mn-ea"/>
                <a:cs typeface="+mn-cs"/>
              </a:endParaRPr>
            </a:p>
            <a:p>
              <a:r>
                <a:rPr lang="en-GB" sz="1100" b="1">
                  <a:solidFill>
                    <a:schemeClr val="dk1"/>
                  </a:solidFill>
                  <a:effectLst/>
                  <a:latin typeface="+mn-lt"/>
                  <a:ea typeface="+mn-ea"/>
                  <a:cs typeface="+mn-cs"/>
                </a:rPr>
                <a:t>ii) Refunds to the Adherent after early termination of the finance contract and in the case of cancellation</a:t>
              </a:r>
              <a:endParaRPr lang="en-GB" sz="1100">
                <a:solidFill>
                  <a:schemeClr val="dk1"/>
                </a:solidFill>
                <a:effectLst/>
                <a:latin typeface="+mn-lt"/>
                <a:ea typeface="+mn-ea"/>
                <a:cs typeface="+mn-cs"/>
              </a:endParaRPr>
            </a:p>
            <a:p>
              <a:pPr lvl="0"/>
              <a:r>
                <a:rPr lang="en-GB" sz="1100" b="1">
                  <a:solidFill>
                    <a:schemeClr val="dk1"/>
                  </a:solidFill>
                  <a:effectLst/>
                  <a:latin typeface="+mn-lt"/>
                  <a:ea typeface="+mn-ea"/>
                  <a:cs typeface="+mn-cs"/>
                </a:rPr>
                <a:t>Definitions:</a:t>
              </a:r>
              <a:endParaRPr lang="en-GB" sz="1100">
                <a:solidFill>
                  <a:schemeClr val="dk1"/>
                </a:solidFill>
                <a:effectLst/>
                <a:latin typeface="+mn-lt"/>
                <a:ea typeface="+mn-ea"/>
                <a:cs typeface="+mn-cs"/>
              </a:endParaRPr>
            </a:p>
            <a:p>
              <a:r>
                <a:rPr lang="en-GB" sz="1100" b="1">
                  <a:solidFill>
                    <a:schemeClr val="dk1"/>
                  </a:solidFill>
                  <a:effectLst/>
                  <a:latin typeface="+mn-lt"/>
                  <a:ea typeface="+mn-ea"/>
                  <a:cs typeface="+mn-cs"/>
                </a:rPr>
                <a:t>D</a:t>
              </a:r>
              <a:r>
                <a:rPr lang="en-GB" sz="1100">
                  <a:solidFill>
                    <a:schemeClr val="dk1"/>
                  </a:solidFill>
                  <a:effectLst/>
                  <a:latin typeface="+mn-lt"/>
                  <a:ea typeface="+mn-ea"/>
                  <a:cs typeface="+mn-cs"/>
                </a:rPr>
                <a:t> means the initial duration (expressed in months) of the insurance coverage (equal to the duration of the loan for guarantees which foresees a duration equal to that of the loan);</a:t>
              </a:r>
            </a:p>
            <a:p>
              <a:r>
                <a:rPr lang="en-GB" sz="1100" b="1">
                  <a:solidFill>
                    <a:schemeClr val="dk1"/>
                  </a:solidFill>
                  <a:effectLst/>
                  <a:latin typeface="+mn-lt"/>
                  <a:ea typeface="+mn-ea"/>
                  <a:cs typeface="+mn-cs"/>
                </a:rPr>
                <a:t>t</a:t>
              </a:r>
              <a:r>
                <a:rPr lang="en-GB" sz="1100">
                  <a:solidFill>
                    <a:schemeClr val="dk1"/>
                  </a:solidFill>
                  <a:effectLst/>
                  <a:latin typeface="+mn-lt"/>
                  <a:ea typeface="+mn-ea"/>
                  <a:cs typeface="+mn-cs"/>
                </a:rPr>
                <a:t> means </a:t>
              </a:r>
              <a:r>
                <a:rPr lang="en-GB" sz="1100">
                  <a:solidFill>
                    <a:schemeClr val="tx1"/>
                  </a:solidFill>
                  <a:effectLst/>
                  <a:latin typeface="+mn-lt"/>
                  <a:ea typeface="+mn-ea"/>
                  <a:cs typeface="+mn-cs"/>
                </a:rPr>
                <a:t>time passed at the date of the reimbursement request</a:t>
              </a:r>
              <a:r>
                <a:rPr lang="en-US" sz="1100">
                  <a:solidFill>
                    <a:schemeClr val="tx1"/>
                  </a:solidFill>
                  <a:effectLst/>
                  <a:latin typeface="+mn-lt"/>
                  <a:ea typeface="+mn-ea"/>
                  <a:cs typeface="+mn-cs"/>
                </a:rPr>
                <a:t>;</a:t>
              </a:r>
              <a:endParaRPr lang="en-GB" sz="1100">
                <a:solidFill>
                  <a:schemeClr val="tx1"/>
                </a:solidFill>
                <a:effectLst/>
                <a:latin typeface="+mn-lt"/>
                <a:ea typeface="+mn-ea"/>
                <a:cs typeface="+mn-cs"/>
              </a:endParaRPr>
            </a:p>
            <a:p>
              <a:r>
                <a:rPr lang="en-GB" sz="1100" b="1">
                  <a:solidFill>
                    <a:schemeClr val="dk1"/>
                  </a:solidFill>
                  <a:effectLst/>
                  <a:latin typeface="+mn-lt"/>
                  <a:ea typeface="+mn-ea"/>
                  <a:cs typeface="+mn-cs"/>
                </a:rPr>
                <a:t>δ </a:t>
              </a:r>
              <a:r>
                <a:rPr lang="en-GB" sz="1100">
                  <a:solidFill>
                    <a:schemeClr val="dk1"/>
                  </a:solidFill>
                  <a:effectLst/>
                  <a:latin typeface="+mn-lt"/>
                  <a:ea typeface="+mn-ea"/>
                  <a:cs typeface="+mn-cs"/>
                </a:rPr>
                <a:t>means rate of loading for commissions; </a:t>
              </a:r>
            </a:p>
            <a:p>
              <a:r>
                <a:rPr lang="en-GB" sz="1100" b="1">
                  <a:solidFill>
                    <a:schemeClr val="dk1"/>
                  </a:solidFill>
                  <a:effectLst/>
                  <a:latin typeface="+mn-lt"/>
                  <a:ea typeface="+mn-ea"/>
                  <a:cs typeface="+mn-cs"/>
                </a:rPr>
                <a:t>ε</a:t>
              </a:r>
              <a:r>
                <a:rPr lang="en-GB" sz="1100">
                  <a:solidFill>
                    <a:schemeClr val="dk1"/>
                  </a:solidFill>
                  <a:effectLst/>
                  <a:latin typeface="+mn-lt"/>
                  <a:ea typeface="+mn-ea"/>
                  <a:cs typeface="+mn-cs"/>
                </a:rPr>
                <a:t> means the full termination costs inclusive the full issuing costs in euro per type of loan. Please note that this information should be entered during the configuration phase for each version of the product as it may vary from product to product and/or from version to version; </a:t>
              </a:r>
            </a:p>
            <a:p>
              <a:r>
                <a:rPr lang="en-GB" sz="1100" b="1">
                  <a:solidFill>
                    <a:schemeClr val="dk1"/>
                  </a:solidFill>
                  <a:effectLst/>
                  <a:latin typeface="+mn-lt"/>
                  <a:ea typeface="+mn-ea"/>
                  <a:cs typeface="+mn-cs"/>
                </a:rPr>
                <a:t>εc </a:t>
              </a:r>
              <a:r>
                <a:rPr lang="en-GB" sz="1100">
                  <a:solidFill>
                    <a:schemeClr val="dk1"/>
                  </a:solidFill>
                  <a:effectLst/>
                  <a:latin typeface="+mn-lt"/>
                  <a:ea typeface="+mn-ea"/>
                  <a:cs typeface="+mn-cs"/>
                </a:rPr>
                <a:t>means part of the termination costs inclusive the full issuing costs owing to the Contractor in euro per type of loan. Please note that this information should be entered during the configuration phase for each version of the product as it may vary from product to product and/or from version to version;</a:t>
              </a:r>
            </a:p>
            <a:p>
              <a:r>
                <a:rPr lang="en-US" sz="1100" b="1">
                  <a:solidFill>
                    <a:schemeClr val="dk1"/>
                  </a:solidFill>
                  <a:effectLst/>
                  <a:latin typeface="+mn-lt"/>
                  <a:ea typeface="+mn-ea"/>
                  <a:cs typeface="+mn-cs"/>
                </a:rPr>
                <a:t>PT </a:t>
              </a:r>
              <a:r>
                <a:rPr lang="en-US" sz="1100">
                  <a:solidFill>
                    <a:schemeClr val="dk1"/>
                  </a:solidFill>
                  <a:effectLst/>
                  <a:latin typeface="+mn-lt"/>
                  <a:ea typeface="+mn-ea"/>
                  <a:cs typeface="+mn-cs"/>
                </a:rPr>
                <a:t>means</a:t>
              </a:r>
              <a:r>
                <a:rPr lang="en-US" sz="1100" b="1">
                  <a:solidFill>
                    <a:schemeClr val="dk1"/>
                  </a:solidFill>
                  <a:effectLst/>
                  <a:latin typeface="+mn-lt"/>
                  <a:ea typeface="+mn-ea"/>
                  <a:cs typeface="+mn-cs"/>
                </a:rPr>
                <a:t> </a:t>
              </a:r>
              <a:r>
                <a:rPr lang="en-GB" sz="1100">
                  <a:solidFill>
                    <a:schemeClr val="dk1"/>
                  </a:solidFill>
                  <a:effectLst/>
                  <a:latin typeface="+mn-lt"/>
                  <a:ea typeface="+mn-ea"/>
                  <a:cs typeface="+mn-cs"/>
                </a:rPr>
                <a:t>the premium paid by the insured, net of taxes and duties;</a:t>
              </a: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rgbClr val="00B050"/>
                  </a:solidFill>
                  <a:effectLst/>
                  <a:latin typeface="+mn-lt"/>
                  <a:ea typeface="+mn-ea"/>
                  <a:cs typeface="+mn-cs"/>
                </a:rPr>
                <a:t>PP</a:t>
              </a:r>
              <a:r>
                <a:rPr lang="en-US" sz="1100">
                  <a:solidFill>
                    <a:srgbClr val="00B050"/>
                  </a:solidFill>
                  <a:effectLst/>
                  <a:latin typeface="+mn-lt"/>
                  <a:ea typeface="+mn-ea"/>
                  <a:cs typeface="+mn-cs"/>
                </a:rPr>
                <a:t> means the pure premium determined in accordance with the following formula: PP= PT x (1 – </a:t>
              </a:r>
              <a:r>
                <a:rPr lang="en-GB" sz="1100">
                  <a:solidFill>
                    <a:srgbClr val="00B050"/>
                  </a:solidFill>
                  <a:effectLst/>
                  <a:latin typeface="+mn-lt"/>
                  <a:ea typeface="+mn-ea"/>
                  <a:cs typeface="+mn-cs"/>
                </a:rPr>
                <a:t>β – δ);</a:t>
              </a:r>
              <a:endParaRPr lang="en-GB">
                <a:solidFill>
                  <a:srgbClr val="00B05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rgbClr val="00B050"/>
                  </a:solidFill>
                  <a:effectLst/>
                  <a:latin typeface="+mn-lt"/>
                  <a:ea typeface="+mn-ea"/>
                  <a:cs typeface="+mn-cs"/>
                </a:rPr>
                <a:t>LOD</a:t>
              </a:r>
              <a:r>
                <a:rPr lang="en-GB" sz="1100">
                  <a:solidFill>
                    <a:srgbClr val="00B050"/>
                  </a:solidFill>
                  <a:effectLst/>
                  <a:latin typeface="+mn-lt"/>
                  <a:ea typeface="+mn-ea"/>
                  <a:cs typeface="+mn-cs"/>
                </a:rPr>
                <a:t> means the total loadings calculated in accordance with the following formula: LOD = PT x (δ + β);</a:t>
              </a:r>
              <a:endParaRPr lang="en-GB">
                <a:solidFill>
                  <a:srgbClr val="00B050"/>
                </a:solidFill>
                <a:effectLst/>
              </a:endParaRPr>
            </a:p>
            <a:p>
              <a:r>
                <a:rPr lang="en-GB" sz="1100" b="1">
                  <a:solidFill>
                    <a:srgbClr val="00B050"/>
                  </a:solidFill>
                  <a:effectLst/>
                  <a:latin typeface="+mn-lt"/>
                  <a:ea typeface="+mn-ea"/>
                  <a:cs typeface="+mn-cs"/>
                </a:rPr>
                <a:t>OB</a:t>
              </a:r>
              <a:r>
                <a:rPr lang="en-GB" sz="1100">
                  <a:solidFill>
                    <a:srgbClr val="00B050"/>
                  </a:solidFill>
                  <a:effectLst/>
                  <a:latin typeface="+mn-lt"/>
                  <a:ea typeface="+mn-ea"/>
                  <a:cs typeface="+mn-cs"/>
                </a:rPr>
                <a:t> = outstanding Balance as per original Loan amortisation schedule at the time of the early Termination of the policy;</a:t>
              </a:r>
            </a:p>
            <a:p>
              <a:r>
                <a:rPr lang="en-GB" sz="1100" b="1">
                  <a:solidFill>
                    <a:srgbClr val="00B050"/>
                  </a:solidFill>
                  <a:effectLst/>
                  <a:latin typeface="+mn-lt"/>
                  <a:ea typeface="+mn-ea"/>
                  <a:cs typeface="+mn-cs"/>
                </a:rPr>
                <a:t>OLA = </a:t>
              </a:r>
              <a:r>
                <a:rPr lang="en-GB" sz="1100" b="0">
                  <a:solidFill>
                    <a:srgbClr val="00B050"/>
                  </a:solidFill>
                  <a:effectLst/>
                  <a:latin typeface="+mn-lt"/>
                  <a:ea typeface="+mn-ea"/>
                  <a:cs typeface="+mn-cs"/>
                </a:rPr>
                <a:t>Original Loan amount</a:t>
              </a:r>
            </a:p>
            <a:p>
              <a:r>
                <a:rPr lang="en-GB" sz="1100" b="1">
                  <a:solidFill>
                    <a:schemeClr val="dk1"/>
                  </a:solidFill>
                  <a:effectLst/>
                  <a:latin typeface="+mn-lt"/>
                  <a:ea typeface="+mn-ea"/>
                  <a:cs typeface="+mn-cs"/>
                </a:rPr>
                <a:t>PR</a:t>
              </a:r>
              <a:r>
                <a:rPr lang="en-GB" sz="1100">
                  <a:solidFill>
                    <a:schemeClr val="dk1"/>
                  </a:solidFill>
                  <a:effectLst/>
                  <a:latin typeface="+mn-lt"/>
                  <a:ea typeface="+mn-ea"/>
                  <a:cs typeface="+mn-cs"/>
                </a:rPr>
                <a:t> means premium refunded to the Adherent;</a:t>
              </a:r>
            </a:p>
            <a:p>
              <a:r>
                <a:rPr lang="en-GB" sz="1100" b="1">
                  <a:solidFill>
                    <a:schemeClr val="dk1"/>
                  </a:solidFill>
                  <a:effectLst/>
                  <a:latin typeface="+mn-lt"/>
                  <a:ea typeface="+mn-ea"/>
                  <a:cs typeface="+mn-cs"/>
                </a:rPr>
                <a:t>PPR</a:t>
              </a:r>
              <a:r>
                <a:rPr lang="en-GB" sz="1100">
                  <a:solidFill>
                    <a:schemeClr val="dk1"/>
                  </a:solidFill>
                  <a:effectLst/>
                  <a:latin typeface="+mn-lt"/>
                  <a:ea typeface="+mn-ea"/>
                  <a:cs typeface="+mn-cs"/>
                </a:rPr>
                <a:t> means the pure premium refunded to the Adherent; and </a:t>
              </a:r>
            </a:p>
            <a:p>
              <a:r>
                <a:rPr lang="en-GB" sz="1100" b="1">
                  <a:solidFill>
                    <a:schemeClr val="dk1"/>
                  </a:solidFill>
                  <a:effectLst/>
                  <a:latin typeface="+mn-lt"/>
                  <a:ea typeface="+mn-ea"/>
                  <a:cs typeface="+mn-cs"/>
                </a:rPr>
                <a:t>PPC</a:t>
              </a:r>
              <a:r>
                <a:rPr lang="en-GB" sz="1100">
                  <a:solidFill>
                    <a:schemeClr val="dk1"/>
                  </a:solidFill>
                  <a:effectLst/>
                  <a:latin typeface="+mn-lt"/>
                  <a:ea typeface="+mn-ea"/>
                  <a:cs typeface="+mn-cs"/>
                </a:rPr>
                <a:t> means the pure premium refunded to the Contractor. </a:t>
              </a:r>
            </a:p>
            <a:p>
              <a:pPr hangingPunct="0"/>
              <a:r>
                <a:rPr lang="en-US" sz="1100">
                  <a:solidFill>
                    <a:schemeClr val="dk1"/>
                  </a:solidFill>
                  <a:effectLst/>
                  <a:latin typeface="+mn-lt"/>
                  <a:ea typeface="+mn-ea"/>
                  <a:cs typeface="+mn-cs"/>
                </a:rPr>
                <a:t> </a:t>
              </a:r>
              <a:endParaRPr lang="en-GB" sz="1100">
                <a:solidFill>
                  <a:schemeClr val="dk1"/>
                </a:solidFill>
                <a:effectLst/>
                <a:latin typeface="+mn-lt"/>
                <a:ea typeface="+mn-ea"/>
                <a:cs typeface="+mn-cs"/>
              </a:endParaRPr>
            </a:p>
            <a:p>
              <a:pPr lvl="0"/>
              <a:r>
                <a:rPr lang="en-US" sz="1100" b="1">
                  <a:solidFill>
                    <a:schemeClr val="dk1"/>
                  </a:solidFill>
                  <a:effectLst/>
                  <a:latin typeface="+mn-lt"/>
                  <a:ea typeface="+mn-ea"/>
                  <a:cs typeface="+mn-cs"/>
                </a:rPr>
                <a:t>Refunds to the Adherent after Early Termination of the Finance Contract and in the case of Cancellation</a:t>
              </a:r>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If the Adherent cancels their insurance cover or if in the event of early termination of the finance contract, the Adherent does not opt to continue the insurance, in accordance with the terms and conditions of the Policies, the Companies shall calculate the refund the Adherent is entitled to receive, comprising part of the risk premium and part of the Contractor’s commission but excluding taxes. Subject to the Adherent providing accurate details of the bank account to be credited together with proof of identity for the purposes of satisfying Anti Money Laundering legislation, the Companies shall pay the refund to the Adherent. The service indicator for such activity is set out in paragraph F.</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The Contractor acknowledges that the commission portion of the refund is the sole responsibility of the Contractor and that it will reimburse refunded commission to the Insurers through the monthly accounting and payment process agreed between the Parties. </a:t>
              </a:r>
            </a:p>
            <a:p>
              <a:endParaRPr lang="en-GB" sz="1100">
                <a:solidFill>
                  <a:schemeClr val="dk1"/>
                </a:solidFill>
                <a:effectLst/>
                <a:latin typeface="+mn-lt"/>
                <a:ea typeface="+mn-ea"/>
                <a:cs typeface="+mn-cs"/>
              </a:endParaRPr>
            </a:p>
            <a:p>
              <a:pPr lvl="0"/>
              <a:r>
                <a:rPr lang="en-US" sz="1100" b="1">
                  <a:solidFill>
                    <a:schemeClr val="dk1"/>
                  </a:solidFill>
                  <a:effectLst/>
                  <a:latin typeface="+mn-lt"/>
                  <a:ea typeface="+mn-ea"/>
                  <a:cs typeface="+mn-cs"/>
                </a:rPr>
                <a:t>Refund Calculation</a:t>
              </a:r>
            </a:p>
            <a:p>
              <a:pPr lvl="0"/>
              <a:endParaRPr lang="en-GB" sz="1100">
                <a:solidFill>
                  <a:schemeClr val="dk1"/>
                </a:solidFill>
                <a:effectLst/>
                <a:latin typeface="+mn-lt"/>
                <a:ea typeface="+mn-ea"/>
                <a:cs typeface="+mn-cs"/>
              </a:endParaRPr>
            </a:p>
            <a:p>
              <a:pPr lvl="0"/>
              <a:r>
                <a:rPr lang="en-GB" sz="1100" u="sng">
                  <a:solidFill>
                    <a:schemeClr val="accent1">
                      <a:lumMod val="50000"/>
                    </a:schemeClr>
                  </a:solidFill>
                  <a:effectLst/>
                  <a:latin typeface="+mn-lt"/>
                  <a:ea typeface="+mn-ea"/>
                  <a:cs typeface="+mn-cs"/>
                </a:rPr>
                <a:t>Single Premium Products (</a:t>
              </a:r>
              <a:r>
                <a:rPr lang="en-GB" sz="1100" b="1" u="sng">
                  <a:solidFill>
                    <a:schemeClr val="accent1">
                      <a:lumMod val="50000"/>
                    </a:schemeClr>
                  </a:solidFill>
                  <a:effectLst/>
                  <a:latin typeface="+mn-lt"/>
                  <a:ea typeface="+mn-ea"/>
                  <a:cs typeface="+mn-cs"/>
                </a:rPr>
                <a:t>NON-LEASING</a:t>
              </a:r>
              <a:r>
                <a:rPr lang="en-GB" sz="1100" u="sng">
                  <a:solidFill>
                    <a:schemeClr val="accent1">
                      <a:lumMod val="50000"/>
                    </a:schemeClr>
                  </a:solidFill>
                  <a:effectLst/>
                  <a:latin typeface="+mn-lt"/>
                  <a:ea typeface="+mn-ea"/>
                  <a:cs typeface="+mn-cs"/>
                </a:rPr>
                <a:t>): </a:t>
              </a:r>
              <a:r>
                <a:rPr lang="en-GB" sz="1100" u="none">
                  <a:solidFill>
                    <a:schemeClr val="accent1">
                      <a:lumMod val="50000"/>
                    </a:schemeClr>
                  </a:solidFill>
                  <a:effectLst/>
                  <a:latin typeface="+mn-lt"/>
                  <a:ea typeface="+mn-ea"/>
                  <a:cs typeface="+mn-cs"/>
                </a:rPr>
                <a:t>       </a:t>
              </a:r>
              <a:r>
                <a:rPr lang="en-GB" sz="1100">
                  <a:solidFill>
                    <a:schemeClr val="dk1"/>
                  </a:solidFill>
                  <a:effectLst/>
                  <a:latin typeface="+mn-lt"/>
                  <a:ea typeface="+mn-ea"/>
                  <a:cs typeface="+mn-cs"/>
                </a:rPr>
                <a:t>For the single premium as referenced in clause 6.2.1 of this Agreement, in the event of early termination of the finance contract, if the Adherent does not opt to continue the insurance, in accordance with the terms and conditions of the Policies, the Companies shall calculate the refund the Adherent is entitled to receive, comprising of part of the risk premium and part of the Contractor’s commission but excluding taxes. </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The formulae for calculation of the Life and Non-Life element of the refund shall be carried out by the Parties using the following: </a:t>
              </a:r>
            </a:p>
            <a:p>
              <a:r>
                <a:rPr lang="en-GB" sz="110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u="sng">
                  <a:solidFill>
                    <a:schemeClr val="dk1"/>
                  </a:solidFill>
                  <a:effectLst/>
                  <a:latin typeface="+mn-lt"/>
                  <a:ea typeface="+mn-ea"/>
                  <a:cs typeface="+mn-cs"/>
                </a:rPr>
                <a:t>Life</a:t>
              </a:r>
              <a:r>
                <a:rPr lang="en-GB" sz="1100" u="none">
                  <a:solidFill>
                    <a:schemeClr val="dk1"/>
                  </a:solidFill>
                  <a:effectLst/>
                  <a:latin typeface="+mn-lt"/>
                  <a:ea typeface="+mn-ea"/>
                  <a:cs typeface="+mn-cs"/>
                </a:rPr>
                <a:t>:    </a:t>
              </a:r>
              <a:r>
                <a:rPr lang="en-GB" sz="1100" b="1">
                  <a:solidFill>
                    <a:srgbClr val="C00000"/>
                  </a:solidFill>
                  <a:effectLst/>
                  <a:latin typeface="+mn-lt"/>
                  <a:ea typeface="+mn-ea"/>
                  <a:cs typeface="+mn-cs"/>
                </a:rPr>
                <a:t>CHANGED</a:t>
              </a:r>
              <a:endParaRPr lang="en-GB" b="1">
                <a:solidFill>
                  <a:srgbClr val="C00000"/>
                </a:solidFill>
                <a:effectLst/>
              </a:endParaRPr>
            </a:p>
            <a:p>
              <a:r>
                <a:rPr lang="en-GB" sz="1100">
                  <a:solidFill>
                    <a:schemeClr val="dk1"/>
                  </a:solidFill>
                  <a:effectLst/>
                  <a:latin typeface="+mn-lt"/>
                  <a:ea typeface="+mn-ea"/>
                  <a:cs typeface="+mn-cs"/>
                </a:rPr>
                <a:t>The following formula provides for the reimbursement of the Life element of the premium:</a:t>
              </a:r>
              <a:br>
                <a:rPr lang="en-GB" sz="1100">
                  <a:solidFill>
                    <a:schemeClr val="dk1"/>
                  </a:solidFill>
                  <a:effectLst/>
                  <a:latin typeface="+mn-lt"/>
                  <a:ea typeface="+mn-ea"/>
                  <a:cs typeface="+mn-cs"/>
                </a:rPr>
              </a:br>
              <a:r>
                <a:rPr lang="en-GB" sz="1100">
                  <a:solidFill>
                    <a:schemeClr val="dk1"/>
                  </a:solidFill>
                  <a:effectLst/>
                  <a:latin typeface="+mn-lt"/>
                  <a:ea typeface="+mn-ea"/>
                  <a:cs typeface="+mn-cs"/>
                </a:rPr>
                <a:t>PR = PT x </a:t>
              </a:r>
              <a:r>
                <a:rPr lang="en-GB" sz="1100">
                  <a:solidFill>
                    <a:srgbClr val="00B050"/>
                  </a:solidFill>
                  <a:effectLst/>
                  <a:latin typeface="+mn-lt"/>
                  <a:ea typeface="+mn-ea"/>
                  <a:cs typeface="+mn-cs"/>
                </a:rPr>
                <a:t>(β + δ)  </a:t>
              </a:r>
              <a:r>
                <a:rPr lang="en-GB" sz="1100">
                  <a:solidFill>
                    <a:schemeClr val="dk1"/>
                  </a:solidFill>
                  <a:effectLst/>
                  <a:latin typeface="+mn-lt"/>
                  <a:ea typeface="+mn-ea"/>
                  <a:cs typeface="+mn-cs"/>
                </a:rPr>
                <a:t>x </a:t>
              </a:r>
              <a:r>
                <a:rPr lang="en-GB" sz="1100" i="0">
                  <a:solidFill>
                    <a:schemeClr val="dk1"/>
                  </a:solidFill>
                  <a:effectLst/>
                  <a:latin typeface="Cambria Math" panose="02040503050406030204" pitchFamily="18" charset="0"/>
                  <a:ea typeface="+mn-ea"/>
                  <a:cs typeface="+mn-cs"/>
                </a:rPr>
                <a:t>(D−t)/D</a:t>
              </a:r>
              <a:r>
                <a:rPr lang="en-GB" sz="1100">
                  <a:solidFill>
                    <a:schemeClr val="dk1"/>
                  </a:solidFill>
                  <a:effectLst/>
                  <a:latin typeface="+mn-lt"/>
                  <a:ea typeface="+mn-ea"/>
                  <a:cs typeface="+mn-cs"/>
                </a:rPr>
                <a:t> + PPR – ε</a:t>
              </a:r>
              <a:br>
                <a:rPr lang="en-GB" sz="1100">
                  <a:solidFill>
                    <a:schemeClr val="dk1"/>
                  </a:solidFill>
                  <a:effectLst/>
                  <a:latin typeface="+mn-lt"/>
                  <a:ea typeface="+mn-ea"/>
                  <a:cs typeface="+mn-cs"/>
                </a:rPr>
              </a:br>
              <a:r>
                <a:rPr lang="en-GB" sz="1100">
                  <a:solidFill>
                    <a:schemeClr val="dk1"/>
                  </a:solidFill>
                  <a:effectLst/>
                  <a:latin typeface="+mn-lt"/>
                  <a:ea typeface="+mn-ea"/>
                  <a:cs typeface="+mn-cs"/>
                </a:rPr>
                <a:t>with</a:t>
              </a:r>
              <a:br>
                <a:rPr lang="en-GB" sz="1100">
                  <a:solidFill>
                    <a:schemeClr val="dk1"/>
                  </a:solidFill>
                  <a:effectLst/>
                  <a:latin typeface="+mn-lt"/>
                  <a:ea typeface="+mn-ea"/>
                  <a:cs typeface="+mn-cs"/>
                </a:rPr>
              </a:br>
              <a:r>
                <a:rPr lang="en-GB" sz="1100">
                  <a:solidFill>
                    <a:schemeClr val="dk1"/>
                  </a:solidFill>
                  <a:effectLst/>
                  <a:latin typeface="+mn-lt"/>
                  <a:ea typeface="+mn-ea"/>
                  <a:cs typeface="+mn-cs"/>
                </a:rPr>
                <a:t>PPR =</a:t>
              </a:r>
              <a:r>
                <a:rPr lang="en-GB" sz="1100">
                  <a:solidFill>
                    <a:srgbClr val="00B050"/>
                  </a:solidFill>
                  <a:effectLst/>
                  <a:latin typeface="+mn-lt"/>
                  <a:ea typeface="+mn-ea"/>
                  <a:cs typeface="+mn-cs"/>
                </a:rPr>
                <a:t> PP x </a:t>
              </a:r>
              <a:r>
                <a:rPr lang="en-GB" sz="1100" i="0">
                  <a:solidFill>
                    <a:srgbClr val="00B050"/>
                  </a:solidFill>
                  <a:effectLst/>
                  <a:latin typeface="Cambria Math" panose="02040503050406030204" pitchFamily="18" charset="0"/>
                  <a:ea typeface="+mn-ea"/>
                  <a:cs typeface="+mn-cs"/>
                </a:rPr>
                <a:t>(D−t)/D</a:t>
              </a:r>
              <a:r>
                <a:rPr lang="en-GB" sz="1100">
                  <a:solidFill>
                    <a:srgbClr val="00B050"/>
                  </a:solidFill>
                  <a:effectLst/>
                  <a:latin typeface="+mn-lt"/>
                  <a:ea typeface="+mn-ea"/>
                  <a:cs typeface="+mn-cs"/>
                </a:rPr>
                <a:t> x OB/ OLA</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u="sng">
                  <a:solidFill>
                    <a:schemeClr val="dk1"/>
                  </a:solidFill>
                  <a:effectLst/>
                  <a:latin typeface="+mn-lt"/>
                  <a:ea typeface="+mn-ea"/>
                  <a:cs typeface="+mn-cs"/>
                </a:rPr>
                <a:t>Non-Life</a:t>
              </a:r>
              <a:r>
                <a:rPr lang="en-GB" sz="1100" u="none">
                  <a:solidFill>
                    <a:schemeClr val="dk1"/>
                  </a:solidFill>
                  <a:effectLst/>
                  <a:latin typeface="+mn-lt"/>
                  <a:ea typeface="+mn-ea"/>
                  <a:cs typeface="+mn-cs"/>
                </a:rPr>
                <a:t>:    </a:t>
              </a:r>
              <a:r>
                <a:rPr lang="en-GB" sz="1100" b="1">
                  <a:solidFill>
                    <a:srgbClr val="C00000"/>
                  </a:solidFill>
                  <a:effectLst/>
                  <a:latin typeface="+mn-lt"/>
                  <a:ea typeface="+mn-ea"/>
                  <a:cs typeface="+mn-cs"/>
                </a:rPr>
                <a:t>UNCHANGED</a:t>
              </a:r>
              <a:endParaRPr lang="en-GB">
                <a:solidFill>
                  <a:srgbClr val="C00000"/>
                </a:solidFill>
                <a:effectLst/>
              </a:endParaRPr>
            </a:p>
            <a:p>
              <a:r>
                <a:rPr lang="en-GB" sz="1100">
                  <a:solidFill>
                    <a:schemeClr val="dk1"/>
                  </a:solidFill>
                  <a:effectLst/>
                  <a:latin typeface="+mn-lt"/>
                  <a:ea typeface="+mn-ea"/>
                  <a:cs typeface="+mn-cs"/>
                </a:rPr>
                <a:t>The following formula provides for the reimbursement of the Non-Life element of the premium:</a:t>
              </a:r>
            </a:p>
            <a:p>
              <a:r>
                <a:rPr lang="en-GB" sz="1100" u="none" strike="noStrike">
                  <a:solidFill>
                    <a:schemeClr val="dk1"/>
                  </a:solidFill>
                  <a:effectLst/>
                  <a:latin typeface="+mn-lt"/>
                  <a:ea typeface="+mn-ea"/>
                  <a:cs typeface="+mn-cs"/>
                </a:rPr>
                <a:t> </a:t>
              </a:r>
              <a:r>
                <a:rPr lang="en-GB" sz="1100">
                  <a:solidFill>
                    <a:schemeClr val="dk1"/>
                  </a:solidFill>
                  <a:effectLst/>
                  <a:latin typeface="+mn-lt"/>
                  <a:ea typeface="+mn-ea"/>
                  <a:cs typeface="+mn-cs"/>
                </a:rPr>
                <a:t>PR = </a:t>
              </a:r>
              <a:r>
                <a:rPr lang="en-GB" sz="1100">
                  <a:solidFill>
                    <a:schemeClr val="bg1">
                      <a:lumMod val="50000"/>
                    </a:schemeClr>
                  </a:solidFill>
                  <a:effectLst/>
                  <a:latin typeface="+mn-lt"/>
                  <a:ea typeface="+mn-ea"/>
                  <a:cs typeface="+mn-cs"/>
                </a:rPr>
                <a:t>(PT x (1 - δ) + PT x δ) x </a:t>
              </a:r>
              <a:r>
                <a:rPr lang="en-GB" sz="1100" i="0">
                  <a:solidFill>
                    <a:schemeClr val="bg1">
                      <a:lumMod val="50000"/>
                    </a:schemeClr>
                  </a:solidFill>
                  <a:effectLst/>
                  <a:latin typeface="Cambria Math" panose="02040503050406030204" pitchFamily="18" charset="0"/>
                  <a:ea typeface="+mn-ea"/>
                  <a:cs typeface="+mn-cs"/>
                </a:rPr>
                <a:t>(D−t)/D</a:t>
              </a:r>
              <a:r>
                <a:rPr lang="en-GB" sz="1100">
                  <a:solidFill>
                    <a:schemeClr val="bg1">
                      <a:lumMod val="50000"/>
                    </a:schemeClr>
                  </a:solidFill>
                  <a:effectLst/>
                  <a:latin typeface="+mn-lt"/>
                  <a:ea typeface="+mn-ea"/>
                  <a:cs typeface="+mn-cs"/>
                </a:rPr>
                <a:t> – ε = </a:t>
              </a:r>
              <a:r>
                <a:rPr lang="en-GB" sz="1100">
                  <a:solidFill>
                    <a:schemeClr val="dk1"/>
                  </a:solidFill>
                  <a:effectLst/>
                  <a:latin typeface="+mn-lt"/>
                  <a:ea typeface="+mn-ea"/>
                  <a:cs typeface="+mn-cs"/>
                </a:rPr>
                <a:t>PT x </a:t>
              </a:r>
              <a:r>
                <a:rPr lang="en-GB" sz="1100" i="0">
                  <a:solidFill>
                    <a:schemeClr val="dk1"/>
                  </a:solidFill>
                  <a:effectLst/>
                  <a:latin typeface="Cambria Math" panose="02040503050406030204" pitchFamily="18" charset="0"/>
                  <a:ea typeface="+mn-ea"/>
                  <a:cs typeface="+mn-cs"/>
                </a:rPr>
                <a:t>(D−t)/D</a:t>
              </a:r>
              <a:r>
                <a:rPr lang="en-GB" sz="1100">
                  <a:solidFill>
                    <a:schemeClr val="dk1"/>
                  </a:solidFill>
                  <a:effectLst/>
                  <a:latin typeface="+mn-lt"/>
                  <a:ea typeface="+mn-ea"/>
                  <a:cs typeface="+mn-cs"/>
                </a:rPr>
                <a:t> – ε</a:t>
              </a:r>
            </a:p>
            <a:p>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u="sng">
                  <a:solidFill>
                    <a:schemeClr val="dk1"/>
                  </a:solidFill>
                  <a:effectLst/>
                  <a:latin typeface="+mn-lt"/>
                  <a:ea typeface="+mn-ea"/>
                  <a:cs typeface="+mn-cs"/>
                </a:rPr>
                <a:t>In Respect of the Commission Portion of the Refund   </a:t>
              </a:r>
              <a:r>
                <a:rPr lang="en-GB" sz="1100" b="1">
                  <a:solidFill>
                    <a:srgbClr val="C00000"/>
                  </a:solidFill>
                  <a:effectLst/>
                  <a:latin typeface="+mn-lt"/>
                  <a:ea typeface="+mn-ea"/>
                  <a:cs typeface="+mn-cs"/>
                </a:rPr>
                <a:t>UNCHANGED</a:t>
              </a:r>
              <a:endParaRPr lang="en-GB">
                <a:solidFill>
                  <a:srgbClr val="C00000"/>
                </a:solidFill>
                <a:effectLst/>
              </a:endParaRP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In respect of the commission portion of the refund which forms part of the above calculation, the formula to be applied for the Life and Non-Life elements is as follows: </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Commission Portion of the Refund = PT x δ x </a:t>
              </a:r>
              <a:r>
                <a:rPr lang="en-GB" sz="1100" i="0">
                  <a:solidFill>
                    <a:schemeClr val="dk1"/>
                  </a:solidFill>
                  <a:effectLst/>
                  <a:latin typeface="Cambria Math" panose="02040503050406030204" pitchFamily="18" charset="0"/>
                  <a:ea typeface="+mn-ea"/>
                  <a:cs typeface="+mn-cs"/>
                </a:rPr>
                <a:t>(D−t)/D</a:t>
              </a:r>
              <a:r>
                <a:rPr lang="en-GB" sz="1100">
                  <a:solidFill>
                    <a:schemeClr val="dk1"/>
                  </a:solidFill>
                  <a:effectLst/>
                  <a:latin typeface="+mn-lt"/>
                  <a:ea typeface="+mn-ea"/>
                  <a:cs typeface="+mn-cs"/>
                </a:rPr>
                <a:t>  - </a:t>
              </a:r>
              <a:r>
                <a:rPr lang="en-GB" sz="1100" b="1">
                  <a:solidFill>
                    <a:schemeClr val="dk1"/>
                  </a:solidFill>
                  <a:effectLst/>
                  <a:latin typeface="+mn-lt"/>
                  <a:ea typeface="+mn-ea"/>
                  <a:cs typeface="+mn-cs"/>
                </a:rPr>
                <a:t>εc </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refund to the Adherent shall be made by the Companies net of the total termination costs (inclusive the issuing costs) as defined and furthermore explained to the Adherent in the application form delivered to the Adherent for the insurance which includes the application of those costs. The total termination costs (inclusive the issuing costs) incurred by the Contractor are fifteen (15) euros (of which seven and half (7.5) euros relates to Life element and seven and half (7.5) euros relates to Non-Life element). </a:t>
              </a:r>
            </a:p>
            <a:p>
              <a:r>
                <a:rPr lang="en-GB" sz="110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u="sng">
                  <a:solidFill>
                    <a:schemeClr val="accent1">
                      <a:lumMod val="50000"/>
                    </a:schemeClr>
                  </a:solidFill>
                  <a:effectLst/>
                  <a:latin typeface="+mn-lt"/>
                  <a:ea typeface="+mn-ea"/>
                  <a:cs typeface="+mn-cs"/>
                </a:rPr>
                <a:t>Products with a Single Premium paid in advance by the Contractor (</a:t>
              </a:r>
              <a:r>
                <a:rPr lang="en-GB" sz="1100" b="1" u="sng">
                  <a:solidFill>
                    <a:schemeClr val="accent1">
                      <a:lumMod val="50000"/>
                    </a:schemeClr>
                  </a:solidFill>
                  <a:effectLst/>
                  <a:latin typeface="+mn-lt"/>
                  <a:ea typeface="+mn-ea"/>
                  <a:cs typeface="+mn-cs"/>
                </a:rPr>
                <a:t>LEASING</a:t>
              </a:r>
              <a:r>
                <a:rPr lang="en-GB" sz="1100" u="sng">
                  <a:solidFill>
                    <a:schemeClr val="accent1">
                      <a:lumMod val="50000"/>
                    </a:schemeClr>
                  </a:solidFill>
                  <a:effectLst/>
                  <a:latin typeface="+mn-lt"/>
                  <a:ea typeface="+mn-ea"/>
                  <a:cs typeface="+mn-cs"/>
                </a:rPr>
                <a:t>): </a:t>
              </a:r>
              <a:r>
                <a:rPr lang="en-GB" sz="1100" u="none">
                  <a:solidFill>
                    <a:schemeClr val="accent1">
                      <a:lumMod val="50000"/>
                    </a:schemeClr>
                  </a:solidFill>
                  <a:effectLst/>
                  <a:latin typeface="+mn-lt"/>
                  <a:ea typeface="+mn-ea"/>
                  <a:cs typeface="+mn-cs"/>
                </a:rPr>
                <a:t>       </a:t>
              </a:r>
              <a:r>
                <a:rPr lang="en-GB" sz="1100" b="1">
                  <a:solidFill>
                    <a:srgbClr val="C00000"/>
                  </a:solidFill>
                  <a:effectLst/>
                  <a:latin typeface="+mn-lt"/>
                  <a:ea typeface="+mn-ea"/>
                  <a:cs typeface="+mn-cs"/>
                </a:rPr>
                <a:t>UNCHANGED</a:t>
              </a:r>
              <a:endParaRPr lang="en-GB" b="1">
                <a:solidFill>
                  <a:srgbClr val="C00000"/>
                </a:solidFill>
                <a:effectLst/>
              </a:endParaRPr>
            </a:p>
            <a:p>
              <a:pPr lvl="0"/>
              <a:endParaRPr lang="en-GB" sz="1100">
                <a:solidFill>
                  <a:schemeClr val="accent1">
                    <a:lumMod val="50000"/>
                  </a:schemeClr>
                </a:solidFill>
                <a:effectLst/>
                <a:latin typeface="+mn-lt"/>
                <a:ea typeface="+mn-ea"/>
                <a:cs typeface="+mn-cs"/>
              </a:endParaRPr>
            </a:p>
            <a:p>
              <a:r>
                <a:rPr lang="en-GB" sz="1100">
                  <a:solidFill>
                    <a:schemeClr val="dk1"/>
                  </a:solidFill>
                  <a:effectLst/>
                  <a:latin typeface="+mn-lt"/>
                  <a:ea typeface="+mn-ea"/>
                  <a:cs typeface="+mn-cs"/>
                </a:rPr>
                <a:t>For products with a single premium paid in advance by the Contractor and re-paid by the Adherent by monthly instalments as referenced in clause 6.2.2 of this Agreement, following termination of the loan, the Contractor stops charging the Adherent the remaining monthly instalments and no reimbursement is made to the Adherent. </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The insurance cover is automatically cancelled and the following formulae are used by the Contractor and the Companies to determine the Life and Non-Life refund that the Companies may provide to the Contractor:</a:t>
              </a:r>
            </a:p>
            <a:p>
              <a:r>
                <a:rPr lang="en-GB" sz="1100">
                  <a:solidFill>
                    <a:schemeClr val="dk1"/>
                  </a:solidFill>
                  <a:effectLst/>
                  <a:latin typeface="+mn-lt"/>
                  <a:ea typeface="+mn-ea"/>
                  <a:cs typeface="+mn-cs"/>
                </a:rPr>
                <a:t> </a:t>
              </a:r>
            </a:p>
            <a:p>
              <a:r>
                <a:rPr lang="en-GB" sz="1100" u="sng">
                  <a:solidFill>
                    <a:schemeClr val="dk1"/>
                  </a:solidFill>
                  <a:effectLst/>
                  <a:latin typeface="+mn-lt"/>
                  <a:ea typeface="+mn-ea"/>
                  <a:cs typeface="+mn-cs"/>
                </a:rPr>
                <a:t>Life: </a:t>
              </a:r>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following formula provides for the reimbursement of the Life element of the premium:</a:t>
              </a:r>
              <a:br>
                <a:rPr lang="en-GB" sz="1100">
                  <a:solidFill>
                    <a:schemeClr val="dk1"/>
                  </a:solidFill>
                  <a:effectLst/>
                  <a:latin typeface="+mn-lt"/>
                  <a:ea typeface="+mn-ea"/>
                  <a:cs typeface="+mn-cs"/>
                </a:rPr>
              </a:br>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PPC = PT x (1 - δ) x ((D – t + 1) x (D – t)) / (D x (D + 1)) – ε + εc</a:t>
              </a:r>
            </a:p>
            <a:p>
              <a:endParaRPr lang="en-GB" sz="1100">
                <a:solidFill>
                  <a:schemeClr val="dk1"/>
                </a:solidFill>
                <a:effectLst/>
                <a:latin typeface="+mn-lt"/>
                <a:ea typeface="+mn-ea"/>
                <a:cs typeface="+mn-cs"/>
              </a:endParaRPr>
            </a:p>
            <a:p>
              <a:r>
                <a:rPr lang="en-GB" sz="1100" u="sng">
                  <a:solidFill>
                    <a:schemeClr val="dk1"/>
                  </a:solidFill>
                  <a:effectLst/>
                  <a:latin typeface="+mn-lt"/>
                  <a:ea typeface="+mn-ea"/>
                  <a:cs typeface="+mn-cs"/>
                </a:rPr>
                <a:t>Non-Life:</a:t>
              </a:r>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following formula provides for the reimbursement of the Non-Life element of the premium:</a:t>
              </a:r>
            </a:p>
            <a:p>
              <a:pPr>
                <a:lnSpc>
                  <a:spcPts val="1800"/>
                </a:lnSpc>
              </a:pPr>
              <a:r>
                <a:rPr lang="en-GB" sz="1100">
                  <a:solidFill>
                    <a:schemeClr val="dk1"/>
                  </a:solidFill>
                  <a:effectLst/>
                  <a:latin typeface="+mn-lt"/>
                  <a:ea typeface="+mn-ea"/>
                  <a:cs typeface="+mn-cs"/>
                </a:rPr>
                <a:t>PPC = PT x (1 - δ) x </a:t>
              </a:r>
              <a:r>
                <a:rPr lang="en-GB" sz="1100" i="0">
                  <a:solidFill>
                    <a:schemeClr val="dk1"/>
                  </a:solidFill>
                  <a:effectLst/>
                  <a:latin typeface="Cambria Math" panose="02040503050406030204" pitchFamily="18" charset="0"/>
                  <a:ea typeface="+mn-ea"/>
                  <a:cs typeface="+mn-cs"/>
                </a:rPr>
                <a:t>(D−t)/D</a:t>
              </a:r>
              <a:r>
                <a:rPr lang="en-GB" sz="1100">
                  <a:solidFill>
                    <a:schemeClr val="dk1"/>
                  </a:solidFill>
                  <a:effectLst/>
                  <a:latin typeface="+mn-lt"/>
                  <a:ea typeface="+mn-ea"/>
                  <a:cs typeface="+mn-cs"/>
                </a:rPr>
                <a:t> – ε + εc</a:t>
              </a:r>
            </a:p>
            <a:p>
              <a:r>
                <a:rPr lang="en-GB" sz="1100">
                  <a:solidFill>
                    <a:schemeClr val="dk1"/>
                  </a:solidFill>
                  <a:effectLst/>
                  <a:latin typeface="+mn-lt"/>
                  <a:ea typeface="+mn-ea"/>
                  <a:cs typeface="+mn-cs"/>
                </a:rPr>
                <a:t> </a:t>
              </a:r>
            </a:p>
            <a:p>
              <a:pPr lvl="0"/>
              <a:r>
                <a:rPr lang="en-GB" sz="1100" u="sng">
                  <a:solidFill>
                    <a:schemeClr val="dk1"/>
                  </a:solidFill>
                  <a:effectLst/>
                  <a:latin typeface="+mn-lt"/>
                  <a:ea typeface="+mn-ea"/>
                  <a:cs typeface="+mn-cs"/>
                </a:rPr>
                <a:t>Cooling Off</a:t>
              </a:r>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Where the Adherent cancels the insurance cover during the permitted cooling off period, the formula for the calculation of the refund to the Adherent used by the Companies shall be as follows:</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PR = PT</a:t>
              </a:r>
            </a:p>
            <a:p>
              <a:pPr>
                <a:lnSpc>
                  <a:spcPts val="1000"/>
                </a:lnSpc>
              </a:pPr>
              <a:r>
                <a:rPr lang="en-GB" sz="1100">
                  <a:solidFill>
                    <a:schemeClr val="dk1"/>
                  </a:solidFill>
                  <a:effectLst/>
                  <a:latin typeface="+mn-lt"/>
                  <a:ea typeface="+mn-ea"/>
                  <a:cs typeface="+mn-cs"/>
                </a:rPr>
                <a:t> </a:t>
              </a:r>
            </a:p>
            <a:p>
              <a:r>
                <a:rPr lang="en-US" sz="1100">
                  <a:solidFill>
                    <a:schemeClr val="dk1"/>
                  </a:solidFill>
                  <a:effectLst/>
                  <a:latin typeface="+mn-lt"/>
                  <a:ea typeface="+mn-ea"/>
                  <a:cs typeface="+mn-cs"/>
                </a:rPr>
                <a:t>The refunds shall be made by the Companies to the Adherent and subject to the Adherent providing accurate details of the bank account to be credited together with proof of identity for the purposes of satisfying Anti-Money Laundering legislation. The Service Level Indicator number 9 set out in the table under Section F sub section 3.1 of Annex 4 specifies the level to be achieved where such refunds are processed. </a:t>
              </a:r>
              <a:endParaRPr lang="en-GB" sz="1100">
                <a:solidFill>
                  <a:schemeClr val="dk1"/>
                </a:solidFill>
                <a:effectLst/>
                <a:latin typeface="+mn-lt"/>
                <a:ea typeface="+mn-ea"/>
                <a:cs typeface="+mn-cs"/>
              </a:endParaRPr>
            </a:p>
            <a:p>
              <a:pPr>
                <a:lnSpc>
                  <a:spcPts val="900"/>
                </a:lnSpc>
              </a:pPr>
              <a:endParaRPr lang="en-GB" sz="1100"/>
            </a:p>
          </xdr:txBody>
        </xdr:sp>
      </mc:Fallback>
    </mc:AlternateContent>
    <xdr:clientData/>
  </xdr:twoCellAnchor>
  <xdr:twoCellAnchor>
    <xdr:from>
      <xdr:col>1</xdr:col>
      <xdr:colOff>57523</xdr:colOff>
      <xdr:row>58</xdr:row>
      <xdr:rowOff>0</xdr:rowOff>
    </xdr:from>
    <xdr:to>
      <xdr:col>10</xdr:col>
      <xdr:colOff>124395</xdr:colOff>
      <xdr:row>121</xdr:row>
      <xdr:rowOff>42944</xdr:rowOff>
    </xdr:to>
    <xdr:sp macro="" textlink="">
      <xdr:nvSpPr>
        <xdr:cNvPr id="3" name="TextBox 2">
          <a:extLst>
            <a:ext uri="{FF2B5EF4-FFF2-40B4-BE49-F238E27FC236}">
              <a16:creationId xmlns:a16="http://schemas.microsoft.com/office/drawing/2014/main" id="{33FEB239-771D-42A2-A18B-05FD16A7E891}"/>
            </a:ext>
          </a:extLst>
        </xdr:cNvPr>
        <xdr:cNvSpPr txBox="1"/>
      </xdr:nvSpPr>
      <xdr:spPr>
        <a:xfrm>
          <a:off x="108323" y="10439400"/>
          <a:ext cx="6905822" cy="116443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1200"/>
            </a:lnSpc>
          </a:pPr>
          <a:r>
            <a:rPr lang="en-GB" sz="1100" b="1" u="sng">
              <a:solidFill>
                <a:srgbClr val="C00000"/>
              </a:solidFill>
              <a:effectLst/>
              <a:latin typeface="+mn-lt"/>
              <a:ea typeface="+mn-ea"/>
              <a:cs typeface="+mn-cs"/>
            </a:rPr>
            <a:t>OLD Approach prior the publication of the  IVASS</a:t>
          </a:r>
          <a:r>
            <a:rPr lang="en-GB" sz="1100" b="1" u="sng" baseline="0">
              <a:solidFill>
                <a:srgbClr val="C00000"/>
              </a:solidFill>
              <a:effectLst/>
              <a:latin typeface="+mn-lt"/>
              <a:ea typeface="+mn-ea"/>
              <a:cs typeface="+mn-cs"/>
            </a:rPr>
            <a:t> Letter as of 18/12/2018 with effect from 18/02/2019:</a:t>
          </a:r>
          <a:endParaRPr lang="en-GB">
            <a:solidFill>
              <a:srgbClr val="C00000"/>
            </a:solidFill>
            <a:effectLst/>
          </a:endParaRPr>
        </a:p>
        <a:p>
          <a:pPr>
            <a:lnSpc>
              <a:spcPts val="1200"/>
            </a:lnSpc>
          </a:pPr>
          <a:r>
            <a:rPr lang="en-GB" sz="1100" b="1">
              <a:solidFill>
                <a:schemeClr val="dk1"/>
              </a:solidFill>
              <a:effectLst/>
              <a:latin typeface="+mn-lt"/>
              <a:ea typeface="+mn-ea"/>
              <a:cs typeface="+mn-cs"/>
            </a:rPr>
            <a:t>For </a:t>
          </a:r>
          <a:r>
            <a:rPr lang="en-GB" sz="1100" b="1" u="sng">
              <a:solidFill>
                <a:schemeClr val="dk1"/>
              </a:solidFill>
              <a:effectLst/>
              <a:latin typeface="+mn-lt"/>
              <a:ea typeface="+mn-ea"/>
              <a:cs typeface="+mn-cs"/>
            </a:rPr>
            <a:t>CPI business (Non-Leasing)</a:t>
          </a:r>
          <a:r>
            <a:rPr lang="en-GB" sz="1100" b="1">
              <a:solidFill>
                <a:schemeClr val="dk1"/>
              </a:solidFill>
              <a:effectLst/>
              <a:latin typeface="+mn-lt"/>
              <a:ea typeface="+mn-ea"/>
              <a:cs typeface="+mn-cs"/>
            </a:rPr>
            <a:t>:</a:t>
          </a:r>
          <a:endParaRPr lang="en-GB">
            <a:effectLst/>
          </a:endParaRPr>
        </a:p>
        <a:p>
          <a:pPr>
            <a:lnSpc>
              <a:spcPts val="1200"/>
            </a:lnSpc>
          </a:pPr>
          <a:r>
            <a:rPr lang="en-GB" sz="1100" b="1">
              <a:solidFill>
                <a:schemeClr val="dk1"/>
              </a:solidFill>
              <a:effectLst/>
              <a:latin typeface="+mn-lt"/>
              <a:ea typeface="+mn-ea"/>
              <a:cs typeface="+mn-cs"/>
            </a:rPr>
            <a:t>Non-Life </a:t>
          </a:r>
          <a:r>
            <a:rPr lang="en-GB" sz="1100">
              <a:solidFill>
                <a:schemeClr val="dk1"/>
              </a:solidFill>
              <a:effectLst/>
              <a:latin typeface="+mn-lt"/>
              <a:ea typeface="+mn-ea"/>
              <a:cs typeface="+mn-cs"/>
            </a:rPr>
            <a:t>for both Cardif &amp; CBP: </a:t>
          </a:r>
          <a:endParaRPr lang="en-GB">
            <a:effectLst/>
          </a:endParaRPr>
        </a:p>
        <a:p>
          <a:pPr>
            <a:lnSpc>
              <a:spcPts val="1200"/>
            </a:lnSpc>
          </a:pPr>
          <a:r>
            <a:rPr lang="en-GB" sz="1100" b="1">
              <a:solidFill>
                <a:schemeClr val="dk1"/>
              </a:solidFill>
              <a:effectLst/>
              <a:latin typeface="+mn-lt"/>
              <a:ea typeface="+mn-ea"/>
              <a:cs typeface="+mn-cs"/>
            </a:rPr>
            <a:t>ET Refund</a:t>
          </a:r>
          <a:r>
            <a:rPr lang="en-GB" sz="1100">
              <a:solidFill>
                <a:schemeClr val="dk1"/>
              </a:solidFill>
              <a:effectLst/>
              <a:latin typeface="+mn-lt"/>
              <a:ea typeface="+mn-ea"/>
              <a:cs typeface="+mn-cs"/>
            </a:rPr>
            <a:t> = PRT x Premium paid net of tax – ET fees</a:t>
          </a:r>
          <a:endParaRPr lang="en-GB">
            <a:effectLst/>
          </a:endParaRPr>
        </a:p>
        <a:p>
          <a:pPr>
            <a:lnSpc>
              <a:spcPts val="1200"/>
            </a:lnSpc>
          </a:pPr>
          <a:r>
            <a:rPr lang="en-GB" sz="1100" b="1">
              <a:solidFill>
                <a:schemeClr val="dk1"/>
              </a:solidFill>
              <a:effectLst/>
              <a:latin typeface="+mn-lt"/>
              <a:ea typeface="+mn-ea"/>
              <a:cs typeface="+mn-cs"/>
            </a:rPr>
            <a:t>Life</a:t>
          </a:r>
          <a:r>
            <a:rPr lang="en-GB" sz="1100">
              <a:solidFill>
                <a:schemeClr val="dk1"/>
              </a:solidFill>
              <a:effectLst/>
              <a:latin typeface="+mn-lt"/>
              <a:ea typeface="+mn-ea"/>
              <a:cs typeface="+mn-cs"/>
            </a:rPr>
            <a:t>:</a:t>
          </a:r>
        </a:p>
        <a:p>
          <a:pPr>
            <a:lnSpc>
              <a:spcPts val="1200"/>
            </a:lnSpc>
          </a:pPr>
          <a:endParaRPr lang="en-GB">
            <a:effectLst/>
          </a:endParaRPr>
        </a:p>
        <a:p>
          <a:pPr>
            <a:lnSpc>
              <a:spcPts val="1200"/>
            </a:lnSpc>
          </a:pPr>
          <a:r>
            <a:rPr lang="en-GB" sz="1100" u="sng">
              <a:solidFill>
                <a:schemeClr val="dk1"/>
              </a:solidFill>
              <a:effectLst/>
              <a:latin typeface="+mn-lt"/>
              <a:ea typeface="+mn-ea"/>
              <a:cs typeface="+mn-cs"/>
            </a:rPr>
            <a:t>Cardif</a:t>
          </a:r>
          <a:r>
            <a:rPr lang="en-GB" sz="1100">
              <a:solidFill>
                <a:schemeClr val="dk1"/>
              </a:solidFill>
              <a:effectLst/>
              <a:latin typeface="+mn-lt"/>
              <a:ea typeface="+mn-ea"/>
              <a:cs typeface="+mn-cs"/>
            </a:rPr>
            <a:t>: </a:t>
          </a:r>
          <a:endParaRPr lang="en-GB">
            <a:effectLst/>
          </a:endParaRPr>
        </a:p>
        <a:p>
          <a:pPr>
            <a:lnSpc>
              <a:spcPts val="1200"/>
            </a:lnSpc>
          </a:pPr>
          <a:r>
            <a:rPr lang="en-GB" sz="1100" b="1">
              <a:solidFill>
                <a:schemeClr val="dk1"/>
              </a:solidFill>
              <a:effectLst/>
              <a:latin typeface="+mn-lt"/>
              <a:ea typeface="+mn-ea"/>
              <a:cs typeface="+mn-cs"/>
            </a:rPr>
            <a:t>ET Refund</a:t>
          </a:r>
          <a:r>
            <a:rPr lang="en-GB" sz="1100">
              <a:solidFill>
                <a:schemeClr val="dk1"/>
              </a:solidFill>
              <a:effectLst/>
              <a:latin typeface="+mn-lt"/>
              <a:ea typeface="+mn-ea"/>
              <a:cs typeface="+mn-cs"/>
            </a:rPr>
            <a:t> = PP * (D-T)*(D-T+1)/(D*(D+1)) + X*(1-(T/D)) + Y*(1-(T/D)) – ET fees, where:</a:t>
          </a:r>
          <a:endParaRPr lang="en-GB">
            <a:effectLst/>
          </a:endParaRPr>
        </a:p>
        <a:p>
          <a:pPr>
            <a:lnSpc>
              <a:spcPts val="1200"/>
            </a:lnSpc>
          </a:pPr>
          <a:r>
            <a:rPr lang="en-GB" sz="1100" b="1">
              <a:solidFill>
                <a:schemeClr val="dk1"/>
              </a:solidFill>
              <a:effectLst/>
              <a:latin typeface="+mn-lt"/>
              <a:ea typeface="+mn-ea"/>
              <a:cs typeface="+mn-cs"/>
            </a:rPr>
            <a:t>PP + X + Y </a:t>
          </a:r>
          <a:r>
            <a:rPr lang="en-GB" sz="1100">
              <a:solidFill>
                <a:schemeClr val="dk1"/>
              </a:solidFill>
              <a:effectLst/>
              <a:latin typeface="+mn-lt"/>
              <a:ea typeface="+mn-ea"/>
              <a:cs typeface="+mn-cs"/>
            </a:rPr>
            <a:t>= Net of Tax Premium charged to customer </a:t>
          </a:r>
          <a:endParaRPr lang="en-GB">
            <a:effectLst/>
          </a:endParaRPr>
        </a:p>
        <a:p>
          <a:pPr>
            <a:lnSpc>
              <a:spcPts val="1200"/>
            </a:lnSpc>
          </a:pPr>
          <a:r>
            <a:rPr lang="en-GB" sz="1100" b="1">
              <a:solidFill>
                <a:schemeClr val="dk1"/>
              </a:solidFill>
              <a:effectLst/>
              <a:latin typeface="+mn-lt"/>
              <a:ea typeface="+mn-ea"/>
              <a:cs typeface="+mn-cs"/>
            </a:rPr>
            <a:t>PP </a:t>
          </a:r>
          <a:r>
            <a:rPr lang="en-GB" sz="1100">
              <a:solidFill>
                <a:schemeClr val="dk1"/>
              </a:solidFill>
              <a:effectLst/>
              <a:latin typeface="+mn-lt"/>
              <a:ea typeface="+mn-ea"/>
              <a:cs typeface="+mn-cs"/>
            </a:rPr>
            <a:t>= Pure Premium</a:t>
          </a:r>
          <a:endParaRPr lang="en-GB">
            <a:effectLst/>
          </a:endParaRPr>
        </a:p>
        <a:p>
          <a:pPr>
            <a:lnSpc>
              <a:spcPts val="1200"/>
            </a:lnSpc>
          </a:pPr>
          <a:r>
            <a:rPr lang="en-GB" sz="1100" b="1">
              <a:solidFill>
                <a:schemeClr val="dk1"/>
              </a:solidFill>
              <a:effectLst/>
              <a:latin typeface="+mn-lt"/>
              <a:ea typeface="+mn-ea"/>
              <a:cs typeface="+mn-cs"/>
            </a:rPr>
            <a:t>X</a:t>
          </a:r>
          <a:r>
            <a:rPr lang="en-GB" sz="1100">
              <a:solidFill>
                <a:schemeClr val="dk1"/>
              </a:solidFill>
              <a:effectLst/>
              <a:latin typeface="+mn-lt"/>
              <a:ea typeface="+mn-ea"/>
              <a:cs typeface="+mn-cs"/>
            </a:rPr>
            <a:t> = Loadings</a:t>
          </a:r>
          <a:endParaRPr lang="en-GB">
            <a:effectLst/>
          </a:endParaRPr>
        </a:p>
        <a:p>
          <a:pPr>
            <a:lnSpc>
              <a:spcPts val="1200"/>
            </a:lnSpc>
          </a:pPr>
          <a:r>
            <a:rPr lang="en-GB" sz="1100" b="1">
              <a:solidFill>
                <a:schemeClr val="dk1"/>
              </a:solidFill>
              <a:effectLst/>
              <a:latin typeface="+mn-lt"/>
              <a:ea typeface="+mn-ea"/>
              <a:cs typeface="+mn-cs"/>
            </a:rPr>
            <a:t>Y</a:t>
          </a:r>
          <a:r>
            <a:rPr lang="en-GB" sz="1100">
              <a:solidFill>
                <a:schemeClr val="dk1"/>
              </a:solidFill>
              <a:effectLst/>
              <a:latin typeface="+mn-lt"/>
              <a:ea typeface="+mn-ea"/>
              <a:cs typeface="+mn-cs"/>
            </a:rPr>
            <a:t> = Commission</a:t>
          </a:r>
          <a:endParaRPr lang="en-GB">
            <a:effectLst/>
          </a:endParaRPr>
        </a:p>
        <a:p>
          <a:pPr>
            <a:lnSpc>
              <a:spcPts val="1200"/>
            </a:lnSpc>
          </a:pPr>
          <a:r>
            <a:rPr lang="en-GB" sz="1100" b="1">
              <a:solidFill>
                <a:schemeClr val="dk1"/>
              </a:solidFill>
              <a:effectLst/>
              <a:latin typeface="+mn-lt"/>
              <a:ea typeface="+mn-ea"/>
              <a:cs typeface="+mn-cs"/>
            </a:rPr>
            <a:t>D</a:t>
          </a:r>
          <a:r>
            <a:rPr lang="en-GB" sz="1100">
              <a:solidFill>
                <a:schemeClr val="dk1"/>
              </a:solidFill>
              <a:effectLst/>
              <a:latin typeface="+mn-lt"/>
              <a:ea typeface="+mn-ea"/>
              <a:cs typeface="+mn-cs"/>
            </a:rPr>
            <a:t> = Initial Duration in months = ((Start Date of the Cover - End date of the cover)/365.25)*12</a:t>
          </a:r>
          <a:endParaRPr lang="en-GB">
            <a:effectLst/>
          </a:endParaRPr>
        </a:p>
        <a:p>
          <a:pPr>
            <a:lnSpc>
              <a:spcPts val="1200"/>
            </a:lnSpc>
          </a:pPr>
          <a:r>
            <a:rPr lang="en-GB" sz="1100" b="1">
              <a:solidFill>
                <a:schemeClr val="dk1"/>
              </a:solidFill>
              <a:effectLst/>
              <a:latin typeface="+mn-lt"/>
              <a:ea typeface="+mn-ea"/>
              <a:cs typeface="+mn-cs"/>
            </a:rPr>
            <a:t>T</a:t>
          </a:r>
          <a:r>
            <a:rPr lang="en-GB" sz="1100">
              <a:solidFill>
                <a:schemeClr val="dk1"/>
              </a:solidFill>
              <a:effectLst/>
              <a:latin typeface="+mn-lt"/>
              <a:ea typeface="+mn-ea"/>
              <a:cs typeface="+mn-cs"/>
            </a:rPr>
            <a:t> = Residual Duration in months = Initial Duration in months - ((Date of the Early Termination - Start date of the cover)/365.25)*12</a:t>
          </a:r>
          <a:endParaRPr lang="en-GB">
            <a:effectLst/>
          </a:endParaRPr>
        </a:p>
        <a:p>
          <a:pPr>
            <a:lnSpc>
              <a:spcPts val="1200"/>
            </a:lnSpc>
          </a:pPr>
          <a:r>
            <a:rPr lang="en-GB" sz="1100" b="1">
              <a:solidFill>
                <a:schemeClr val="dk1"/>
              </a:solidFill>
              <a:effectLst/>
              <a:latin typeface="+mn-lt"/>
              <a:ea typeface="+mn-ea"/>
              <a:cs typeface="+mn-cs"/>
            </a:rPr>
            <a:t>ET fees </a:t>
          </a:r>
          <a:r>
            <a:rPr lang="en-GB" sz="1100">
              <a:solidFill>
                <a:schemeClr val="dk1"/>
              </a:solidFill>
              <a:effectLst/>
              <a:latin typeface="+mn-lt"/>
              <a:ea typeface="+mn-ea"/>
              <a:cs typeface="+mn-cs"/>
            </a:rPr>
            <a:t>= a fixed fee per Life and Non-Life part of the policy</a:t>
          </a:r>
          <a:r>
            <a:rPr lang="en-IE" sz="1100" b="1" i="0" u="none" strike="noStrike">
              <a:solidFill>
                <a:schemeClr val="dk1"/>
              </a:solidFill>
              <a:effectLst/>
              <a:latin typeface="+mn-lt"/>
              <a:ea typeface="+mn-ea"/>
              <a:cs typeface="+mn-cs"/>
            </a:rPr>
            <a:t>Initial Duration in months </a:t>
          </a:r>
          <a:r>
            <a:rPr lang="en-IE" sz="1100" b="0" i="0" u="none" strike="noStrike">
              <a:solidFill>
                <a:schemeClr val="dk1"/>
              </a:solidFill>
              <a:effectLst/>
              <a:latin typeface="+mn-lt"/>
              <a:ea typeface="+mn-ea"/>
              <a:cs typeface="+mn-cs"/>
            </a:rPr>
            <a:t>= ((Start Date of the Cover - End date of the cover)/365.25)*12</a:t>
          </a:r>
          <a:r>
            <a:rPr lang="en-IE"/>
            <a:t> </a:t>
          </a:r>
          <a:r>
            <a:rPr lang="en-IE" sz="1100" b="1" i="0" u="none" strike="noStrike">
              <a:solidFill>
                <a:schemeClr val="dk1"/>
              </a:solidFill>
              <a:effectLst/>
              <a:latin typeface="+mn-lt"/>
              <a:ea typeface="+mn-ea"/>
              <a:cs typeface="+mn-cs"/>
            </a:rPr>
            <a:t>Residual duration in months</a:t>
          </a:r>
          <a:r>
            <a:rPr lang="en-IE" sz="1100" b="0" i="0" u="none" strike="noStrike">
              <a:solidFill>
                <a:schemeClr val="dk1"/>
              </a:solidFill>
              <a:effectLst/>
              <a:latin typeface="+mn-lt"/>
              <a:ea typeface="+mn-ea"/>
              <a:cs typeface="+mn-cs"/>
            </a:rPr>
            <a:t> = Initial Duration in months - ((Date of the Early Termination - Start date of the cover)/365.25)*12</a:t>
          </a:r>
          <a:r>
            <a:rPr lang="en-IE"/>
            <a:t> </a:t>
          </a:r>
        </a:p>
        <a:p>
          <a:pPr>
            <a:lnSpc>
              <a:spcPts val="1200"/>
            </a:lnSpc>
          </a:pPr>
          <a:endParaRPr lang="en-IE">
            <a:effectLst/>
          </a:endParaRPr>
        </a:p>
        <a:p>
          <a:pPr>
            <a:lnSpc>
              <a:spcPts val="1200"/>
            </a:lnSpc>
          </a:pPr>
          <a:endParaRPr lang="en-GB">
            <a:effectLst/>
          </a:endParaRPr>
        </a:p>
        <a:p>
          <a:pPr>
            <a:lnSpc>
              <a:spcPts val="1200"/>
            </a:lnSpc>
          </a:pPr>
          <a:r>
            <a:rPr lang="en-GB" sz="1100">
              <a:solidFill>
                <a:schemeClr val="dk1"/>
              </a:solidFill>
              <a:effectLst/>
              <a:latin typeface="+mn-lt"/>
              <a:ea typeface="+mn-ea"/>
              <a:cs typeface="+mn-cs"/>
            </a:rPr>
            <a:t> </a:t>
          </a:r>
          <a:endParaRPr lang="en-GB">
            <a:effectLst/>
          </a:endParaRPr>
        </a:p>
        <a:p>
          <a:pPr>
            <a:lnSpc>
              <a:spcPts val="1200"/>
            </a:lnSpc>
          </a:pPr>
          <a:r>
            <a:rPr lang="en-GB" sz="1100">
              <a:solidFill>
                <a:schemeClr val="dk1"/>
              </a:solidFill>
              <a:effectLst/>
              <a:latin typeface="+mn-lt"/>
              <a:ea typeface="+mn-ea"/>
              <a:cs typeface="+mn-cs"/>
            </a:rPr>
            <a:t>Therefore:</a:t>
          </a:r>
          <a:endParaRPr lang="en-GB">
            <a:effectLst/>
          </a:endParaRPr>
        </a:p>
        <a:p>
          <a:pPr>
            <a:lnSpc>
              <a:spcPts val="1200"/>
            </a:lnSpc>
          </a:pPr>
          <a:r>
            <a:rPr lang="en-GB" sz="1100" b="1">
              <a:solidFill>
                <a:schemeClr val="dk1"/>
              </a:solidFill>
              <a:effectLst/>
              <a:latin typeface="+mn-lt"/>
              <a:ea typeface="+mn-ea"/>
              <a:cs typeface="+mn-cs"/>
            </a:rPr>
            <a:t>PP</a:t>
          </a:r>
          <a:r>
            <a:rPr lang="en-GB" sz="1100">
              <a:solidFill>
                <a:schemeClr val="dk1"/>
              </a:solidFill>
              <a:effectLst/>
              <a:latin typeface="+mn-lt"/>
              <a:ea typeface="+mn-ea"/>
              <a:cs typeface="+mn-cs"/>
            </a:rPr>
            <a:t>: Rule of 78,</a:t>
          </a:r>
          <a:endParaRPr lang="en-GB">
            <a:effectLst/>
          </a:endParaRPr>
        </a:p>
        <a:p>
          <a:pPr>
            <a:lnSpc>
              <a:spcPts val="1200"/>
            </a:lnSpc>
          </a:pPr>
          <a:r>
            <a:rPr lang="en-GB" sz="1100" b="1">
              <a:solidFill>
                <a:schemeClr val="dk1"/>
              </a:solidFill>
              <a:effectLst/>
              <a:latin typeface="+mn-lt"/>
              <a:ea typeface="+mn-ea"/>
              <a:cs typeface="+mn-cs"/>
            </a:rPr>
            <a:t>Commission: </a:t>
          </a:r>
          <a:r>
            <a:rPr lang="en-GB" sz="1100">
              <a:solidFill>
                <a:schemeClr val="dk1"/>
              </a:solidFill>
              <a:effectLst/>
              <a:latin typeface="+mn-lt"/>
              <a:ea typeface="+mn-ea"/>
              <a:cs typeface="+mn-cs"/>
            </a:rPr>
            <a:t>Rule 12</a:t>
          </a:r>
          <a:endParaRPr lang="en-GB">
            <a:effectLst/>
          </a:endParaRPr>
        </a:p>
        <a:p>
          <a:pPr>
            <a:lnSpc>
              <a:spcPts val="1200"/>
            </a:lnSpc>
          </a:pPr>
          <a:r>
            <a:rPr lang="en-GB" sz="1100" b="1" u="sng">
              <a:solidFill>
                <a:schemeClr val="dk1"/>
              </a:solidFill>
              <a:effectLst/>
              <a:latin typeface="+mn-lt"/>
              <a:ea typeface="+mn-ea"/>
              <a:cs typeface="+mn-cs"/>
            </a:rPr>
            <a:t>Loadings: </a:t>
          </a:r>
          <a:r>
            <a:rPr lang="en-GB" sz="1100" u="sng">
              <a:solidFill>
                <a:schemeClr val="dk1"/>
              </a:solidFill>
              <a:effectLst/>
              <a:latin typeface="+mn-lt"/>
              <a:ea typeface="+mn-ea"/>
              <a:cs typeface="+mn-cs"/>
            </a:rPr>
            <a:t>Rule 12</a:t>
          </a:r>
          <a:endParaRPr lang="en-GB">
            <a:effectLst/>
          </a:endParaRPr>
        </a:p>
        <a:p>
          <a:pPr>
            <a:lnSpc>
              <a:spcPts val="1200"/>
            </a:lnSpc>
          </a:pPr>
          <a:r>
            <a:rPr lang="en-GB" sz="1100" b="1">
              <a:solidFill>
                <a:schemeClr val="dk1"/>
              </a:solidFill>
              <a:effectLst/>
              <a:latin typeface="+mn-lt"/>
              <a:ea typeface="+mn-ea"/>
              <a:cs typeface="+mn-cs"/>
            </a:rPr>
            <a:t> </a:t>
          </a:r>
          <a:r>
            <a:rPr lang="en-GB" sz="1100">
              <a:solidFill>
                <a:schemeClr val="dk1"/>
              </a:solidFill>
              <a:effectLst/>
              <a:latin typeface="+mn-lt"/>
              <a:ea typeface="+mn-ea"/>
              <a:cs typeface="+mn-cs"/>
            </a:rPr>
            <a:t> </a:t>
          </a:r>
          <a:endParaRPr lang="en-GB">
            <a:effectLst/>
          </a:endParaRPr>
        </a:p>
        <a:p>
          <a:pPr>
            <a:lnSpc>
              <a:spcPts val="1200"/>
            </a:lnSpc>
          </a:pPr>
          <a:r>
            <a:rPr lang="en-GB" sz="1100" u="sng">
              <a:solidFill>
                <a:schemeClr val="dk1"/>
              </a:solidFill>
              <a:effectLst/>
              <a:latin typeface="+mn-lt"/>
              <a:ea typeface="+mn-ea"/>
              <a:cs typeface="+mn-cs"/>
            </a:rPr>
            <a:t>CBP:</a:t>
          </a:r>
          <a:endParaRPr lang="en-GB">
            <a:effectLst/>
          </a:endParaRPr>
        </a:p>
        <a:p>
          <a:pPr>
            <a:lnSpc>
              <a:spcPts val="1200"/>
            </a:lnSpc>
          </a:pPr>
          <a:r>
            <a:rPr lang="en-GB" sz="1100" b="1">
              <a:solidFill>
                <a:schemeClr val="dk1"/>
              </a:solidFill>
              <a:effectLst/>
              <a:latin typeface="+mn-lt"/>
              <a:ea typeface="+mn-ea"/>
              <a:cs typeface="+mn-cs"/>
            </a:rPr>
            <a:t>ET Refund</a:t>
          </a:r>
          <a:r>
            <a:rPr lang="en-GB" sz="1100">
              <a:solidFill>
                <a:schemeClr val="dk1"/>
              </a:solidFill>
              <a:effectLst/>
              <a:latin typeface="+mn-lt"/>
              <a:ea typeface="+mn-ea"/>
              <a:cs typeface="+mn-cs"/>
            </a:rPr>
            <a:t> </a:t>
          </a:r>
          <a:r>
            <a:rPr lang="en-GB" sz="1100" b="1">
              <a:solidFill>
                <a:schemeClr val="dk1"/>
              </a:solidFill>
              <a:effectLst/>
              <a:latin typeface="+mn-lt"/>
              <a:ea typeface="+mn-ea"/>
              <a:cs typeface="+mn-cs"/>
            </a:rPr>
            <a:t>= </a:t>
          </a:r>
          <a:r>
            <a:rPr lang="en-GB" sz="1100">
              <a:solidFill>
                <a:schemeClr val="dk1"/>
              </a:solidFill>
              <a:effectLst/>
              <a:latin typeface="+mn-lt"/>
              <a:ea typeface="+mn-ea"/>
              <a:cs typeface="+mn-cs"/>
            </a:rPr>
            <a:t>(PP + X) * (D-T)*(D-T+1)/(D*(D+1)) + Y*(1-(T/D)) – ET fees  </a:t>
          </a:r>
          <a:endParaRPr lang="en-GB">
            <a:effectLst/>
          </a:endParaRPr>
        </a:p>
        <a:p>
          <a:pPr>
            <a:lnSpc>
              <a:spcPts val="1200"/>
            </a:lnSpc>
          </a:pPr>
          <a:r>
            <a:rPr lang="en-GB" sz="1100">
              <a:solidFill>
                <a:schemeClr val="dk1"/>
              </a:solidFill>
              <a:effectLst/>
              <a:latin typeface="+mn-lt"/>
              <a:ea typeface="+mn-ea"/>
              <a:cs typeface="+mn-cs"/>
            </a:rPr>
            <a:t>Hence:</a:t>
          </a:r>
          <a:endParaRPr lang="en-GB">
            <a:effectLst/>
          </a:endParaRPr>
        </a:p>
        <a:p>
          <a:pPr>
            <a:lnSpc>
              <a:spcPts val="1200"/>
            </a:lnSpc>
          </a:pPr>
          <a:r>
            <a:rPr lang="en-GB" sz="1100" b="1">
              <a:solidFill>
                <a:schemeClr val="dk1"/>
              </a:solidFill>
              <a:effectLst/>
              <a:latin typeface="+mn-lt"/>
              <a:ea typeface="+mn-ea"/>
              <a:cs typeface="+mn-cs"/>
            </a:rPr>
            <a:t>PP</a:t>
          </a:r>
          <a:r>
            <a:rPr lang="en-GB" sz="1100">
              <a:solidFill>
                <a:schemeClr val="dk1"/>
              </a:solidFill>
              <a:effectLst/>
              <a:latin typeface="+mn-lt"/>
              <a:ea typeface="+mn-ea"/>
              <a:cs typeface="+mn-cs"/>
            </a:rPr>
            <a:t>: Rule of 78</a:t>
          </a:r>
          <a:endParaRPr lang="en-GB">
            <a:effectLst/>
          </a:endParaRPr>
        </a:p>
        <a:p>
          <a:pPr>
            <a:lnSpc>
              <a:spcPts val="1200"/>
            </a:lnSpc>
          </a:pPr>
          <a:r>
            <a:rPr lang="en-GB" sz="1100" b="1">
              <a:solidFill>
                <a:schemeClr val="dk1"/>
              </a:solidFill>
              <a:effectLst/>
              <a:latin typeface="+mn-lt"/>
              <a:ea typeface="+mn-ea"/>
              <a:cs typeface="+mn-cs"/>
            </a:rPr>
            <a:t>Commission</a:t>
          </a:r>
          <a:r>
            <a:rPr lang="en-GB" sz="1100">
              <a:solidFill>
                <a:schemeClr val="dk1"/>
              </a:solidFill>
              <a:effectLst/>
              <a:latin typeface="+mn-lt"/>
              <a:ea typeface="+mn-ea"/>
              <a:cs typeface="+mn-cs"/>
            </a:rPr>
            <a:t>: Rule 12</a:t>
          </a:r>
          <a:endParaRPr lang="en-GB">
            <a:effectLst/>
          </a:endParaRPr>
        </a:p>
        <a:p>
          <a:pPr>
            <a:lnSpc>
              <a:spcPts val="1200"/>
            </a:lnSpc>
          </a:pPr>
          <a:r>
            <a:rPr lang="en-GB" sz="1100" b="1" u="sng">
              <a:solidFill>
                <a:schemeClr val="dk1"/>
              </a:solidFill>
              <a:effectLst/>
              <a:latin typeface="+mn-lt"/>
              <a:ea typeface="+mn-ea"/>
              <a:cs typeface="+mn-cs"/>
            </a:rPr>
            <a:t>Loadings</a:t>
          </a:r>
          <a:r>
            <a:rPr lang="en-GB" sz="1100">
              <a:solidFill>
                <a:schemeClr val="dk1"/>
              </a:solidFill>
              <a:effectLst/>
              <a:latin typeface="+mn-lt"/>
              <a:ea typeface="+mn-ea"/>
              <a:cs typeface="+mn-cs"/>
            </a:rPr>
            <a:t> (which are already included in the Net of Tax Premium): </a:t>
          </a:r>
          <a:r>
            <a:rPr lang="en-GB" sz="1100" u="sng">
              <a:solidFill>
                <a:schemeClr val="dk1"/>
              </a:solidFill>
              <a:effectLst/>
              <a:latin typeface="+mn-lt"/>
              <a:ea typeface="+mn-ea"/>
              <a:cs typeface="+mn-cs"/>
            </a:rPr>
            <a:t>Rule of 78</a:t>
          </a:r>
          <a:endParaRPr lang="en-GB">
            <a:effectLst/>
          </a:endParaRPr>
        </a:p>
        <a:p>
          <a:pPr>
            <a:lnSpc>
              <a:spcPts val="1200"/>
            </a:lnSpc>
          </a:pPr>
          <a:r>
            <a:rPr lang="en-GB" sz="1100" b="1">
              <a:solidFill>
                <a:schemeClr val="dk1"/>
              </a:solidFill>
              <a:effectLst/>
              <a:latin typeface="+mn-lt"/>
              <a:ea typeface="+mn-ea"/>
              <a:cs typeface="+mn-cs"/>
            </a:rPr>
            <a:t> </a:t>
          </a:r>
          <a:endParaRPr lang="en-GB">
            <a:effectLst/>
          </a:endParaRPr>
        </a:p>
        <a:p>
          <a:pPr>
            <a:lnSpc>
              <a:spcPts val="1200"/>
            </a:lnSpc>
          </a:pPr>
          <a:r>
            <a:rPr lang="en-GB" sz="1100">
              <a:solidFill>
                <a:schemeClr val="dk1"/>
              </a:solidFill>
              <a:effectLst/>
              <a:latin typeface="+mn-lt"/>
              <a:ea typeface="+mn-ea"/>
              <a:cs typeface="+mn-cs"/>
            </a:rPr>
            <a:t>The CBP formula results in the life Pure Premium (incl. Loadings) being refunded based on the actuarial Rule of 78 and Commission being refunded based on Rule of 12 (Pro Rata Temporis). This approach simplified the Refund formula.</a:t>
          </a:r>
          <a:endParaRPr lang="en-GB">
            <a:effectLst/>
          </a:endParaRPr>
        </a:p>
        <a:p>
          <a:pPr>
            <a:lnSpc>
              <a:spcPts val="1100"/>
            </a:lnSpc>
          </a:pPr>
          <a:r>
            <a:rPr lang="en-GB" sz="1100" b="1">
              <a:solidFill>
                <a:schemeClr val="dk1"/>
              </a:solidFill>
              <a:effectLst/>
              <a:latin typeface="+mn-lt"/>
              <a:ea typeface="+mn-ea"/>
              <a:cs typeface="+mn-cs"/>
            </a:rPr>
            <a:t> </a:t>
          </a:r>
          <a:endParaRPr lang="en-GB">
            <a:effectLst/>
          </a:endParaRPr>
        </a:p>
        <a:p>
          <a:pPr>
            <a:lnSpc>
              <a:spcPts val="1100"/>
            </a:lnSpc>
          </a:pPr>
          <a:r>
            <a:rPr lang="en-GB" sz="1100">
              <a:solidFill>
                <a:schemeClr val="dk1"/>
              </a:solidFill>
              <a:effectLst/>
              <a:latin typeface="+mn-lt"/>
              <a:ea typeface="+mn-ea"/>
              <a:cs typeface="+mn-cs"/>
            </a:rPr>
            <a:t>For </a:t>
          </a:r>
          <a:r>
            <a:rPr lang="en-GB" sz="1100" u="sng">
              <a:solidFill>
                <a:schemeClr val="dk1"/>
              </a:solidFill>
              <a:effectLst/>
              <a:latin typeface="+mn-lt"/>
              <a:ea typeface="+mn-ea"/>
              <a:cs typeface="+mn-cs"/>
            </a:rPr>
            <a:t>Recall </a:t>
          </a:r>
          <a:endParaRPr lang="en-GB">
            <a:effectLst/>
          </a:endParaRPr>
        </a:p>
        <a:p>
          <a:pPr>
            <a:lnSpc>
              <a:spcPts val="1100"/>
            </a:lnSpc>
          </a:pPr>
          <a:r>
            <a:rPr lang="en-GB" sz="1100" b="1">
              <a:solidFill>
                <a:schemeClr val="dk1"/>
              </a:solidFill>
              <a:effectLst/>
              <a:latin typeface="+mn-lt"/>
              <a:ea typeface="+mn-ea"/>
              <a:cs typeface="+mn-cs"/>
            </a:rPr>
            <a:t>ET Refund</a:t>
          </a:r>
          <a:r>
            <a:rPr lang="en-GB" sz="1100">
              <a:solidFill>
                <a:schemeClr val="dk1"/>
              </a:solidFill>
              <a:effectLst/>
              <a:latin typeface="+mn-lt"/>
              <a:ea typeface="+mn-ea"/>
              <a:cs typeface="+mn-cs"/>
            </a:rPr>
            <a:t> = PRT x Premium paid, where PRT = Pro rata temporis = Rule of 12</a:t>
          </a:r>
          <a:endParaRPr lang="en-GB">
            <a:effectLst/>
          </a:endParaRPr>
        </a:p>
        <a:p>
          <a:pPr>
            <a:lnSpc>
              <a:spcPts val="1100"/>
            </a:lnSpc>
          </a:pPr>
          <a:r>
            <a:rPr lang="en-GB" sz="1100">
              <a:solidFill>
                <a:schemeClr val="dk1"/>
              </a:solidFill>
              <a:effectLst/>
              <a:latin typeface="+mn-lt"/>
              <a:ea typeface="+mn-ea"/>
              <a:cs typeface="+mn-cs"/>
            </a:rPr>
            <a:t> </a:t>
          </a:r>
          <a:endParaRPr lang="en-GB">
            <a:effectLst/>
          </a:endParaRPr>
        </a:p>
        <a:p>
          <a:pPr>
            <a:lnSpc>
              <a:spcPts val="1200"/>
            </a:lnSpc>
          </a:pPr>
          <a:r>
            <a:rPr lang="en-GB" sz="1100">
              <a:solidFill>
                <a:schemeClr val="dk1"/>
              </a:solidFill>
              <a:effectLst/>
              <a:latin typeface="+mn-lt"/>
              <a:ea typeface="+mn-ea"/>
              <a:cs typeface="+mn-cs"/>
            </a:rPr>
            <a:t>For </a:t>
          </a:r>
          <a:r>
            <a:rPr lang="en-GB" sz="1100" u="sng">
              <a:solidFill>
                <a:schemeClr val="dk1"/>
              </a:solidFill>
              <a:effectLst/>
              <a:latin typeface="+mn-lt"/>
              <a:ea typeface="+mn-ea"/>
              <a:cs typeface="+mn-cs"/>
            </a:rPr>
            <a:t>SOS:</a:t>
          </a:r>
          <a:r>
            <a:rPr lang="en-GB" sz="1100">
              <a:solidFill>
                <a:schemeClr val="dk1"/>
              </a:solidFill>
              <a:effectLst/>
              <a:latin typeface="+mn-lt"/>
              <a:ea typeface="+mn-ea"/>
              <a:cs typeface="+mn-cs"/>
            </a:rPr>
            <a:t> The SOS business is not linked to loan hence anyway it would not make any sense to bind the refund to the loan.</a:t>
          </a:r>
        </a:p>
        <a:p>
          <a:pPr>
            <a:lnSpc>
              <a:spcPts val="1100"/>
            </a:lnSpc>
          </a:pPr>
          <a:endParaRPr lang="en-GB">
            <a:effectLst/>
          </a:endParaRPr>
        </a:p>
        <a:p>
          <a:pPr>
            <a:lnSpc>
              <a:spcPts val="1100"/>
            </a:lnSpc>
          </a:pPr>
          <a:r>
            <a:rPr lang="en-GB" sz="1100" b="1" u="sng">
              <a:solidFill>
                <a:schemeClr val="dk1"/>
              </a:solidFill>
              <a:effectLst/>
              <a:latin typeface="+mn-lt"/>
              <a:ea typeface="+mn-ea"/>
              <a:cs typeface="+mn-cs"/>
            </a:rPr>
            <a:t>NEW approach to be applied from 18/02/2019 for CPI Non-Leasing:</a:t>
          </a:r>
          <a:endParaRPr lang="en-GB">
            <a:effectLst/>
          </a:endParaRPr>
        </a:p>
        <a:p>
          <a:pPr>
            <a:lnSpc>
              <a:spcPts val="1100"/>
            </a:lnSpc>
          </a:pPr>
          <a:r>
            <a:rPr lang="en-GB" sz="1100">
              <a:solidFill>
                <a:schemeClr val="dk1"/>
              </a:solidFill>
              <a:effectLst/>
              <a:latin typeface="+mn-lt"/>
              <a:ea typeface="+mn-ea"/>
              <a:cs typeface="+mn-cs"/>
            </a:rPr>
            <a:t>applicable for Cardif &amp; CBP book of business:</a:t>
          </a:r>
          <a:endParaRPr lang="en-GB">
            <a:effectLst/>
          </a:endParaRPr>
        </a:p>
        <a:p>
          <a:pPr>
            <a:lnSpc>
              <a:spcPts val="1100"/>
            </a:lnSpc>
          </a:pPr>
          <a:r>
            <a:rPr lang="en-GB" sz="1100">
              <a:solidFill>
                <a:schemeClr val="dk1"/>
              </a:solidFill>
              <a:effectLst/>
              <a:latin typeface="+mn-lt"/>
              <a:ea typeface="+mn-ea"/>
              <a:cs typeface="+mn-cs"/>
            </a:rPr>
            <a:t>* RECALL &amp; SOS: Unchanged</a:t>
          </a:r>
          <a:endParaRPr lang="en-GB">
            <a:effectLst/>
          </a:endParaRPr>
        </a:p>
        <a:p>
          <a:pPr>
            <a:lnSpc>
              <a:spcPts val="1200"/>
            </a:lnSpc>
          </a:pPr>
          <a:r>
            <a:rPr lang="en-GB" sz="1100">
              <a:solidFill>
                <a:schemeClr val="dk1"/>
              </a:solidFill>
              <a:effectLst/>
              <a:latin typeface="+mn-lt"/>
              <a:ea typeface="+mn-ea"/>
              <a:cs typeface="+mn-cs"/>
            </a:rPr>
            <a:t>* CPI Non-Life: Unchanged</a:t>
          </a:r>
          <a:endParaRPr lang="en-GB">
            <a:effectLst/>
          </a:endParaRPr>
        </a:p>
        <a:p>
          <a:pPr>
            <a:lnSpc>
              <a:spcPts val="1100"/>
            </a:lnSpc>
          </a:pPr>
          <a:r>
            <a:rPr lang="en-GB" sz="1100">
              <a:solidFill>
                <a:schemeClr val="dk1"/>
              </a:solidFill>
              <a:effectLst/>
              <a:latin typeface="+mn-lt"/>
              <a:ea typeface="+mn-ea"/>
              <a:cs typeface="+mn-cs"/>
            </a:rPr>
            <a:t>* CPI Life:</a:t>
          </a:r>
          <a:endParaRPr lang="en-GB">
            <a:effectLst/>
          </a:endParaRPr>
        </a:p>
        <a:p>
          <a:pPr>
            <a:lnSpc>
              <a:spcPts val="1100"/>
            </a:lnSpc>
          </a:pPr>
          <a:r>
            <a:rPr lang="en-GB" sz="1100" b="1">
              <a:solidFill>
                <a:schemeClr val="dk1"/>
              </a:solidFill>
              <a:effectLst/>
              <a:latin typeface="+mn-lt"/>
              <a:ea typeface="+mn-ea"/>
              <a:cs typeface="+mn-cs"/>
            </a:rPr>
            <a:t>ET Refund</a:t>
          </a:r>
          <a:r>
            <a:rPr lang="en-GB" sz="1100">
              <a:solidFill>
                <a:schemeClr val="dk1"/>
              </a:solidFill>
              <a:effectLst/>
              <a:latin typeface="+mn-lt"/>
              <a:ea typeface="+mn-ea"/>
              <a:cs typeface="+mn-cs"/>
            </a:rPr>
            <a:t> =  </a:t>
          </a:r>
          <a:r>
            <a:rPr lang="en-GB" sz="1100" baseline="0">
              <a:solidFill>
                <a:schemeClr val="dk1"/>
              </a:solidFill>
              <a:effectLst/>
              <a:latin typeface="+mn-lt"/>
              <a:ea typeface="+mn-ea"/>
              <a:cs typeface="+mn-cs"/>
            </a:rPr>
            <a:t>PP * (D - T)/D * OB/ OLA + </a:t>
          </a:r>
          <a:r>
            <a:rPr lang="en-GB" sz="1100">
              <a:solidFill>
                <a:schemeClr val="dk1"/>
              </a:solidFill>
              <a:effectLst/>
              <a:latin typeface="+mn-lt"/>
              <a:ea typeface="+mn-ea"/>
              <a:cs typeface="+mn-cs"/>
            </a:rPr>
            <a:t> X*(1-(T/D)) + Y*(1-(T/D)) – ET fees, where:</a:t>
          </a:r>
          <a:endParaRPr lang="en-GB">
            <a:effectLst/>
          </a:endParaRPr>
        </a:p>
        <a:p>
          <a:pPr eaLnBrk="1" fontAlgn="auto" latinLnBrk="0" hangingPunct="1">
            <a:lnSpc>
              <a:spcPts val="1200"/>
            </a:lnSpc>
          </a:pPr>
          <a:r>
            <a:rPr lang="en-GB" sz="1100" b="1">
              <a:solidFill>
                <a:schemeClr val="dk1"/>
              </a:solidFill>
              <a:effectLst/>
              <a:latin typeface="+mn-lt"/>
              <a:ea typeface="+mn-ea"/>
              <a:cs typeface="+mn-cs"/>
            </a:rPr>
            <a:t>PP + X + Y </a:t>
          </a:r>
          <a:r>
            <a:rPr lang="en-GB" sz="1100">
              <a:solidFill>
                <a:schemeClr val="dk1"/>
              </a:solidFill>
              <a:effectLst/>
              <a:latin typeface="+mn-lt"/>
              <a:ea typeface="+mn-ea"/>
              <a:cs typeface="+mn-cs"/>
            </a:rPr>
            <a:t>= Net of Tax Premium charged to customer </a:t>
          </a:r>
          <a:endParaRPr lang="en-GB">
            <a:effectLst/>
          </a:endParaRPr>
        </a:p>
        <a:p>
          <a:pPr>
            <a:lnSpc>
              <a:spcPts val="1100"/>
            </a:lnSpc>
          </a:pPr>
          <a:r>
            <a:rPr lang="en-GB" sz="1100" b="1">
              <a:solidFill>
                <a:schemeClr val="dk1"/>
              </a:solidFill>
              <a:effectLst/>
              <a:latin typeface="+mn-lt"/>
              <a:ea typeface="+mn-ea"/>
              <a:cs typeface="+mn-cs"/>
            </a:rPr>
            <a:t>PP </a:t>
          </a:r>
          <a:r>
            <a:rPr lang="en-GB" sz="1100">
              <a:solidFill>
                <a:schemeClr val="dk1"/>
              </a:solidFill>
              <a:effectLst/>
              <a:latin typeface="+mn-lt"/>
              <a:ea typeface="+mn-ea"/>
              <a:cs typeface="+mn-cs"/>
            </a:rPr>
            <a:t>= Pure Premium</a:t>
          </a:r>
          <a:endParaRPr lang="en-GB">
            <a:effectLst/>
          </a:endParaRPr>
        </a:p>
        <a:p>
          <a:pPr>
            <a:lnSpc>
              <a:spcPts val="1100"/>
            </a:lnSpc>
          </a:pPr>
          <a:r>
            <a:rPr lang="en-GB" sz="1100" b="1">
              <a:solidFill>
                <a:schemeClr val="dk1"/>
              </a:solidFill>
              <a:effectLst/>
              <a:latin typeface="+mn-lt"/>
              <a:ea typeface="+mn-ea"/>
              <a:cs typeface="+mn-cs"/>
            </a:rPr>
            <a:t>X</a:t>
          </a:r>
          <a:r>
            <a:rPr lang="en-GB" sz="1100">
              <a:solidFill>
                <a:schemeClr val="dk1"/>
              </a:solidFill>
              <a:effectLst/>
              <a:latin typeface="+mn-lt"/>
              <a:ea typeface="+mn-ea"/>
              <a:cs typeface="+mn-cs"/>
            </a:rPr>
            <a:t> = Loadings</a:t>
          </a:r>
          <a:endParaRPr lang="en-GB">
            <a:effectLst/>
          </a:endParaRPr>
        </a:p>
        <a:p>
          <a:pPr>
            <a:lnSpc>
              <a:spcPts val="1200"/>
            </a:lnSpc>
          </a:pPr>
          <a:r>
            <a:rPr lang="en-GB" sz="1100" b="1">
              <a:solidFill>
                <a:schemeClr val="dk1"/>
              </a:solidFill>
              <a:effectLst/>
              <a:latin typeface="+mn-lt"/>
              <a:ea typeface="+mn-ea"/>
              <a:cs typeface="+mn-cs"/>
            </a:rPr>
            <a:t>Y</a:t>
          </a:r>
          <a:r>
            <a:rPr lang="en-GB" sz="1100">
              <a:solidFill>
                <a:schemeClr val="dk1"/>
              </a:solidFill>
              <a:effectLst/>
              <a:latin typeface="+mn-lt"/>
              <a:ea typeface="+mn-ea"/>
              <a:cs typeface="+mn-cs"/>
            </a:rPr>
            <a:t> = Commission</a:t>
          </a:r>
          <a:endParaRPr lang="en-GB">
            <a:effectLst/>
          </a:endParaRPr>
        </a:p>
        <a:p>
          <a:pPr>
            <a:lnSpc>
              <a:spcPts val="1200"/>
            </a:lnSpc>
          </a:pPr>
          <a:r>
            <a:rPr lang="en-GB" sz="1100" b="1">
              <a:solidFill>
                <a:schemeClr val="dk1"/>
              </a:solidFill>
              <a:effectLst/>
              <a:latin typeface="+mn-lt"/>
              <a:ea typeface="+mn-ea"/>
              <a:cs typeface="+mn-cs"/>
            </a:rPr>
            <a:t>D</a:t>
          </a:r>
          <a:r>
            <a:rPr lang="en-GB" sz="1100">
              <a:solidFill>
                <a:schemeClr val="dk1"/>
              </a:solidFill>
              <a:effectLst/>
              <a:latin typeface="+mn-lt"/>
              <a:ea typeface="+mn-ea"/>
              <a:cs typeface="+mn-cs"/>
            </a:rPr>
            <a:t> = Initial Duration in months = ((Start Date of the Cover - End date of the cover)/365.25)*12</a:t>
          </a:r>
          <a:endParaRPr lang="en-IE">
            <a:effectLst/>
          </a:endParaRPr>
        </a:p>
        <a:p>
          <a:pPr>
            <a:lnSpc>
              <a:spcPts val="1200"/>
            </a:lnSpc>
          </a:pPr>
          <a:r>
            <a:rPr lang="en-GB" sz="1100" b="1">
              <a:solidFill>
                <a:schemeClr val="dk1"/>
              </a:solidFill>
              <a:effectLst/>
              <a:latin typeface="+mn-lt"/>
              <a:ea typeface="+mn-ea"/>
              <a:cs typeface="+mn-cs"/>
            </a:rPr>
            <a:t>T</a:t>
          </a:r>
          <a:r>
            <a:rPr lang="en-GB" sz="1100">
              <a:solidFill>
                <a:schemeClr val="dk1"/>
              </a:solidFill>
              <a:effectLst/>
              <a:latin typeface="+mn-lt"/>
              <a:ea typeface="+mn-ea"/>
              <a:cs typeface="+mn-cs"/>
            </a:rPr>
            <a:t> = Residual Duration in months = Initial Duration in months - ((Date of the Early Termination - Start date of the cover)/365.25)*12</a:t>
          </a:r>
          <a:endParaRPr lang="en-IE">
            <a:effectLst/>
          </a:endParaRPr>
        </a:p>
        <a:p>
          <a:pPr>
            <a:lnSpc>
              <a:spcPts val="1100"/>
            </a:lnSpc>
          </a:pPr>
          <a:r>
            <a:rPr lang="en-GB" sz="1100" b="1">
              <a:solidFill>
                <a:schemeClr val="dk1"/>
              </a:solidFill>
              <a:effectLst/>
              <a:latin typeface="+mn-lt"/>
              <a:ea typeface="+mn-ea"/>
              <a:cs typeface="+mn-cs"/>
            </a:rPr>
            <a:t>ET fees </a:t>
          </a:r>
          <a:r>
            <a:rPr lang="en-GB" sz="1100">
              <a:solidFill>
                <a:schemeClr val="dk1"/>
              </a:solidFill>
              <a:effectLst/>
              <a:latin typeface="+mn-lt"/>
              <a:ea typeface="+mn-ea"/>
              <a:cs typeface="+mn-cs"/>
            </a:rPr>
            <a:t>= a fixed fee per Life and Non-Life part of the policy</a:t>
          </a:r>
          <a:endParaRPr lang="en-GB">
            <a:effectLst/>
          </a:endParaRPr>
        </a:p>
        <a:p>
          <a:pPr>
            <a:lnSpc>
              <a:spcPts val="1100"/>
            </a:lnSpc>
          </a:pPr>
          <a:r>
            <a:rPr lang="en-GB" sz="1100" b="1">
              <a:solidFill>
                <a:schemeClr val="dk1"/>
              </a:solidFill>
              <a:effectLst/>
              <a:latin typeface="+mn-lt"/>
              <a:ea typeface="+mn-ea"/>
              <a:cs typeface="+mn-cs"/>
            </a:rPr>
            <a:t>OB </a:t>
          </a:r>
          <a:r>
            <a:rPr lang="en-GB" sz="1100">
              <a:solidFill>
                <a:schemeClr val="dk1"/>
              </a:solidFill>
              <a:effectLst/>
              <a:latin typeface="+mn-lt"/>
              <a:ea typeface="+mn-ea"/>
              <a:cs typeface="+mn-cs"/>
            </a:rPr>
            <a:t>= Outstanding Balance</a:t>
          </a:r>
          <a:r>
            <a:rPr lang="en-GB" sz="1100" baseline="0">
              <a:solidFill>
                <a:schemeClr val="dk1"/>
              </a:solidFill>
              <a:effectLst/>
              <a:latin typeface="+mn-lt"/>
              <a:ea typeface="+mn-ea"/>
              <a:cs typeface="+mn-cs"/>
            </a:rPr>
            <a:t> on the Loan at time of Early Termination</a:t>
          </a:r>
          <a:endParaRPr lang="en-GB">
            <a:effectLst/>
          </a:endParaRPr>
        </a:p>
        <a:p>
          <a:pPr>
            <a:lnSpc>
              <a:spcPts val="1200"/>
            </a:lnSpc>
          </a:pPr>
          <a:r>
            <a:rPr lang="en-GB" sz="1100" b="1" baseline="0">
              <a:solidFill>
                <a:schemeClr val="dk1"/>
              </a:solidFill>
              <a:effectLst/>
              <a:latin typeface="+mn-lt"/>
              <a:ea typeface="+mn-ea"/>
              <a:cs typeface="+mn-cs"/>
            </a:rPr>
            <a:t>OLA</a:t>
          </a:r>
          <a:r>
            <a:rPr lang="en-GB" sz="1100" baseline="0">
              <a:solidFill>
                <a:schemeClr val="dk1"/>
              </a:solidFill>
              <a:effectLst/>
              <a:latin typeface="+mn-lt"/>
              <a:ea typeface="+mn-ea"/>
              <a:cs typeface="+mn-cs"/>
            </a:rPr>
            <a:t> = Original Loam Amount requested by the customer (which constitutes for CPI Non-Leasing base for Premium calculation)</a:t>
          </a:r>
          <a:endParaRPr lang="en-GB">
            <a:effectLst/>
          </a:endParaRPr>
        </a:p>
        <a:p>
          <a:pPr>
            <a:lnSpc>
              <a:spcPts val="1100"/>
            </a:lnSpc>
          </a:pPr>
          <a:r>
            <a:rPr lang="en-GB" sz="1100" b="1" baseline="0">
              <a:solidFill>
                <a:schemeClr val="dk1"/>
              </a:solidFill>
              <a:effectLst/>
              <a:latin typeface="+mn-lt"/>
              <a:ea typeface="+mn-ea"/>
              <a:cs typeface="+mn-cs"/>
            </a:rPr>
            <a:t>(1-(T/D))</a:t>
          </a:r>
          <a:r>
            <a:rPr lang="en-GB" sz="1100" baseline="0">
              <a:solidFill>
                <a:schemeClr val="dk1"/>
              </a:solidFill>
              <a:effectLst/>
              <a:latin typeface="+mn-lt"/>
              <a:ea typeface="+mn-ea"/>
              <a:cs typeface="+mn-cs"/>
            </a:rPr>
            <a:t> = (D-T)/D</a:t>
          </a:r>
          <a:endParaRPr lang="en-GB">
            <a:effectLst/>
          </a:endParaRPr>
        </a:p>
        <a:p>
          <a:pPr>
            <a:lnSpc>
              <a:spcPts val="1100"/>
            </a:lnSpc>
          </a:pPr>
          <a:r>
            <a:rPr lang="en-GB" sz="1100">
              <a:solidFill>
                <a:schemeClr val="dk1"/>
              </a:solidFill>
              <a:effectLst/>
              <a:latin typeface="+mn-lt"/>
              <a:ea typeface="+mn-ea"/>
              <a:cs typeface="+mn-cs"/>
            </a:rPr>
            <a:t>Therefore:</a:t>
          </a:r>
          <a:endParaRPr lang="en-GB">
            <a:effectLst/>
          </a:endParaRPr>
        </a:p>
        <a:p>
          <a:pPr>
            <a:lnSpc>
              <a:spcPts val="1100"/>
            </a:lnSpc>
          </a:pPr>
          <a:r>
            <a:rPr lang="en-GB" sz="1100" b="1">
              <a:solidFill>
                <a:schemeClr val="dk1"/>
              </a:solidFill>
              <a:effectLst/>
              <a:latin typeface="+mn-lt"/>
              <a:ea typeface="+mn-ea"/>
              <a:cs typeface="+mn-cs"/>
            </a:rPr>
            <a:t>PP</a:t>
          </a:r>
          <a:r>
            <a:rPr lang="en-GB" sz="1100">
              <a:solidFill>
                <a:schemeClr val="dk1"/>
              </a:solidFill>
              <a:effectLst/>
              <a:latin typeface="+mn-lt"/>
              <a:ea typeface="+mn-ea"/>
              <a:cs typeface="+mn-cs"/>
            </a:rPr>
            <a:t>:  Rule of 12 *</a:t>
          </a:r>
          <a:r>
            <a:rPr lang="en-GB" sz="1100" baseline="0">
              <a:solidFill>
                <a:schemeClr val="dk1"/>
              </a:solidFill>
              <a:effectLst/>
              <a:latin typeface="+mn-lt"/>
              <a:ea typeface="+mn-ea"/>
              <a:cs typeface="+mn-cs"/>
            </a:rPr>
            <a:t> OB/OLA</a:t>
          </a:r>
          <a:endParaRPr lang="en-GB">
            <a:effectLst/>
          </a:endParaRPr>
        </a:p>
        <a:p>
          <a:pPr>
            <a:lnSpc>
              <a:spcPts val="1100"/>
            </a:lnSpc>
          </a:pPr>
          <a:r>
            <a:rPr lang="en-GB" sz="1100" b="1">
              <a:solidFill>
                <a:schemeClr val="dk1"/>
              </a:solidFill>
              <a:effectLst/>
              <a:latin typeface="+mn-lt"/>
              <a:ea typeface="+mn-ea"/>
              <a:cs typeface="+mn-cs"/>
            </a:rPr>
            <a:t>Commission:</a:t>
          </a:r>
          <a:r>
            <a:rPr lang="en-GB" sz="1100">
              <a:solidFill>
                <a:schemeClr val="dk1"/>
              </a:solidFill>
              <a:effectLst/>
              <a:latin typeface="+mn-lt"/>
              <a:ea typeface="+mn-ea"/>
              <a:cs typeface="+mn-cs"/>
            </a:rPr>
            <a:t>  Rule of 12</a:t>
          </a:r>
          <a:endParaRPr lang="en-GB">
            <a:effectLst/>
          </a:endParaRPr>
        </a:p>
        <a:p>
          <a:pPr eaLnBrk="1" fontAlgn="auto" latinLnBrk="0" hangingPunct="1">
            <a:lnSpc>
              <a:spcPts val="1200"/>
            </a:lnSpc>
          </a:pPr>
          <a:r>
            <a:rPr lang="en-GB" sz="1100" b="1">
              <a:solidFill>
                <a:schemeClr val="dk1"/>
              </a:solidFill>
              <a:effectLst/>
              <a:latin typeface="+mn-lt"/>
              <a:ea typeface="+mn-ea"/>
              <a:cs typeface="+mn-cs"/>
            </a:rPr>
            <a:t>Loadings </a:t>
          </a:r>
          <a:r>
            <a:rPr lang="en-GB" sz="1100" b="0">
              <a:solidFill>
                <a:schemeClr val="dk1"/>
              </a:solidFill>
              <a:effectLst/>
              <a:latin typeface="+mn-lt"/>
              <a:ea typeface="+mn-ea"/>
              <a:cs typeface="+mn-cs"/>
            </a:rPr>
            <a:t>(excluded from the Pure Premium): </a:t>
          </a:r>
          <a:r>
            <a:rPr lang="en-GB" sz="1100">
              <a:solidFill>
                <a:schemeClr val="dk1"/>
              </a:solidFill>
              <a:effectLst/>
              <a:latin typeface="+mn-lt"/>
              <a:ea typeface="+mn-ea"/>
              <a:cs typeface="+mn-cs"/>
            </a:rPr>
            <a:t>Rule of 12</a:t>
          </a:r>
        </a:p>
        <a:p>
          <a:pPr eaLnBrk="1" fontAlgn="auto" latinLnBrk="0" hangingPunct="1">
            <a:lnSpc>
              <a:spcPts val="1100"/>
            </a:lnSpc>
          </a:pPr>
          <a:endParaRPr lang="en-GB" sz="1100">
            <a:solidFill>
              <a:schemeClr val="dk1"/>
            </a:solidFill>
            <a:effectLst/>
            <a:latin typeface="+mn-lt"/>
            <a:ea typeface="+mn-ea"/>
            <a:cs typeface="+mn-cs"/>
          </a:endParaRPr>
        </a:p>
        <a:p>
          <a:pPr eaLnBrk="1" fontAlgn="auto" latinLnBrk="0" hangingPunct="1">
            <a:lnSpc>
              <a:spcPts val="1100"/>
            </a:lnSpc>
          </a:pPr>
          <a:r>
            <a:rPr lang="en-GB" sz="1100">
              <a:solidFill>
                <a:schemeClr val="dk1"/>
              </a:solidFill>
              <a:effectLst/>
              <a:latin typeface="+mn-lt"/>
              <a:ea typeface="+mn-ea"/>
              <a:cs typeface="+mn-cs"/>
            </a:rPr>
            <a:t>UNCHANGED:</a:t>
          </a:r>
        </a:p>
        <a:p>
          <a:pPr marL="0" marR="0" lvl="0" indent="0" defTabSz="914400" eaLnBrk="1" fontAlgn="auto" latinLnBrk="0" hangingPunct="1">
            <a:lnSpc>
              <a:spcPts val="1200"/>
            </a:lnSpc>
            <a:spcBef>
              <a:spcPts val="0"/>
            </a:spcBef>
            <a:spcAft>
              <a:spcPts val="0"/>
            </a:spcAft>
            <a:buClrTx/>
            <a:buSzTx/>
            <a:buFontTx/>
            <a:buNone/>
            <a:tabLst/>
            <a:defRPr/>
          </a:pPr>
          <a:r>
            <a:rPr lang="en-GB" sz="1100" b="1">
              <a:solidFill>
                <a:schemeClr val="dk1"/>
              </a:solidFill>
              <a:effectLst/>
              <a:latin typeface="+mn-lt"/>
              <a:ea typeface="+mn-ea"/>
              <a:cs typeface="+mn-cs"/>
            </a:rPr>
            <a:t>ET Refund (Non-Life)</a:t>
          </a:r>
          <a:r>
            <a:rPr lang="en-GB" sz="1100">
              <a:solidFill>
                <a:schemeClr val="dk1"/>
              </a:solidFill>
              <a:effectLst/>
              <a:latin typeface="+mn-lt"/>
              <a:ea typeface="+mn-ea"/>
              <a:cs typeface="+mn-cs"/>
            </a:rPr>
            <a:t> = PRT x Premium paid net of tax – ET fees</a:t>
          </a:r>
          <a:endParaRPr lang="en-GB">
            <a:effectLst/>
          </a:endParaRPr>
        </a:p>
        <a:p>
          <a:pPr eaLnBrk="1" fontAlgn="auto" latinLnBrk="0" hangingPunct="1">
            <a:lnSpc>
              <a:spcPts val="1100"/>
            </a:lnSpc>
          </a:pPr>
          <a:endParaRPr lang="en-GB" sz="1100">
            <a:solidFill>
              <a:schemeClr val="dk1"/>
            </a:solidFill>
            <a:effectLst/>
            <a:latin typeface="+mn-lt"/>
            <a:ea typeface="+mn-ea"/>
            <a:cs typeface="+mn-cs"/>
          </a:endParaRPr>
        </a:p>
        <a:p>
          <a:pPr eaLnBrk="1" fontAlgn="auto" latinLnBrk="0" hangingPunct="1">
            <a:lnSpc>
              <a:spcPts val="1000"/>
            </a:lnSpc>
          </a:pPr>
          <a:endParaRPr lang="en-GB">
            <a:effectLst/>
          </a:endParaRPr>
        </a:p>
        <a:p>
          <a:pPr>
            <a:lnSpc>
              <a:spcPts val="1200"/>
            </a:lnSpc>
          </a:pPr>
          <a:r>
            <a:rPr lang="en-GB" sz="1100">
              <a:solidFill>
                <a:schemeClr val="dk1"/>
              </a:solidFill>
              <a:effectLst/>
              <a:latin typeface="+mn-lt"/>
              <a:ea typeface="+mn-ea"/>
              <a:cs typeface="+mn-cs"/>
            </a:rPr>
            <a:t>The above is in line with the IVASS</a:t>
          </a:r>
          <a:r>
            <a:rPr lang="en-GB" sz="1100" baseline="0">
              <a:solidFill>
                <a:schemeClr val="dk1"/>
              </a:solidFill>
              <a:effectLst/>
              <a:latin typeface="+mn-lt"/>
              <a:ea typeface="+mn-ea"/>
              <a:cs typeface="+mn-cs"/>
            </a:rPr>
            <a:t> Letetr:</a:t>
          </a:r>
          <a:endParaRPr lang="en-GB">
            <a:effectLst/>
          </a:endParaRPr>
        </a:p>
        <a:p>
          <a:pPr>
            <a:lnSpc>
              <a:spcPts val="900"/>
            </a:lnSpc>
          </a:pPr>
          <a:r>
            <a:rPr lang="en-GB" sz="1100">
              <a:solidFill>
                <a:schemeClr val="dk1"/>
              </a:solidFill>
              <a:effectLst/>
              <a:latin typeface="+mn-lt"/>
              <a:ea typeface="+mn-ea"/>
              <a:cs typeface="+mn-cs"/>
            </a:rPr>
            <a:t>a) For the </a:t>
          </a:r>
          <a:r>
            <a:rPr lang="en-GB" sz="1100" b="1">
              <a:solidFill>
                <a:schemeClr val="dk1"/>
              </a:solidFill>
              <a:effectLst/>
              <a:latin typeface="+mn-lt"/>
              <a:ea typeface="+mn-ea"/>
              <a:cs typeface="+mn-cs"/>
            </a:rPr>
            <a:t>pure premium</a:t>
          </a:r>
          <a:r>
            <a:rPr lang="en-GB" sz="1100">
              <a:solidFill>
                <a:schemeClr val="dk1"/>
              </a:solidFill>
              <a:effectLst/>
              <a:latin typeface="+mn-lt"/>
              <a:ea typeface="+mn-ea"/>
              <a:cs typeface="+mn-cs"/>
            </a:rPr>
            <a:t>, according to the years and parts of years remaining until the end of the coverage in addition to the residual insured amount (according to the formula </a:t>
          </a:r>
          <a:r>
            <a:rPr lang="en-GB" sz="1100" b="1" i="1">
              <a:solidFill>
                <a:schemeClr val="dk1"/>
              </a:solidFill>
              <a:effectLst/>
              <a:latin typeface="+mn-lt"/>
              <a:ea typeface="+mn-ea"/>
              <a:cs typeface="+mn-cs"/>
            </a:rPr>
            <a:t>Pr   </a:t>
          </a:r>
          <a:r>
            <a:rPr lang="en-GB" sz="1100" b="1" i="1" u="sng">
              <a:solidFill>
                <a:schemeClr val="dk1"/>
              </a:solidFill>
              <a:effectLst/>
              <a:latin typeface="+mn-lt"/>
              <a:ea typeface="+mn-ea"/>
              <a:cs typeface="+mn-cs"/>
            </a:rPr>
            <a:t>n-t/n  *d r/do</a:t>
          </a:r>
          <a:r>
            <a:rPr lang="en-GB" sz="1100" b="1">
              <a:solidFill>
                <a:schemeClr val="dk1"/>
              </a:solidFill>
              <a:effectLst/>
              <a:latin typeface="+mn-lt"/>
              <a:ea typeface="+mn-ea"/>
              <a:cs typeface="+mn-cs"/>
            </a:rPr>
            <a:t> </a:t>
          </a:r>
          <a:r>
            <a:rPr lang="en-GB" sz="1100">
              <a:solidFill>
                <a:schemeClr val="dk1"/>
              </a:solidFill>
              <a:effectLst/>
              <a:latin typeface="+mn-lt"/>
              <a:ea typeface="+mn-ea"/>
              <a:cs typeface="+mn-cs"/>
            </a:rPr>
            <a:t>where </a:t>
          </a:r>
          <a:r>
            <a:rPr lang="en-GB" sz="1100" b="1">
              <a:solidFill>
                <a:schemeClr val="dk1"/>
              </a:solidFill>
              <a:effectLst/>
              <a:latin typeface="+mn-lt"/>
              <a:ea typeface="+mn-ea"/>
              <a:cs typeface="+mn-cs"/>
            </a:rPr>
            <a:t>Pr</a:t>
          </a:r>
          <a:r>
            <a:rPr lang="en-GB" sz="1100">
              <a:solidFill>
                <a:schemeClr val="dk1"/>
              </a:solidFill>
              <a:effectLst/>
              <a:latin typeface="+mn-lt"/>
              <a:ea typeface="+mn-ea"/>
              <a:cs typeface="+mn-cs"/>
            </a:rPr>
            <a:t> = Pure premium, </a:t>
          </a:r>
          <a:r>
            <a:rPr lang="en-GB" sz="1100" b="1">
              <a:solidFill>
                <a:schemeClr val="dk1"/>
              </a:solidFill>
              <a:effectLst/>
              <a:latin typeface="+mn-lt"/>
              <a:ea typeface="+mn-ea"/>
              <a:cs typeface="+mn-cs"/>
            </a:rPr>
            <a:t>n</a:t>
          </a:r>
          <a:r>
            <a:rPr lang="en-GB" sz="1100">
              <a:solidFill>
                <a:schemeClr val="dk1"/>
              </a:solidFill>
              <a:effectLst/>
              <a:latin typeface="+mn-lt"/>
              <a:ea typeface="+mn-ea"/>
              <a:cs typeface="+mn-cs"/>
            </a:rPr>
            <a:t> = the duration of the insurance coverage, </a:t>
          </a:r>
          <a:r>
            <a:rPr lang="en-GB" sz="1100" b="1">
              <a:solidFill>
                <a:schemeClr val="dk1"/>
              </a:solidFill>
              <a:effectLst/>
              <a:latin typeface="+mn-lt"/>
              <a:ea typeface="+mn-ea"/>
              <a:cs typeface="+mn-cs"/>
            </a:rPr>
            <a:t>t</a:t>
          </a:r>
          <a:r>
            <a:rPr lang="en-GB" sz="1100">
              <a:solidFill>
                <a:schemeClr val="dk1"/>
              </a:solidFill>
              <a:effectLst/>
              <a:latin typeface="+mn-lt"/>
              <a:ea typeface="+mn-ea"/>
              <a:cs typeface="+mn-cs"/>
            </a:rPr>
            <a:t> = Lapsed</a:t>
          </a:r>
          <a:r>
            <a:rPr lang="en-GB" sz="1100" baseline="0">
              <a:solidFill>
                <a:schemeClr val="dk1"/>
              </a:solidFill>
              <a:effectLst/>
              <a:latin typeface="+mn-lt"/>
              <a:ea typeface="+mn-ea"/>
              <a:cs typeface="+mn-cs"/>
            </a:rPr>
            <a:t> time</a:t>
          </a:r>
          <a:r>
            <a:rPr lang="en-GB" sz="1100">
              <a:solidFill>
                <a:schemeClr val="dk1"/>
              </a:solidFill>
              <a:effectLst/>
              <a:latin typeface="+mn-lt"/>
              <a:ea typeface="+mn-ea"/>
              <a:cs typeface="+mn-cs"/>
            </a:rPr>
            <a:t> , </a:t>
          </a:r>
          <a:r>
            <a:rPr lang="en-GB" sz="1100" b="1">
              <a:solidFill>
                <a:schemeClr val="dk1"/>
              </a:solidFill>
              <a:effectLst/>
              <a:latin typeface="+mn-lt"/>
              <a:ea typeface="+mn-ea"/>
              <a:cs typeface="+mn-cs"/>
            </a:rPr>
            <a:t>dr</a:t>
          </a:r>
          <a:r>
            <a:rPr lang="en-GB" sz="1100">
              <a:solidFill>
                <a:schemeClr val="dk1"/>
              </a:solidFill>
              <a:effectLst/>
              <a:latin typeface="+mn-lt"/>
              <a:ea typeface="+mn-ea"/>
              <a:cs typeface="+mn-cs"/>
            </a:rPr>
            <a:t> = the outstanding debt, </a:t>
          </a:r>
          <a:r>
            <a:rPr lang="en-GB" sz="1100" b="1">
              <a:solidFill>
                <a:schemeClr val="dk1"/>
              </a:solidFill>
              <a:effectLst/>
              <a:latin typeface="+mn-lt"/>
              <a:ea typeface="+mn-ea"/>
              <a:cs typeface="+mn-cs"/>
            </a:rPr>
            <a:t>Do</a:t>
          </a:r>
          <a:r>
            <a:rPr lang="en-GB" sz="1100">
              <a:solidFill>
                <a:schemeClr val="dk1"/>
              </a:solidFill>
              <a:effectLst/>
              <a:latin typeface="+mn-lt"/>
              <a:ea typeface="+mn-ea"/>
              <a:cs typeface="+mn-cs"/>
            </a:rPr>
            <a:t> = the initial debt. See the footnote on page 2 of the letter for the proper mathematical formula. </a:t>
          </a:r>
          <a:endParaRPr lang="en-GB">
            <a:effectLst/>
          </a:endParaRPr>
        </a:p>
        <a:p>
          <a:pPr>
            <a:lnSpc>
              <a:spcPts val="1100"/>
            </a:lnSpc>
          </a:pPr>
          <a:r>
            <a:rPr lang="en-GB" sz="1100">
              <a:solidFill>
                <a:schemeClr val="dk1"/>
              </a:solidFill>
              <a:effectLst/>
              <a:latin typeface="+mn-lt"/>
              <a:ea typeface="+mn-ea"/>
              <a:cs typeface="+mn-cs"/>
            </a:rPr>
            <a:t>b) For the</a:t>
          </a:r>
          <a:r>
            <a:rPr lang="en-GB" sz="1100" b="1">
              <a:solidFill>
                <a:schemeClr val="dk1"/>
              </a:solidFill>
              <a:effectLst/>
              <a:latin typeface="+mn-lt"/>
              <a:ea typeface="+mn-ea"/>
              <a:cs typeface="+mn-cs"/>
            </a:rPr>
            <a:t> loadings</a:t>
          </a:r>
          <a:r>
            <a:rPr lang="en-GB" sz="1100">
              <a:solidFill>
                <a:schemeClr val="dk1"/>
              </a:solidFill>
              <a:effectLst/>
              <a:latin typeface="+mn-lt"/>
              <a:ea typeface="+mn-ea"/>
              <a:cs typeface="+mn-cs"/>
            </a:rPr>
            <a:t>, in proportion to the years and parts of years remaining until the end of the coverage. </a:t>
          </a:r>
          <a:endParaRPr lang="en-GB">
            <a:effectLst/>
          </a:endParaRPr>
        </a:p>
        <a:p>
          <a:pPr>
            <a:lnSpc>
              <a:spcPts val="1000"/>
            </a:lnSpc>
          </a:pPr>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88900</xdr:colOff>
      <xdr:row>2</xdr:row>
      <xdr:rowOff>0</xdr:rowOff>
    </xdr:from>
    <xdr:to>
      <xdr:col>18</xdr:col>
      <xdr:colOff>0</xdr:colOff>
      <xdr:row>7</xdr:row>
      <xdr:rowOff>57030</xdr:rowOff>
    </xdr:to>
    <xdr:sp macro="" textlink="">
      <xdr:nvSpPr>
        <xdr:cNvPr id="2" name="TextBox 1">
          <a:extLst>
            <a:ext uri="{FF2B5EF4-FFF2-40B4-BE49-F238E27FC236}">
              <a16:creationId xmlns:a16="http://schemas.microsoft.com/office/drawing/2014/main" id="{DE18BF3B-21D5-42E2-99CD-74D7E62100F6}"/>
            </a:ext>
          </a:extLst>
        </xdr:cNvPr>
        <xdr:cNvSpPr txBox="1"/>
      </xdr:nvSpPr>
      <xdr:spPr>
        <a:xfrm>
          <a:off x="698500" y="368300"/>
          <a:ext cx="10274300" cy="9777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Utnil</a:t>
          </a:r>
          <a:r>
            <a:rPr lang="en-GB" sz="1100" baseline="0"/>
            <a:t> 17/02/2019 CARDIF were incorrectly using the Reinsurer's (Cardif's) Loadings instead of the Insurer's (CNPSI's) Loadings.</a:t>
          </a:r>
        </a:p>
        <a:p>
          <a:endParaRPr lang="en-GB" sz="1100" baseline="0"/>
        </a:p>
        <a:p>
          <a:r>
            <a:rPr lang="en-GB" sz="1100" b="1" u="sng" baseline="0"/>
            <a:t>From 18/02/2019 the Early Termination Refunds shall be based on the correct Insurer's Loadings.</a:t>
          </a:r>
          <a:endParaRPr lang="en-GB" sz="1100" b="1" u="sng"/>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165100</xdr:colOff>
      <xdr:row>11</xdr:row>
      <xdr:rowOff>25400</xdr:rowOff>
    </xdr:from>
    <xdr:to>
      <xdr:col>7</xdr:col>
      <xdr:colOff>7988300</xdr:colOff>
      <xdr:row>22</xdr:row>
      <xdr:rowOff>368300</xdr:rowOff>
    </xdr:to>
    <xdr:graphicFrame macro="">
      <xdr:nvGraphicFramePr>
        <xdr:cNvPr id="2" name="Chart 3">
          <a:extLst>
            <a:ext uri="{FF2B5EF4-FFF2-40B4-BE49-F238E27FC236}">
              <a16:creationId xmlns:a16="http://schemas.microsoft.com/office/drawing/2014/main" id="{6E3E47D9-FD1E-433A-B55F-A497353E4F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82550</xdr:colOff>
      <xdr:row>11</xdr:row>
      <xdr:rowOff>76200</xdr:rowOff>
    </xdr:from>
    <xdr:to>
      <xdr:col>9</xdr:col>
      <xdr:colOff>1403350</xdr:colOff>
      <xdr:row>22</xdr:row>
      <xdr:rowOff>120650</xdr:rowOff>
    </xdr:to>
    <xdr:graphicFrame macro="">
      <xdr:nvGraphicFramePr>
        <xdr:cNvPr id="3" name="Chart 4">
          <a:extLst>
            <a:ext uri="{FF2B5EF4-FFF2-40B4-BE49-F238E27FC236}">
              <a16:creationId xmlns:a16="http://schemas.microsoft.com/office/drawing/2014/main" id="{4F768C77-E11F-476E-B093-D2FF35051C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10</xdr:col>
      <xdr:colOff>685800</xdr:colOff>
      <xdr:row>6</xdr:row>
      <xdr:rowOff>146050</xdr:rowOff>
    </xdr:from>
    <xdr:to>
      <xdr:col>10</xdr:col>
      <xdr:colOff>10623550</xdr:colOff>
      <xdr:row>24</xdr:row>
      <xdr:rowOff>6350</xdr:rowOff>
    </xdr:to>
    <xdr:graphicFrame macro="">
      <xdr:nvGraphicFramePr>
        <xdr:cNvPr id="2" name="Chart 3">
          <a:extLst>
            <a:ext uri="{FF2B5EF4-FFF2-40B4-BE49-F238E27FC236}">
              <a16:creationId xmlns:a16="http://schemas.microsoft.com/office/drawing/2014/main" id="{67B800F9-534B-498C-8E00-4595E7028F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57150</xdr:colOff>
      <xdr:row>6</xdr:row>
      <xdr:rowOff>165100</xdr:rowOff>
    </xdr:from>
    <xdr:to>
      <xdr:col>9</xdr:col>
      <xdr:colOff>38100</xdr:colOff>
      <xdr:row>24</xdr:row>
      <xdr:rowOff>88900</xdr:rowOff>
    </xdr:to>
    <xdr:graphicFrame macro="">
      <xdr:nvGraphicFramePr>
        <xdr:cNvPr id="3" name="Chart 4">
          <a:extLst>
            <a:ext uri="{FF2B5EF4-FFF2-40B4-BE49-F238E27FC236}">
              <a16:creationId xmlns:a16="http://schemas.microsoft.com/office/drawing/2014/main" id="{371D8EBE-BC89-49C8-AA31-43B2C51DCD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1225550</xdr:colOff>
      <xdr:row>7</xdr:row>
      <xdr:rowOff>0</xdr:rowOff>
    </xdr:from>
    <xdr:to>
      <xdr:col>7</xdr:col>
      <xdr:colOff>9378950</xdr:colOff>
      <xdr:row>24</xdr:row>
      <xdr:rowOff>146050</xdr:rowOff>
    </xdr:to>
    <xdr:graphicFrame macro="">
      <xdr:nvGraphicFramePr>
        <xdr:cNvPr id="4" name="Chart 5">
          <a:extLst>
            <a:ext uri="{FF2B5EF4-FFF2-40B4-BE49-F238E27FC236}">
              <a16:creationId xmlns:a16="http://schemas.microsoft.com/office/drawing/2014/main" id="{A795815E-6A32-4A94-B7EB-168469EDDD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342900</xdr:colOff>
      <xdr:row>6</xdr:row>
      <xdr:rowOff>203200</xdr:rowOff>
    </xdr:from>
    <xdr:to>
      <xdr:col>10</xdr:col>
      <xdr:colOff>146050</xdr:colOff>
      <xdr:row>24</xdr:row>
      <xdr:rowOff>76200</xdr:rowOff>
    </xdr:to>
    <xdr:graphicFrame macro="">
      <xdr:nvGraphicFramePr>
        <xdr:cNvPr id="5" name="Chart 6">
          <a:extLst>
            <a:ext uri="{FF2B5EF4-FFF2-40B4-BE49-F238E27FC236}">
              <a16:creationId xmlns:a16="http://schemas.microsoft.com/office/drawing/2014/main" id="{F6056651-87C0-427E-88DF-86CA08319A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198664</xdr:colOff>
      <xdr:row>128</xdr:row>
      <xdr:rowOff>907</xdr:rowOff>
    </xdr:from>
    <xdr:to>
      <xdr:col>5</xdr:col>
      <xdr:colOff>683069</xdr:colOff>
      <xdr:row>138</xdr:row>
      <xdr:rowOff>169062</xdr:rowOff>
    </xdr:to>
    <xdr:sp macro="" textlink="">
      <xdr:nvSpPr>
        <xdr:cNvPr id="6" name="TextBox 5">
          <a:extLst>
            <a:ext uri="{FF2B5EF4-FFF2-40B4-BE49-F238E27FC236}">
              <a16:creationId xmlns:a16="http://schemas.microsoft.com/office/drawing/2014/main" id="{176D1A6C-CA30-4394-B37A-C50F5FFCDAD4}"/>
            </a:ext>
          </a:extLst>
        </xdr:cNvPr>
        <xdr:cNvSpPr txBox="1"/>
      </xdr:nvSpPr>
      <xdr:spPr>
        <a:xfrm>
          <a:off x="1455964" y="24308707"/>
          <a:ext cx="13006605" cy="20096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Treatment of the negative ET Refund amounts:</a:t>
          </a:r>
        </a:p>
        <a:p>
          <a:endParaRPr lang="en-GB" sz="1100" b="1"/>
        </a:p>
        <a:p>
          <a:r>
            <a:rPr lang="en-GB" sz="1100" b="1"/>
            <a:t>Sample below:</a:t>
          </a:r>
        </a:p>
        <a:p>
          <a:r>
            <a:rPr lang="en-GB" sz="1100" b="1"/>
            <a:t>·        Calculated Premium to be reimbursed (Life): € 182.72</a:t>
          </a:r>
        </a:p>
        <a:p>
          <a:r>
            <a:rPr lang="en-GB" sz="1100" b="1"/>
            <a:t>·        Calculated Premium to be reimbursed (Non-Life): € -12.17</a:t>
          </a:r>
        </a:p>
        <a:p>
          <a:endParaRPr lang="en-GB" sz="1100" b="1"/>
        </a:p>
        <a:p>
          <a:r>
            <a:rPr lang="en-GB" sz="1100" b="1"/>
            <a:t>The Total to be reimbursed to the customer should be €170.56 (=€182.72 - €12.17)</a:t>
          </a:r>
        </a:p>
        <a:p>
          <a:r>
            <a:rPr lang="en-GB" sz="1100" b="1"/>
            <a:t>Clawback of the Base Commission from SCB:  €46.59</a:t>
          </a:r>
        </a:p>
        <a:p>
          <a:endParaRPr lang="en-GB" sz="1100" b="1"/>
        </a:p>
        <a:p>
          <a:r>
            <a:rPr lang="en-GB" sz="1100" b="1" u="sng"/>
            <a:t>In</a:t>
          </a:r>
          <a:r>
            <a:rPr lang="en-GB" sz="1100" b="1" u="sng" baseline="0"/>
            <a:t> IP:</a:t>
          </a:r>
        </a:p>
        <a:p>
          <a:r>
            <a:rPr lang="en-GB" sz="1100" b="1"/>
            <a:t>we would like to see  €170.56 as the cancellation Refund in LIFE and €0 in Non-Life.</a:t>
          </a:r>
        </a:p>
      </xdr:txBody>
    </xdr:sp>
    <xdr:clientData/>
  </xdr:twoCellAnchor>
  <xdr:twoCellAnchor>
    <xdr:from>
      <xdr:col>1</xdr:col>
      <xdr:colOff>234950</xdr:colOff>
      <xdr:row>142</xdr:row>
      <xdr:rowOff>114300</xdr:rowOff>
    </xdr:from>
    <xdr:to>
      <xdr:col>2</xdr:col>
      <xdr:colOff>1441450</xdr:colOff>
      <xdr:row>172</xdr:row>
      <xdr:rowOff>247650</xdr:rowOff>
    </xdr:to>
    <xdr:pic>
      <xdr:nvPicPr>
        <xdr:cNvPr id="7" name="Picture 7">
          <a:extLst>
            <a:ext uri="{FF2B5EF4-FFF2-40B4-BE49-F238E27FC236}">
              <a16:creationId xmlns:a16="http://schemas.microsoft.com/office/drawing/2014/main" id="{254C7353-5CD6-43D1-BF3C-8D2AB2257A09}"/>
            </a:ext>
          </a:extLst>
        </xdr:cNvPr>
        <xdr:cNvPicPr>
          <a:picLocks noChangeAspect="1" noChangeArrowheads="1"/>
        </xdr:cNvPicPr>
      </xdr:nvPicPr>
      <xdr:blipFill>
        <a:blip xmlns:r="http://schemas.openxmlformats.org/officeDocument/2006/relationships" r:embed="rId5" r:link="rId6">
          <a:extLst>
            <a:ext uri="{28A0092B-C50C-407E-A947-70E740481C1C}">
              <a14:useLocalDpi xmlns:a14="http://schemas.microsoft.com/office/drawing/2010/main" val="0"/>
            </a:ext>
          </a:extLst>
        </a:blip>
        <a:srcRect/>
        <a:stretch>
          <a:fillRect/>
        </a:stretch>
      </xdr:blipFill>
      <xdr:spPr bwMode="auto">
        <a:xfrm>
          <a:off x="1492250" y="27000200"/>
          <a:ext cx="9334500" cy="559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6</xdr:col>
      <xdr:colOff>1422400</xdr:colOff>
      <xdr:row>10</xdr:row>
      <xdr:rowOff>203200</xdr:rowOff>
    </xdr:from>
    <xdr:to>
      <xdr:col>7</xdr:col>
      <xdr:colOff>5492750</xdr:colOff>
      <xdr:row>23</xdr:row>
      <xdr:rowOff>120650</xdr:rowOff>
    </xdr:to>
    <xdr:graphicFrame macro="">
      <xdr:nvGraphicFramePr>
        <xdr:cNvPr id="2" name="Chart 1">
          <a:extLst>
            <a:ext uri="{FF2B5EF4-FFF2-40B4-BE49-F238E27FC236}">
              <a16:creationId xmlns:a16="http://schemas.microsoft.com/office/drawing/2014/main" id="{76DEAA1C-F152-478B-8567-114AA46B16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5994400</xdr:colOff>
      <xdr:row>10</xdr:row>
      <xdr:rowOff>215900</xdr:rowOff>
    </xdr:from>
    <xdr:to>
      <xdr:col>8</xdr:col>
      <xdr:colOff>6000750</xdr:colOff>
      <xdr:row>23</xdr:row>
      <xdr:rowOff>165100</xdr:rowOff>
    </xdr:to>
    <xdr:graphicFrame macro="">
      <xdr:nvGraphicFramePr>
        <xdr:cNvPr id="3" name="Chart 2">
          <a:extLst>
            <a:ext uri="{FF2B5EF4-FFF2-40B4-BE49-F238E27FC236}">
              <a16:creationId xmlns:a16="http://schemas.microsoft.com/office/drawing/2014/main" id="{0DF539AD-C83D-42E7-A40F-E843FA9ED7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196850</xdr:colOff>
      <xdr:row>11</xdr:row>
      <xdr:rowOff>25400</xdr:rowOff>
    </xdr:from>
    <xdr:to>
      <xdr:col>9</xdr:col>
      <xdr:colOff>5886450</xdr:colOff>
      <xdr:row>23</xdr:row>
      <xdr:rowOff>165100</xdr:rowOff>
    </xdr:to>
    <xdr:graphicFrame macro="">
      <xdr:nvGraphicFramePr>
        <xdr:cNvPr id="4" name="Chart 3">
          <a:extLst>
            <a:ext uri="{FF2B5EF4-FFF2-40B4-BE49-F238E27FC236}">
              <a16:creationId xmlns:a16="http://schemas.microsoft.com/office/drawing/2014/main" id="{C4A34E2F-4AAC-4383-A6FD-2E5E6AB760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76200</xdr:colOff>
      <xdr:row>11</xdr:row>
      <xdr:rowOff>57150</xdr:rowOff>
    </xdr:from>
    <xdr:to>
      <xdr:col>11</xdr:col>
      <xdr:colOff>1403350</xdr:colOff>
      <xdr:row>23</xdr:row>
      <xdr:rowOff>120650</xdr:rowOff>
    </xdr:to>
    <xdr:graphicFrame macro="">
      <xdr:nvGraphicFramePr>
        <xdr:cNvPr id="5" name="Chart 4">
          <a:extLst>
            <a:ext uri="{FF2B5EF4-FFF2-40B4-BE49-F238E27FC236}">
              <a16:creationId xmlns:a16="http://schemas.microsoft.com/office/drawing/2014/main" id="{8DBEEE31-3B51-45D0-8E48-A6D424F9B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152400</xdr:colOff>
      <xdr:row>9</xdr:row>
      <xdr:rowOff>228600</xdr:rowOff>
    </xdr:from>
    <xdr:to>
      <xdr:col>16</xdr:col>
      <xdr:colOff>590550</xdr:colOff>
      <xdr:row>25</xdr:row>
      <xdr:rowOff>165100</xdr:rowOff>
    </xdr:to>
    <xdr:graphicFrame macro="">
      <xdr:nvGraphicFramePr>
        <xdr:cNvPr id="2" name="Chart 1">
          <a:extLst>
            <a:ext uri="{FF2B5EF4-FFF2-40B4-BE49-F238E27FC236}">
              <a16:creationId xmlns:a16="http://schemas.microsoft.com/office/drawing/2014/main" id="{27625FAA-0C28-46C0-B36D-00A9F2F514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87BA5-E480-404C-9401-BD1FF57241D5}">
  <sheetPr>
    <tabColor rgb="FFFF0000"/>
    <pageSetUpPr fitToPage="1"/>
  </sheetPr>
  <dimension ref="B1:R68"/>
  <sheetViews>
    <sheetView showGridLines="0" zoomScale="80" zoomScaleNormal="80" workbookViewId="0">
      <selection activeCell="B1" sqref="B1:L1"/>
    </sheetView>
  </sheetViews>
  <sheetFormatPr defaultColWidth="9.21875" defaultRowHeight="14.4" x14ac:dyDescent="0.3"/>
  <cols>
    <col min="1" max="1" width="0.77734375" style="1" customWidth="1"/>
    <col min="2" max="9" width="9.21875" style="1"/>
    <col min="10" max="10" width="24.44140625" style="1" customWidth="1"/>
    <col min="11" max="11" width="2.21875" style="1" customWidth="1"/>
    <col min="12" max="12" width="173.77734375" style="22" customWidth="1"/>
    <col min="13" max="256" width="9.21875" style="1"/>
    <col min="257" max="257" width="0.77734375" style="1" customWidth="1"/>
    <col min="258" max="265" width="9.21875" style="1"/>
    <col min="266" max="266" width="24.44140625" style="1" customWidth="1"/>
    <col min="267" max="267" width="2.21875" style="1" customWidth="1"/>
    <col min="268" max="268" width="173.77734375" style="1" customWidth="1"/>
    <col min="269" max="512" width="9.21875" style="1"/>
    <col min="513" max="513" width="0.77734375" style="1" customWidth="1"/>
    <col min="514" max="521" width="9.21875" style="1"/>
    <col min="522" max="522" width="24.44140625" style="1" customWidth="1"/>
    <col min="523" max="523" width="2.21875" style="1" customWidth="1"/>
    <col min="524" max="524" width="173.77734375" style="1" customWidth="1"/>
    <col min="525" max="768" width="9.21875" style="1"/>
    <col min="769" max="769" width="0.77734375" style="1" customWidth="1"/>
    <col min="770" max="777" width="9.21875" style="1"/>
    <col min="778" max="778" width="24.44140625" style="1" customWidth="1"/>
    <col min="779" max="779" width="2.21875" style="1" customWidth="1"/>
    <col min="780" max="780" width="173.77734375" style="1" customWidth="1"/>
    <col min="781" max="1024" width="9.21875" style="1"/>
    <col min="1025" max="1025" width="0.77734375" style="1" customWidth="1"/>
    <col min="1026" max="1033" width="9.21875" style="1"/>
    <col min="1034" max="1034" width="24.44140625" style="1" customWidth="1"/>
    <col min="1035" max="1035" width="2.21875" style="1" customWidth="1"/>
    <col min="1036" max="1036" width="173.77734375" style="1" customWidth="1"/>
    <col min="1037" max="1280" width="9.21875" style="1"/>
    <col min="1281" max="1281" width="0.77734375" style="1" customWidth="1"/>
    <col min="1282" max="1289" width="9.21875" style="1"/>
    <col min="1290" max="1290" width="24.44140625" style="1" customWidth="1"/>
    <col min="1291" max="1291" width="2.21875" style="1" customWidth="1"/>
    <col min="1292" max="1292" width="173.77734375" style="1" customWidth="1"/>
    <col min="1293" max="1536" width="9.21875" style="1"/>
    <col min="1537" max="1537" width="0.77734375" style="1" customWidth="1"/>
    <col min="1538" max="1545" width="9.21875" style="1"/>
    <col min="1546" max="1546" width="24.44140625" style="1" customWidth="1"/>
    <col min="1547" max="1547" width="2.21875" style="1" customWidth="1"/>
    <col min="1548" max="1548" width="173.77734375" style="1" customWidth="1"/>
    <col min="1549" max="1792" width="9.21875" style="1"/>
    <col min="1793" max="1793" width="0.77734375" style="1" customWidth="1"/>
    <col min="1794" max="1801" width="9.21875" style="1"/>
    <col min="1802" max="1802" width="24.44140625" style="1" customWidth="1"/>
    <col min="1803" max="1803" width="2.21875" style="1" customWidth="1"/>
    <col min="1804" max="1804" width="173.77734375" style="1" customWidth="1"/>
    <col min="1805" max="2048" width="9.21875" style="1"/>
    <col min="2049" max="2049" width="0.77734375" style="1" customWidth="1"/>
    <col min="2050" max="2057" width="9.21875" style="1"/>
    <col min="2058" max="2058" width="24.44140625" style="1" customWidth="1"/>
    <col min="2059" max="2059" width="2.21875" style="1" customWidth="1"/>
    <col min="2060" max="2060" width="173.77734375" style="1" customWidth="1"/>
    <col min="2061" max="2304" width="9.21875" style="1"/>
    <col min="2305" max="2305" width="0.77734375" style="1" customWidth="1"/>
    <col min="2306" max="2313" width="9.21875" style="1"/>
    <col min="2314" max="2314" width="24.44140625" style="1" customWidth="1"/>
    <col min="2315" max="2315" width="2.21875" style="1" customWidth="1"/>
    <col min="2316" max="2316" width="173.77734375" style="1" customWidth="1"/>
    <col min="2317" max="2560" width="9.21875" style="1"/>
    <col min="2561" max="2561" width="0.77734375" style="1" customWidth="1"/>
    <col min="2562" max="2569" width="9.21875" style="1"/>
    <col min="2570" max="2570" width="24.44140625" style="1" customWidth="1"/>
    <col min="2571" max="2571" width="2.21875" style="1" customWidth="1"/>
    <col min="2572" max="2572" width="173.77734375" style="1" customWidth="1"/>
    <col min="2573" max="2816" width="9.21875" style="1"/>
    <col min="2817" max="2817" width="0.77734375" style="1" customWidth="1"/>
    <col min="2818" max="2825" width="9.21875" style="1"/>
    <col min="2826" max="2826" width="24.44140625" style="1" customWidth="1"/>
    <col min="2827" max="2827" width="2.21875" style="1" customWidth="1"/>
    <col min="2828" max="2828" width="173.77734375" style="1" customWidth="1"/>
    <col min="2829" max="3072" width="9.21875" style="1"/>
    <col min="3073" max="3073" width="0.77734375" style="1" customWidth="1"/>
    <col min="3074" max="3081" width="9.21875" style="1"/>
    <col min="3082" max="3082" width="24.44140625" style="1" customWidth="1"/>
    <col min="3083" max="3083" width="2.21875" style="1" customWidth="1"/>
    <col min="3084" max="3084" width="173.77734375" style="1" customWidth="1"/>
    <col min="3085" max="3328" width="9.21875" style="1"/>
    <col min="3329" max="3329" width="0.77734375" style="1" customWidth="1"/>
    <col min="3330" max="3337" width="9.21875" style="1"/>
    <col min="3338" max="3338" width="24.44140625" style="1" customWidth="1"/>
    <col min="3339" max="3339" width="2.21875" style="1" customWidth="1"/>
    <col min="3340" max="3340" width="173.77734375" style="1" customWidth="1"/>
    <col min="3341" max="3584" width="9.21875" style="1"/>
    <col min="3585" max="3585" width="0.77734375" style="1" customWidth="1"/>
    <col min="3586" max="3593" width="9.21875" style="1"/>
    <col min="3594" max="3594" width="24.44140625" style="1" customWidth="1"/>
    <col min="3595" max="3595" width="2.21875" style="1" customWidth="1"/>
    <col min="3596" max="3596" width="173.77734375" style="1" customWidth="1"/>
    <col min="3597" max="3840" width="9.21875" style="1"/>
    <col min="3841" max="3841" width="0.77734375" style="1" customWidth="1"/>
    <col min="3842" max="3849" width="9.21875" style="1"/>
    <col min="3850" max="3850" width="24.44140625" style="1" customWidth="1"/>
    <col min="3851" max="3851" width="2.21875" style="1" customWidth="1"/>
    <col min="3852" max="3852" width="173.77734375" style="1" customWidth="1"/>
    <col min="3853" max="4096" width="9.21875" style="1"/>
    <col min="4097" max="4097" width="0.77734375" style="1" customWidth="1"/>
    <col min="4098" max="4105" width="9.21875" style="1"/>
    <col min="4106" max="4106" width="24.44140625" style="1" customWidth="1"/>
    <col min="4107" max="4107" width="2.21875" style="1" customWidth="1"/>
    <col min="4108" max="4108" width="173.77734375" style="1" customWidth="1"/>
    <col min="4109" max="4352" width="9.21875" style="1"/>
    <col min="4353" max="4353" width="0.77734375" style="1" customWidth="1"/>
    <col min="4354" max="4361" width="9.21875" style="1"/>
    <col min="4362" max="4362" width="24.44140625" style="1" customWidth="1"/>
    <col min="4363" max="4363" width="2.21875" style="1" customWidth="1"/>
    <col min="4364" max="4364" width="173.77734375" style="1" customWidth="1"/>
    <col min="4365" max="4608" width="9.21875" style="1"/>
    <col min="4609" max="4609" width="0.77734375" style="1" customWidth="1"/>
    <col min="4610" max="4617" width="9.21875" style="1"/>
    <col min="4618" max="4618" width="24.44140625" style="1" customWidth="1"/>
    <col min="4619" max="4619" width="2.21875" style="1" customWidth="1"/>
    <col min="4620" max="4620" width="173.77734375" style="1" customWidth="1"/>
    <col min="4621" max="4864" width="9.21875" style="1"/>
    <col min="4865" max="4865" width="0.77734375" style="1" customWidth="1"/>
    <col min="4866" max="4873" width="9.21875" style="1"/>
    <col min="4874" max="4874" width="24.44140625" style="1" customWidth="1"/>
    <col min="4875" max="4875" width="2.21875" style="1" customWidth="1"/>
    <col min="4876" max="4876" width="173.77734375" style="1" customWidth="1"/>
    <col min="4877" max="5120" width="9.21875" style="1"/>
    <col min="5121" max="5121" width="0.77734375" style="1" customWidth="1"/>
    <col min="5122" max="5129" width="9.21875" style="1"/>
    <col min="5130" max="5130" width="24.44140625" style="1" customWidth="1"/>
    <col min="5131" max="5131" width="2.21875" style="1" customWidth="1"/>
    <col min="5132" max="5132" width="173.77734375" style="1" customWidth="1"/>
    <col min="5133" max="5376" width="9.21875" style="1"/>
    <col min="5377" max="5377" width="0.77734375" style="1" customWidth="1"/>
    <col min="5378" max="5385" width="9.21875" style="1"/>
    <col min="5386" max="5386" width="24.44140625" style="1" customWidth="1"/>
    <col min="5387" max="5387" width="2.21875" style="1" customWidth="1"/>
    <col min="5388" max="5388" width="173.77734375" style="1" customWidth="1"/>
    <col min="5389" max="5632" width="9.21875" style="1"/>
    <col min="5633" max="5633" width="0.77734375" style="1" customWidth="1"/>
    <col min="5634" max="5641" width="9.21875" style="1"/>
    <col min="5642" max="5642" width="24.44140625" style="1" customWidth="1"/>
    <col min="5643" max="5643" width="2.21875" style="1" customWidth="1"/>
    <col min="5644" max="5644" width="173.77734375" style="1" customWidth="1"/>
    <col min="5645" max="5888" width="9.21875" style="1"/>
    <col min="5889" max="5889" width="0.77734375" style="1" customWidth="1"/>
    <col min="5890" max="5897" width="9.21875" style="1"/>
    <col min="5898" max="5898" width="24.44140625" style="1" customWidth="1"/>
    <col min="5899" max="5899" width="2.21875" style="1" customWidth="1"/>
    <col min="5900" max="5900" width="173.77734375" style="1" customWidth="1"/>
    <col min="5901" max="6144" width="9.21875" style="1"/>
    <col min="6145" max="6145" width="0.77734375" style="1" customWidth="1"/>
    <col min="6146" max="6153" width="9.21875" style="1"/>
    <col min="6154" max="6154" width="24.44140625" style="1" customWidth="1"/>
    <col min="6155" max="6155" width="2.21875" style="1" customWidth="1"/>
    <col min="6156" max="6156" width="173.77734375" style="1" customWidth="1"/>
    <col min="6157" max="6400" width="9.21875" style="1"/>
    <col min="6401" max="6401" width="0.77734375" style="1" customWidth="1"/>
    <col min="6402" max="6409" width="9.21875" style="1"/>
    <col min="6410" max="6410" width="24.44140625" style="1" customWidth="1"/>
    <col min="6411" max="6411" width="2.21875" style="1" customWidth="1"/>
    <col min="6412" max="6412" width="173.77734375" style="1" customWidth="1"/>
    <col min="6413" max="6656" width="9.21875" style="1"/>
    <col min="6657" max="6657" width="0.77734375" style="1" customWidth="1"/>
    <col min="6658" max="6665" width="9.21875" style="1"/>
    <col min="6666" max="6666" width="24.44140625" style="1" customWidth="1"/>
    <col min="6667" max="6667" width="2.21875" style="1" customWidth="1"/>
    <col min="6668" max="6668" width="173.77734375" style="1" customWidth="1"/>
    <col min="6669" max="6912" width="9.21875" style="1"/>
    <col min="6913" max="6913" width="0.77734375" style="1" customWidth="1"/>
    <col min="6914" max="6921" width="9.21875" style="1"/>
    <col min="6922" max="6922" width="24.44140625" style="1" customWidth="1"/>
    <col min="6923" max="6923" width="2.21875" style="1" customWidth="1"/>
    <col min="6924" max="6924" width="173.77734375" style="1" customWidth="1"/>
    <col min="6925" max="7168" width="9.21875" style="1"/>
    <col min="7169" max="7169" width="0.77734375" style="1" customWidth="1"/>
    <col min="7170" max="7177" width="9.21875" style="1"/>
    <col min="7178" max="7178" width="24.44140625" style="1" customWidth="1"/>
    <col min="7179" max="7179" width="2.21875" style="1" customWidth="1"/>
    <col min="7180" max="7180" width="173.77734375" style="1" customWidth="1"/>
    <col min="7181" max="7424" width="9.21875" style="1"/>
    <col min="7425" max="7425" width="0.77734375" style="1" customWidth="1"/>
    <col min="7426" max="7433" width="9.21875" style="1"/>
    <col min="7434" max="7434" width="24.44140625" style="1" customWidth="1"/>
    <col min="7435" max="7435" width="2.21875" style="1" customWidth="1"/>
    <col min="7436" max="7436" width="173.77734375" style="1" customWidth="1"/>
    <col min="7437" max="7680" width="9.21875" style="1"/>
    <col min="7681" max="7681" width="0.77734375" style="1" customWidth="1"/>
    <col min="7682" max="7689" width="9.21875" style="1"/>
    <col min="7690" max="7690" width="24.44140625" style="1" customWidth="1"/>
    <col min="7691" max="7691" width="2.21875" style="1" customWidth="1"/>
    <col min="7692" max="7692" width="173.77734375" style="1" customWidth="1"/>
    <col min="7693" max="7936" width="9.21875" style="1"/>
    <col min="7937" max="7937" width="0.77734375" style="1" customWidth="1"/>
    <col min="7938" max="7945" width="9.21875" style="1"/>
    <col min="7946" max="7946" width="24.44140625" style="1" customWidth="1"/>
    <col min="7947" max="7947" width="2.21875" style="1" customWidth="1"/>
    <col min="7948" max="7948" width="173.77734375" style="1" customWidth="1"/>
    <col min="7949" max="8192" width="9.21875" style="1"/>
    <col min="8193" max="8193" width="0.77734375" style="1" customWidth="1"/>
    <col min="8194" max="8201" width="9.21875" style="1"/>
    <col min="8202" max="8202" width="24.44140625" style="1" customWidth="1"/>
    <col min="8203" max="8203" width="2.21875" style="1" customWidth="1"/>
    <col min="8204" max="8204" width="173.77734375" style="1" customWidth="1"/>
    <col min="8205" max="8448" width="9.21875" style="1"/>
    <col min="8449" max="8449" width="0.77734375" style="1" customWidth="1"/>
    <col min="8450" max="8457" width="9.21875" style="1"/>
    <col min="8458" max="8458" width="24.44140625" style="1" customWidth="1"/>
    <col min="8459" max="8459" width="2.21875" style="1" customWidth="1"/>
    <col min="8460" max="8460" width="173.77734375" style="1" customWidth="1"/>
    <col min="8461" max="8704" width="9.21875" style="1"/>
    <col min="8705" max="8705" width="0.77734375" style="1" customWidth="1"/>
    <col min="8706" max="8713" width="9.21875" style="1"/>
    <col min="8714" max="8714" width="24.44140625" style="1" customWidth="1"/>
    <col min="8715" max="8715" width="2.21875" style="1" customWidth="1"/>
    <col min="8716" max="8716" width="173.77734375" style="1" customWidth="1"/>
    <col min="8717" max="8960" width="9.21875" style="1"/>
    <col min="8961" max="8961" width="0.77734375" style="1" customWidth="1"/>
    <col min="8962" max="8969" width="9.21875" style="1"/>
    <col min="8970" max="8970" width="24.44140625" style="1" customWidth="1"/>
    <col min="8971" max="8971" width="2.21875" style="1" customWidth="1"/>
    <col min="8972" max="8972" width="173.77734375" style="1" customWidth="1"/>
    <col min="8973" max="9216" width="9.21875" style="1"/>
    <col min="9217" max="9217" width="0.77734375" style="1" customWidth="1"/>
    <col min="9218" max="9225" width="9.21875" style="1"/>
    <col min="9226" max="9226" width="24.44140625" style="1" customWidth="1"/>
    <col min="9227" max="9227" width="2.21875" style="1" customWidth="1"/>
    <col min="9228" max="9228" width="173.77734375" style="1" customWidth="1"/>
    <col min="9229" max="9472" width="9.21875" style="1"/>
    <col min="9473" max="9473" width="0.77734375" style="1" customWidth="1"/>
    <col min="9474" max="9481" width="9.21875" style="1"/>
    <col min="9482" max="9482" width="24.44140625" style="1" customWidth="1"/>
    <col min="9483" max="9483" width="2.21875" style="1" customWidth="1"/>
    <col min="9484" max="9484" width="173.77734375" style="1" customWidth="1"/>
    <col min="9485" max="9728" width="9.21875" style="1"/>
    <col min="9729" max="9729" width="0.77734375" style="1" customWidth="1"/>
    <col min="9730" max="9737" width="9.21875" style="1"/>
    <col min="9738" max="9738" width="24.44140625" style="1" customWidth="1"/>
    <col min="9739" max="9739" width="2.21875" style="1" customWidth="1"/>
    <col min="9740" max="9740" width="173.77734375" style="1" customWidth="1"/>
    <col min="9741" max="9984" width="9.21875" style="1"/>
    <col min="9985" max="9985" width="0.77734375" style="1" customWidth="1"/>
    <col min="9986" max="9993" width="9.21875" style="1"/>
    <col min="9994" max="9994" width="24.44140625" style="1" customWidth="1"/>
    <col min="9995" max="9995" width="2.21875" style="1" customWidth="1"/>
    <col min="9996" max="9996" width="173.77734375" style="1" customWidth="1"/>
    <col min="9997" max="10240" width="9.21875" style="1"/>
    <col min="10241" max="10241" width="0.77734375" style="1" customWidth="1"/>
    <col min="10242" max="10249" width="9.21875" style="1"/>
    <col min="10250" max="10250" width="24.44140625" style="1" customWidth="1"/>
    <col min="10251" max="10251" width="2.21875" style="1" customWidth="1"/>
    <col min="10252" max="10252" width="173.77734375" style="1" customWidth="1"/>
    <col min="10253" max="10496" width="9.21875" style="1"/>
    <col min="10497" max="10497" width="0.77734375" style="1" customWidth="1"/>
    <col min="10498" max="10505" width="9.21875" style="1"/>
    <col min="10506" max="10506" width="24.44140625" style="1" customWidth="1"/>
    <col min="10507" max="10507" width="2.21875" style="1" customWidth="1"/>
    <col min="10508" max="10508" width="173.77734375" style="1" customWidth="1"/>
    <col min="10509" max="10752" width="9.21875" style="1"/>
    <col min="10753" max="10753" width="0.77734375" style="1" customWidth="1"/>
    <col min="10754" max="10761" width="9.21875" style="1"/>
    <col min="10762" max="10762" width="24.44140625" style="1" customWidth="1"/>
    <col min="10763" max="10763" width="2.21875" style="1" customWidth="1"/>
    <col min="10764" max="10764" width="173.77734375" style="1" customWidth="1"/>
    <col min="10765" max="11008" width="9.21875" style="1"/>
    <col min="11009" max="11009" width="0.77734375" style="1" customWidth="1"/>
    <col min="11010" max="11017" width="9.21875" style="1"/>
    <col min="11018" max="11018" width="24.44140625" style="1" customWidth="1"/>
    <col min="11019" max="11019" width="2.21875" style="1" customWidth="1"/>
    <col min="11020" max="11020" width="173.77734375" style="1" customWidth="1"/>
    <col min="11021" max="11264" width="9.21875" style="1"/>
    <col min="11265" max="11265" width="0.77734375" style="1" customWidth="1"/>
    <col min="11266" max="11273" width="9.21875" style="1"/>
    <col min="11274" max="11274" width="24.44140625" style="1" customWidth="1"/>
    <col min="11275" max="11275" width="2.21875" style="1" customWidth="1"/>
    <col min="11276" max="11276" width="173.77734375" style="1" customWidth="1"/>
    <col min="11277" max="11520" width="9.21875" style="1"/>
    <col min="11521" max="11521" width="0.77734375" style="1" customWidth="1"/>
    <col min="11522" max="11529" width="9.21875" style="1"/>
    <col min="11530" max="11530" width="24.44140625" style="1" customWidth="1"/>
    <col min="11531" max="11531" width="2.21875" style="1" customWidth="1"/>
    <col min="11532" max="11532" width="173.77734375" style="1" customWidth="1"/>
    <col min="11533" max="11776" width="9.21875" style="1"/>
    <col min="11777" max="11777" width="0.77734375" style="1" customWidth="1"/>
    <col min="11778" max="11785" width="9.21875" style="1"/>
    <col min="11786" max="11786" width="24.44140625" style="1" customWidth="1"/>
    <col min="11787" max="11787" width="2.21875" style="1" customWidth="1"/>
    <col min="11788" max="11788" width="173.77734375" style="1" customWidth="1"/>
    <col min="11789" max="12032" width="9.21875" style="1"/>
    <col min="12033" max="12033" width="0.77734375" style="1" customWidth="1"/>
    <col min="12034" max="12041" width="9.21875" style="1"/>
    <col min="12042" max="12042" width="24.44140625" style="1" customWidth="1"/>
    <col min="12043" max="12043" width="2.21875" style="1" customWidth="1"/>
    <col min="12044" max="12044" width="173.77734375" style="1" customWidth="1"/>
    <col min="12045" max="12288" width="9.21875" style="1"/>
    <col min="12289" max="12289" width="0.77734375" style="1" customWidth="1"/>
    <col min="12290" max="12297" width="9.21875" style="1"/>
    <col min="12298" max="12298" width="24.44140625" style="1" customWidth="1"/>
    <col min="12299" max="12299" width="2.21875" style="1" customWidth="1"/>
    <col min="12300" max="12300" width="173.77734375" style="1" customWidth="1"/>
    <col min="12301" max="12544" width="9.21875" style="1"/>
    <col min="12545" max="12545" width="0.77734375" style="1" customWidth="1"/>
    <col min="12546" max="12553" width="9.21875" style="1"/>
    <col min="12554" max="12554" width="24.44140625" style="1" customWidth="1"/>
    <col min="12555" max="12555" width="2.21875" style="1" customWidth="1"/>
    <col min="12556" max="12556" width="173.77734375" style="1" customWidth="1"/>
    <col min="12557" max="12800" width="9.21875" style="1"/>
    <col min="12801" max="12801" width="0.77734375" style="1" customWidth="1"/>
    <col min="12802" max="12809" width="9.21875" style="1"/>
    <col min="12810" max="12810" width="24.44140625" style="1" customWidth="1"/>
    <col min="12811" max="12811" width="2.21875" style="1" customWidth="1"/>
    <col min="12812" max="12812" width="173.77734375" style="1" customWidth="1"/>
    <col min="12813" max="13056" width="9.21875" style="1"/>
    <col min="13057" max="13057" width="0.77734375" style="1" customWidth="1"/>
    <col min="13058" max="13065" width="9.21875" style="1"/>
    <col min="13066" max="13066" width="24.44140625" style="1" customWidth="1"/>
    <col min="13067" max="13067" width="2.21875" style="1" customWidth="1"/>
    <col min="13068" max="13068" width="173.77734375" style="1" customWidth="1"/>
    <col min="13069" max="13312" width="9.21875" style="1"/>
    <col min="13313" max="13313" width="0.77734375" style="1" customWidth="1"/>
    <col min="13314" max="13321" width="9.21875" style="1"/>
    <col min="13322" max="13322" width="24.44140625" style="1" customWidth="1"/>
    <col min="13323" max="13323" width="2.21875" style="1" customWidth="1"/>
    <col min="13324" max="13324" width="173.77734375" style="1" customWidth="1"/>
    <col min="13325" max="13568" width="9.21875" style="1"/>
    <col min="13569" max="13569" width="0.77734375" style="1" customWidth="1"/>
    <col min="13570" max="13577" width="9.21875" style="1"/>
    <col min="13578" max="13578" width="24.44140625" style="1" customWidth="1"/>
    <col min="13579" max="13579" width="2.21875" style="1" customWidth="1"/>
    <col min="13580" max="13580" width="173.77734375" style="1" customWidth="1"/>
    <col min="13581" max="13824" width="9.21875" style="1"/>
    <col min="13825" max="13825" width="0.77734375" style="1" customWidth="1"/>
    <col min="13826" max="13833" width="9.21875" style="1"/>
    <col min="13834" max="13834" width="24.44140625" style="1" customWidth="1"/>
    <col min="13835" max="13835" width="2.21875" style="1" customWidth="1"/>
    <col min="13836" max="13836" width="173.77734375" style="1" customWidth="1"/>
    <col min="13837" max="14080" width="9.21875" style="1"/>
    <col min="14081" max="14081" width="0.77734375" style="1" customWidth="1"/>
    <col min="14082" max="14089" width="9.21875" style="1"/>
    <col min="14090" max="14090" width="24.44140625" style="1" customWidth="1"/>
    <col min="14091" max="14091" width="2.21875" style="1" customWidth="1"/>
    <col min="14092" max="14092" width="173.77734375" style="1" customWidth="1"/>
    <col min="14093" max="14336" width="9.21875" style="1"/>
    <col min="14337" max="14337" width="0.77734375" style="1" customWidth="1"/>
    <col min="14338" max="14345" width="9.21875" style="1"/>
    <col min="14346" max="14346" width="24.44140625" style="1" customWidth="1"/>
    <col min="14347" max="14347" width="2.21875" style="1" customWidth="1"/>
    <col min="14348" max="14348" width="173.77734375" style="1" customWidth="1"/>
    <col min="14349" max="14592" width="9.21875" style="1"/>
    <col min="14593" max="14593" width="0.77734375" style="1" customWidth="1"/>
    <col min="14594" max="14601" width="9.21875" style="1"/>
    <col min="14602" max="14602" width="24.44140625" style="1" customWidth="1"/>
    <col min="14603" max="14603" width="2.21875" style="1" customWidth="1"/>
    <col min="14604" max="14604" width="173.77734375" style="1" customWidth="1"/>
    <col min="14605" max="14848" width="9.21875" style="1"/>
    <col min="14849" max="14849" width="0.77734375" style="1" customWidth="1"/>
    <col min="14850" max="14857" width="9.21875" style="1"/>
    <col min="14858" max="14858" width="24.44140625" style="1" customWidth="1"/>
    <col min="14859" max="14859" width="2.21875" style="1" customWidth="1"/>
    <col min="14860" max="14860" width="173.77734375" style="1" customWidth="1"/>
    <col min="14861" max="15104" width="9.21875" style="1"/>
    <col min="15105" max="15105" width="0.77734375" style="1" customWidth="1"/>
    <col min="15106" max="15113" width="9.21875" style="1"/>
    <col min="15114" max="15114" width="24.44140625" style="1" customWidth="1"/>
    <col min="15115" max="15115" width="2.21875" style="1" customWidth="1"/>
    <col min="15116" max="15116" width="173.77734375" style="1" customWidth="1"/>
    <col min="15117" max="15360" width="9.21875" style="1"/>
    <col min="15361" max="15361" width="0.77734375" style="1" customWidth="1"/>
    <col min="15362" max="15369" width="9.21875" style="1"/>
    <col min="15370" max="15370" width="24.44140625" style="1" customWidth="1"/>
    <col min="15371" max="15371" width="2.21875" style="1" customWidth="1"/>
    <col min="15372" max="15372" width="173.77734375" style="1" customWidth="1"/>
    <col min="15373" max="15616" width="9.21875" style="1"/>
    <col min="15617" max="15617" width="0.77734375" style="1" customWidth="1"/>
    <col min="15618" max="15625" width="9.21875" style="1"/>
    <col min="15626" max="15626" width="24.44140625" style="1" customWidth="1"/>
    <col min="15627" max="15627" width="2.21875" style="1" customWidth="1"/>
    <col min="15628" max="15628" width="173.77734375" style="1" customWidth="1"/>
    <col min="15629" max="15872" width="9.21875" style="1"/>
    <col min="15873" max="15873" width="0.77734375" style="1" customWidth="1"/>
    <col min="15874" max="15881" width="9.21875" style="1"/>
    <col min="15882" max="15882" width="24.44140625" style="1" customWidth="1"/>
    <col min="15883" max="15883" width="2.21875" style="1" customWidth="1"/>
    <col min="15884" max="15884" width="173.77734375" style="1" customWidth="1"/>
    <col min="15885" max="16128" width="9.21875" style="1"/>
    <col min="16129" max="16129" width="0.77734375" style="1" customWidth="1"/>
    <col min="16130" max="16137" width="9.21875" style="1"/>
    <col min="16138" max="16138" width="24.44140625" style="1" customWidth="1"/>
    <col min="16139" max="16139" width="2.21875" style="1" customWidth="1"/>
    <col min="16140" max="16140" width="173.77734375" style="1" customWidth="1"/>
    <col min="16141" max="16384" width="9.21875" style="1"/>
  </cols>
  <sheetData>
    <row r="1" spans="2:17" ht="55.5" customHeight="1" thickBot="1" x14ac:dyDescent="0.35">
      <c r="B1" s="2210" t="s">
        <v>0</v>
      </c>
      <c r="C1" s="2210"/>
      <c r="D1" s="2210"/>
      <c r="E1" s="2210"/>
      <c r="F1" s="2210"/>
      <c r="G1" s="2210"/>
      <c r="H1" s="2210"/>
      <c r="I1" s="2210"/>
      <c r="J1" s="2210"/>
      <c r="K1" s="2210"/>
      <c r="L1" s="2210"/>
    </row>
    <row r="2" spans="2:17" ht="18.600000000000001" thickBot="1" x14ac:dyDescent="0.35">
      <c r="B2" s="2211" t="s">
        <v>1</v>
      </c>
      <c r="C2" s="2212"/>
      <c r="D2" s="2212"/>
      <c r="E2" s="2212"/>
      <c r="F2" s="2212"/>
      <c r="G2" s="2212"/>
      <c r="H2" s="2212"/>
      <c r="I2" s="2212"/>
      <c r="J2" s="2213"/>
      <c r="L2" s="2"/>
      <c r="M2"/>
      <c r="N2"/>
      <c r="O2"/>
      <c r="P2"/>
      <c r="Q2"/>
    </row>
    <row r="3" spans="2:17" ht="5.25" customHeight="1" thickBot="1" x14ac:dyDescent="0.35">
      <c r="B3" s="3"/>
      <c r="C3" s="4"/>
      <c r="D3" s="4"/>
      <c r="E3" s="4"/>
      <c r="F3" s="4"/>
      <c r="G3" s="4"/>
      <c r="H3" s="4"/>
      <c r="I3" s="4"/>
      <c r="J3" s="4"/>
      <c r="L3" s="2"/>
      <c r="M3"/>
      <c r="N3"/>
      <c r="O3"/>
      <c r="P3"/>
      <c r="Q3"/>
    </row>
    <row r="4" spans="2:17" ht="18.600000000000001" thickBot="1" x14ac:dyDescent="0.4">
      <c r="B4" s="2214" t="s">
        <v>2</v>
      </c>
      <c r="C4" s="2215"/>
      <c r="D4" s="2215"/>
      <c r="E4" s="2215"/>
      <c r="F4" s="2215"/>
      <c r="G4" s="2215"/>
      <c r="H4" s="2215"/>
      <c r="I4" s="2215"/>
      <c r="J4" s="2216"/>
      <c r="L4" s="2"/>
      <c r="M4"/>
      <c r="N4"/>
      <c r="O4"/>
      <c r="P4"/>
      <c r="Q4"/>
    </row>
    <row r="5" spans="2:17" ht="3.75" customHeight="1" thickBot="1" x14ac:dyDescent="0.35">
      <c r="B5" s="3"/>
      <c r="C5" s="4"/>
      <c r="D5" s="4"/>
      <c r="E5" s="4"/>
      <c r="F5" s="4"/>
      <c r="G5" s="4"/>
      <c r="H5" s="4"/>
      <c r="I5" s="4"/>
      <c r="J5" s="4"/>
      <c r="L5" s="2"/>
      <c r="M5"/>
      <c r="N5"/>
      <c r="O5"/>
      <c r="P5"/>
      <c r="Q5"/>
    </row>
    <row r="6" spans="2:17" x14ac:dyDescent="0.3">
      <c r="B6" s="2217" t="s">
        <v>3</v>
      </c>
      <c r="C6" s="2218"/>
      <c r="D6" s="2218"/>
      <c r="E6" s="2218"/>
      <c r="F6" s="2218"/>
      <c r="G6" s="2218"/>
      <c r="H6" s="2218"/>
      <c r="I6" s="2218"/>
      <c r="J6" s="2219"/>
      <c r="L6" s="2"/>
      <c r="M6"/>
      <c r="N6"/>
      <c r="O6"/>
      <c r="P6"/>
      <c r="Q6"/>
    </row>
    <row r="7" spans="2:17" x14ac:dyDescent="0.3">
      <c r="B7" s="2207" t="s">
        <v>4</v>
      </c>
      <c r="C7" s="2208"/>
      <c r="D7" s="2208"/>
      <c r="E7" s="2208"/>
      <c r="F7" s="2208"/>
      <c r="G7" s="2208"/>
      <c r="H7" s="2208"/>
      <c r="I7" s="2208"/>
      <c r="J7" s="2209"/>
      <c r="L7" s="2"/>
      <c r="M7"/>
      <c r="N7"/>
      <c r="O7"/>
      <c r="P7"/>
      <c r="Q7"/>
    </row>
    <row r="8" spans="2:17" x14ac:dyDescent="0.3">
      <c r="B8" s="2207" t="s">
        <v>5</v>
      </c>
      <c r="C8" s="2208"/>
      <c r="D8" s="2208"/>
      <c r="E8" s="2208"/>
      <c r="F8" s="2208"/>
      <c r="G8" s="2208"/>
      <c r="H8" s="2208"/>
      <c r="I8" s="2208"/>
      <c r="J8" s="2209"/>
      <c r="L8" s="2"/>
      <c r="M8"/>
      <c r="N8"/>
      <c r="O8"/>
      <c r="P8"/>
      <c r="Q8"/>
    </row>
    <row r="9" spans="2:17" x14ac:dyDescent="0.3">
      <c r="B9" s="2207" t="s">
        <v>6</v>
      </c>
      <c r="C9" s="2208"/>
      <c r="D9" s="2208"/>
      <c r="E9" s="2208"/>
      <c r="F9" s="2208"/>
      <c r="G9" s="2208"/>
      <c r="H9" s="2208"/>
      <c r="I9" s="2208"/>
      <c r="J9" s="2209"/>
      <c r="L9" s="2"/>
      <c r="M9"/>
      <c r="N9"/>
      <c r="O9"/>
      <c r="P9"/>
      <c r="Q9"/>
    </row>
    <row r="10" spans="2:17" x14ac:dyDescent="0.3">
      <c r="B10" s="2207"/>
      <c r="C10" s="2208"/>
      <c r="D10" s="2208"/>
      <c r="E10" s="2208"/>
      <c r="F10" s="2208"/>
      <c r="G10" s="2208"/>
      <c r="H10" s="2208"/>
      <c r="I10" s="2208"/>
      <c r="J10" s="2209"/>
      <c r="L10" s="2"/>
      <c r="M10"/>
      <c r="N10"/>
      <c r="O10"/>
      <c r="P10"/>
      <c r="Q10"/>
    </row>
    <row r="11" spans="2:17" ht="15" customHeight="1" x14ac:dyDescent="0.3">
      <c r="B11" s="2207" t="s">
        <v>7</v>
      </c>
      <c r="C11" s="2208"/>
      <c r="D11" s="2208"/>
      <c r="E11" s="2208"/>
      <c r="F11" s="2208"/>
      <c r="G11" s="2208"/>
      <c r="H11" s="2208"/>
      <c r="I11" s="2208"/>
      <c r="J11" s="2209"/>
      <c r="L11" s="2"/>
      <c r="M11"/>
      <c r="N11"/>
      <c r="O11"/>
      <c r="P11"/>
      <c r="Q11"/>
    </row>
    <row r="12" spans="2:17" ht="15" customHeight="1" x14ac:dyDescent="0.3">
      <c r="B12" s="2220" t="s">
        <v>8</v>
      </c>
      <c r="C12" s="2221"/>
      <c r="D12" s="2221"/>
      <c r="E12" s="2221"/>
      <c r="F12" s="2221"/>
      <c r="G12" s="2221"/>
      <c r="H12" s="2221"/>
      <c r="I12" s="2221"/>
      <c r="J12" s="2222"/>
      <c r="L12" s="2"/>
      <c r="M12"/>
      <c r="N12"/>
      <c r="O12"/>
      <c r="P12"/>
      <c r="Q12"/>
    </row>
    <row r="13" spans="2:17" ht="15" customHeight="1" x14ac:dyDescent="0.3">
      <c r="B13" s="5" t="s">
        <v>9</v>
      </c>
      <c r="C13" s="6" t="s">
        <v>10</v>
      </c>
      <c r="D13" s="6"/>
      <c r="E13" s="6"/>
      <c r="F13" s="6"/>
      <c r="G13" s="6"/>
      <c r="H13" s="6"/>
      <c r="I13" s="6"/>
      <c r="J13" s="7"/>
      <c r="L13" s="2"/>
      <c r="M13"/>
      <c r="N13"/>
      <c r="O13"/>
      <c r="P13"/>
      <c r="Q13"/>
    </row>
    <row r="14" spans="2:17" ht="15" customHeight="1" x14ac:dyDescent="0.3">
      <c r="B14" s="8" t="s">
        <v>9</v>
      </c>
      <c r="C14" s="9" t="s">
        <v>11</v>
      </c>
      <c r="D14" s="9"/>
      <c r="E14" s="9"/>
      <c r="F14" s="9"/>
      <c r="G14" s="9"/>
      <c r="H14" s="9"/>
      <c r="I14" s="9"/>
      <c r="J14" s="10"/>
      <c r="L14" s="11"/>
      <c r="M14"/>
      <c r="N14"/>
      <c r="O14"/>
      <c r="P14"/>
      <c r="Q14"/>
    </row>
    <row r="15" spans="2:17" ht="15" customHeight="1" x14ac:dyDescent="0.3">
      <c r="B15" s="2223" t="s">
        <v>12</v>
      </c>
      <c r="C15" s="2224"/>
      <c r="D15" s="2224"/>
      <c r="E15" s="2224"/>
      <c r="F15" s="2224"/>
      <c r="G15" s="2224"/>
      <c r="H15" s="2224"/>
      <c r="I15" s="2224"/>
      <c r="J15" s="2225"/>
      <c r="L15" s="2"/>
      <c r="M15"/>
      <c r="N15"/>
      <c r="O15"/>
      <c r="P15"/>
      <c r="Q15"/>
    </row>
    <row r="16" spans="2:17" ht="15" customHeight="1" x14ac:dyDescent="0.3">
      <c r="B16" s="2207" t="s">
        <v>13</v>
      </c>
      <c r="C16" s="2208"/>
      <c r="D16" s="2208"/>
      <c r="E16" s="2208"/>
      <c r="F16" s="2208"/>
      <c r="G16" s="2208"/>
      <c r="H16" s="2208"/>
      <c r="I16" s="2208"/>
      <c r="J16" s="2209"/>
      <c r="L16" s="2"/>
      <c r="M16"/>
      <c r="N16"/>
      <c r="O16"/>
      <c r="P16"/>
      <c r="Q16"/>
    </row>
    <row r="17" spans="2:18" ht="15" customHeight="1" x14ac:dyDescent="0.3">
      <c r="B17" s="2207" t="s">
        <v>14</v>
      </c>
      <c r="C17" s="2208"/>
      <c r="D17" s="2208"/>
      <c r="E17" s="2208"/>
      <c r="F17" s="2208"/>
      <c r="G17" s="2208"/>
      <c r="H17" s="2208"/>
      <c r="I17" s="2208"/>
      <c r="J17" s="2209"/>
      <c r="L17" s="2"/>
      <c r="M17"/>
      <c r="N17"/>
      <c r="O17"/>
      <c r="P17"/>
      <c r="Q17"/>
    </row>
    <row r="18" spans="2:18" ht="15" customHeight="1" thickBot="1" x14ac:dyDescent="0.35">
      <c r="B18" s="2226" t="s">
        <v>15</v>
      </c>
      <c r="C18" s="2227"/>
      <c r="D18" s="2227"/>
      <c r="E18" s="2227"/>
      <c r="F18" s="2227"/>
      <c r="G18" s="2227"/>
      <c r="H18" s="2227"/>
      <c r="I18" s="2227"/>
      <c r="J18" s="2228"/>
      <c r="L18" s="2"/>
      <c r="M18"/>
      <c r="N18"/>
      <c r="O18"/>
      <c r="P18"/>
      <c r="Q18"/>
    </row>
    <row r="19" spans="2:18" ht="5.25" customHeight="1" thickBot="1" x14ac:dyDescent="0.35">
      <c r="B19" s="12"/>
      <c r="C19" s="13"/>
      <c r="D19" s="13"/>
      <c r="E19" s="13"/>
      <c r="F19" s="13"/>
      <c r="G19" s="13"/>
      <c r="H19" s="13"/>
      <c r="I19" s="13"/>
      <c r="J19" s="13"/>
      <c r="L19" s="2"/>
      <c r="M19"/>
      <c r="N19"/>
      <c r="O19"/>
      <c r="P19"/>
      <c r="Q19"/>
    </row>
    <row r="20" spans="2:18" ht="12.75" customHeight="1" x14ac:dyDescent="0.3">
      <c r="B20" s="2217" t="s">
        <v>16</v>
      </c>
      <c r="C20" s="2218"/>
      <c r="D20" s="2218"/>
      <c r="E20" s="2218"/>
      <c r="F20" s="2218"/>
      <c r="G20" s="2218"/>
      <c r="H20" s="2218"/>
      <c r="I20" s="2218"/>
      <c r="J20" s="2219"/>
      <c r="L20" s="14"/>
      <c r="M20"/>
      <c r="N20"/>
      <c r="O20"/>
      <c r="P20"/>
      <c r="Q20"/>
    </row>
    <row r="21" spans="2:18" ht="24" customHeight="1" thickBot="1" x14ac:dyDescent="0.35">
      <c r="B21" s="2229" t="s">
        <v>17</v>
      </c>
      <c r="C21" s="2230"/>
      <c r="D21" s="2230"/>
      <c r="E21" s="2230"/>
      <c r="F21" s="2230"/>
      <c r="G21" s="2230"/>
      <c r="H21" s="2230"/>
      <c r="I21" s="2230"/>
      <c r="J21" s="2231"/>
      <c r="L21" s="15"/>
      <c r="M21"/>
      <c r="N21"/>
      <c r="O21"/>
      <c r="P21"/>
      <c r="Q21"/>
    </row>
    <row r="22" spans="2:18" ht="5.25" customHeight="1" thickBot="1" x14ac:dyDescent="0.35">
      <c r="B22" s="13"/>
      <c r="L22" s="15"/>
      <c r="M22"/>
      <c r="N22"/>
      <c r="O22"/>
      <c r="P22"/>
      <c r="Q22"/>
    </row>
    <row r="23" spans="2:18" ht="13.5" customHeight="1" x14ac:dyDescent="0.3">
      <c r="B23" s="2217" t="s">
        <v>18</v>
      </c>
      <c r="C23" s="2218"/>
      <c r="D23" s="2218"/>
      <c r="E23" s="2218"/>
      <c r="F23" s="2218"/>
      <c r="G23" s="2218"/>
      <c r="H23" s="2218"/>
      <c r="I23" s="2218"/>
      <c r="J23" s="2219"/>
      <c r="L23" s="15"/>
      <c r="M23"/>
      <c r="N23"/>
      <c r="O23"/>
      <c r="P23"/>
      <c r="Q23"/>
    </row>
    <row r="24" spans="2:18" ht="20.25" customHeight="1" x14ac:dyDescent="0.3">
      <c r="B24" s="2232" t="s">
        <v>19</v>
      </c>
      <c r="C24" s="2233"/>
      <c r="D24" s="2233"/>
      <c r="E24" s="2233"/>
      <c r="F24" s="2233"/>
      <c r="G24" s="2233"/>
      <c r="H24" s="2233"/>
      <c r="I24" s="2233"/>
      <c r="J24" s="2234"/>
      <c r="L24" s="14"/>
      <c r="M24"/>
      <c r="N24"/>
      <c r="O24"/>
      <c r="P24"/>
      <c r="Q24"/>
    </row>
    <row r="25" spans="2:18" x14ac:dyDescent="0.3">
      <c r="B25" s="2235" t="s">
        <v>20</v>
      </c>
      <c r="C25" s="2236"/>
      <c r="D25" s="2236"/>
      <c r="E25" s="2236"/>
      <c r="F25" s="2236"/>
      <c r="G25" s="2236"/>
      <c r="H25" s="2236"/>
      <c r="I25" s="2236"/>
      <c r="J25" s="2237"/>
      <c r="L25" s="15"/>
      <c r="M25"/>
      <c r="N25"/>
      <c r="O25"/>
      <c r="P25"/>
      <c r="Q25"/>
    </row>
    <row r="26" spans="2:18" x14ac:dyDescent="0.3">
      <c r="B26" s="2232" t="s">
        <v>21</v>
      </c>
      <c r="C26" s="2233"/>
      <c r="D26" s="2233"/>
      <c r="E26" s="2233"/>
      <c r="F26" s="2233"/>
      <c r="G26" s="2233"/>
      <c r="H26" s="2233"/>
      <c r="I26" s="2233"/>
      <c r="J26" s="2234"/>
      <c r="L26" s="15"/>
      <c r="M26"/>
      <c r="N26"/>
      <c r="O26"/>
      <c r="P26"/>
      <c r="Q26"/>
      <c r="R26" s="16"/>
    </row>
    <row r="27" spans="2:18" ht="15" thickBot="1" x14ac:dyDescent="0.35">
      <c r="B27" s="2238"/>
      <c r="C27" s="2239"/>
      <c r="D27" s="2239"/>
      <c r="E27" s="2239"/>
      <c r="F27" s="2239"/>
      <c r="G27" s="2239"/>
      <c r="H27" s="2239"/>
      <c r="I27" s="2239"/>
      <c r="J27" s="2240"/>
      <c r="L27" s="15"/>
      <c r="M27"/>
      <c r="N27"/>
      <c r="O27"/>
      <c r="P27"/>
      <c r="Q27"/>
      <c r="R27" s="16"/>
    </row>
    <row r="28" spans="2:18" ht="2.25" customHeight="1" thickBot="1" x14ac:dyDescent="0.35">
      <c r="B28" s="12"/>
      <c r="C28" s="13"/>
      <c r="D28" s="13"/>
      <c r="E28" s="13"/>
      <c r="F28" s="13"/>
      <c r="G28" s="13"/>
      <c r="H28" s="13"/>
      <c r="I28" s="13"/>
      <c r="J28" s="13"/>
      <c r="L28" s="15"/>
      <c r="M28"/>
      <c r="N28"/>
      <c r="O28"/>
      <c r="P28"/>
      <c r="Q28"/>
      <c r="R28" s="16"/>
    </row>
    <row r="29" spans="2:18" ht="12.75" customHeight="1" x14ac:dyDescent="0.3">
      <c r="B29" s="2217" t="s">
        <v>22</v>
      </c>
      <c r="C29" s="2218"/>
      <c r="D29" s="2218"/>
      <c r="E29" s="2218"/>
      <c r="F29" s="2218"/>
      <c r="G29" s="2218"/>
      <c r="H29" s="2218"/>
      <c r="I29" s="2218"/>
      <c r="J29" s="2219"/>
      <c r="L29" s="17"/>
      <c r="M29"/>
      <c r="N29"/>
      <c r="O29"/>
      <c r="P29"/>
      <c r="Q29"/>
      <c r="R29" s="16"/>
    </row>
    <row r="30" spans="2:18" ht="15" thickBot="1" x14ac:dyDescent="0.35">
      <c r="B30" s="2238" t="s">
        <v>23</v>
      </c>
      <c r="C30" s="2239"/>
      <c r="D30" s="2239"/>
      <c r="E30" s="2239"/>
      <c r="F30" s="2239"/>
      <c r="G30" s="2239"/>
      <c r="H30" s="2239"/>
      <c r="I30" s="2239"/>
      <c r="J30" s="2240"/>
      <c r="L30" s="15"/>
      <c r="M30"/>
      <c r="N30"/>
      <c r="O30"/>
      <c r="P30"/>
      <c r="Q30"/>
      <c r="R30" s="16"/>
    </row>
    <row r="31" spans="2:18" ht="15" thickBot="1" x14ac:dyDescent="0.35">
      <c r="L31" s="15"/>
      <c r="M31"/>
      <c r="N31"/>
      <c r="O31"/>
      <c r="P31"/>
      <c r="Q31"/>
      <c r="R31" s="16"/>
    </row>
    <row r="32" spans="2:18" ht="18.600000000000001" thickBot="1" x14ac:dyDescent="0.4">
      <c r="B32" s="2214" t="s">
        <v>24</v>
      </c>
      <c r="C32" s="2215"/>
      <c r="D32" s="2215"/>
      <c r="E32" s="2215"/>
      <c r="F32" s="2215"/>
      <c r="G32" s="2215"/>
      <c r="H32" s="2215"/>
      <c r="I32" s="2215"/>
      <c r="J32" s="2216"/>
      <c r="L32" s="15"/>
      <c r="M32"/>
      <c r="N32"/>
      <c r="O32"/>
      <c r="P32"/>
      <c r="Q32"/>
      <c r="R32" s="16"/>
    </row>
    <row r="33" spans="2:18" ht="4.5" customHeight="1" thickBot="1" x14ac:dyDescent="0.35">
      <c r="B33" s="3"/>
      <c r="C33" s="4"/>
      <c r="D33" s="4"/>
      <c r="E33" s="4"/>
      <c r="F33" s="4"/>
      <c r="G33" s="4"/>
      <c r="H33" s="4"/>
      <c r="I33" s="4"/>
      <c r="J33" s="4"/>
      <c r="L33" s="15"/>
      <c r="M33"/>
      <c r="N33"/>
      <c r="O33"/>
      <c r="P33"/>
      <c r="Q33"/>
      <c r="R33" s="16"/>
    </row>
    <row r="34" spans="2:18" x14ac:dyDescent="0.3">
      <c r="B34" s="2217" t="s">
        <v>3</v>
      </c>
      <c r="C34" s="2218"/>
      <c r="D34" s="2218"/>
      <c r="E34" s="2218"/>
      <c r="F34" s="2218"/>
      <c r="G34" s="2218"/>
      <c r="H34" s="2218"/>
      <c r="I34" s="2218"/>
      <c r="J34" s="2219"/>
      <c r="L34" s="15"/>
      <c r="M34"/>
      <c r="N34"/>
      <c r="O34"/>
      <c r="P34"/>
      <c r="Q34"/>
      <c r="R34" s="16"/>
    </row>
    <row r="35" spans="2:18" x14ac:dyDescent="0.3">
      <c r="B35" s="2207" t="s">
        <v>4</v>
      </c>
      <c r="C35" s="2208"/>
      <c r="D35" s="2208"/>
      <c r="E35" s="2208"/>
      <c r="F35" s="2208"/>
      <c r="G35" s="2208"/>
      <c r="H35" s="2208"/>
      <c r="I35" s="2208"/>
      <c r="J35" s="2209"/>
      <c r="L35" s="17"/>
      <c r="M35"/>
      <c r="N35"/>
      <c r="O35"/>
      <c r="P35"/>
      <c r="Q35"/>
      <c r="R35" s="16"/>
    </row>
    <row r="36" spans="2:18" x14ac:dyDescent="0.3">
      <c r="B36" s="2207" t="s">
        <v>5</v>
      </c>
      <c r="C36" s="2208"/>
      <c r="D36" s="2208"/>
      <c r="E36" s="2208"/>
      <c r="F36" s="2208"/>
      <c r="G36" s="2208"/>
      <c r="H36" s="2208"/>
      <c r="I36" s="2208"/>
      <c r="J36" s="2209"/>
      <c r="L36" s="15"/>
      <c r="M36"/>
      <c r="N36"/>
      <c r="O36"/>
      <c r="P36"/>
      <c r="Q36"/>
      <c r="R36" s="16"/>
    </row>
    <row r="37" spans="2:18" x14ac:dyDescent="0.3">
      <c r="B37" s="2207" t="s">
        <v>6</v>
      </c>
      <c r="C37" s="2208"/>
      <c r="D37" s="2208"/>
      <c r="E37" s="2208"/>
      <c r="F37" s="2208"/>
      <c r="G37" s="2208"/>
      <c r="H37" s="2208"/>
      <c r="I37" s="2208"/>
      <c r="J37" s="2209"/>
      <c r="L37" s="15"/>
      <c r="M37"/>
      <c r="N37"/>
      <c r="O37" s="18" t="s">
        <v>25</v>
      </c>
      <c r="P37"/>
      <c r="Q37" s="16"/>
      <c r="R37" s="16"/>
    </row>
    <row r="38" spans="2:18" x14ac:dyDescent="0.3">
      <c r="B38" s="2207"/>
      <c r="C38" s="2208"/>
      <c r="D38" s="2208"/>
      <c r="E38" s="2208"/>
      <c r="F38" s="2208"/>
      <c r="G38" s="2208"/>
      <c r="H38" s="2208"/>
      <c r="I38" s="2208"/>
      <c r="J38" s="2209"/>
      <c r="L38" s="15"/>
      <c r="M38"/>
      <c r="N38"/>
      <c r="O38"/>
      <c r="P38"/>
      <c r="Q38"/>
      <c r="R38" s="16"/>
    </row>
    <row r="39" spans="2:18" x14ac:dyDescent="0.3">
      <c r="B39" s="2207" t="s">
        <v>7</v>
      </c>
      <c r="C39" s="2208"/>
      <c r="D39" s="2208"/>
      <c r="E39" s="2208"/>
      <c r="F39" s="2208"/>
      <c r="G39" s="2208"/>
      <c r="H39" s="2208"/>
      <c r="I39" s="2208"/>
      <c r="J39" s="2209"/>
      <c r="L39" s="15"/>
      <c r="M39"/>
      <c r="N39" s="19" t="s">
        <v>26</v>
      </c>
      <c r="O39"/>
      <c r="P39"/>
      <c r="Q39"/>
      <c r="R39" s="16"/>
    </row>
    <row r="40" spans="2:18" ht="15.6" x14ac:dyDescent="0.3">
      <c r="B40" s="2207" t="s">
        <v>27</v>
      </c>
      <c r="C40" s="2208"/>
      <c r="D40" s="2208"/>
      <c r="E40" s="2208"/>
      <c r="F40" s="2208"/>
      <c r="G40" s="2208"/>
      <c r="H40" s="2208"/>
      <c r="I40" s="2208"/>
      <c r="J40" s="2209"/>
      <c r="L40" s="17"/>
      <c r="M40"/>
      <c r="N40"/>
      <c r="O40"/>
      <c r="P40"/>
      <c r="Q40"/>
      <c r="R40" s="16"/>
    </row>
    <row r="41" spans="2:18" x14ac:dyDescent="0.3">
      <c r="B41" s="2207"/>
      <c r="C41" s="2208"/>
      <c r="D41" s="2208"/>
      <c r="E41" s="2208"/>
      <c r="F41" s="2208"/>
      <c r="G41" s="2208"/>
      <c r="H41" s="2208"/>
      <c r="I41" s="2208"/>
      <c r="J41" s="2209"/>
      <c r="L41" s="15"/>
      <c r="M41"/>
      <c r="N41"/>
      <c r="O41"/>
      <c r="P41"/>
      <c r="Q41"/>
      <c r="R41" s="16"/>
    </row>
    <row r="42" spans="2:18" x14ac:dyDescent="0.3">
      <c r="B42" s="2223" t="s">
        <v>12</v>
      </c>
      <c r="C42" s="2224"/>
      <c r="D42" s="2224"/>
      <c r="E42" s="2224"/>
      <c r="F42" s="2224"/>
      <c r="G42" s="2224"/>
      <c r="H42" s="2224"/>
      <c r="I42" s="2224"/>
      <c r="J42" s="2225"/>
      <c r="L42" s="15"/>
      <c r="M42"/>
      <c r="N42"/>
      <c r="O42"/>
      <c r="P42"/>
      <c r="Q42"/>
      <c r="R42" s="16"/>
    </row>
    <row r="43" spans="2:18" x14ac:dyDescent="0.3">
      <c r="B43" s="2207" t="s">
        <v>13</v>
      </c>
      <c r="C43" s="2208"/>
      <c r="D43" s="2208"/>
      <c r="E43" s="2208"/>
      <c r="F43" s="2208"/>
      <c r="G43" s="2208"/>
      <c r="H43" s="2208"/>
      <c r="I43" s="2208"/>
      <c r="J43" s="2209"/>
      <c r="L43" s="20"/>
      <c r="M43"/>
      <c r="N43"/>
      <c r="O43"/>
      <c r="P43"/>
      <c r="Q43"/>
      <c r="R43" s="16"/>
    </row>
    <row r="44" spans="2:18" x14ac:dyDescent="0.3">
      <c r="B44" s="2207" t="s">
        <v>14</v>
      </c>
      <c r="C44" s="2208"/>
      <c r="D44" s="2208"/>
      <c r="E44" s="2208"/>
      <c r="F44" s="2208"/>
      <c r="G44" s="2208"/>
      <c r="H44" s="2208"/>
      <c r="I44" s="2208"/>
      <c r="J44" s="2209"/>
      <c r="L44" s="15"/>
      <c r="M44"/>
      <c r="N44"/>
      <c r="O44"/>
      <c r="P44"/>
      <c r="Q44"/>
      <c r="R44" s="16"/>
    </row>
    <row r="45" spans="2:18" x14ac:dyDescent="0.3">
      <c r="B45" s="2235" t="s">
        <v>15</v>
      </c>
      <c r="C45" s="2236"/>
      <c r="D45" s="2236"/>
      <c r="E45" s="2236"/>
      <c r="F45" s="2236"/>
      <c r="G45" s="2236"/>
      <c r="H45" s="2236"/>
      <c r="I45" s="2236"/>
      <c r="J45" s="2237"/>
      <c r="L45" s="15"/>
      <c r="M45"/>
      <c r="N45"/>
      <c r="O45"/>
      <c r="P45"/>
      <c r="Q45"/>
      <c r="R45" s="16"/>
    </row>
    <row r="46" spans="2:18" ht="15" thickBot="1" x14ac:dyDescent="0.35">
      <c r="B46" s="2226" t="s">
        <v>28</v>
      </c>
      <c r="C46" s="2227"/>
      <c r="D46" s="2227"/>
      <c r="E46" s="2227"/>
      <c r="F46" s="2227"/>
      <c r="G46" s="2227"/>
      <c r="H46" s="2227"/>
      <c r="I46" s="2227"/>
      <c r="J46" s="2228"/>
      <c r="L46" s="15"/>
      <c r="M46"/>
      <c r="N46"/>
      <c r="O46"/>
      <c r="P46"/>
      <c r="Q46"/>
      <c r="R46" s="16"/>
    </row>
    <row r="47" spans="2:18" ht="4.5" customHeight="1" thickBot="1" x14ac:dyDescent="0.35">
      <c r="B47" s="12"/>
      <c r="C47" s="13"/>
      <c r="D47" s="13"/>
      <c r="E47" s="13"/>
      <c r="F47" s="13"/>
      <c r="G47" s="13"/>
      <c r="H47" s="13"/>
      <c r="I47" s="13"/>
      <c r="J47" s="13"/>
      <c r="L47" s="15"/>
      <c r="M47"/>
      <c r="N47"/>
      <c r="O47"/>
      <c r="P47"/>
      <c r="Q47"/>
      <c r="R47" s="16"/>
    </row>
    <row r="48" spans="2:18" x14ac:dyDescent="0.3">
      <c r="B48" s="2217" t="s">
        <v>29</v>
      </c>
      <c r="C48" s="2218"/>
      <c r="D48" s="2218"/>
      <c r="E48" s="2218"/>
      <c r="F48" s="2218"/>
      <c r="G48" s="2218"/>
      <c r="H48" s="2218"/>
      <c r="I48" s="2218"/>
      <c r="J48" s="2219"/>
      <c r="L48" s="15"/>
      <c r="M48"/>
      <c r="N48"/>
      <c r="O48"/>
      <c r="P48"/>
      <c r="Q48"/>
      <c r="R48" s="16"/>
    </row>
    <row r="49" spans="2:18" ht="15" thickBot="1" x14ac:dyDescent="0.35">
      <c r="B49" s="2229" t="s">
        <v>30</v>
      </c>
      <c r="C49" s="2230"/>
      <c r="D49" s="2230"/>
      <c r="E49" s="2230"/>
      <c r="F49" s="2230"/>
      <c r="G49" s="2230"/>
      <c r="H49" s="2230"/>
      <c r="I49" s="2230"/>
      <c r="J49" s="2231"/>
      <c r="L49" s="15"/>
      <c r="M49"/>
      <c r="N49"/>
      <c r="O49"/>
      <c r="P49"/>
      <c r="Q49"/>
      <c r="R49" s="16"/>
    </row>
    <row r="50" spans="2:18" ht="4.5" customHeight="1" thickBot="1" x14ac:dyDescent="0.35">
      <c r="B50" s="13"/>
      <c r="L50" s="15"/>
      <c r="M50"/>
      <c r="N50"/>
      <c r="O50"/>
      <c r="P50"/>
      <c r="Q50"/>
      <c r="R50" s="16"/>
    </row>
    <row r="51" spans="2:18" x14ac:dyDescent="0.3">
      <c r="B51" s="2217" t="s">
        <v>31</v>
      </c>
      <c r="C51" s="2218"/>
      <c r="D51" s="2218"/>
      <c r="E51" s="2218"/>
      <c r="F51" s="2218"/>
      <c r="G51" s="2218"/>
      <c r="H51" s="2218"/>
      <c r="I51" s="2218"/>
      <c r="J51" s="2219"/>
      <c r="L51" s="15"/>
      <c r="M51"/>
      <c r="N51"/>
      <c r="O51"/>
      <c r="P51"/>
      <c r="Q51"/>
    </row>
    <row r="52" spans="2:18" x14ac:dyDescent="0.3">
      <c r="B52" s="2244" t="s">
        <v>32</v>
      </c>
      <c r="C52" s="2224"/>
      <c r="D52" s="2224"/>
      <c r="E52" s="2224"/>
      <c r="F52" s="2224"/>
      <c r="G52" s="2224"/>
      <c r="H52" s="2224"/>
      <c r="I52" s="2224"/>
      <c r="J52" s="2225"/>
      <c r="L52" s="15"/>
      <c r="M52"/>
      <c r="N52"/>
      <c r="O52"/>
      <c r="P52"/>
      <c r="Q52"/>
    </row>
    <row r="53" spans="2:18" ht="15" thickBot="1" x14ac:dyDescent="0.35">
      <c r="B53" s="2238"/>
      <c r="C53" s="2239"/>
      <c r="D53" s="2239"/>
      <c r="E53" s="2239"/>
      <c r="F53" s="2239"/>
      <c r="G53" s="2239"/>
      <c r="H53" s="2239"/>
      <c r="I53" s="2239"/>
      <c r="J53" s="2240"/>
      <c r="L53" s="15"/>
      <c r="M53"/>
      <c r="N53"/>
      <c r="O53"/>
      <c r="P53"/>
      <c r="Q53"/>
    </row>
    <row r="54" spans="2:18" ht="4.5" customHeight="1" thickBot="1" x14ac:dyDescent="0.35">
      <c r="B54" s="12"/>
      <c r="C54" s="13"/>
      <c r="D54" s="13"/>
      <c r="E54" s="13"/>
      <c r="F54" s="13"/>
      <c r="G54" s="13"/>
      <c r="H54" s="13"/>
      <c r="I54" s="13"/>
      <c r="J54" s="13"/>
      <c r="L54" s="15"/>
      <c r="M54"/>
      <c r="N54"/>
      <c r="O54"/>
      <c r="P54"/>
      <c r="Q54"/>
    </row>
    <row r="55" spans="2:18" x14ac:dyDescent="0.3">
      <c r="B55" s="2217" t="s">
        <v>33</v>
      </c>
      <c r="C55" s="2218"/>
      <c r="D55" s="2218"/>
      <c r="E55" s="2218"/>
      <c r="F55" s="2218"/>
      <c r="G55" s="2218"/>
      <c r="H55" s="2218"/>
      <c r="I55" s="2218"/>
      <c r="J55" s="2219"/>
      <c r="L55" s="15"/>
      <c r="M55"/>
      <c r="N55"/>
      <c r="O55"/>
      <c r="P55"/>
      <c r="Q55"/>
    </row>
    <row r="56" spans="2:18" ht="15" thickBot="1" x14ac:dyDescent="0.35">
      <c r="B56" s="2241" t="s">
        <v>23</v>
      </c>
      <c r="C56" s="2242"/>
      <c r="D56" s="2242"/>
      <c r="E56" s="2242"/>
      <c r="F56" s="2242"/>
      <c r="G56" s="2242"/>
      <c r="H56" s="2242"/>
      <c r="I56" s="2242"/>
      <c r="J56" s="2243"/>
      <c r="L56" s="17"/>
      <c r="M56"/>
      <c r="N56"/>
      <c r="O56"/>
      <c r="P56"/>
      <c r="Q56"/>
    </row>
    <row r="57" spans="2:18" x14ac:dyDescent="0.3">
      <c r="L57" s="15"/>
      <c r="M57"/>
      <c r="N57"/>
      <c r="O57"/>
      <c r="P57"/>
      <c r="Q57"/>
    </row>
    <row r="58" spans="2:18" x14ac:dyDescent="0.3">
      <c r="L58" s="15"/>
      <c r="M58"/>
      <c r="N58"/>
      <c r="O58"/>
      <c r="P58"/>
      <c r="Q58" s="21" t="s">
        <v>25</v>
      </c>
    </row>
    <row r="59" spans="2:18" x14ac:dyDescent="0.3">
      <c r="L59" s="15"/>
      <c r="M59"/>
      <c r="N59"/>
      <c r="O59"/>
      <c r="P59"/>
      <c r="Q59"/>
    </row>
    <row r="60" spans="2:18" x14ac:dyDescent="0.3">
      <c r="L60" s="15"/>
      <c r="M60" s="21" t="s">
        <v>34</v>
      </c>
      <c r="N60"/>
      <c r="O60" s="21" t="s">
        <v>26</v>
      </c>
      <c r="P60"/>
      <c r="Q60"/>
    </row>
    <row r="61" spans="2:18" x14ac:dyDescent="0.3">
      <c r="L61" s="15"/>
      <c r="M61"/>
      <c r="N61"/>
      <c r="O61"/>
      <c r="P61"/>
      <c r="Q61"/>
    </row>
    <row r="62" spans="2:18" x14ac:dyDescent="0.3">
      <c r="L62" s="15"/>
      <c r="M62"/>
      <c r="N62"/>
      <c r="O62"/>
      <c r="P62"/>
      <c r="Q62"/>
    </row>
    <row r="63" spans="2:18" x14ac:dyDescent="0.3">
      <c r="L63" s="15"/>
      <c r="M63"/>
      <c r="N63"/>
      <c r="O63"/>
      <c r="P63"/>
      <c r="Q63"/>
    </row>
    <row r="64" spans="2:18" x14ac:dyDescent="0.3">
      <c r="L64" s="15"/>
      <c r="M64"/>
      <c r="N64"/>
      <c r="O64"/>
      <c r="P64"/>
      <c r="Q64"/>
    </row>
    <row r="65" spans="12:17" x14ac:dyDescent="0.3">
      <c r="L65" s="15"/>
      <c r="M65"/>
      <c r="N65"/>
      <c r="O65"/>
      <c r="P65"/>
      <c r="Q65"/>
    </row>
    <row r="66" spans="12:17" x14ac:dyDescent="0.3">
      <c r="L66" s="15"/>
      <c r="M66"/>
      <c r="N66"/>
      <c r="O66"/>
      <c r="P66"/>
      <c r="Q66"/>
    </row>
    <row r="67" spans="12:17" x14ac:dyDescent="0.3">
      <c r="L67" s="15"/>
      <c r="M67"/>
      <c r="N67"/>
      <c r="O67"/>
      <c r="P67"/>
      <c r="Q67"/>
    </row>
    <row r="68" spans="12:17" x14ac:dyDescent="0.3">
      <c r="L68" s="15"/>
      <c r="M68"/>
      <c r="N68"/>
      <c r="O68"/>
      <c r="P68"/>
      <c r="Q68"/>
    </row>
  </sheetData>
  <mergeCells count="44">
    <mergeCell ref="B55:J55"/>
    <mergeCell ref="B56:J56"/>
    <mergeCell ref="B46:J46"/>
    <mergeCell ref="B48:J48"/>
    <mergeCell ref="B49:J49"/>
    <mergeCell ref="B51:J51"/>
    <mergeCell ref="B52:J52"/>
    <mergeCell ref="B53:J53"/>
    <mergeCell ref="B45:J45"/>
    <mergeCell ref="B34:J34"/>
    <mergeCell ref="B35:J35"/>
    <mergeCell ref="B36:J36"/>
    <mergeCell ref="B37:J37"/>
    <mergeCell ref="B38:J38"/>
    <mergeCell ref="B39:J39"/>
    <mergeCell ref="B40:J40"/>
    <mergeCell ref="B41:J41"/>
    <mergeCell ref="B42:J42"/>
    <mergeCell ref="B43:J43"/>
    <mergeCell ref="B44:J44"/>
    <mergeCell ref="B32:J32"/>
    <mergeCell ref="B17:J17"/>
    <mergeCell ref="B18:J18"/>
    <mergeCell ref="B20:J20"/>
    <mergeCell ref="B21:J21"/>
    <mergeCell ref="B23:J23"/>
    <mergeCell ref="B24:J24"/>
    <mergeCell ref="B25:J25"/>
    <mergeCell ref="B26:J26"/>
    <mergeCell ref="B27:J27"/>
    <mergeCell ref="B29:J29"/>
    <mergeCell ref="B30:J30"/>
    <mergeCell ref="B16:J16"/>
    <mergeCell ref="B1:L1"/>
    <mergeCell ref="B2:J2"/>
    <mergeCell ref="B4:J4"/>
    <mergeCell ref="B6:J6"/>
    <mergeCell ref="B7:J7"/>
    <mergeCell ref="B8:J8"/>
    <mergeCell ref="B9:J9"/>
    <mergeCell ref="B10:J10"/>
    <mergeCell ref="B11:J11"/>
    <mergeCell ref="B12:J12"/>
    <mergeCell ref="B15:J15"/>
  </mergeCells>
  <pageMargins left="0.7" right="0.7" top="0.75" bottom="0.75" header="0.3" footer="0.3"/>
  <pageSetup paperSize="9" scale="27" orientation="portrait" r:id="rId1"/>
  <headerFooter>
    <oddHeader>&amp;L&amp;"Calibri"&amp;10&amp;K000000Classified as Confidential&amp;1#</oddHeader>
  </headerFooter>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71AE2-997A-4590-8FC5-45619A78FB0F}">
  <sheetPr>
    <tabColor rgb="FFFFC000"/>
  </sheetPr>
  <dimension ref="A1"/>
  <sheetViews>
    <sheetView workbookViewId="0">
      <selection activeCell="L91" sqref="L91"/>
    </sheetView>
  </sheetViews>
  <sheetFormatPr defaultRowHeight="14.4" x14ac:dyDescent="0.3"/>
  <sheetData/>
  <pageMargins left="0.7" right="0.7" top="0.75" bottom="0.75" header="0.3" footer="0.3"/>
  <pageSetup paperSize="9" orientation="portrait" r:id="rId1"/>
  <headerFooter>
    <oddHeader>&amp;L&amp;"Calibri"&amp;10&amp;K000000Classified as Confidential&amp;1#</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F6331-FD53-4FCF-9079-719882CAB966}">
  <dimension ref="A1:M21"/>
  <sheetViews>
    <sheetView zoomScale="70" zoomScaleNormal="70" workbookViewId="0">
      <selection activeCell="G24" sqref="G24"/>
    </sheetView>
  </sheetViews>
  <sheetFormatPr defaultRowHeight="14.4" x14ac:dyDescent="0.3"/>
  <cols>
    <col min="1" max="1" width="44.77734375" customWidth="1"/>
    <col min="2" max="2" width="14.21875" customWidth="1"/>
    <col min="3" max="3" width="16.21875" customWidth="1"/>
    <col min="4" max="15" width="11.44140625" customWidth="1"/>
    <col min="257" max="257" width="44.77734375" customWidth="1"/>
    <col min="258" max="258" width="14.21875" customWidth="1"/>
    <col min="259" max="259" width="16.21875" customWidth="1"/>
    <col min="260" max="271" width="11.44140625" customWidth="1"/>
    <col min="513" max="513" width="44.77734375" customWidth="1"/>
    <col min="514" max="514" width="14.21875" customWidth="1"/>
    <col min="515" max="515" width="16.21875" customWidth="1"/>
    <col min="516" max="527" width="11.44140625" customWidth="1"/>
    <col min="769" max="769" width="44.77734375" customWidth="1"/>
    <col min="770" max="770" width="14.21875" customWidth="1"/>
    <col min="771" max="771" width="16.21875" customWidth="1"/>
    <col min="772" max="783" width="11.44140625" customWidth="1"/>
    <col min="1025" max="1025" width="44.77734375" customWidth="1"/>
    <col min="1026" max="1026" width="14.21875" customWidth="1"/>
    <col min="1027" max="1027" width="16.21875" customWidth="1"/>
    <col min="1028" max="1039" width="11.44140625" customWidth="1"/>
    <col min="1281" max="1281" width="44.77734375" customWidth="1"/>
    <col min="1282" max="1282" width="14.21875" customWidth="1"/>
    <col min="1283" max="1283" width="16.21875" customWidth="1"/>
    <col min="1284" max="1295" width="11.44140625" customWidth="1"/>
    <col min="1537" max="1537" width="44.77734375" customWidth="1"/>
    <col min="1538" max="1538" width="14.21875" customWidth="1"/>
    <col min="1539" max="1539" width="16.21875" customWidth="1"/>
    <col min="1540" max="1551" width="11.44140625" customWidth="1"/>
    <col min="1793" max="1793" width="44.77734375" customWidth="1"/>
    <col min="1794" max="1794" width="14.21875" customWidth="1"/>
    <col min="1795" max="1795" width="16.21875" customWidth="1"/>
    <col min="1796" max="1807" width="11.44140625" customWidth="1"/>
    <col min="2049" max="2049" width="44.77734375" customWidth="1"/>
    <col min="2050" max="2050" width="14.21875" customWidth="1"/>
    <col min="2051" max="2051" width="16.21875" customWidth="1"/>
    <col min="2052" max="2063" width="11.44140625" customWidth="1"/>
    <col min="2305" max="2305" width="44.77734375" customWidth="1"/>
    <col min="2306" max="2306" width="14.21875" customWidth="1"/>
    <col min="2307" max="2307" width="16.21875" customWidth="1"/>
    <col min="2308" max="2319" width="11.44140625" customWidth="1"/>
    <col min="2561" max="2561" width="44.77734375" customWidth="1"/>
    <col min="2562" max="2562" width="14.21875" customWidth="1"/>
    <col min="2563" max="2563" width="16.21875" customWidth="1"/>
    <col min="2564" max="2575" width="11.44140625" customWidth="1"/>
    <col min="2817" max="2817" width="44.77734375" customWidth="1"/>
    <col min="2818" max="2818" width="14.21875" customWidth="1"/>
    <col min="2819" max="2819" width="16.21875" customWidth="1"/>
    <col min="2820" max="2831" width="11.44140625" customWidth="1"/>
    <col min="3073" max="3073" width="44.77734375" customWidth="1"/>
    <col min="3074" max="3074" width="14.21875" customWidth="1"/>
    <col min="3075" max="3075" width="16.21875" customWidth="1"/>
    <col min="3076" max="3087" width="11.44140625" customWidth="1"/>
    <col min="3329" max="3329" width="44.77734375" customWidth="1"/>
    <col min="3330" max="3330" width="14.21875" customWidth="1"/>
    <col min="3331" max="3331" width="16.21875" customWidth="1"/>
    <col min="3332" max="3343" width="11.44140625" customWidth="1"/>
    <col min="3585" max="3585" width="44.77734375" customWidth="1"/>
    <col min="3586" max="3586" width="14.21875" customWidth="1"/>
    <col min="3587" max="3587" width="16.21875" customWidth="1"/>
    <col min="3588" max="3599" width="11.44140625" customWidth="1"/>
    <col min="3841" max="3841" width="44.77734375" customWidth="1"/>
    <col min="3842" max="3842" width="14.21875" customWidth="1"/>
    <col min="3843" max="3843" width="16.21875" customWidth="1"/>
    <col min="3844" max="3855" width="11.44140625" customWidth="1"/>
    <col min="4097" max="4097" width="44.77734375" customWidth="1"/>
    <col min="4098" max="4098" width="14.21875" customWidth="1"/>
    <col min="4099" max="4099" width="16.21875" customWidth="1"/>
    <col min="4100" max="4111" width="11.44140625" customWidth="1"/>
    <col min="4353" max="4353" width="44.77734375" customWidth="1"/>
    <col min="4354" max="4354" width="14.21875" customWidth="1"/>
    <col min="4355" max="4355" width="16.21875" customWidth="1"/>
    <col min="4356" max="4367" width="11.44140625" customWidth="1"/>
    <col min="4609" max="4609" width="44.77734375" customWidth="1"/>
    <col min="4610" max="4610" width="14.21875" customWidth="1"/>
    <col min="4611" max="4611" width="16.21875" customWidth="1"/>
    <col min="4612" max="4623" width="11.44140625" customWidth="1"/>
    <col min="4865" max="4865" width="44.77734375" customWidth="1"/>
    <col min="4866" max="4866" width="14.21875" customWidth="1"/>
    <col min="4867" max="4867" width="16.21875" customWidth="1"/>
    <col min="4868" max="4879" width="11.44140625" customWidth="1"/>
    <col min="5121" max="5121" width="44.77734375" customWidth="1"/>
    <col min="5122" max="5122" width="14.21875" customWidth="1"/>
    <col min="5123" max="5123" width="16.21875" customWidth="1"/>
    <col min="5124" max="5135" width="11.44140625" customWidth="1"/>
    <col min="5377" max="5377" width="44.77734375" customWidth="1"/>
    <col min="5378" max="5378" width="14.21875" customWidth="1"/>
    <col min="5379" max="5379" width="16.21875" customWidth="1"/>
    <col min="5380" max="5391" width="11.44140625" customWidth="1"/>
    <col min="5633" max="5633" width="44.77734375" customWidth="1"/>
    <col min="5634" max="5634" width="14.21875" customWidth="1"/>
    <col min="5635" max="5635" width="16.21875" customWidth="1"/>
    <col min="5636" max="5647" width="11.44140625" customWidth="1"/>
    <col min="5889" max="5889" width="44.77734375" customWidth="1"/>
    <col min="5890" max="5890" width="14.21875" customWidth="1"/>
    <col min="5891" max="5891" width="16.21875" customWidth="1"/>
    <col min="5892" max="5903" width="11.44140625" customWidth="1"/>
    <col min="6145" max="6145" width="44.77734375" customWidth="1"/>
    <col min="6146" max="6146" width="14.21875" customWidth="1"/>
    <col min="6147" max="6147" width="16.21875" customWidth="1"/>
    <col min="6148" max="6159" width="11.44140625" customWidth="1"/>
    <col min="6401" max="6401" width="44.77734375" customWidth="1"/>
    <col min="6402" max="6402" width="14.21875" customWidth="1"/>
    <col min="6403" max="6403" width="16.21875" customWidth="1"/>
    <col min="6404" max="6415" width="11.44140625" customWidth="1"/>
    <col min="6657" max="6657" width="44.77734375" customWidth="1"/>
    <col min="6658" max="6658" width="14.21875" customWidth="1"/>
    <col min="6659" max="6659" width="16.21875" customWidth="1"/>
    <col min="6660" max="6671" width="11.44140625" customWidth="1"/>
    <col min="6913" max="6913" width="44.77734375" customWidth="1"/>
    <col min="6914" max="6914" width="14.21875" customWidth="1"/>
    <col min="6915" max="6915" width="16.21875" customWidth="1"/>
    <col min="6916" max="6927" width="11.44140625" customWidth="1"/>
    <col min="7169" max="7169" width="44.77734375" customWidth="1"/>
    <col min="7170" max="7170" width="14.21875" customWidth="1"/>
    <col min="7171" max="7171" width="16.21875" customWidth="1"/>
    <col min="7172" max="7183" width="11.44140625" customWidth="1"/>
    <col min="7425" max="7425" width="44.77734375" customWidth="1"/>
    <col min="7426" max="7426" width="14.21875" customWidth="1"/>
    <col min="7427" max="7427" width="16.21875" customWidth="1"/>
    <col min="7428" max="7439" width="11.44140625" customWidth="1"/>
    <col min="7681" max="7681" width="44.77734375" customWidth="1"/>
    <col min="7682" max="7682" width="14.21875" customWidth="1"/>
    <col min="7683" max="7683" width="16.21875" customWidth="1"/>
    <col min="7684" max="7695" width="11.44140625" customWidth="1"/>
    <col min="7937" max="7937" width="44.77734375" customWidth="1"/>
    <col min="7938" max="7938" width="14.21875" customWidth="1"/>
    <col min="7939" max="7939" width="16.21875" customWidth="1"/>
    <col min="7940" max="7951" width="11.44140625" customWidth="1"/>
    <col min="8193" max="8193" width="44.77734375" customWidth="1"/>
    <col min="8194" max="8194" width="14.21875" customWidth="1"/>
    <col min="8195" max="8195" width="16.21875" customWidth="1"/>
    <col min="8196" max="8207" width="11.44140625" customWidth="1"/>
    <col min="8449" max="8449" width="44.77734375" customWidth="1"/>
    <col min="8450" max="8450" width="14.21875" customWidth="1"/>
    <col min="8451" max="8451" width="16.21875" customWidth="1"/>
    <col min="8452" max="8463" width="11.44140625" customWidth="1"/>
    <col min="8705" max="8705" width="44.77734375" customWidth="1"/>
    <col min="8706" max="8706" width="14.21875" customWidth="1"/>
    <col min="8707" max="8707" width="16.21875" customWidth="1"/>
    <col min="8708" max="8719" width="11.44140625" customWidth="1"/>
    <col min="8961" max="8961" width="44.77734375" customWidth="1"/>
    <col min="8962" max="8962" width="14.21875" customWidth="1"/>
    <col min="8963" max="8963" width="16.21875" customWidth="1"/>
    <col min="8964" max="8975" width="11.44140625" customWidth="1"/>
    <col min="9217" max="9217" width="44.77734375" customWidth="1"/>
    <col min="9218" max="9218" width="14.21875" customWidth="1"/>
    <col min="9219" max="9219" width="16.21875" customWidth="1"/>
    <col min="9220" max="9231" width="11.44140625" customWidth="1"/>
    <col min="9473" max="9473" width="44.77734375" customWidth="1"/>
    <col min="9474" max="9474" width="14.21875" customWidth="1"/>
    <col min="9475" max="9475" width="16.21875" customWidth="1"/>
    <col min="9476" max="9487" width="11.44140625" customWidth="1"/>
    <col min="9729" max="9729" width="44.77734375" customWidth="1"/>
    <col min="9730" max="9730" width="14.21875" customWidth="1"/>
    <col min="9731" max="9731" width="16.21875" customWidth="1"/>
    <col min="9732" max="9743" width="11.44140625" customWidth="1"/>
    <col min="9985" max="9985" width="44.77734375" customWidth="1"/>
    <col min="9986" max="9986" width="14.21875" customWidth="1"/>
    <col min="9987" max="9987" width="16.21875" customWidth="1"/>
    <col min="9988" max="9999" width="11.44140625" customWidth="1"/>
    <col min="10241" max="10241" width="44.77734375" customWidth="1"/>
    <col min="10242" max="10242" width="14.21875" customWidth="1"/>
    <col min="10243" max="10243" width="16.21875" customWidth="1"/>
    <col min="10244" max="10255" width="11.44140625" customWidth="1"/>
    <col min="10497" max="10497" width="44.77734375" customWidth="1"/>
    <col min="10498" max="10498" width="14.21875" customWidth="1"/>
    <col min="10499" max="10499" width="16.21875" customWidth="1"/>
    <col min="10500" max="10511" width="11.44140625" customWidth="1"/>
    <col min="10753" max="10753" width="44.77734375" customWidth="1"/>
    <col min="10754" max="10754" width="14.21875" customWidth="1"/>
    <col min="10755" max="10755" width="16.21875" customWidth="1"/>
    <col min="10756" max="10767" width="11.44140625" customWidth="1"/>
    <col min="11009" max="11009" width="44.77734375" customWidth="1"/>
    <col min="11010" max="11010" width="14.21875" customWidth="1"/>
    <col min="11011" max="11011" width="16.21875" customWidth="1"/>
    <col min="11012" max="11023" width="11.44140625" customWidth="1"/>
    <col min="11265" max="11265" width="44.77734375" customWidth="1"/>
    <col min="11266" max="11266" width="14.21875" customWidth="1"/>
    <col min="11267" max="11267" width="16.21875" customWidth="1"/>
    <col min="11268" max="11279" width="11.44140625" customWidth="1"/>
    <col min="11521" max="11521" width="44.77734375" customWidth="1"/>
    <col min="11522" max="11522" width="14.21875" customWidth="1"/>
    <col min="11523" max="11523" width="16.21875" customWidth="1"/>
    <col min="11524" max="11535" width="11.44140625" customWidth="1"/>
    <col min="11777" max="11777" width="44.77734375" customWidth="1"/>
    <col min="11778" max="11778" width="14.21875" customWidth="1"/>
    <col min="11779" max="11779" width="16.21875" customWidth="1"/>
    <col min="11780" max="11791" width="11.44140625" customWidth="1"/>
    <col min="12033" max="12033" width="44.77734375" customWidth="1"/>
    <col min="12034" max="12034" width="14.21875" customWidth="1"/>
    <col min="12035" max="12035" width="16.21875" customWidth="1"/>
    <col min="12036" max="12047" width="11.44140625" customWidth="1"/>
    <col min="12289" max="12289" width="44.77734375" customWidth="1"/>
    <col min="12290" max="12290" width="14.21875" customWidth="1"/>
    <col min="12291" max="12291" width="16.21875" customWidth="1"/>
    <col min="12292" max="12303" width="11.44140625" customWidth="1"/>
    <col min="12545" max="12545" width="44.77734375" customWidth="1"/>
    <col min="12546" max="12546" width="14.21875" customWidth="1"/>
    <col min="12547" max="12547" width="16.21875" customWidth="1"/>
    <col min="12548" max="12559" width="11.44140625" customWidth="1"/>
    <col min="12801" max="12801" width="44.77734375" customWidth="1"/>
    <col min="12802" max="12802" width="14.21875" customWidth="1"/>
    <col min="12803" max="12803" width="16.21875" customWidth="1"/>
    <col min="12804" max="12815" width="11.44140625" customWidth="1"/>
    <col min="13057" max="13057" width="44.77734375" customWidth="1"/>
    <col min="13058" max="13058" width="14.21875" customWidth="1"/>
    <col min="13059" max="13059" width="16.21875" customWidth="1"/>
    <col min="13060" max="13071" width="11.44140625" customWidth="1"/>
    <col min="13313" max="13313" width="44.77734375" customWidth="1"/>
    <col min="13314" max="13314" width="14.21875" customWidth="1"/>
    <col min="13315" max="13315" width="16.21875" customWidth="1"/>
    <col min="13316" max="13327" width="11.44140625" customWidth="1"/>
    <col min="13569" max="13569" width="44.77734375" customWidth="1"/>
    <col min="13570" max="13570" width="14.21875" customWidth="1"/>
    <col min="13571" max="13571" width="16.21875" customWidth="1"/>
    <col min="13572" max="13583" width="11.44140625" customWidth="1"/>
    <col min="13825" max="13825" width="44.77734375" customWidth="1"/>
    <col min="13826" max="13826" width="14.21875" customWidth="1"/>
    <col min="13827" max="13827" width="16.21875" customWidth="1"/>
    <col min="13828" max="13839" width="11.44140625" customWidth="1"/>
    <col min="14081" max="14081" width="44.77734375" customWidth="1"/>
    <col min="14082" max="14082" width="14.21875" customWidth="1"/>
    <col min="14083" max="14083" width="16.21875" customWidth="1"/>
    <col min="14084" max="14095" width="11.44140625" customWidth="1"/>
    <col min="14337" max="14337" width="44.77734375" customWidth="1"/>
    <col min="14338" max="14338" width="14.21875" customWidth="1"/>
    <col min="14339" max="14339" width="16.21875" customWidth="1"/>
    <col min="14340" max="14351" width="11.44140625" customWidth="1"/>
    <col min="14593" max="14593" width="44.77734375" customWidth="1"/>
    <col min="14594" max="14594" width="14.21875" customWidth="1"/>
    <col min="14595" max="14595" width="16.21875" customWidth="1"/>
    <col min="14596" max="14607" width="11.44140625" customWidth="1"/>
    <col min="14849" max="14849" width="44.77734375" customWidth="1"/>
    <col min="14850" max="14850" width="14.21875" customWidth="1"/>
    <col min="14851" max="14851" width="16.21875" customWidth="1"/>
    <col min="14852" max="14863" width="11.44140625" customWidth="1"/>
    <col min="15105" max="15105" width="44.77734375" customWidth="1"/>
    <col min="15106" max="15106" width="14.21875" customWidth="1"/>
    <col min="15107" max="15107" width="16.21875" customWidth="1"/>
    <col min="15108" max="15119" width="11.44140625" customWidth="1"/>
    <col min="15361" max="15361" width="44.77734375" customWidth="1"/>
    <col min="15362" max="15362" width="14.21875" customWidth="1"/>
    <col min="15363" max="15363" width="16.21875" customWidth="1"/>
    <col min="15364" max="15375" width="11.44140625" customWidth="1"/>
    <col min="15617" max="15617" width="44.77734375" customWidth="1"/>
    <col min="15618" max="15618" width="14.21875" customWidth="1"/>
    <col min="15619" max="15619" width="16.21875" customWidth="1"/>
    <col min="15620" max="15631" width="11.44140625" customWidth="1"/>
    <col min="15873" max="15873" width="44.77734375" customWidth="1"/>
    <col min="15874" max="15874" width="14.21875" customWidth="1"/>
    <col min="15875" max="15875" width="16.21875" customWidth="1"/>
    <col min="15876" max="15887" width="11.44140625" customWidth="1"/>
    <col min="16129" max="16129" width="44.77734375" customWidth="1"/>
    <col min="16130" max="16130" width="14.21875" customWidth="1"/>
    <col min="16131" max="16131" width="16.21875" customWidth="1"/>
    <col min="16132" max="16143" width="11.44140625" customWidth="1"/>
  </cols>
  <sheetData>
    <row r="1" spans="1:13" ht="15" thickBot="1" x14ac:dyDescent="0.35">
      <c r="B1" s="23" t="s">
        <v>35</v>
      </c>
      <c r="C1" s="24" t="s">
        <v>36</v>
      </c>
      <c r="D1" s="24" t="s">
        <v>37</v>
      </c>
      <c r="E1" s="24" t="s">
        <v>38</v>
      </c>
      <c r="F1" s="24" t="s">
        <v>39</v>
      </c>
      <c r="G1" s="24" t="s">
        <v>40</v>
      </c>
      <c r="H1" s="24" t="s">
        <v>41</v>
      </c>
      <c r="I1" s="24" t="s">
        <v>42</v>
      </c>
      <c r="J1" s="24" t="s">
        <v>43</v>
      </c>
      <c r="K1" s="24" t="s">
        <v>44</v>
      </c>
      <c r="L1" s="24" t="s">
        <v>45</v>
      </c>
      <c r="M1" s="25" t="s">
        <v>46</v>
      </c>
    </row>
    <row r="2" spans="1:13" ht="26.55" customHeight="1" thickBot="1" x14ac:dyDescent="0.35">
      <c r="A2" s="26" t="s">
        <v>47</v>
      </c>
      <c r="B2" s="27" t="s">
        <v>48</v>
      </c>
      <c r="C2" s="28" t="s">
        <v>48</v>
      </c>
      <c r="D2" s="28" t="s">
        <v>48</v>
      </c>
      <c r="E2" s="28" t="s">
        <v>48</v>
      </c>
      <c r="F2" s="28" t="s">
        <v>48</v>
      </c>
      <c r="G2" s="28" t="s">
        <v>48</v>
      </c>
      <c r="H2" s="28" t="s">
        <v>48</v>
      </c>
      <c r="I2" s="28" t="s">
        <v>48</v>
      </c>
      <c r="J2" s="28" t="s">
        <v>48</v>
      </c>
      <c r="K2" s="28" t="s">
        <v>48</v>
      </c>
      <c r="L2" s="28" t="s">
        <v>48</v>
      </c>
      <c r="M2" s="29" t="s">
        <v>48</v>
      </c>
    </row>
    <row r="3" spans="1:13" x14ac:dyDescent="0.3">
      <c r="A3" s="30">
        <v>1</v>
      </c>
      <c r="B3" s="31">
        <v>1.7722000000000002E-2</v>
      </c>
      <c r="C3" s="32">
        <v>2.7654999999999999E-2</v>
      </c>
      <c r="D3" s="32">
        <v>4.9389999999999998E-3</v>
      </c>
      <c r="E3" s="32">
        <v>1.2213E-2</v>
      </c>
      <c r="F3" s="32">
        <v>3.117E-3</v>
      </c>
      <c r="G3" s="32">
        <v>5.3930000000000002E-3</v>
      </c>
      <c r="H3" s="32">
        <v>1.7722000000000002E-2</v>
      </c>
      <c r="I3" s="32">
        <v>2.7654999999999999E-2</v>
      </c>
      <c r="J3" s="32">
        <v>4.9389999999999998E-3</v>
      </c>
      <c r="K3" s="32">
        <v>1.2213E-2</v>
      </c>
      <c r="L3" s="32">
        <v>3.117E-3</v>
      </c>
      <c r="M3" s="33">
        <v>5.3930000000000002E-3</v>
      </c>
    </row>
    <row r="4" spans="1:13" x14ac:dyDescent="0.3">
      <c r="A4" s="30">
        <v>2</v>
      </c>
      <c r="B4" s="31">
        <v>3.0539E-2</v>
      </c>
      <c r="C4" s="32">
        <v>4.7011999999999998E-2</v>
      </c>
      <c r="D4" s="32">
        <v>7.4130000000000003E-3</v>
      </c>
      <c r="E4" s="32">
        <v>1.8334E-2</v>
      </c>
      <c r="F4" s="32">
        <v>1.2766E-2</v>
      </c>
      <c r="G4" s="32">
        <v>1.8637000000000001E-2</v>
      </c>
      <c r="H4" s="32">
        <v>3.0539E-2</v>
      </c>
      <c r="I4" s="32">
        <v>4.7011999999999998E-2</v>
      </c>
      <c r="J4" s="32">
        <v>7.4130000000000003E-3</v>
      </c>
      <c r="K4" s="32">
        <v>1.8334E-2</v>
      </c>
      <c r="L4" s="32">
        <v>1.2766E-2</v>
      </c>
      <c r="M4" s="33">
        <v>1.8637000000000001E-2</v>
      </c>
    </row>
    <row r="5" spans="1:13" x14ac:dyDescent="0.3">
      <c r="A5" s="30">
        <v>3</v>
      </c>
      <c r="B5" s="31">
        <v>4.4713000000000003E-2</v>
      </c>
      <c r="C5" s="32">
        <v>6.8243999999999999E-2</v>
      </c>
      <c r="D5" s="32">
        <v>9.8849999999999997E-3</v>
      </c>
      <c r="E5" s="32">
        <v>2.4447E-2</v>
      </c>
      <c r="F5" s="32">
        <v>2.6078E-2</v>
      </c>
      <c r="G5" s="32">
        <v>3.7824999999999998E-2</v>
      </c>
      <c r="H5" s="32">
        <v>4.4713000000000003E-2</v>
      </c>
      <c r="I5" s="32">
        <v>6.8243999999999999E-2</v>
      </c>
      <c r="J5" s="32">
        <v>9.8849999999999997E-3</v>
      </c>
      <c r="K5" s="32">
        <v>2.4447E-2</v>
      </c>
      <c r="L5" s="32">
        <v>2.6078E-2</v>
      </c>
      <c r="M5" s="33">
        <v>3.7824999999999998E-2</v>
      </c>
    </row>
    <row r="6" spans="1:13" x14ac:dyDescent="0.3">
      <c r="A6" s="30">
        <v>4</v>
      </c>
      <c r="B6" s="31">
        <v>5.9871000000000001E-2</v>
      </c>
      <c r="C6" s="32">
        <v>9.0856999999999993E-2</v>
      </c>
      <c r="D6" s="32">
        <v>1.2347E-2</v>
      </c>
      <c r="E6" s="32">
        <v>3.0535E-2</v>
      </c>
      <c r="F6" s="32">
        <v>4.0335999999999997E-2</v>
      </c>
      <c r="G6" s="32">
        <v>5.8288E-2</v>
      </c>
      <c r="H6" s="32">
        <v>5.9871000000000001E-2</v>
      </c>
      <c r="I6" s="32">
        <v>9.0856999999999993E-2</v>
      </c>
      <c r="J6" s="32">
        <v>1.2347E-2</v>
      </c>
      <c r="K6" s="32">
        <v>3.0535E-2</v>
      </c>
      <c r="L6" s="32">
        <v>4.0335999999999997E-2</v>
      </c>
      <c r="M6" s="33">
        <v>5.8288E-2</v>
      </c>
    </row>
    <row r="7" spans="1:13" ht="15" thickBot="1" x14ac:dyDescent="0.35">
      <c r="A7" s="34">
        <v>5</v>
      </c>
      <c r="B7" s="35">
        <v>7.5755000000000003E-2</v>
      </c>
      <c r="C7" s="36">
        <v>0.11448</v>
      </c>
      <c r="D7" s="36">
        <v>1.4794E-2</v>
      </c>
      <c r="E7" s="36">
        <v>3.6588000000000002E-2</v>
      </c>
      <c r="F7" s="36">
        <v>5.5278000000000001E-2</v>
      </c>
      <c r="G7" s="36">
        <v>7.9661999999999997E-2</v>
      </c>
      <c r="H7" s="36">
        <v>7.5755000000000003E-2</v>
      </c>
      <c r="I7" s="36">
        <v>0.11448</v>
      </c>
      <c r="J7" s="36">
        <v>1.4794E-2</v>
      </c>
      <c r="K7" s="36">
        <v>3.6588000000000002E-2</v>
      </c>
      <c r="L7" s="36">
        <v>5.5278000000000001E-2</v>
      </c>
      <c r="M7" s="37">
        <v>7.9661999999999997E-2</v>
      </c>
    </row>
    <row r="8" spans="1:13" x14ac:dyDescent="0.3">
      <c r="A8" t="s">
        <v>49</v>
      </c>
      <c r="B8" s="38">
        <v>0.13500000000000001</v>
      </c>
      <c r="C8" s="38">
        <v>0.13500000000000001</v>
      </c>
      <c r="D8" s="38">
        <v>0.13500000000000001</v>
      </c>
      <c r="E8" s="38">
        <v>0.13500000000000001</v>
      </c>
      <c r="F8" s="38">
        <v>0.13500000000000001</v>
      </c>
      <c r="G8" s="38">
        <v>0.13500000000000001</v>
      </c>
      <c r="H8" s="38">
        <v>0.13500000000000001</v>
      </c>
      <c r="I8" s="38">
        <v>0.13500000000000001</v>
      </c>
      <c r="J8" s="38">
        <v>0.13500000000000001</v>
      </c>
      <c r="K8" s="38">
        <v>0.13500000000000001</v>
      </c>
      <c r="L8" s="38">
        <v>0.13500000000000001</v>
      </c>
      <c r="M8" s="38">
        <v>0.13500000000000001</v>
      </c>
    </row>
    <row r="9" spans="1:13" x14ac:dyDescent="0.3">
      <c r="A9" t="s">
        <v>50</v>
      </c>
      <c r="B9" s="39">
        <v>0.5</v>
      </c>
      <c r="C9" s="39">
        <v>0.5</v>
      </c>
      <c r="D9" s="39">
        <v>0.5</v>
      </c>
      <c r="E9" s="39">
        <v>0.5</v>
      </c>
      <c r="F9" s="39">
        <v>0.5</v>
      </c>
      <c r="G9" s="39">
        <v>0.5</v>
      </c>
      <c r="H9" s="39">
        <v>0.5</v>
      </c>
      <c r="I9" s="39">
        <v>0.5</v>
      </c>
      <c r="J9" s="39">
        <v>0.5</v>
      </c>
      <c r="K9" s="39">
        <v>0.5</v>
      </c>
      <c r="L9" s="39">
        <v>0.5</v>
      </c>
      <c r="M9" s="39">
        <v>0.5</v>
      </c>
    </row>
    <row r="10" spans="1:13" x14ac:dyDescent="0.3">
      <c r="A10" t="s">
        <v>51</v>
      </c>
      <c r="B10" s="40">
        <v>0</v>
      </c>
      <c r="C10" s="40">
        <v>0</v>
      </c>
      <c r="D10" s="40">
        <v>0</v>
      </c>
      <c r="E10" s="40">
        <v>0</v>
      </c>
      <c r="F10" s="40">
        <v>0</v>
      </c>
      <c r="G10" s="40">
        <v>0</v>
      </c>
      <c r="H10" s="40">
        <v>0</v>
      </c>
      <c r="I10" s="40">
        <v>0</v>
      </c>
      <c r="J10" s="40">
        <v>0</v>
      </c>
      <c r="K10" s="40">
        <v>0</v>
      </c>
      <c r="L10" s="40">
        <v>0</v>
      </c>
      <c r="M10" s="40">
        <v>0</v>
      </c>
    </row>
    <row r="11" spans="1:13" ht="23.1" customHeight="1" x14ac:dyDescent="0.3">
      <c r="A11" s="41" t="s">
        <v>52</v>
      </c>
      <c r="B11" s="40">
        <v>0</v>
      </c>
      <c r="C11" s="40">
        <v>0</v>
      </c>
      <c r="D11" s="40">
        <v>0</v>
      </c>
      <c r="E11" s="40">
        <v>0</v>
      </c>
      <c r="F11" s="40">
        <v>0</v>
      </c>
      <c r="G11" s="40">
        <v>0</v>
      </c>
      <c r="H11" s="40">
        <v>0</v>
      </c>
      <c r="I11" s="40">
        <v>0</v>
      </c>
      <c r="J11" s="40">
        <v>0</v>
      </c>
      <c r="K11" s="40">
        <v>0</v>
      </c>
      <c r="L11" s="40">
        <v>0</v>
      </c>
      <c r="M11" s="40">
        <v>0</v>
      </c>
    </row>
    <row r="12" spans="1:13" ht="15" thickBot="1" x14ac:dyDescent="0.35"/>
    <row r="13" spans="1:13" ht="15" thickBot="1" x14ac:dyDescent="0.35">
      <c r="A13" s="42"/>
      <c r="B13" s="43">
        <f>ROUNDDOWN(('Refund calculator (GAP only)'!C11-'Refund calculator (GAP only)'!C10)/30.25,0)</f>
        <v>72</v>
      </c>
    </row>
    <row r="14" spans="1:13" ht="15" thickBot="1" x14ac:dyDescent="0.35">
      <c r="A14" s="42" t="s">
        <v>53</v>
      </c>
      <c r="B14" s="43">
        <f>IF(AND(B13&gt;=A17,B13&lt;B17),1,IF(AND(B13&gt;=A18,B13&lt;B18),2,IF(AND(B13&gt;=A19,B13&lt;B19),3,IF(AND(B13&gt;=A20,B13&lt;B20),4,IF(AND(B13&gt;=A21,B13&lt;B21),5)))))</f>
        <v>5</v>
      </c>
    </row>
    <row r="15" spans="1:13" ht="15" thickBot="1" x14ac:dyDescent="0.35"/>
    <row r="16" spans="1:13" ht="28.8" x14ac:dyDescent="0.3">
      <c r="A16" s="44" t="s">
        <v>54</v>
      </c>
      <c r="B16" s="45" t="s">
        <v>55</v>
      </c>
    </row>
    <row r="17" spans="1:2" x14ac:dyDescent="0.3">
      <c r="A17" s="46">
        <v>18</v>
      </c>
      <c r="B17" s="47">
        <v>29</v>
      </c>
    </row>
    <row r="18" spans="1:2" x14ac:dyDescent="0.3">
      <c r="A18" s="46">
        <v>30</v>
      </c>
      <c r="B18" s="47">
        <v>41</v>
      </c>
    </row>
    <row r="19" spans="1:2" x14ac:dyDescent="0.3">
      <c r="A19" s="46">
        <v>42</v>
      </c>
      <c r="B19" s="47">
        <v>55</v>
      </c>
    </row>
    <row r="20" spans="1:2" x14ac:dyDescent="0.3">
      <c r="A20" s="46">
        <v>54</v>
      </c>
      <c r="B20" s="47">
        <v>65</v>
      </c>
    </row>
    <row r="21" spans="1:2" ht="15" thickBot="1" x14ac:dyDescent="0.35">
      <c r="A21" s="48">
        <v>66</v>
      </c>
      <c r="B21" s="49">
        <v>77</v>
      </c>
    </row>
  </sheetData>
  <pageMargins left="0.7" right="0.7" top="0.75" bottom="0.75" header="0.3" footer="0.3"/>
  <pageSetup paperSize="9" orientation="portrait" r:id="rId1"/>
  <headerFooter>
    <oddHeader>&amp;L&amp;"Calibri"&amp;10&amp;K000000Classified as Confidential&amp;1#</oddHead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5056B5-E826-4A50-8B7F-E39984A4E402}">
  <dimension ref="A1:CI353"/>
  <sheetViews>
    <sheetView zoomScale="70" zoomScaleNormal="70" workbookViewId="0">
      <pane ySplit="4" topLeftCell="A111" activePane="bottomLeft" state="frozen"/>
      <selection activeCell="L91" sqref="L91"/>
      <selection pane="bottomLeft" activeCell="E4" sqref="E4"/>
    </sheetView>
  </sheetViews>
  <sheetFormatPr defaultColWidth="17.44140625" defaultRowHeight="14.4" outlineLevelCol="1" x14ac:dyDescent="0.3"/>
  <cols>
    <col min="1" max="1" width="27.44140625" style="54" customWidth="1"/>
    <col min="2" max="2" width="21.77734375" style="51" customWidth="1"/>
    <col min="3" max="3" width="21.77734375" customWidth="1"/>
    <col min="4" max="4" width="24.77734375" customWidth="1"/>
    <col min="5" max="5" width="36" customWidth="1"/>
    <col min="6" max="6" width="24.77734375" customWidth="1"/>
    <col min="7" max="7" width="26.77734375" customWidth="1"/>
    <col min="8" max="9" width="13.77734375" customWidth="1"/>
    <col min="10" max="10" width="12.77734375" customWidth="1"/>
    <col min="11" max="11" width="15.44140625" customWidth="1"/>
    <col min="12" max="12" width="16" customWidth="1"/>
    <col min="13" max="13" width="15.5546875" customWidth="1"/>
    <col min="14" max="14" width="17.44140625" customWidth="1"/>
    <col min="15" max="15" width="27.77734375" customWidth="1"/>
    <col min="16" max="16" width="18.77734375" customWidth="1"/>
    <col min="17" max="17" width="21" customWidth="1"/>
    <col min="18" max="18" width="31" customWidth="1"/>
    <col min="19" max="19" width="30.77734375" customWidth="1"/>
    <col min="20" max="20" width="14.44140625" style="54" customWidth="1"/>
    <col min="21" max="21" width="27.44140625" customWidth="1"/>
    <col min="22" max="22" width="26.44140625" customWidth="1"/>
    <col min="23" max="23" width="21.77734375" customWidth="1"/>
    <col min="24" max="24" width="12.21875" customWidth="1"/>
    <col min="25" max="25" width="13.21875" customWidth="1"/>
    <col min="26" max="26" width="14.77734375" customWidth="1"/>
    <col min="27" max="27" width="13.77734375" customWidth="1"/>
    <col min="28" max="28" width="19.21875" customWidth="1"/>
    <col min="29" max="29" width="17.44140625" customWidth="1"/>
    <col min="30" max="30" width="16.77734375" customWidth="1"/>
    <col min="31" max="35" width="19.77734375" customWidth="1"/>
    <col min="36" max="36" width="13.21875" customWidth="1" outlineLevel="1"/>
    <col min="37" max="37" width="12.44140625" customWidth="1" outlineLevel="1"/>
    <col min="38" max="38" width="13.21875" customWidth="1" outlineLevel="1"/>
    <col min="39" max="39" width="12.77734375" customWidth="1" outlineLevel="1"/>
    <col min="40" max="40" width="12.44140625" customWidth="1" outlineLevel="1"/>
    <col min="41" max="41" width="13.77734375" customWidth="1" outlineLevel="1"/>
    <col min="42" max="42" width="12.21875" customWidth="1" outlineLevel="1"/>
    <col min="43" max="43" width="33" customWidth="1" outlineLevel="1"/>
    <col min="44" max="44" width="13.21875" customWidth="1" outlineLevel="1"/>
    <col min="45" max="45" width="10.21875" customWidth="1" outlineLevel="1"/>
    <col min="46" max="46" width="11.21875" customWidth="1" outlineLevel="1"/>
    <col min="47" max="47" width="24.77734375" customWidth="1" outlineLevel="1"/>
    <col min="48" max="48" width="14.5546875" customWidth="1" outlineLevel="1"/>
    <col min="49" max="49" width="14.77734375" customWidth="1" outlineLevel="1"/>
    <col min="50" max="50" width="81.44140625" customWidth="1"/>
    <col min="51" max="51" width="30" customWidth="1"/>
    <col min="52" max="53" width="24.21875" customWidth="1"/>
    <col min="54" max="54" width="17.21875" customWidth="1"/>
    <col min="55" max="55" width="24" customWidth="1"/>
    <col min="56" max="56" width="19.77734375" customWidth="1"/>
    <col min="57" max="57" width="22.77734375" customWidth="1"/>
    <col min="58" max="58" width="22.44140625" customWidth="1"/>
    <col min="59" max="59" width="20.5546875" customWidth="1"/>
    <col min="60" max="60" width="22.44140625" customWidth="1"/>
    <col min="61" max="61" width="56.44140625" customWidth="1"/>
    <col min="62" max="62" width="18.5546875" customWidth="1"/>
    <col min="63" max="63" width="20.44140625" customWidth="1"/>
    <col min="64" max="65" width="16" customWidth="1"/>
    <col min="66" max="66" width="13" customWidth="1"/>
    <col min="67" max="67" width="21.77734375" customWidth="1"/>
    <col min="68" max="68" width="19.77734375" customWidth="1"/>
    <col min="69" max="69" width="16.21875" customWidth="1"/>
    <col min="70" max="70" width="15.77734375" customWidth="1"/>
    <col min="71" max="71" width="18.77734375" customWidth="1"/>
    <col min="72" max="72" width="14.77734375" customWidth="1"/>
    <col min="73" max="73" width="20.21875" customWidth="1"/>
    <col min="74" max="74" width="15.21875" customWidth="1"/>
    <col min="75" max="75" width="22.77734375" customWidth="1"/>
    <col min="76" max="77" width="23" customWidth="1"/>
    <col min="78" max="83" width="9.21875" customWidth="1"/>
    <col min="84" max="84" width="24.21875" customWidth="1"/>
    <col min="85" max="87" width="9.21875" customWidth="1"/>
    <col min="88" max="88" width="17.21875" customWidth="1"/>
    <col min="89" max="220" width="9.21875" customWidth="1"/>
    <col min="221" max="221" width="2" customWidth="1"/>
    <col min="222" max="222" width="21.77734375" customWidth="1"/>
    <col min="223" max="223" width="16.21875" customWidth="1"/>
    <col min="224" max="224" width="34.77734375" customWidth="1"/>
    <col min="225" max="226" width="24.77734375" customWidth="1"/>
    <col min="227" max="227" width="31.44140625" customWidth="1"/>
    <col min="228" max="228" width="24.77734375" customWidth="1"/>
    <col min="229" max="229" width="26.77734375" customWidth="1"/>
    <col min="230" max="232" width="13.77734375" customWidth="1"/>
    <col min="233" max="233" width="12.77734375" customWidth="1"/>
    <col min="234" max="234" width="15.44140625" customWidth="1"/>
    <col min="235" max="235" width="16" customWidth="1"/>
    <col min="236" max="236" width="15.5546875" customWidth="1"/>
    <col min="257" max="257" width="27.44140625" customWidth="1"/>
    <col min="258" max="259" width="21.77734375" customWidth="1"/>
    <col min="260" max="260" width="24.77734375" customWidth="1"/>
    <col min="261" max="261" width="36" customWidth="1"/>
    <col min="262" max="262" width="24.77734375" customWidth="1"/>
    <col min="263" max="263" width="26.77734375" customWidth="1"/>
    <col min="264" max="265" width="13.77734375" customWidth="1"/>
    <col min="266" max="266" width="12.77734375" customWidth="1"/>
    <col min="267" max="267" width="15.44140625" customWidth="1"/>
    <col min="268" max="268" width="16" customWidth="1"/>
    <col min="269" max="269" width="15.5546875" customWidth="1"/>
    <col min="271" max="271" width="27.77734375" customWidth="1"/>
    <col min="272" max="272" width="18.77734375" customWidth="1"/>
    <col min="273" max="273" width="21" customWidth="1"/>
    <col min="274" max="274" width="31" customWidth="1"/>
    <col min="275" max="275" width="30.77734375" customWidth="1"/>
    <col min="276" max="276" width="14.44140625" customWidth="1"/>
    <col min="277" max="277" width="27.44140625" customWidth="1"/>
    <col min="278" max="278" width="26.44140625" customWidth="1"/>
    <col min="279" max="279" width="21.77734375" customWidth="1"/>
    <col min="280" max="280" width="12.21875" customWidth="1"/>
    <col min="281" max="281" width="13.21875" customWidth="1"/>
    <col min="282" max="282" width="14.77734375" customWidth="1"/>
    <col min="283" max="283" width="13.77734375" customWidth="1"/>
    <col min="284" max="284" width="19.21875" customWidth="1"/>
    <col min="286" max="286" width="16.77734375" customWidth="1"/>
    <col min="287" max="291" width="19.77734375" customWidth="1"/>
    <col min="292" max="292" width="13.21875" customWidth="1"/>
    <col min="293" max="293" width="12.44140625" customWidth="1"/>
    <col min="294" max="294" width="13.21875" customWidth="1"/>
    <col min="295" max="295" width="12.77734375" customWidth="1"/>
    <col min="296" max="296" width="12.44140625" customWidth="1"/>
    <col min="297" max="297" width="13.77734375" customWidth="1"/>
    <col min="298" max="298" width="12.21875" customWidth="1"/>
    <col min="299" max="299" width="33" customWidth="1"/>
    <col min="300" max="300" width="13.21875" customWidth="1"/>
    <col min="301" max="301" width="10.21875" customWidth="1"/>
    <col min="302" max="302" width="11.21875" customWidth="1"/>
    <col min="303" max="303" width="24.77734375" customWidth="1"/>
    <col min="304" max="304" width="14.5546875" customWidth="1"/>
    <col min="305" max="305" width="14.77734375" customWidth="1"/>
    <col min="306" max="306" width="81.44140625" customWidth="1"/>
    <col min="307" max="307" width="30" customWidth="1"/>
    <col min="308" max="309" width="24.21875" customWidth="1"/>
    <col min="310" max="310" width="17.21875" customWidth="1"/>
    <col min="311" max="311" width="24" customWidth="1"/>
    <col min="312" max="312" width="19.77734375" customWidth="1"/>
    <col min="313" max="313" width="22.77734375" customWidth="1"/>
    <col min="314" max="314" width="22.44140625" customWidth="1"/>
    <col min="315" max="315" width="20.5546875" customWidth="1"/>
    <col min="316" max="316" width="22.44140625" customWidth="1"/>
    <col min="317" max="317" width="56.44140625" customWidth="1"/>
    <col min="318" max="318" width="18.5546875" customWidth="1"/>
    <col min="319" max="319" width="20.44140625" customWidth="1"/>
    <col min="320" max="321" width="16" customWidth="1"/>
    <col min="322" max="322" width="13" customWidth="1"/>
    <col min="323" max="323" width="21.77734375" customWidth="1"/>
    <col min="324" max="324" width="19.77734375" customWidth="1"/>
    <col min="325" max="325" width="16.21875" customWidth="1"/>
    <col min="326" max="326" width="15.77734375" customWidth="1"/>
    <col min="327" max="327" width="18.77734375" customWidth="1"/>
    <col min="328" max="328" width="14.77734375" customWidth="1"/>
    <col min="329" max="329" width="20.21875" customWidth="1"/>
    <col min="330" max="330" width="15.21875" customWidth="1"/>
    <col min="331" max="331" width="22.77734375" customWidth="1"/>
    <col min="332" max="333" width="23" customWidth="1"/>
    <col min="334" max="339" width="9.21875" customWidth="1"/>
    <col min="340" max="340" width="24.21875" customWidth="1"/>
    <col min="341" max="343" width="9.21875" customWidth="1"/>
    <col min="344" max="344" width="17.21875" customWidth="1"/>
    <col min="345" max="476" width="9.21875" customWidth="1"/>
    <col min="477" max="477" width="2" customWidth="1"/>
    <col min="478" max="478" width="21.77734375" customWidth="1"/>
    <col min="479" max="479" width="16.21875" customWidth="1"/>
    <col min="480" max="480" width="34.77734375" customWidth="1"/>
    <col min="481" max="482" width="24.77734375" customWidth="1"/>
    <col min="483" max="483" width="31.44140625" customWidth="1"/>
    <col min="484" max="484" width="24.77734375" customWidth="1"/>
    <col min="485" max="485" width="26.77734375" customWidth="1"/>
    <col min="486" max="488" width="13.77734375" customWidth="1"/>
    <col min="489" max="489" width="12.77734375" customWidth="1"/>
    <col min="490" max="490" width="15.44140625" customWidth="1"/>
    <col min="491" max="491" width="16" customWidth="1"/>
    <col min="492" max="492" width="15.5546875" customWidth="1"/>
    <col min="513" max="513" width="27.44140625" customWidth="1"/>
    <col min="514" max="515" width="21.77734375" customWidth="1"/>
    <col min="516" max="516" width="24.77734375" customWidth="1"/>
    <col min="517" max="517" width="36" customWidth="1"/>
    <col min="518" max="518" width="24.77734375" customWidth="1"/>
    <col min="519" max="519" width="26.77734375" customWidth="1"/>
    <col min="520" max="521" width="13.77734375" customWidth="1"/>
    <col min="522" max="522" width="12.77734375" customWidth="1"/>
    <col min="523" max="523" width="15.44140625" customWidth="1"/>
    <col min="524" max="524" width="16" customWidth="1"/>
    <col min="525" max="525" width="15.5546875" customWidth="1"/>
    <col min="527" max="527" width="27.77734375" customWidth="1"/>
    <col min="528" max="528" width="18.77734375" customWidth="1"/>
    <col min="529" max="529" width="21" customWidth="1"/>
    <col min="530" max="530" width="31" customWidth="1"/>
    <col min="531" max="531" width="30.77734375" customWidth="1"/>
    <col min="532" max="532" width="14.44140625" customWidth="1"/>
    <col min="533" max="533" width="27.44140625" customWidth="1"/>
    <col min="534" max="534" width="26.44140625" customWidth="1"/>
    <col min="535" max="535" width="21.77734375" customWidth="1"/>
    <col min="536" max="536" width="12.21875" customWidth="1"/>
    <col min="537" max="537" width="13.21875" customWidth="1"/>
    <col min="538" max="538" width="14.77734375" customWidth="1"/>
    <col min="539" max="539" width="13.77734375" customWidth="1"/>
    <col min="540" max="540" width="19.21875" customWidth="1"/>
    <col min="542" max="542" width="16.77734375" customWidth="1"/>
    <col min="543" max="547" width="19.77734375" customWidth="1"/>
    <col min="548" max="548" width="13.21875" customWidth="1"/>
    <col min="549" max="549" width="12.44140625" customWidth="1"/>
    <col min="550" max="550" width="13.21875" customWidth="1"/>
    <col min="551" max="551" width="12.77734375" customWidth="1"/>
    <col min="552" max="552" width="12.44140625" customWidth="1"/>
    <col min="553" max="553" width="13.77734375" customWidth="1"/>
    <col min="554" max="554" width="12.21875" customWidth="1"/>
    <col min="555" max="555" width="33" customWidth="1"/>
    <col min="556" max="556" width="13.21875" customWidth="1"/>
    <col min="557" max="557" width="10.21875" customWidth="1"/>
    <col min="558" max="558" width="11.21875" customWidth="1"/>
    <col min="559" max="559" width="24.77734375" customWidth="1"/>
    <col min="560" max="560" width="14.5546875" customWidth="1"/>
    <col min="561" max="561" width="14.77734375" customWidth="1"/>
    <col min="562" max="562" width="81.44140625" customWidth="1"/>
    <col min="563" max="563" width="30" customWidth="1"/>
    <col min="564" max="565" width="24.21875" customWidth="1"/>
    <col min="566" max="566" width="17.21875" customWidth="1"/>
    <col min="567" max="567" width="24" customWidth="1"/>
    <col min="568" max="568" width="19.77734375" customWidth="1"/>
    <col min="569" max="569" width="22.77734375" customWidth="1"/>
    <col min="570" max="570" width="22.44140625" customWidth="1"/>
    <col min="571" max="571" width="20.5546875" customWidth="1"/>
    <col min="572" max="572" width="22.44140625" customWidth="1"/>
    <col min="573" max="573" width="56.44140625" customWidth="1"/>
    <col min="574" max="574" width="18.5546875" customWidth="1"/>
    <col min="575" max="575" width="20.44140625" customWidth="1"/>
    <col min="576" max="577" width="16" customWidth="1"/>
    <col min="578" max="578" width="13" customWidth="1"/>
    <col min="579" max="579" width="21.77734375" customWidth="1"/>
    <col min="580" max="580" width="19.77734375" customWidth="1"/>
    <col min="581" max="581" width="16.21875" customWidth="1"/>
    <col min="582" max="582" width="15.77734375" customWidth="1"/>
    <col min="583" max="583" width="18.77734375" customWidth="1"/>
    <col min="584" max="584" width="14.77734375" customWidth="1"/>
    <col min="585" max="585" width="20.21875" customWidth="1"/>
    <col min="586" max="586" width="15.21875" customWidth="1"/>
    <col min="587" max="587" width="22.77734375" customWidth="1"/>
    <col min="588" max="589" width="23" customWidth="1"/>
    <col min="590" max="595" width="9.21875" customWidth="1"/>
    <col min="596" max="596" width="24.21875" customWidth="1"/>
    <col min="597" max="599" width="9.21875" customWidth="1"/>
    <col min="600" max="600" width="17.21875" customWidth="1"/>
    <col min="601" max="732" width="9.21875" customWidth="1"/>
    <col min="733" max="733" width="2" customWidth="1"/>
    <col min="734" max="734" width="21.77734375" customWidth="1"/>
    <col min="735" max="735" width="16.21875" customWidth="1"/>
    <col min="736" max="736" width="34.77734375" customWidth="1"/>
    <col min="737" max="738" width="24.77734375" customWidth="1"/>
    <col min="739" max="739" width="31.44140625" customWidth="1"/>
    <col min="740" max="740" width="24.77734375" customWidth="1"/>
    <col min="741" max="741" width="26.77734375" customWidth="1"/>
    <col min="742" max="744" width="13.77734375" customWidth="1"/>
    <col min="745" max="745" width="12.77734375" customWidth="1"/>
    <col min="746" max="746" width="15.44140625" customWidth="1"/>
    <col min="747" max="747" width="16" customWidth="1"/>
    <col min="748" max="748" width="15.5546875" customWidth="1"/>
    <col min="769" max="769" width="27.44140625" customWidth="1"/>
    <col min="770" max="771" width="21.77734375" customWidth="1"/>
    <col min="772" max="772" width="24.77734375" customWidth="1"/>
    <col min="773" max="773" width="36" customWidth="1"/>
    <col min="774" max="774" width="24.77734375" customWidth="1"/>
    <col min="775" max="775" width="26.77734375" customWidth="1"/>
    <col min="776" max="777" width="13.77734375" customWidth="1"/>
    <col min="778" max="778" width="12.77734375" customWidth="1"/>
    <col min="779" max="779" width="15.44140625" customWidth="1"/>
    <col min="780" max="780" width="16" customWidth="1"/>
    <col min="781" max="781" width="15.5546875" customWidth="1"/>
    <col min="783" max="783" width="27.77734375" customWidth="1"/>
    <col min="784" max="784" width="18.77734375" customWidth="1"/>
    <col min="785" max="785" width="21" customWidth="1"/>
    <col min="786" max="786" width="31" customWidth="1"/>
    <col min="787" max="787" width="30.77734375" customWidth="1"/>
    <col min="788" max="788" width="14.44140625" customWidth="1"/>
    <col min="789" max="789" width="27.44140625" customWidth="1"/>
    <col min="790" max="790" width="26.44140625" customWidth="1"/>
    <col min="791" max="791" width="21.77734375" customWidth="1"/>
    <col min="792" max="792" width="12.21875" customWidth="1"/>
    <col min="793" max="793" width="13.21875" customWidth="1"/>
    <col min="794" max="794" width="14.77734375" customWidth="1"/>
    <col min="795" max="795" width="13.77734375" customWidth="1"/>
    <col min="796" max="796" width="19.21875" customWidth="1"/>
    <col min="798" max="798" width="16.77734375" customWidth="1"/>
    <col min="799" max="803" width="19.77734375" customWidth="1"/>
    <col min="804" max="804" width="13.21875" customWidth="1"/>
    <col min="805" max="805" width="12.44140625" customWidth="1"/>
    <col min="806" max="806" width="13.21875" customWidth="1"/>
    <col min="807" max="807" width="12.77734375" customWidth="1"/>
    <col min="808" max="808" width="12.44140625" customWidth="1"/>
    <col min="809" max="809" width="13.77734375" customWidth="1"/>
    <col min="810" max="810" width="12.21875" customWidth="1"/>
    <col min="811" max="811" width="33" customWidth="1"/>
    <col min="812" max="812" width="13.21875" customWidth="1"/>
    <col min="813" max="813" width="10.21875" customWidth="1"/>
    <col min="814" max="814" width="11.21875" customWidth="1"/>
    <col min="815" max="815" width="24.77734375" customWidth="1"/>
    <col min="816" max="816" width="14.5546875" customWidth="1"/>
    <col min="817" max="817" width="14.77734375" customWidth="1"/>
    <col min="818" max="818" width="81.44140625" customWidth="1"/>
    <col min="819" max="819" width="30" customWidth="1"/>
    <col min="820" max="821" width="24.21875" customWidth="1"/>
    <col min="822" max="822" width="17.21875" customWidth="1"/>
    <col min="823" max="823" width="24" customWidth="1"/>
    <col min="824" max="824" width="19.77734375" customWidth="1"/>
    <col min="825" max="825" width="22.77734375" customWidth="1"/>
    <col min="826" max="826" width="22.44140625" customWidth="1"/>
    <col min="827" max="827" width="20.5546875" customWidth="1"/>
    <col min="828" max="828" width="22.44140625" customWidth="1"/>
    <col min="829" max="829" width="56.44140625" customWidth="1"/>
    <col min="830" max="830" width="18.5546875" customWidth="1"/>
    <col min="831" max="831" width="20.44140625" customWidth="1"/>
    <col min="832" max="833" width="16" customWidth="1"/>
    <col min="834" max="834" width="13" customWidth="1"/>
    <col min="835" max="835" width="21.77734375" customWidth="1"/>
    <col min="836" max="836" width="19.77734375" customWidth="1"/>
    <col min="837" max="837" width="16.21875" customWidth="1"/>
    <col min="838" max="838" width="15.77734375" customWidth="1"/>
    <col min="839" max="839" width="18.77734375" customWidth="1"/>
    <col min="840" max="840" width="14.77734375" customWidth="1"/>
    <col min="841" max="841" width="20.21875" customWidth="1"/>
    <col min="842" max="842" width="15.21875" customWidth="1"/>
    <col min="843" max="843" width="22.77734375" customWidth="1"/>
    <col min="844" max="845" width="23" customWidth="1"/>
    <col min="846" max="851" width="9.21875" customWidth="1"/>
    <col min="852" max="852" width="24.21875" customWidth="1"/>
    <col min="853" max="855" width="9.21875" customWidth="1"/>
    <col min="856" max="856" width="17.21875" customWidth="1"/>
    <col min="857" max="988" width="9.21875" customWidth="1"/>
    <col min="989" max="989" width="2" customWidth="1"/>
    <col min="990" max="990" width="21.77734375" customWidth="1"/>
    <col min="991" max="991" width="16.21875" customWidth="1"/>
    <col min="992" max="992" width="34.77734375" customWidth="1"/>
    <col min="993" max="994" width="24.77734375" customWidth="1"/>
    <col min="995" max="995" width="31.44140625" customWidth="1"/>
    <col min="996" max="996" width="24.77734375" customWidth="1"/>
    <col min="997" max="997" width="26.77734375" customWidth="1"/>
    <col min="998" max="1000" width="13.77734375" customWidth="1"/>
    <col min="1001" max="1001" width="12.77734375" customWidth="1"/>
    <col min="1002" max="1002" width="15.44140625" customWidth="1"/>
    <col min="1003" max="1003" width="16" customWidth="1"/>
    <col min="1004" max="1004" width="15.5546875" customWidth="1"/>
    <col min="1025" max="1025" width="27.44140625" customWidth="1"/>
    <col min="1026" max="1027" width="21.77734375" customWidth="1"/>
    <col min="1028" max="1028" width="24.77734375" customWidth="1"/>
    <col min="1029" max="1029" width="36" customWidth="1"/>
    <col min="1030" max="1030" width="24.77734375" customWidth="1"/>
    <col min="1031" max="1031" width="26.77734375" customWidth="1"/>
    <col min="1032" max="1033" width="13.77734375" customWidth="1"/>
    <col min="1034" max="1034" width="12.77734375" customWidth="1"/>
    <col min="1035" max="1035" width="15.44140625" customWidth="1"/>
    <col min="1036" max="1036" width="16" customWidth="1"/>
    <col min="1037" max="1037" width="15.5546875" customWidth="1"/>
    <col min="1039" max="1039" width="27.77734375" customWidth="1"/>
    <col min="1040" max="1040" width="18.77734375" customWidth="1"/>
    <col min="1041" max="1041" width="21" customWidth="1"/>
    <col min="1042" max="1042" width="31" customWidth="1"/>
    <col min="1043" max="1043" width="30.77734375" customWidth="1"/>
    <col min="1044" max="1044" width="14.44140625" customWidth="1"/>
    <col min="1045" max="1045" width="27.44140625" customWidth="1"/>
    <col min="1046" max="1046" width="26.44140625" customWidth="1"/>
    <col min="1047" max="1047" width="21.77734375" customWidth="1"/>
    <col min="1048" max="1048" width="12.21875" customWidth="1"/>
    <col min="1049" max="1049" width="13.21875" customWidth="1"/>
    <col min="1050" max="1050" width="14.77734375" customWidth="1"/>
    <col min="1051" max="1051" width="13.77734375" customWidth="1"/>
    <col min="1052" max="1052" width="19.21875" customWidth="1"/>
    <col min="1054" max="1054" width="16.77734375" customWidth="1"/>
    <col min="1055" max="1059" width="19.77734375" customWidth="1"/>
    <col min="1060" max="1060" width="13.21875" customWidth="1"/>
    <col min="1061" max="1061" width="12.44140625" customWidth="1"/>
    <col min="1062" max="1062" width="13.21875" customWidth="1"/>
    <col min="1063" max="1063" width="12.77734375" customWidth="1"/>
    <col min="1064" max="1064" width="12.44140625" customWidth="1"/>
    <col min="1065" max="1065" width="13.77734375" customWidth="1"/>
    <col min="1066" max="1066" width="12.21875" customWidth="1"/>
    <col min="1067" max="1067" width="33" customWidth="1"/>
    <col min="1068" max="1068" width="13.21875" customWidth="1"/>
    <col min="1069" max="1069" width="10.21875" customWidth="1"/>
    <col min="1070" max="1070" width="11.21875" customWidth="1"/>
    <col min="1071" max="1071" width="24.77734375" customWidth="1"/>
    <col min="1072" max="1072" width="14.5546875" customWidth="1"/>
    <col min="1073" max="1073" width="14.77734375" customWidth="1"/>
    <col min="1074" max="1074" width="81.44140625" customWidth="1"/>
    <col min="1075" max="1075" width="30" customWidth="1"/>
    <col min="1076" max="1077" width="24.21875" customWidth="1"/>
    <col min="1078" max="1078" width="17.21875" customWidth="1"/>
    <col min="1079" max="1079" width="24" customWidth="1"/>
    <col min="1080" max="1080" width="19.77734375" customWidth="1"/>
    <col min="1081" max="1081" width="22.77734375" customWidth="1"/>
    <col min="1082" max="1082" width="22.44140625" customWidth="1"/>
    <col min="1083" max="1083" width="20.5546875" customWidth="1"/>
    <col min="1084" max="1084" width="22.44140625" customWidth="1"/>
    <col min="1085" max="1085" width="56.44140625" customWidth="1"/>
    <col min="1086" max="1086" width="18.5546875" customWidth="1"/>
    <col min="1087" max="1087" width="20.44140625" customWidth="1"/>
    <col min="1088" max="1089" width="16" customWidth="1"/>
    <col min="1090" max="1090" width="13" customWidth="1"/>
    <col min="1091" max="1091" width="21.77734375" customWidth="1"/>
    <col min="1092" max="1092" width="19.77734375" customWidth="1"/>
    <col min="1093" max="1093" width="16.21875" customWidth="1"/>
    <col min="1094" max="1094" width="15.77734375" customWidth="1"/>
    <col min="1095" max="1095" width="18.77734375" customWidth="1"/>
    <col min="1096" max="1096" width="14.77734375" customWidth="1"/>
    <col min="1097" max="1097" width="20.21875" customWidth="1"/>
    <col min="1098" max="1098" width="15.21875" customWidth="1"/>
    <col min="1099" max="1099" width="22.77734375" customWidth="1"/>
    <col min="1100" max="1101" width="23" customWidth="1"/>
    <col min="1102" max="1107" width="9.21875" customWidth="1"/>
    <col min="1108" max="1108" width="24.21875" customWidth="1"/>
    <col min="1109" max="1111" width="9.21875" customWidth="1"/>
    <col min="1112" max="1112" width="17.21875" customWidth="1"/>
    <col min="1113" max="1244" width="9.21875" customWidth="1"/>
    <col min="1245" max="1245" width="2" customWidth="1"/>
    <col min="1246" max="1246" width="21.77734375" customWidth="1"/>
    <col min="1247" max="1247" width="16.21875" customWidth="1"/>
    <col min="1248" max="1248" width="34.77734375" customWidth="1"/>
    <col min="1249" max="1250" width="24.77734375" customWidth="1"/>
    <col min="1251" max="1251" width="31.44140625" customWidth="1"/>
    <col min="1252" max="1252" width="24.77734375" customWidth="1"/>
    <col min="1253" max="1253" width="26.77734375" customWidth="1"/>
    <col min="1254" max="1256" width="13.77734375" customWidth="1"/>
    <col min="1257" max="1257" width="12.77734375" customWidth="1"/>
    <col min="1258" max="1258" width="15.44140625" customWidth="1"/>
    <col min="1259" max="1259" width="16" customWidth="1"/>
    <col min="1260" max="1260" width="15.5546875" customWidth="1"/>
    <col min="1281" max="1281" width="27.44140625" customWidth="1"/>
    <col min="1282" max="1283" width="21.77734375" customWidth="1"/>
    <col min="1284" max="1284" width="24.77734375" customWidth="1"/>
    <col min="1285" max="1285" width="36" customWidth="1"/>
    <col min="1286" max="1286" width="24.77734375" customWidth="1"/>
    <col min="1287" max="1287" width="26.77734375" customWidth="1"/>
    <col min="1288" max="1289" width="13.77734375" customWidth="1"/>
    <col min="1290" max="1290" width="12.77734375" customWidth="1"/>
    <col min="1291" max="1291" width="15.44140625" customWidth="1"/>
    <col min="1292" max="1292" width="16" customWidth="1"/>
    <col min="1293" max="1293" width="15.5546875" customWidth="1"/>
    <col min="1295" max="1295" width="27.77734375" customWidth="1"/>
    <col min="1296" max="1296" width="18.77734375" customWidth="1"/>
    <col min="1297" max="1297" width="21" customWidth="1"/>
    <col min="1298" max="1298" width="31" customWidth="1"/>
    <col min="1299" max="1299" width="30.77734375" customWidth="1"/>
    <col min="1300" max="1300" width="14.44140625" customWidth="1"/>
    <col min="1301" max="1301" width="27.44140625" customWidth="1"/>
    <col min="1302" max="1302" width="26.44140625" customWidth="1"/>
    <col min="1303" max="1303" width="21.77734375" customWidth="1"/>
    <col min="1304" max="1304" width="12.21875" customWidth="1"/>
    <col min="1305" max="1305" width="13.21875" customWidth="1"/>
    <col min="1306" max="1306" width="14.77734375" customWidth="1"/>
    <col min="1307" max="1307" width="13.77734375" customWidth="1"/>
    <col min="1308" max="1308" width="19.21875" customWidth="1"/>
    <col min="1310" max="1310" width="16.77734375" customWidth="1"/>
    <col min="1311" max="1315" width="19.77734375" customWidth="1"/>
    <col min="1316" max="1316" width="13.21875" customWidth="1"/>
    <col min="1317" max="1317" width="12.44140625" customWidth="1"/>
    <col min="1318" max="1318" width="13.21875" customWidth="1"/>
    <col min="1319" max="1319" width="12.77734375" customWidth="1"/>
    <col min="1320" max="1320" width="12.44140625" customWidth="1"/>
    <col min="1321" max="1321" width="13.77734375" customWidth="1"/>
    <col min="1322" max="1322" width="12.21875" customWidth="1"/>
    <col min="1323" max="1323" width="33" customWidth="1"/>
    <col min="1324" max="1324" width="13.21875" customWidth="1"/>
    <col min="1325" max="1325" width="10.21875" customWidth="1"/>
    <col min="1326" max="1326" width="11.21875" customWidth="1"/>
    <col min="1327" max="1327" width="24.77734375" customWidth="1"/>
    <col min="1328" max="1328" width="14.5546875" customWidth="1"/>
    <col min="1329" max="1329" width="14.77734375" customWidth="1"/>
    <col min="1330" max="1330" width="81.44140625" customWidth="1"/>
    <col min="1331" max="1331" width="30" customWidth="1"/>
    <col min="1332" max="1333" width="24.21875" customWidth="1"/>
    <col min="1334" max="1334" width="17.21875" customWidth="1"/>
    <col min="1335" max="1335" width="24" customWidth="1"/>
    <col min="1336" max="1336" width="19.77734375" customWidth="1"/>
    <col min="1337" max="1337" width="22.77734375" customWidth="1"/>
    <col min="1338" max="1338" width="22.44140625" customWidth="1"/>
    <col min="1339" max="1339" width="20.5546875" customWidth="1"/>
    <col min="1340" max="1340" width="22.44140625" customWidth="1"/>
    <col min="1341" max="1341" width="56.44140625" customWidth="1"/>
    <col min="1342" max="1342" width="18.5546875" customWidth="1"/>
    <col min="1343" max="1343" width="20.44140625" customWidth="1"/>
    <col min="1344" max="1345" width="16" customWidth="1"/>
    <col min="1346" max="1346" width="13" customWidth="1"/>
    <col min="1347" max="1347" width="21.77734375" customWidth="1"/>
    <col min="1348" max="1348" width="19.77734375" customWidth="1"/>
    <col min="1349" max="1349" width="16.21875" customWidth="1"/>
    <col min="1350" max="1350" width="15.77734375" customWidth="1"/>
    <col min="1351" max="1351" width="18.77734375" customWidth="1"/>
    <col min="1352" max="1352" width="14.77734375" customWidth="1"/>
    <col min="1353" max="1353" width="20.21875" customWidth="1"/>
    <col min="1354" max="1354" width="15.21875" customWidth="1"/>
    <col min="1355" max="1355" width="22.77734375" customWidth="1"/>
    <col min="1356" max="1357" width="23" customWidth="1"/>
    <col min="1358" max="1363" width="9.21875" customWidth="1"/>
    <col min="1364" max="1364" width="24.21875" customWidth="1"/>
    <col min="1365" max="1367" width="9.21875" customWidth="1"/>
    <col min="1368" max="1368" width="17.21875" customWidth="1"/>
    <col min="1369" max="1500" width="9.21875" customWidth="1"/>
    <col min="1501" max="1501" width="2" customWidth="1"/>
    <col min="1502" max="1502" width="21.77734375" customWidth="1"/>
    <col min="1503" max="1503" width="16.21875" customWidth="1"/>
    <col min="1504" max="1504" width="34.77734375" customWidth="1"/>
    <col min="1505" max="1506" width="24.77734375" customWidth="1"/>
    <col min="1507" max="1507" width="31.44140625" customWidth="1"/>
    <col min="1508" max="1508" width="24.77734375" customWidth="1"/>
    <col min="1509" max="1509" width="26.77734375" customWidth="1"/>
    <col min="1510" max="1512" width="13.77734375" customWidth="1"/>
    <col min="1513" max="1513" width="12.77734375" customWidth="1"/>
    <col min="1514" max="1514" width="15.44140625" customWidth="1"/>
    <col min="1515" max="1515" width="16" customWidth="1"/>
    <col min="1516" max="1516" width="15.5546875" customWidth="1"/>
    <col min="1537" max="1537" width="27.44140625" customWidth="1"/>
    <col min="1538" max="1539" width="21.77734375" customWidth="1"/>
    <col min="1540" max="1540" width="24.77734375" customWidth="1"/>
    <col min="1541" max="1541" width="36" customWidth="1"/>
    <col min="1542" max="1542" width="24.77734375" customWidth="1"/>
    <col min="1543" max="1543" width="26.77734375" customWidth="1"/>
    <col min="1544" max="1545" width="13.77734375" customWidth="1"/>
    <col min="1546" max="1546" width="12.77734375" customWidth="1"/>
    <col min="1547" max="1547" width="15.44140625" customWidth="1"/>
    <col min="1548" max="1548" width="16" customWidth="1"/>
    <col min="1549" max="1549" width="15.5546875" customWidth="1"/>
    <col min="1551" max="1551" width="27.77734375" customWidth="1"/>
    <col min="1552" max="1552" width="18.77734375" customWidth="1"/>
    <col min="1553" max="1553" width="21" customWidth="1"/>
    <col min="1554" max="1554" width="31" customWidth="1"/>
    <col min="1555" max="1555" width="30.77734375" customWidth="1"/>
    <col min="1556" max="1556" width="14.44140625" customWidth="1"/>
    <col min="1557" max="1557" width="27.44140625" customWidth="1"/>
    <col min="1558" max="1558" width="26.44140625" customWidth="1"/>
    <col min="1559" max="1559" width="21.77734375" customWidth="1"/>
    <col min="1560" max="1560" width="12.21875" customWidth="1"/>
    <col min="1561" max="1561" width="13.21875" customWidth="1"/>
    <col min="1562" max="1562" width="14.77734375" customWidth="1"/>
    <col min="1563" max="1563" width="13.77734375" customWidth="1"/>
    <col min="1564" max="1564" width="19.21875" customWidth="1"/>
    <col min="1566" max="1566" width="16.77734375" customWidth="1"/>
    <col min="1567" max="1571" width="19.77734375" customWidth="1"/>
    <col min="1572" max="1572" width="13.21875" customWidth="1"/>
    <col min="1573" max="1573" width="12.44140625" customWidth="1"/>
    <col min="1574" max="1574" width="13.21875" customWidth="1"/>
    <col min="1575" max="1575" width="12.77734375" customWidth="1"/>
    <col min="1576" max="1576" width="12.44140625" customWidth="1"/>
    <col min="1577" max="1577" width="13.77734375" customWidth="1"/>
    <col min="1578" max="1578" width="12.21875" customWidth="1"/>
    <col min="1579" max="1579" width="33" customWidth="1"/>
    <col min="1580" max="1580" width="13.21875" customWidth="1"/>
    <col min="1581" max="1581" width="10.21875" customWidth="1"/>
    <col min="1582" max="1582" width="11.21875" customWidth="1"/>
    <col min="1583" max="1583" width="24.77734375" customWidth="1"/>
    <col min="1584" max="1584" width="14.5546875" customWidth="1"/>
    <col min="1585" max="1585" width="14.77734375" customWidth="1"/>
    <col min="1586" max="1586" width="81.44140625" customWidth="1"/>
    <col min="1587" max="1587" width="30" customWidth="1"/>
    <col min="1588" max="1589" width="24.21875" customWidth="1"/>
    <col min="1590" max="1590" width="17.21875" customWidth="1"/>
    <col min="1591" max="1591" width="24" customWidth="1"/>
    <col min="1592" max="1592" width="19.77734375" customWidth="1"/>
    <col min="1593" max="1593" width="22.77734375" customWidth="1"/>
    <col min="1594" max="1594" width="22.44140625" customWidth="1"/>
    <col min="1595" max="1595" width="20.5546875" customWidth="1"/>
    <col min="1596" max="1596" width="22.44140625" customWidth="1"/>
    <col min="1597" max="1597" width="56.44140625" customWidth="1"/>
    <col min="1598" max="1598" width="18.5546875" customWidth="1"/>
    <col min="1599" max="1599" width="20.44140625" customWidth="1"/>
    <col min="1600" max="1601" width="16" customWidth="1"/>
    <col min="1602" max="1602" width="13" customWidth="1"/>
    <col min="1603" max="1603" width="21.77734375" customWidth="1"/>
    <col min="1604" max="1604" width="19.77734375" customWidth="1"/>
    <col min="1605" max="1605" width="16.21875" customWidth="1"/>
    <col min="1606" max="1606" width="15.77734375" customWidth="1"/>
    <col min="1607" max="1607" width="18.77734375" customWidth="1"/>
    <col min="1608" max="1608" width="14.77734375" customWidth="1"/>
    <col min="1609" max="1609" width="20.21875" customWidth="1"/>
    <col min="1610" max="1610" width="15.21875" customWidth="1"/>
    <col min="1611" max="1611" width="22.77734375" customWidth="1"/>
    <col min="1612" max="1613" width="23" customWidth="1"/>
    <col min="1614" max="1619" width="9.21875" customWidth="1"/>
    <col min="1620" max="1620" width="24.21875" customWidth="1"/>
    <col min="1621" max="1623" width="9.21875" customWidth="1"/>
    <col min="1624" max="1624" width="17.21875" customWidth="1"/>
    <col min="1625" max="1756" width="9.21875" customWidth="1"/>
    <col min="1757" max="1757" width="2" customWidth="1"/>
    <col min="1758" max="1758" width="21.77734375" customWidth="1"/>
    <col min="1759" max="1759" width="16.21875" customWidth="1"/>
    <col min="1760" max="1760" width="34.77734375" customWidth="1"/>
    <col min="1761" max="1762" width="24.77734375" customWidth="1"/>
    <col min="1763" max="1763" width="31.44140625" customWidth="1"/>
    <col min="1764" max="1764" width="24.77734375" customWidth="1"/>
    <col min="1765" max="1765" width="26.77734375" customWidth="1"/>
    <col min="1766" max="1768" width="13.77734375" customWidth="1"/>
    <col min="1769" max="1769" width="12.77734375" customWidth="1"/>
    <col min="1770" max="1770" width="15.44140625" customWidth="1"/>
    <col min="1771" max="1771" width="16" customWidth="1"/>
    <col min="1772" max="1772" width="15.5546875" customWidth="1"/>
    <col min="1793" max="1793" width="27.44140625" customWidth="1"/>
    <col min="1794" max="1795" width="21.77734375" customWidth="1"/>
    <col min="1796" max="1796" width="24.77734375" customWidth="1"/>
    <col min="1797" max="1797" width="36" customWidth="1"/>
    <col min="1798" max="1798" width="24.77734375" customWidth="1"/>
    <col min="1799" max="1799" width="26.77734375" customWidth="1"/>
    <col min="1800" max="1801" width="13.77734375" customWidth="1"/>
    <col min="1802" max="1802" width="12.77734375" customWidth="1"/>
    <col min="1803" max="1803" width="15.44140625" customWidth="1"/>
    <col min="1804" max="1804" width="16" customWidth="1"/>
    <col min="1805" max="1805" width="15.5546875" customWidth="1"/>
    <col min="1807" max="1807" width="27.77734375" customWidth="1"/>
    <col min="1808" max="1808" width="18.77734375" customWidth="1"/>
    <col min="1809" max="1809" width="21" customWidth="1"/>
    <col min="1810" max="1810" width="31" customWidth="1"/>
    <col min="1811" max="1811" width="30.77734375" customWidth="1"/>
    <col min="1812" max="1812" width="14.44140625" customWidth="1"/>
    <col min="1813" max="1813" width="27.44140625" customWidth="1"/>
    <col min="1814" max="1814" width="26.44140625" customWidth="1"/>
    <col min="1815" max="1815" width="21.77734375" customWidth="1"/>
    <col min="1816" max="1816" width="12.21875" customWidth="1"/>
    <col min="1817" max="1817" width="13.21875" customWidth="1"/>
    <col min="1818" max="1818" width="14.77734375" customWidth="1"/>
    <col min="1819" max="1819" width="13.77734375" customWidth="1"/>
    <col min="1820" max="1820" width="19.21875" customWidth="1"/>
    <col min="1822" max="1822" width="16.77734375" customWidth="1"/>
    <col min="1823" max="1827" width="19.77734375" customWidth="1"/>
    <col min="1828" max="1828" width="13.21875" customWidth="1"/>
    <col min="1829" max="1829" width="12.44140625" customWidth="1"/>
    <col min="1830" max="1830" width="13.21875" customWidth="1"/>
    <col min="1831" max="1831" width="12.77734375" customWidth="1"/>
    <col min="1832" max="1832" width="12.44140625" customWidth="1"/>
    <col min="1833" max="1833" width="13.77734375" customWidth="1"/>
    <col min="1834" max="1834" width="12.21875" customWidth="1"/>
    <col min="1835" max="1835" width="33" customWidth="1"/>
    <col min="1836" max="1836" width="13.21875" customWidth="1"/>
    <col min="1837" max="1837" width="10.21875" customWidth="1"/>
    <col min="1838" max="1838" width="11.21875" customWidth="1"/>
    <col min="1839" max="1839" width="24.77734375" customWidth="1"/>
    <col min="1840" max="1840" width="14.5546875" customWidth="1"/>
    <col min="1841" max="1841" width="14.77734375" customWidth="1"/>
    <col min="1842" max="1842" width="81.44140625" customWidth="1"/>
    <col min="1843" max="1843" width="30" customWidth="1"/>
    <col min="1844" max="1845" width="24.21875" customWidth="1"/>
    <col min="1846" max="1846" width="17.21875" customWidth="1"/>
    <col min="1847" max="1847" width="24" customWidth="1"/>
    <col min="1848" max="1848" width="19.77734375" customWidth="1"/>
    <col min="1849" max="1849" width="22.77734375" customWidth="1"/>
    <col min="1850" max="1850" width="22.44140625" customWidth="1"/>
    <col min="1851" max="1851" width="20.5546875" customWidth="1"/>
    <col min="1852" max="1852" width="22.44140625" customWidth="1"/>
    <col min="1853" max="1853" width="56.44140625" customWidth="1"/>
    <col min="1854" max="1854" width="18.5546875" customWidth="1"/>
    <col min="1855" max="1855" width="20.44140625" customWidth="1"/>
    <col min="1856" max="1857" width="16" customWidth="1"/>
    <col min="1858" max="1858" width="13" customWidth="1"/>
    <col min="1859" max="1859" width="21.77734375" customWidth="1"/>
    <col min="1860" max="1860" width="19.77734375" customWidth="1"/>
    <col min="1861" max="1861" width="16.21875" customWidth="1"/>
    <col min="1862" max="1862" width="15.77734375" customWidth="1"/>
    <col min="1863" max="1863" width="18.77734375" customWidth="1"/>
    <col min="1864" max="1864" width="14.77734375" customWidth="1"/>
    <col min="1865" max="1865" width="20.21875" customWidth="1"/>
    <col min="1866" max="1866" width="15.21875" customWidth="1"/>
    <col min="1867" max="1867" width="22.77734375" customWidth="1"/>
    <col min="1868" max="1869" width="23" customWidth="1"/>
    <col min="1870" max="1875" width="9.21875" customWidth="1"/>
    <col min="1876" max="1876" width="24.21875" customWidth="1"/>
    <col min="1877" max="1879" width="9.21875" customWidth="1"/>
    <col min="1880" max="1880" width="17.21875" customWidth="1"/>
    <col min="1881" max="2012" width="9.21875" customWidth="1"/>
    <col min="2013" max="2013" width="2" customWidth="1"/>
    <col min="2014" max="2014" width="21.77734375" customWidth="1"/>
    <col min="2015" max="2015" width="16.21875" customWidth="1"/>
    <col min="2016" max="2016" width="34.77734375" customWidth="1"/>
    <col min="2017" max="2018" width="24.77734375" customWidth="1"/>
    <col min="2019" max="2019" width="31.44140625" customWidth="1"/>
    <col min="2020" max="2020" width="24.77734375" customWidth="1"/>
    <col min="2021" max="2021" width="26.77734375" customWidth="1"/>
    <col min="2022" max="2024" width="13.77734375" customWidth="1"/>
    <col min="2025" max="2025" width="12.77734375" customWidth="1"/>
    <col min="2026" max="2026" width="15.44140625" customWidth="1"/>
    <col min="2027" max="2027" width="16" customWidth="1"/>
    <col min="2028" max="2028" width="15.5546875" customWidth="1"/>
    <col min="2049" max="2049" width="27.44140625" customWidth="1"/>
    <col min="2050" max="2051" width="21.77734375" customWidth="1"/>
    <col min="2052" max="2052" width="24.77734375" customWidth="1"/>
    <col min="2053" max="2053" width="36" customWidth="1"/>
    <col min="2054" max="2054" width="24.77734375" customWidth="1"/>
    <col min="2055" max="2055" width="26.77734375" customWidth="1"/>
    <col min="2056" max="2057" width="13.77734375" customWidth="1"/>
    <col min="2058" max="2058" width="12.77734375" customWidth="1"/>
    <col min="2059" max="2059" width="15.44140625" customWidth="1"/>
    <col min="2060" max="2060" width="16" customWidth="1"/>
    <col min="2061" max="2061" width="15.5546875" customWidth="1"/>
    <col min="2063" max="2063" width="27.77734375" customWidth="1"/>
    <col min="2064" max="2064" width="18.77734375" customWidth="1"/>
    <col min="2065" max="2065" width="21" customWidth="1"/>
    <col min="2066" max="2066" width="31" customWidth="1"/>
    <col min="2067" max="2067" width="30.77734375" customWidth="1"/>
    <col min="2068" max="2068" width="14.44140625" customWidth="1"/>
    <col min="2069" max="2069" width="27.44140625" customWidth="1"/>
    <col min="2070" max="2070" width="26.44140625" customWidth="1"/>
    <col min="2071" max="2071" width="21.77734375" customWidth="1"/>
    <col min="2072" max="2072" width="12.21875" customWidth="1"/>
    <col min="2073" max="2073" width="13.21875" customWidth="1"/>
    <col min="2074" max="2074" width="14.77734375" customWidth="1"/>
    <col min="2075" max="2075" width="13.77734375" customWidth="1"/>
    <col min="2076" max="2076" width="19.21875" customWidth="1"/>
    <col min="2078" max="2078" width="16.77734375" customWidth="1"/>
    <col min="2079" max="2083" width="19.77734375" customWidth="1"/>
    <col min="2084" max="2084" width="13.21875" customWidth="1"/>
    <col min="2085" max="2085" width="12.44140625" customWidth="1"/>
    <col min="2086" max="2086" width="13.21875" customWidth="1"/>
    <col min="2087" max="2087" width="12.77734375" customWidth="1"/>
    <col min="2088" max="2088" width="12.44140625" customWidth="1"/>
    <col min="2089" max="2089" width="13.77734375" customWidth="1"/>
    <col min="2090" max="2090" width="12.21875" customWidth="1"/>
    <col min="2091" max="2091" width="33" customWidth="1"/>
    <col min="2092" max="2092" width="13.21875" customWidth="1"/>
    <col min="2093" max="2093" width="10.21875" customWidth="1"/>
    <col min="2094" max="2094" width="11.21875" customWidth="1"/>
    <col min="2095" max="2095" width="24.77734375" customWidth="1"/>
    <col min="2096" max="2096" width="14.5546875" customWidth="1"/>
    <col min="2097" max="2097" width="14.77734375" customWidth="1"/>
    <col min="2098" max="2098" width="81.44140625" customWidth="1"/>
    <col min="2099" max="2099" width="30" customWidth="1"/>
    <col min="2100" max="2101" width="24.21875" customWidth="1"/>
    <col min="2102" max="2102" width="17.21875" customWidth="1"/>
    <col min="2103" max="2103" width="24" customWidth="1"/>
    <col min="2104" max="2104" width="19.77734375" customWidth="1"/>
    <col min="2105" max="2105" width="22.77734375" customWidth="1"/>
    <col min="2106" max="2106" width="22.44140625" customWidth="1"/>
    <col min="2107" max="2107" width="20.5546875" customWidth="1"/>
    <col min="2108" max="2108" width="22.44140625" customWidth="1"/>
    <col min="2109" max="2109" width="56.44140625" customWidth="1"/>
    <col min="2110" max="2110" width="18.5546875" customWidth="1"/>
    <col min="2111" max="2111" width="20.44140625" customWidth="1"/>
    <col min="2112" max="2113" width="16" customWidth="1"/>
    <col min="2114" max="2114" width="13" customWidth="1"/>
    <col min="2115" max="2115" width="21.77734375" customWidth="1"/>
    <col min="2116" max="2116" width="19.77734375" customWidth="1"/>
    <col min="2117" max="2117" width="16.21875" customWidth="1"/>
    <col min="2118" max="2118" width="15.77734375" customWidth="1"/>
    <col min="2119" max="2119" width="18.77734375" customWidth="1"/>
    <col min="2120" max="2120" width="14.77734375" customWidth="1"/>
    <col min="2121" max="2121" width="20.21875" customWidth="1"/>
    <col min="2122" max="2122" width="15.21875" customWidth="1"/>
    <col min="2123" max="2123" width="22.77734375" customWidth="1"/>
    <col min="2124" max="2125" width="23" customWidth="1"/>
    <col min="2126" max="2131" width="9.21875" customWidth="1"/>
    <col min="2132" max="2132" width="24.21875" customWidth="1"/>
    <col min="2133" max="2135" width="9.21875" customWidth="1"/>
    <col min="2136" max="2136" width="17.21875" customWidth="1"/>
    <col min="2137" max="2268" width="9.21875" customWidth="1"/>
    <col min="2269" max="2269" width="2" customWidth="1"/>
    <col min="2270" max="2270" width="21.77734375" customWidth="1"/>
    <col min="2271" max="2271" width="16.21875" customWidth="1"/>
    <col min="2272" max="2272" width="34.77734375" customWidth="1"/>
    <col min="2273" max="2274" width="24.77734375" customWidth="1"/>
    <col min="2275" max="2275" width="31.44140625" customWidth="1"/>
    <col min="2276" max="2276" width="24.77734375" customWidth="1"/>
    <col min="2277" max="2277" width="26.77734375" customWidth="1"/>
    <col min="2278" max="2280" width="13.77734375" customWidth="1"/>
    <col min="2281" max="2281" width="12.77734375" customWidth="1"/>
    <col min="2282" max="2282" width="15.44140625" customWidth="1"/>
    <col min="2283" max="2283" width="16" customWidth="1"/>
    <col min="2284" max="2284" width="15.5546875" customWidth="1"/>
    <col min="2305" max="2305" width="27.44140625" customWidth="1"/>
    <col min="2306" max="2307" width="21.77734375" customWidth="1"/>
    <col min="2308" max="2308" width="24.77734375" customWidth="1"/>
    <col min="2309" max="2309" width="36" customWidth="1"/>
    <col min="2310" max="2310" width="24.77734375" customWidth="1"/>
    <col min="2311" max="2311" width="26.77734375" customWidth="1"/>
    <col min="2312" max="2313" width="13.77734375" customWidth="1"/>
    <col min="2314" max="2314" width="12.77734375" customWidth="1"/>
    <col min="2315" max="2315" width="15.44140625" customWidth="1"/>
    <col min="2316" max="2316" width="16" customWidth="1"/>
    <col min="2317" max="2317" width="15.5546875" customWidth="1"/>
    <col min="2319" max="2319" width="27.77734375" customWidth="1"/>
    <col min="2320" max="2320" width="18.77734375" customWidth="1"/>
    <col min="2321" max="2321" width="21" customWidth="1"/>
    <col min="2322" max="2322" width="31" customWidth="1"/>
    <col min="2323" max="2323" width="30.77734375" customWidth="1"/>
    <col min="2324" max="2324" width="14.44140625" customWidth="1"/>
    <col min="2325" max="2325" width="27.44140625" customWidth="1"/>
    <col min="2326" max="2326" width="26.44140625" customWidth="1"/>
    <col min="2327" max="2327" width="21.77734375" customWidth="1"/>
    <col min="2328" max="2328" width="12.21875" customWidth="1"/>
    <col min="2329" max="2329" width="13.21875" customWidth="1"/>
    <col min="2330" max="2330" width="14.77734375" customWidth="1"/>
    <col min="2331" max="2331" width="13.77734375" customWidth="1"/>
    <col min="2332" max="2332" width="19.21875" customWidth="1"/>
    <col min="2334" max="2334" width="16.77734375" customWidth="1"/>
    <col min="2335" max="2339" width="19.77734375" customWidth="1"/>
    <col min="2340" max="2340" width="13.21875" customWidth="1"/>
    <col min="2341" max="2341" width="12.44140625" customWidth="1"/>
    <col min="2342" max="2342" width="13.21875" customWidth="1"/>
    <col min="2343" max="2343" width="12.77734375" customWidth="1"/>
    <col min="2344" max="2344" width="12.44140625" customWidth="1"/>
    <col min="2345" max="2345" width="13.77734375" customWidth="1"/>
    <col min="2346" max="2346" width="12.21875" customWidth="1"/>
    <col min="2347" max="2347" width="33" customWidth="1"/>
    <col min="2348" max="2348" width="13.21875" customWidth="1"/>
    <col min="2349" max="2349" width="10.21875" customWidth="1"/>
    <col min="2350" max="2350" width="11.21875" customWidth="1"/>
    <col min="2351" max="2351" width="24.77734375" customWidth="1"/>
    <col min="2352" max="2352" width="14.5546875" customWidth="1"/>
    <col min="2353" max="2353" width="14.77734375" customWidth="1"/>
    <col min="2354" max="2354" width="81.44140625" customWidth="1"/>
    <col min="2355" max="2355" width="30" customWidth="1"/>
    <col min="2356" max="2357" width="24.21875" customWidth="1"/>
    <col min="2358" max="2358" width="17.21875" customWidth="1"/>
    <col min="2359" max="2359" width="24" customWidth="1"/>
    <col min="2360" max="2360" width="19.77734375" customWidth="1"/>
    <col min="2361" max="2361" width="22.77734375" customWidth="1"/>
    <col min="2362" max="2362" width="22.44140625" customWidth="1"/>
    <col min="2363" max="2363" width="20.5546875" customWidth="1"/>
    <col min="2364" max="2364" width="22.44140625" customWidth="1"/>
    <col min="2365" max="2365" width="56.44140625" customWidth="1"/>
    <col min="2366" max="2366" width="18.5546875" customWidth="1"/>
    <col min="2367" max="2367" width="20.44140625" customWidth="1"/>
    <col min="2368" max="2369" width="16" customWidth="1"/>
    <col min="2370" max="2370" width="13" customWidth="1"/>
    <col min="2371" max="2371" width="21.77734375" customWidth="1"/>
    <col min="2372" max="2372" width="19.77734375" customWidth="1"/>
    <col min="2373" max="2373" width="16.21875" customWidth="1"/>
    <col min="2374" max="2374" width="15.77734375" customWidth="1"/>
    <col min="2375" max="2375" width="18.77734375" customWidth="1"/>
    <col min="2376" max="2376" width="14.77734375" customWidth="1"/>
    <col min="2377" max="2377" width="20.21875" customWidth="1"/>
    <col min="2378" max="2378" width="15.21875" customWidth="1"/>
    <col min="2379" max="2379" width="22.77734375" customWidth="1"/>
    <col min="2380" max="2381" width="23" customWidth="1"/>
    <col min="2382" max="2387" width="9.21875" customWidth="1"/>
    <col min="2388" max="2388" width="24.21875" customWidth="1"/>
    <col min="2389" max="2391" width="9.21875" customWidth="1"/>
    <col min="2392" max="2392" width="17.21875" customWidth="1"/>
    <col min="2393" max="2524" width="9.21875" customWidth="1"/>
    <col min="2525" max="2525" width="2" customWidth="1"/>
    <col min="2526" max="2526" width="21.77734375" customWidth="1"/>
    <col min="2527" max="2527" width="16.21875" customWidth="1"/>
    <col min="2528" max="2528" width="34.77734375" customWidth="1"/>
    <col min="2529" max="2530" width="24.77734375" customWidth="1"/>
    <col min="2531" max="2531" width="31.44140625" customWidth="1"/>
    <col min="2532" max="2532" width="24.77734375" customWidth="1"/>
    <col min="2533" max="2533" width="26.77734375" customWidth="1"/>
    <col min="2534" max="2536" width="13.77734375" customWidth="1"/>
    <col min="2537" max="2537" width="12.77734375" customWidth="1"/>
    <col min="2538" max="2538" width="15.44140625" customWidth="1"/>
    <col min="2539" max="2539" width="16" customWidth="1"/>
    <col min="2540" max="2540" width="15.5546875" customWidth="1"/>
    <col min="2561" max="2561" width="27.44140625" customWidth="1"/>
    <col min="2562" max="2563" width="21.77734375" customWidth="1"/>
    <col min="2564" max="2564" width="24.77734375" customWidth="1"/>
    <col min="2565" max="2565" width="36" customWidth="1"/>
    <col min="2566" max="2566" width="24.77734375" customWidth="1"/>
    <col min="2567" max="2567" width="26.77734375" customWidth="1"/>
    <col min="2568" max="2569" width="13.77734375" customWidth="1"/>
    <col min="2570" max="2570" width="12.77734375" customWidth="1"/>
    <col min="2571" max="2571" width="15.44140625" customWidth="1"/>
    <col min="2572" max="2572" width="16" customWidth="1"/>
    <col min="2573" max="2573" width="15.5546875" customWidth="1"/>
    <col min="2575" max="2575" width="27.77734375" customWidth="1"/>
    <col min="2576" max="2576" width="18.77734375" customWidth="1"/>
    <col min="2577" max="2577" width="21" customWidth="1"/>
    <col min="2578" max="2578" width="31" customWidth="1"/>
    <col min="2579" max="2579" width="30.77734375" customWidth="1"/>
    <col min="2580" max="2580" width="14.44140625" customWidth="1"/>
    <col min="2581" max="2581" width="27.44140625" customWidth="1"/>
    <col min="2582" max="2582" width="26.44140625" customWidth="1"/>
    <col min="2583" max="2583" width="21.77734375" customWidth="1"/>
    <col min="2584" max="2584" width="12.21875" customWidth="1"/>
    <col min="2585" max="2585" width="13.21875" customWidth="1"/>
    <col min="2586" max="2586" width="14.77734375" customWidth="1"/>
    <col min="2587" max="2587" width="13.77734375" customWidth="1"/>
    <col min="2588" max="2588" width="19.21875" customWidth="1"/>
    <col min="2590" max="2590" width="16.77734375" customWidth="1"/>
    <col min="2591" max="2595" width="19.77734375" customWidth="1"/>
    <col min="2596" max="2596" width="13.21875" customWidth="1"/>
    <col min="2597" max="2597" width="12.44140625" customWidth="1"/>
    <col min="2598" max="2598" width="13.21875" customWidth="1"/>
    <col min="2599" max="2599" width="12.77734375" customWidth="1"/>
    <col min="2600" max="2600" width="12.44140625" customWidth="1"/>
    <col min="2601" max="2601" width="13.77734375" customWidth="1"/>
    <col min="2602" max="2602" width="12.21875" customWidth="1"/>
    <col min="2603" max="2603" width="33" customWidth="1"/>
    <col min="2604" max="2604" width="13.21875" customWidth="1"/>
    <col min="2605" max="2605" width="10.21875" customWidth="1"/>
    <col min="2606" max="2606" width="11.21875" customWidth="1"/>
    <col min="2607" max="2607" width="24.77734375" customWidth="1"/>
    <col min="2608" max="2608" width="14.5546875" customWidth="1"/>
    <col min="2609" max="2609" width="14.77734375" customWidth="1"/>
    <col min="2610" max="2610" width="81.44140625" customWidth="1"/>
    <col min="2611" max="2611" width="30" customWidth="1"/>
    <col min="2612" max="2613" width="24.21875" customWidth="1"/>
    <col min="2614" max="2614" width="17.21875" customWidth="1"/>
    <col min="2615" max="2615" width="24" customWidth="1"/>
    <col min="2616" max="2616" width="19.77734375" customWidth="1"/>
    <col min="2617" max="2617" width="22.77734375" customWidth="1"/>
    <col min="2618" max="2618" width="22.44140625" customWidth="1"/>
    <col min="2619" max="2619" width="20.5546875" customWidth="1"/>
    <col min="2620" max="2620" width="22.44140625" customWidth="1"/>
    <col min="2621" max="2621" width="56.44140625" customWidth="1"/>
    <col min="2622" max="2622" width="18.5546875" customWidth="1"/>
    <col min="2623" max="2623" width="20.44140625" customWidth="1"/>
    <col min="2624" max="2625" width="16" customWidth="1"/>
    <col min="2626" max="2626" width="13" customWidth="1"/>
    <col min="2627" max="2627" width="21.77734375" customWidth="1"/>
    <col min="2628" max="2628" width="19.77734375" customWidth="1"/>
    <col min="2629" max="2629" width="16.21875" customWidth="1"/>
    <col min="2630" max="2630" width="15.77734375" customWidth="1"/>
    <col min="2631" max="2631" width="18.77734375" customWidth="1"/>
    <col min="2632" max="2632" width="14.77734375" customWidth="1"/>
    <col min="2633" max="2633" width="20.21875" customWidth="1"/>
    <col min="2634" max="2634" width="15.21875" customWidth="1"/>
    <col min="2635" max="2635" width="22.77734375" customWidth="1"/>
    <col min="2636" max="2637" width="23" customWidth="1"/>
    <col min="2638" max="2643" width="9.21875" customWidth="1"/>
    <col min="2644" max="2644" width="24.21875" customWidth="1"/>
    <col min="2645" max="2647" width="9.21875" customWidth="1"/>
    <col min="2648" max="2648" width="17.21875" customWidth="1"/>
    <col min="2649" max="2780" width="9.21875" customWidth="1"/>
    <col min="2781" max="2781" width="2" customWidth="1"/>
    <col min="2782" max="2782" width="21.77734375" customWidth="1"/>
    <col min="2783" max="2783" width="16.21875" customWidth="1"/>
    <col min="2784" max="2784" width="34.77734375" customWidth="1"/>
    <col min="2785" max="2786" width="24.77734375" customWidth="1"/>
    <col min="2787" max="2787" width="31.44140625" customWidth="1"/>
    <col min="2788" max="2788" width="24.77734375" customWidth="1"/>
    <col min="2789" max="2789" width="26.77734375" customWidth="1"/>
    <col min="2790" max="2792" width="13.77734375" customWidth="1"/>
    <col min="2793" max="2793" width="12.77734375" customWidth="1"/>
    <col min="2794" max="2794" width="15.44140625" customWidth="1"/>
    <col min="2795" max="2795" width="16" customWidth="1"/>
    <col min="2796" max="2796" width="15.5546875" customWidth="1"/>
    <col min="2817" max="2817" width="27.44140625" customWidth="1"/>
    <col min="2818" max="2819" width="21.77734375" customWidth="1"/>
    <col min="2820" max="2820" width="24.77734375" customWidth="1"/>
    <col min="2821" max="2821" width="36" customWidth="1"/>
    <col min="2822" max="2822" width="24.77734375" customWidth="1"/>
    <col min="2823" max="2823" width="26.77734375" customWidth="1"/>
    <col min="2824" max="2825" width="13.77734375" customWidth="1"/>
    <col min="2826" max="2826" width="12.77734375" customWidth="1"/>
    <col min="2827" max="2827" width="15.44140625" customWidth="1"/>
    <col min="2828" max="2828" width="16" customWidth="1"/>
    <col min="2829" max="2829" width="15.5546875" customWidth="1"/>
    <col min="2831" max="2831" width="27.77734375" customWidth="1"/>
    <col min="2832" max="2832" width="18.77734375" customWidth="1"/>
    <col min="2833" max="2833" width="21" customWidth="1"/>
    <col min="2834" max="2834" width="31" customWidth="1"/>
    <col min="2835" max="2835" width="30.77734375" customWidth="1"/>
    <col min="2836" max="2836" width="14.44140625" customWidth="1"/>
    <col min="2837" max="2837" width="27.44140625" customWidth="1"/>
    <col min="2838" max="2838" width="26.44140625" customWidth="1"/>
    <col min="2839" max="2839" width="21.77734375" customWidth="1"/>
    <col min="2840" max="2840" width="12.21875" customWidth="1"/>
    <col min="2841" max="2841" width="13.21875" customWidth="1"/>
    <col min="2842" max="2842" width="14.77734375" customWidth="1"/>
    <col min="2843" max="2843" width="13.77734375" customWidth="1"/>
    <col min="2844" max="2844" width="19.21875" customWidth="1"/>
    <col min="2846" max="2846" width="16.77734375" customWidth="1"/>
    <col min="2847" max="2851" width="19.77734375" customWidth="1"/>
    <col min="2852" max="2852" width="13.21875" customWidth="1"/>
    <col min="2853" max="2853" width="12.44140625" customWidth="1"/>
    <col min="2854" max="2854" width="13.21875" customWidth="1"/>
    <col min="2855" max="2855" width="12.77734375" customWidth="1"/>
    <col min="2856" max="2856" width="12.44140625" customWidth="1"/>
    <col min="2857" max="2857" width="13.77734375" customWidth="1"/>
    <col min="2858" max="2858" width="12.21875" customWidth="1"/>
    <col min="2859" max="2859" width="33" customWidth="1"/>
    <col min="2860" max="2860" width="13.21875" customWidth="1"/>
    <col min="2861" max="2861" width="10.21875" customWidth="1"/>
    <col min="2862" max="2862" width="11.21875" customWidth="1"/>
    <col min="2863" max="2863" width="24.77734375" customWidth="1"/>
    <col min="2864" max="2864" width="14.5546875" customWidth="1"/>
    <col min="2865" max="2865" width="14.77734375" customWidth="1"/>
    <col min="2866" max="2866" width="81.44140625" customWidth="1"/>
    <col min="2867" max="2867" width="30" customWidth="1"/>
    <col min="2868" max="2869" width="24.21875" customWidth="1"/>
    <col min="2870" max="2870" width="17.21875" customWidth="1"/>
    <col min="2871" max="2871" width="24" customWidth="1"/>
    <col min="2872" max="2872" width="19.77734375" customWidth="1"/>
    <col min="2873" max="2873" width="22.77734375" customWidth="1"/>
    <col min="2874" max="2874" width="22.44140625" customWidth="1"/>
    <col min="2875" max="2875" width="20.5546875" customWidth="1"/>
    <col min="2876" max="2876" width="22.44140625" customWidth="1"/>
    <col min="2877" max="2877" width="56.44140625" customWidth="1"/>
    <col min="2878" max="2878" width="18.5546875" customWidth="1"/>
    <col min="2879" max="2879" width="20.44140625" customWidth="1"/>
    <col min="2880" max="2881" width="16" customWidth="1"/>
    <col min="2882" max="2882" width="13" customWidth="1"/>
    <col min="2883" max="2883" width="21.77734375" customWidth="1"/>
    <col min="2884" max="2884" width="19.77734375" customWidth="1"/>
    <col min="2885" max="2885" width="16.21875" customWidth="1"/>
    <col min="2886" max="2886" width="15.77734375" customWidth="1"/>
    <col min="2887" max="2887" width="18.77734375" customWidth="1"/>
    <col min="2888" max="2888" width="14.77734375" customWidth="1"/>
    <col min="2889" max="2889" width="20.21875" customWidth="1"/>
    <col min="2890" max="2890" width="15.21875" customWidth="1"/>
    <col min="2891" max="2891" width="22.77734375" customWidth="1"/>
    <col min="2892" max="2893" width="23" customWidth="1"/>
    <col min="2894" max="2899" width="9.21875" customWidth="1"/>
    <col min="2900" max="2900" width="24.21875" customWidth="1"/>
    <col min="2901" max="2903" width="9.21875" customWidth="1"/>
    <col min="2904" max="2904" width="17.21875" customWidth="1"/>
    <col min="2905" max="3036" width="9.21875" customWidth="1"/>
    <col min="3037" max="3037" width="2" customWidth="1"/>
    <col min="3038" max="3038" width="21.77734375" customWidth="1"/>
    <col min="3039" max="3039" width="16.21875" customWidth="1"/>
    <col min="3040" max="3040" width="34.77734375" customWidth="1"/>
    <col min="3041" max="3042" width="24.77734375" customWidth="1"/>
    <col min="3043" max="3043" width="31.44140625" customWidth="1"/>
    <col min="3044" max="3044" width="24.77734375" customWidth="1"/>
    <col min="3045" max="3045" width="26.77734375" customWidth="1"/>
    <col min="3046" max="3048" width="13.77734375" customWidth="1"/>
    <col min="3049" max="3049" width="12.77734375" customWidth="1"/>
    <col min="3050" max="3050" width="15.44140625" customWidth="1"/>
    <col min="3051" max="3051" width="16" customWidth="1"/>
    <col min="3052" max="3052" width="15.5546875" customWidth="1"/>
    <col min="3073" max="3073" width="27.44140625" customWidth="1"/>
    <col min="3074" max="3075" width="21.77734375" customWidth="1"/>
    <col min="3076" max="3076" width="24.77734375" customWidth="1"/>
    <col min="3077" max="3077" width="36" customWidth="1"/>
    <col min="3078" max="3078" width="24.77734375" customWidth="1"/>
    <col min="3079" max="3079" width="26.77734375" customWidth="1"/>
    <col min="3080" max="3081" width="13.77734375" customWidth="1"/>
    <col min="3082" max="3082" width="12.77734375" customWidth="1"/>
    <col min="3083" max="3083" width="15.44140625" customWidth="1"/>
    <col min="3084" max="3084" width="16" customWidth="1"/>
    <col min="3085" max="3085" width="15.5546875" customWidth="1"/>
    <col min="3087" max="3087" width="27.77734375" customWidth="1"/>
    <col min="3088" max="3088" width="18.77734375" customWidth="1"/>
    <col min="3089" max="3089" width="21" customWidth="1"/>
    <col min="3090" max="3090" width="31" customWidth="1"/>
    <col min="3091" max="3091" width="30.77734375" customWidth="1"/>
    <col min="3092" max="3092" width="14.44140625" customWidth="1"/>
    <col min="3093" max="3093" width="27.44140625" customWidth="1"/>
    <col min="3094" max="3094" width="26.44140625" customWidth="1"/>
    <col min="3095" max="3095" width="21.77734375" customWidth="1"/>
    <col min="3096" max="3096" width="12.21875" customWidth="1"/>
    <col min="3097" max="3097" width="13.21875" customWidth="1"/>
    <col min="3098" max="3098" width="14.77734375" customWidth="1"/>
    <col min="3099" max="3099" width="13.77734375" customWidth="1"/>
    <col min="3100" max="3100" width="19.21875" customWidth="1"/>
    <col min="3102" max="3102" width="16.77734375" customWidth="1"/>
    <col min="3103" max="3107" width="19.77734375" customWidth="1"/>
    <col min="3108" max="3108" width="13.21875" customWidth="1"/>
    <col min="3109" max="3109" width="12.44140625" customWidth="1"/>
    <col min="3110" max="3110" width="13.21875" customWidth="1"/>
    <col min="3111" max="3111" width="12.77734375" customWidth="1"/>
    <col min="3112" max="3112" width="12.44140625" customWidth="1"/>
    <col min="3113" max="3113" width="13.77734375" customWidth="1"/>
    <col min="3114" max="3114" width="12.21875" customWidth="1"/>
    <col min="3115" max="3115" width="33" customWidth="1"/>
    <col min="3116" max="3116" width="13.21875" customWidth="1"/>
    <col min="3117" max="3117" width="10.21875" customWidth="1"/>
    <col min="3118" max="3118" width="11.21875" customWidth="1"/>
    <col min="3119" max="3119" width="24.77734375" customWidth="1"/>
    <col min="3120" max="3120" width="14.5546875" customWidth="1"/>
    <col min="3121" max="3121" width="14.77734375" customWidth="1"/>
    <col min="3122" max="3122" width="81.44140625" customWidth="1"/>
    <col min="3123" max="3123" width="30" customWidth="1"/>
    <col min="3124" max="3125" width="24.21875" customWidth="1"/>
    <col min="3126" max="3126" width="17.21875" customWidth="1"/>
    <col min="3127" max="3127" width="24" customWidth="1"/>
    <col min="3128" max="3128" width="19.77734375" customWidth="1"/>
    <col min="3129" max="3129" width="22.77734375" customWidth="1"/>
    <col min="3130" max="3130" width="22.44140625" customWidth="1"/>
    <col min="3131" max="3131" width="20.5546875" customWidth="1"/>
    <col min="3132" max="3132" width="22.44140625" customWidth="1"/>
    <col min="3133" max="3133" width="56.44140625" customWidth="1"/>
    <col min="3134" max="3134" width="18.5546875" customWidth="1"/>
    <col min="3135" max="3135" width="20.44140625" customWidth="1"/>
    <col min="3136" max="3137" width="16" customWidth="1"/>
    <col min="3138" max="3138" width="13" customWidth="1"/>
    <col min="3139" max="3139" width="21.77734375" customWidth="1"/>
    <col min="3140" max="3140" width="19.77734375" customWidth="1"/>
    <col min="3141" max="3141" width="16.21875" customWidth="1"/>
    <col min="3142" max="3142" width="15.77734375" customWidth="1"/>
    <col min="3143" max="3143" width="18.77734375" customWidth="1"/>
    <col min="3144" max="3144" width="14.77734375" customWidth="1"/>
    <col min="3145" max="3145" width="20.21875" customWidth="1"/>
    <col min="3146" max="3146" width="15.21875" customWidth="1"/>
    <col min="3147" max="3147" width="22.77734375" customWidth="1"/>
    <col min="3148" max="3149" width="23" customWidth="1"/>
    <col min="3150" max="3155" width="9.21875" customWidth="1"/>
    <col min="3156" max="3156" width="24.21875" customWidth="1"/>
    <col min="3157" max="3159" width="9.21875" customWidth="1"/>
    <col min="3160" max="3160" width="17.21875" customWidth="1"/>
    <col min="3161" max="3292" width="9.21875" customWidth="1"/>
    <col min="3293" max="3293" width="2" customWidth="1"/>
    <col min="3294" max="3294" width="21.77734375" customWidth="1"/>
    <col min="3295" max="3295" width="16.21875" customWidth="1"/>
    <col min="3296" max="3296" width="34.77734375" customWidth="1"/>
    <col min="3297" max="3298" width="24.77734375" customWidth="1"/>
    <col min="3299" max="3299" width="31.44140625" customWidth="1"/>
    <col min="3300" max="3300" width="24.77734375" customWidth="1"/>
    <col min="3301" max="3301" width="26.77734375" customWidth="1"/>
    <col min="3302" max="3304" width="13.77734375" customWidth="1"/>
    <col min="3305" max="3305" width="12.77734375" customWidth="1"/>
    <col min="3306" max="3306" width="15.44140625" customWidth="1"/>
    <col min="3307" max="3307" width="16" customWidth="1"/>
    <col min="3308" max="3308" width="15.5546875" customWidth="1"/>
    <col min="3329" max="3329" width="27.44140625" customWidth="1"/>
    <col min="3330" max="3331" width="21.77734375" customWidth="1"/>
    <col min="3332" max="3332" width="24.77734375" customWidth="1"/>
    <col min="3333" max="3333" width="36" customWidth="1"/>
    <col min="3334" max="3334" width="24.77734375" customWidth="1"/>
    <col min="3335" max="3335" width="26.77734375" customWidth="1"/>
    <col min="3336" max="3337" width="13.77734375" customWidth="1"/>
    <col min="3338" max="3338" width="12.77734375" customWidth="1"/>
    <col min="3339" max="3339" width="15.44140625" customWidth="1"/>
    <col min="3340" max="3340" width="16" customWidth="1"/>
    <col min="3341" max="3341" width="15.5546875" customWidth="1"/>
    <col min="3343" max="3343" width="27.77734375" customWidth="1"/>
    <col min="3344" max="3344" width="18.77734375" customWidth="1"/>
    <col min="3345" max="3345" width="21" customWidth="1"/>
    <col min="3346" max="3346" width="31" customWidth="1"/>
    <col min="3347" max="3347" width="30.77734375" customWidth="1"/>
    <col min="3348" max="3348" width="14.44140625" customWidth="1"/>
    <col min="3349" max="3349" width="27.44140625" customWidth="1"/>
    <col min="3350" max="3350" width="26.44140625" customWidth="1"/>
    <col min="3351" max="3351" width="21.77734375" customWidth="1"/>
    <col min="3352" max="3352" width="12.21875" customWidth="1"/>
    <col min="3353" max="3353" width="13.21875" customWidth="1"/>
    <col min="3354" max="3354" width="14.77734375" customWidth="1"/>
    <col min="3355" max="3355" width="13.77734375" customWidth="1"/>
    <col min="3356" max="3356" width="19.21875" customWidth="1"/>
    <col min="3358" max="3358" width="16.77734375" customWidth="1"/>
    <col min="3359" max="3363" width="19.77734375" customWidth="1"/>
    <col min="3364" max="3364" width="13.21875" customWidth="1"/>
    <col min="3365" max="3365" width="12.44140625" customWidth="1"/>
    <col min="3366" max="3366" width="13.21875" customWidth="1"/>
    <col min="3367" max="3367" width="12.77734375" customWidth="1"/>
    <col min="3368" max="3368" width="12.44140625" customWidth="1"/>
    <col min="3369" max="3369" width="13.77734375" customWidth="1"/>
    <col min="3370" max="3370" width="12.21875" customWidth="1"/>
    <col min="3371" max="3371" width="33" customWidth="1"/>
    <col min="3372" max="3372" width="13.21875" customWidth="1"/>
    <col min="3373" max="3373" width="10.21875" customWidth="1"/>
    <col min="3374" max="3374" width="11.21875" customWidth="1"/>
    <col min="3375" max="3375" width="24.77734375" customWidth="1"/>
    <col min="3376" max="3376" width="14.5546875" customWidth="1"/>
    <col min="3377" max="3377" width="14.77734375" customWidth="1"/>
    <col min="3378" max="3378" width="81.44140625" customWidth="1"/>
    <col min="3379" max="3379" width="30" customWidth="1"/>
    <col min="3380" max="3381" width="24.21875" customWidth="1"/>
    <col min="3382" max="3382" width="17.21875" customWidth="1"/>
    <col min="3383" max="3383" width="24" customWidth="1"/>
    <col min="3384" max="3384" width="19.77734375" customWidth="1"/>
    <col min="3385" max="3385" width="22.77734375" customWidth="1"/>
    <col min="3386" max="3386" width="22.44140625" customWidth="1"/>
    <col min="3387" max="3387" width="20.5546875" customWidth="1"/>
    <col min="3388" max="3388" width="22.44140625" customWidth="1"/>
    <col min="3389" max="3389" width="56.44140625" customWidth="1"/>
    <col min="3390" max="3390" width="18.5546875" customWidth="1"/>
    <col min="3391" max="3391" width="20.44140625" customWidth="1"/>
    <col min="3392" max="3393" width="16" customWidth="1"/>
    <col min="3394" max="3394" width="13" customWidth="1"/>
    <col min="3395" max="3395" width="21.77734375" customWidth="1"/>
    <col min="3396" max="3396" width="19.77734375" customWidth="1"/>
    <col min="3397" max="3397" width="16.21875" customWidth="1"/>
    <col min="3398" max="3398" width="15.77734375" customWidth="1"/>
    <col min="3399" max="3399" width="18.77734375" customWidth="1"/>
    <col min="3400" max="3400" width="14.77734375" customWidth="1"/>
    <col min="3401" max="3401" width="20.21875" customWidth="1"/>
    <col min="3402" max="3402" width="15.21875" customWidth="1"/>
    <col min="3403" max="3403" width="22.77734375" customWidth="1"/>
    <col min="3404" max="3405" width="23" customWidth="1"/>
    <col min="3406" max="3411" width="9.21875" customWidth="1"/>
    <col min="3412" max="3412" width="24.21875" customWidth="1"/>
    <col min="3413" max="3415" width="9.21875" customWidth="1"/>
    <col min="3416" max="3416" width="17.21875" customWidth="1"/>
    <col min="3417" max="3548" width="9.21875" customWidth="1"/>
    <col min="3549" max="3549" width="2" customWidth="1"/>
    <col min="3550" max="3550" width="21.77734375" customWidth="1"/>
    <col min="3551" max="3551" width="16.21875" customWidth="1"/>
    <col min="3552" max="3552" width="34.77734375" customWidth="1"/>
    <col min="3553" max="3554" width="24.77734375" customWidth="1"/>
    <col min="3555" max="3555" width="31.44140625" customWidth="1"/>
    <col min="3556" max="3556" width="24.77734375" customWidth="1"/>
    <col min="3557" max="3557" width="26.77734375" customWidth="1"/>
    <col min="3558" max="3560" width="13.77734375" customWidth="1"/>
    <col min="3561" max="3561" width="12.77734375" customWidth="1"/>
    <col min="3562" max="3562" width="15.44140625" customWidth="1"/>
    <col min="3563" max="3563" width="16" customWidth="1"/>
    <col min="3564" max="3564" width="15.5546875" customWidth="1"/>
    <col min="3585" max="3585" width="27.44140625" customWidth="1"/>
    <col min="3586" max="3587" width="21.77734375" customWidth="1"/>
    <col min="3588" max="3588" width="24.77734375" customWidth="1"/>
    <col min="3589" max="3589" width="36" customWidth="1"/>
    <col min="3590" max="3590" width="24.77734375" customWidth="1"/>
    <col min="3591" max="3591" width="26.77734375" customWidth="1"/>
    <col min="3592" max="3593" width="13.77734375" customWidth="1"/>
    <col min="3594" max="3594" width="12.77734375" customWidth="1"/>
    <col min="3595" max="3595" width="15.44140625" customWidth="1"/>
    <col min="3596" max="3596" width="16" customWidth="1"/>
    <col min="3597" max="3597" width="15.5546875" customWidth="1"/>
    <col min="3599" max="3599" width="27.77734375" customWidth="1"/>
    <col min="3600" max="3600" width="18.77734375" customWidth="1"/>
    <col min="3601" max="3601" width="21" customWidth="1"/>
    <col min="3602" max="3602" width="31" customWidth="1"/>
    <col min="3603" max="3603" width="30.77734375" customWidth="1"/>
    <col min="3604" max="3604" width="14.44140625" customWidth="1"/>
    <col min="3605" max="3605" width="27.44140625" customWidth="1"/>
    <col min="3606" max="3606" width="26.44140625" customWidth="1"/>
    <col min="3607" max="3607" width="21.77734375" customWidth="1"/>
    <col min="3608" max="3608" width="12.21875" customWidth="1"/>
    <col min="3609" max="3609" width="13.21875" customWidth="1"/>
    <col min="3610" max="3610" width="14.77734375" customWidth="1"/>
    <col min="3611" max="3611" width="13.77734375" customWidth="1"/>
    <col min="3612" max="3612" width="19.21875" customWidth="1"/>
    <col min="3614" max="3614" width="16.77734375" customWidth="1"/>
    <col min="3615" max="3619" width="19.77734375" customWidth="1"/>
    <col min="3620" max="3620" width="13.21875" customWidth="1"/>
    <col min="3621" max="3621" width="12.44140625" customWidth="1"/>
    <col min="3622" max="3622" width="13.21875" customWidth="1"/>
    <col min="3623" max="3623" width="12.77734375" customWidth="1"/>
    <col min="3624" max="3624" width="12.44140625" customWidth="1"/>
    <col min="3625" max="3625" width="13.77734375" customWidth="1"/>
    <col min="3626" max="3626" width="12.21875" customWidth="1"/>
    <col min="3627" max="3627" width="33" customWidth="1"/>
    <col min="3628" max="3628" width="13.21875" customWidth="1"/>
    <col min="3629" max="3629" width="10.21875" customWidth="1"/>
    <col min="3630" max="3630" width="11.21875" customWidth="1"/>
    <col min="3631" max="3631" width="24.77734375" customWidth="1"/>
    <col min="3632" max="3632" width="14.5546875" customWidth="1"/>
    <col min="3633" max="3633" width="14.77734375" customWidth="1"/>
    <col min="3634" max="3634" width="81.44140625" customWidth="1"/>
    <col min="3635" max="3635" width="30" customWidth="1"/>
    <col min="3636" max="3637" width="24.21875" customWidth="1"/>
    <col min="3638" max="3638" width="17.21875" customWidth="1"/>
    <col min="3639" max="3639" width="24" customWidth="1"/>
    <col min="3640" max="3640" width="19.77734375" customWidth="1"/>
    <col min="3641" max="3641" width="22.77734375" customWidth="1"/>
    <col min="3642" max="3642" width="22.44140625" customWidth="1"/>
    <col min="3643" max="3643" width="20.5546875" customWidth="1"/>
    <col min="3644" max="3644" width="22.44140625" customWidth="1"/>
    <col min="3645" max="3645" width="56.44140625" customWidth="1"/>
    <col min="3646" max="3646" width="18.5546875" customWidth="1"/>
    <col min="3647" max="3647" width="20.44140625" customWidth="1"/>
    <col min="3648" max="3649" width="16" customWidth="1"/>
    <col min="3650" max="3650" width="13" customWidth="1"/>
    <col min="3651" max="3651" width="21.77734375" customWidth="1"/>
    <col min="3652" max="3652" width="19.77734375" customWidth="1"/>
    <col min="3653" max="3653" width="16.21875" customWidth="1"/>
    <col min="3654" max="3654" width="15.77734375" customWidth="1"/>
    <col min="3655" max="3655" width="18.77734375" customWidth="1"/>
    <col min="3656" max="3656" width="14.77734375" customWidth="1"/>
    <col min="3657" max="3657" width="20.21875" customWidth="1"/>
    <col min="3658" max="3658" width="15.21875" customWidth="1"/>
    <col min="3659" max="3659" width="22.77734375" customWidth="1"/>
    <col min="3660" max="3661" width="23" customWidth="1"/>
    <col min="3662" max="3667" width="9.21875" customWidth="1"/>
    <col min="3668" max="3668" width="24.21875" customWidth="1"/>
    <col min="3669" max="3671" width="9.21875" customWidth="1"/>
    <col min="3672" max="3672" width="17.21875" customWidth="1"/>
    <col min="3673" max="3804" width="9.21875" customWidth="1"/>
    <col min="3805" max="3805" width="2" customWidth="1"/>
    <col min="3806" max="3806" width="21.77734375" customWidth="1"/>
    <col min="3807" max="3807" width="16.21875" customWidth="1"/>
    <col min="3808" max="3808" width="34.77734375" customWidth="1"/>
    <col min="3809" max="3810" width="24.77734375" customWidth="1"/>
    <col min="3811" max="3811" width="31.44140625" customWidth="1"/>
    <col min="3812" max="3812" width="24.77734375" customWidth="1"/>
    <col min="3813" max="3813" width="26.77734375" customWidth="1"/>
    <col min="3814" max="3816" width="13.77734375" customWidth="1"/>
    <col min="3817" max="3817" width="12.77734375" customWidth="1"/>
    <col min="3818" max="3818" width="15.44140625" customWidth="1"/>
    <col min="3819" max="3819" width="16" customWidth="1"/>
    <col min="3820" max="3820" width="15.5546875" customWidth="1"/>
    <col min="3841" max="3841" width="27.44140625" customWidth="1"/>
    <col min="3842" max="3843" width="21.77734375" customWidth="1"/>
    <col min="3844" max="3844" width="24.77734375" customWidth="1"/>
    <col min="3845" max="3845" width="36" customWidth="1"/>
    <col min="3846" max="3846" width="24.77734375" customWidth="1"/>
    <col min="3847" max="3847" width="26.77734375" customWidth="1"/>
    <col min="3848" max="3849" width="13.77734375" customWidth="1"/>
    <col min="3850" max="3850" width="12.77734375" customWidth="1"/>
    <col min="3851" max="3851" width="15.44140625" customWidth="1"/>
    <col min="3852" max="3852" width="16" customWidth="1"/>
    <col min="3853" max="3853" width="15.5546875" customWidth="1"/>
    <col min="3855" max="3855" width="27.77734375" customWidth="1"/>
    <col min="3856" max="3856" width="18.77734375" customWidth="1"/>
    <col min="3857" max="3857" width="21" customWidth="1"/>
    <col min="3858" max="3858" width="31" customWidth="1"/>
    <col min="3859" max="3859" width="30.77734375" customWidth="1"/>
    <col min="3860" max="3860" width="14.44140625" customWidth="1"/>
    <col min="3861" max="3861" width="27.44140625" customWidth="1"/>
    <col min="3862" max="3862" width="26.44140625" customWidth="1"/>
    <col min="3863" max="3863" width="21.77734375" customWidth="1"/>
    <col min="3864" max="3864" width="12.21875" customWidth="1"/>
    <col min="3865" max="3865" width="13.21875" customWidth="1"/>
    <col min="3866" max="3866" width="14.77734375" customWidth="1"/>
    <col min="3867" max="3867" width="13.77734375" customWidth="1"/>
    <col min="3868" max="3868" width="19.21875" customWidth="1"/>
    <col min="3870" max="3870" width="16.77734375" customWidth="1"/>
    <col min="3871" max="3875" width="19.77734375" customWidth="1"/>
    <col min="3876" max="3876" width="13.21875" customWidth="1"/>
    <col min="3877" max="3877" width="12.44140625" customWidth="1"/>
    <col min="3878" max="3878" width="13.21875" customWidth="1"/>
    <col min="3879" max="3879" width="12.77734375" customWidth="1"/>
    <col min="3880" max="3880" width="12.44140625" customWidth="1"/>
    <col min="3881" max="3881" width="13.77734375" customWidth="1"/>
    <col min="3882" max="3882" width="12.21875" customWidth="1"/>
    <col min="3883" max="3883" width="33" customWidth="1"/>
    <col min="3884" max="3884" width="13.21875" customWidth="1"/>
    <col min="3885" max="3885" width="10.21875" customWidth="1"/>
    <col min="3886" max="3886" width="11.21875" customWidth="1"/>
    <col min="3887" max="3887" width="24.77734375" customWidth="1"/>
    <col min="3888" max="3888" width="14.5546875" customWidth="1"/>
    <col min="3889" max="3889" width="14.77734375" customWidth="1"/>
    <col min="3890" max="3890" width="81.44140625" customWidth="1"/>
    <col min="3891" max="3891" width="30" customWidth="1"/>
    <col min="3892" max="3893" width="24.21875" customWidth="1"/>
    <col min="3894" max="3894" width="17.21875" customWidth="1"/>
    <col min="3895" max="3895" width="24" customWidth="1"/>
    <col min="3896" max="3896" width="19.77734375" customWidth="1"/>
    <col min="3897" max="3897" width="22.77734375" customWidth="1"/>
    <col min="3898" max="3898" width="22.44140625" customWidth="1"/>
    <col min="3899" max="3899" width="20.5546875" customWidth="1"/>
    <col min="3900" max="3900" width="22.44140625" customWidth="1"/>
    <col min="3901" max="3901" width="56.44140625" customWidth="1"/>
    <col min="3902" max="3902" width="18.5546875" customWidth="1"/>
    <col min="3903" max="3903" width="20.44140625" customWidth="1"/>
    <col min="3904" max="3905" width="16" customWidth="1"/>
    <col min="3906" max="3906" width="13" customWidth="1"/>
    <col min="3907" max="3907" width="21.77734375" customWidth="1"/>
    <col min="3908" max="3908" width="19.77734375" customWidth="1"/>
    <col min="3909" max="3909" width="16.21875" customWidth="1"/>
    <col min="3910" max="3910" width="15.77734375" customWidth="1"/>
    <col min="3911" max="3911" width="18.77734375" customWidth="1"/>
    <col min="3912" max="3912" width="14.77734375" customWidth="1"/>
    <col min="3913" max="3913" width="20.21875" customWidth="1"/>
    <col min="3914" max="3914" width="15.21875" customWidth="1"/>
    <col min="3915" max="3915" width="22.77734375" customWidth="1"/>
    <col min="3916" max="3917" width="23" customWidth="1"/>
    <col min="3918" max="3923" width="9.21875" customWidth="1"/>
    <col min="3924" max="3924" width="24.21875" customWidth="1"/>
    <col min="3925" max="3927" width="9.21875" customWidth="1"/>
    <col min="3928" max="3928" width="17.21875" customWidth="1"/>
    <col min="3929" max="4060" width="9.21875" customWidth="1"/>
    <col min="4061" max="4061" width="2" customWidth="1"/>
    <col min="4062" max="4062" width="21.77734375" customWidth="1"/>
    <col min="4063" max="4063" width="16.21875" customWidth="1"/>
    <col min="4064" max="4064" width="34.77734375" customWidth="1"/>
    <col min="4065" max="4066" width="24.77734375" customWidth="1"/>
    <col min="4067" max="4067" width="31.44140625" customWidth="1"/>
    <col min="4068" max="4068" width="24.77734375" customWidth="1"/>
    <col min="4069" max="4069" width="26.77734375" customWidth="1"/>
    <col min="4070" max="4072" width="13.77734375" customWidth="1"/>
    <col min="4073" max="4073" width="12.77734375" customWidth="1"/>
    <col min="4074" max="4074" width="15.44140625" customWidth="1"/>
    <col min="4075" max="4075" width="16" customWidth="1"/>
    <col min="4076" max="4076" width="15.5546875" customWidth="1"/>
    <col min="4097" max="4097" width="27.44140625" customWidth="1"/>
    <col min="4098" max="4099" width="21.77734375" customWidth="1"/>
    <col min="4100" max="4100" width="24.77734375" customWidth="1"/>
    <col min="4101" max="4101" width="36" customWidth="1"/>
    <col min="4102" max="4102" width="24.77734375" customWidth="1"/>
    <col min="4103" max="4103" width="26.77734375" customWidth="1"/>
    <col min="4104" max="4105" width="13.77734375" customWidth="1"/>
    <col min="4106" max="4106" width="12.77734375" customWidth="1"/>
    <col min="4107" max="4107" width="15.44140625" customWidth="1"/>
    <col min="4108" max="4108" width="16" customWidth="1"/>
    <col min="4109" max="4109" width="15.5546875" customWidth="1"/>
    <col min="4111" max="4111" width="27.77734375" customWidth="1"/>
    <col min="4112" max="4112" width="18.77734375" customWidth="1"/>
    <col min="4113" max="4113" width="21" customWidth="1"/>
    <col min="4114" max="4114" width="31" customWidth="1"/>
    <col min="4115" max="4115" width="30.77734375" customWidth="1"/>
    <col min="4116" max="4116" width="14.44140625" customWidth="1"/>
    <col min="4117" max="4117" width="27.44140625" customWidth="1"/>
    <col min="4118" max="4118" width="26.44140625" customWidth="1"/>
    <col min="4119" max="4119" width="21.77734375" customWidth="1"/>
    <col min="4120" max="4120" width="12.21875" customWidth="1"/>
    <col min="4121" max="4121" width="13.21875" customWidth="1"/>
    <col min="4122" max="4122" width="14.77734375" customWidth="1"/>
    <col min="4123" max="4123" width="13.77734375" customWidth="1"/>
    <col min="4124" max="4124" width="19.21875" customWidth="1"/>
    <col min="4126" max="4126" width="16.77734375" customWidth="1"/>
    <col min="4127" max="4131" width="19.77734375" customWidth="1"/>
    <col min="4132" max="4132" width="13.21875" customWidth="1"/>
    <col min="4133" max="4133" width="12.44140625" customWidth="1"/>
    <col min="4134" max="4134" width="13.21875" customWidth="1"/>
    <col min="4135" max="4135" width="12.77734375" customWidth="1"/>
    <col min="4136" max="4136" width="12.44140625" customWidth="1"/>
    <col min="4137" max="4137" width="13.77734375" customWidth="1"/>
    <col min="4138" max="4138" width="12.21875" customWidth="1"/>
    <col min="4139" max="4139" width="33" customWidth="1"/>
    <col min="4140" max="4140" width="13.21875" customWidth="1"/>
    <col min="4141" max="4141" width="10.21875" customWidth="1"/>
    <col min="4142" max="4142" width="11.21875" customWidth="1"/>
    <col min="4143" max="4143" width="24.77734375" customWidth="1"/>
    <col min="4144" max="4144" width="14.5546875" customWidth="1"/>
    <col min="4145" max="4145" width="14.77734375" customWidth="1"/>
    <col min="4146" max="4146" width="81.44140625" customWidth="1"/>
    <col min="4147" max="4147" width="30" customWidth="1"/>
    <col min="4148" max="4149" width="24.21875" customWidth="1"/>
    <col min="4150" max="4150" width="17.21875" customWidth="1"/>
    <col min="4151" max="4151" width="24" customWidth="1"/>
    <col min="4152" max="4152" width="19.77734375" customWidth="1"/>
    <col min="4153" max="4153" width="22.77734375" customWidth="1"/>
    <col min="4154" max="4154" width="22.44140625" customWidth="1"/>
    <col min="4155" max="4155" width="20.5546875" customWidth="1"/>
    <col min="4156" max="4156" width="22.44140625" customWidth="1"/>
    <col min="4157" max="4157" width="56.44140625" customWidth="1"/>
    <col min="4158" max="4158" width="18.5546875" customWidth="1"/>
    <col min="4159" max="4159" width="20.44140625" customWidth="1"/>
    <col min="4160" max="4161" width="16" customWidth="1"/>
    <col min="4162" max="4162" width="13" customWidth="1"/>
    <col min="4163" max="4163" width="21.77734375" customWidth="1"/>
    <col min="4164" max="4164" width="19.77734375" customWidth="1"/>
    <col min="4165" max="4165" width="16.21875" customWidth="1"/>
    <col min="4166" max="4166" width="15.77734375" customWidth="1"/>
    <col min="4167" max="4167" width="18.77734375" customWidth="1"/>
    <col min="4168" max="4168" width="14.77734375" customWidth="1"/>
    <col min="4169" max="4169" width="20.21875" customWidth="1"/>
    <col min="4170" max="4170" width="15.21875" customWidth="1"/>
    <col min="4171" max="4171" width="22.77734375" customWidth="1"/>
    <col min="4172" max="4173" width="23" customWidth="1"/>
    <col min="4174" max="4179" width="9.21875" customWidth="1"/>
    <col min="4180" max="4180" width="24.21875" customWidth="1"/>
    <col min="4181" max="4183" width="9.21875" customWidth="1"/>
    <col min="4184" max="4184" width="17.21875" customWidth="1"/>
    <col min="4185" max="4316" width="9.21875" customWidth="1"/>
    <col min="4317" max="4317" width="2" customWidth="1"/>
    <col min="4318" max="4318" width="21.77734375" customWidth="1"/>
    <col min="4319" max="4319" width="16.21875" customWidth="1"/>
    <col min="4320" max="4320" width="34.77734375" customWidth="1"/>
    <col min="4321" max="4322" width="24.77734375" customWidth="1"/>
    <col min="4323" max="4323" width="31.44140625" customWidth="1"/>
    <col min="4324" max="4324" width="24.77734375" customWidth="1"/>
    <col min="4325" max="4325" width="26.77734375" customWidth="1"/>
    <col min="4326" max="4328" width="13.77734375" customWidth="1"/>
    <col min="4329" max="4329" width="12.77734375" customWidth="1"/>
    <col min="4330" max="4330" width="15.44140625" customWidth="1"/>
    <col min="4331" max="4331" width="16" customWidth="1"/>
    <col min="4332" max="4332" width="15.5546875" customWidth="1"/>
    <col min="4353" max="4353" width="27.44140625" customWidth="1"/>
    <col min="4354" max="4355" width="21.77734375" customWidth="1"/>
    <col min="4356" max="4356" width="24.77734375" customWidth="1"/>
    <col min="4357" max="4357" width="36" customWidth="1"/>
    <col min="4358" max="4358" width="24.77734375" customWidth="1"/>
    <col min="4359" max="4359" width="26.77734375" customWidth="1"/>
    <col min="4360" max="4361" width="13.77734375" customWidth="1"/>
    <col min="4362" max="4362" width="12.77734375" customWidth="1"/>
    <col min="4363" max="4363" width="15.44140625" customWidth="1"/>
    <col min="4364" max="4364" width="16" customWidth="1"/>
    <col min="4365" max="4365" width="15.5546875" customWidth="1"/>
    <col min="4367" max="4367" width="27.77734375" customWidth="1"/>
    <col min="4368" max="4368" width="18.77734375" customWidth="1"/>
    <col min="4369" max="4369" width="21" customWidth="1"/>
    <col min="4370" max="4370" width="31" customWidth="1"/>
    <col min="4371" max="4371" width="30.77734375" customWidth="1"/>
    <col min="4372" max="4372" width="14.44140625" customWidth="1"/>
    <col min="4373" max="4373" width="27.44140625" customWidth="1"/>
    <col min="4374" max="4374" width="26.44140625" customWidth="1"/>
    <col min="4375" max="4375" width="21.77734375" customWidth="1"/>
    <col min="4376" max="4376" width="12.21875" customWidth="1"/>
    <col min="4377" max="4377" width="13.21875" customWidth="1"/>
    <col min="4378" max="4378" width="14.77734375" customWidth="1"/>
    <col min="4379" max="4379" width="13.77734375" customWidth="1"/>
    <col min="4380" max="4380" width="19.21875" customWidth="1"/>
    <col min="4382" max="4382" width="16.77734375" customWidth="1"/>
    <col min="4383" max="4387" width="19.77734375" customWidth="1"/>
    <col min="4388" max="4388" width="13.21875" customWidth="1"/>
    <col min="4389" max="4389" width="12.44140625" customWidth="1"/>
    <col min="4390" max="4390" width="13.21875" customWidth="1"/>
    <col min="4391" max="4391" width="12.77734375" customWidth="1"/>
    <col min="4392" max="4392" width="12.44140625" customWidth="1"/>
    <col min="4393" max="4393" width="13.77734375" customWidth="1"/>
    <col min="4394" max="4394" width="12.21875" customWidth="1"/>
    <col min="4395" max="4395" width="33" customWidth="1"/>
    <col min="4396" max="4396" width="13.21875" customWidth="1"/>
    <col min="4397" max="4397" width="10.21875" customWidth="1"/>
    <col min="4398" max="4398" width="11.21875" customWidth="1"/>
    <col min="4399" max="4399" width="24.77734375" customWidth="1"/>
    <col min="4400" max="4400" width="14.5546875" customWidth="1"/>
    <col min="4401" max="4401" width="14.77734375" customWidth="1"/>
    <col min="4402" max="4402" width="81.44140625" customWidth="1"/>
    <col min="4403" max="4403" width="30" customWidth="1"/>
    <col min="4404" max="4405" width="24.21875" customWidth="1"/>
    <col min="4406" max="4406" width="17.21875" customWidth="1"/>
    <col min="4407" max="4407" width="24" customWidth="1"/>
    <col min="4408" max="4408" width="19.77734375" customWidth="1"/>
    <col min="4409" max="4409" width="22.77734375" customWidth="1"/>
    <col min="4410" max="4410" width="22.44140625" customWidth="1"/>
    <col min="4411" max="4411" width="20.5546875" customWidth="1"/>
    <col min="4412" max="4412" width="22.44140625" customWidth="1"/>
    <col min="4413" max="4413" width="56.44140625" customWidth="1"/>
    <col min="4414" max="4414" width="18.5546875" customWidth="1"/>
    <col min="4415" max="4415" width="20.44140625" customWidth="1"/>
    <col min="4416" max="4417" width="16" customWidth="1"/>
    <col min="4418" max="4418" width="13" customWidth="1"/>
    <col min="4419" max="4419" width="21.77734375" customWidth="1"/>
    <col min="4420" max="4420" width="19.77734375" customWidth="1"/>
    <col min="4421" max="4421" width="16.21875" customWidth="1"/>
    <col min="4422" max="4422" width="15.77734375" customWidth="1"/>
    <col min="4423" max="4423" width="18.77734375" customWidth="1"/>
    <col min="4424" max="4424" width="14.77734375" customWidth="1"/>
    <col min="4425" max="4425" width="20.21875" customWidth="1"/>
    <col min="4426" max="4426" width="15.21875" customWidth="1"/>
    <col min="4427" max="4427" width="22.77734375" customWidth="1"/>
    <col min="4428" max="4429" width="23" customWidth="1"/>
    <col min="4430" max="4435" width="9.21875" customWidth="1"/>
    <col min="4436" max="4436" width="24.21875" customWidth="1"/>
    <col min="4437" max="4439" width="9.21875" customWidth="1"/>
    <col min="4440" max="4440" width="17.21875" customWidth="1"/>
    <col min="4441" max="4572" width="9.21875" customWidth="1"/>
    <col min="4573" max="4573" width="2" customWidth="1"/>
    <col min="4574" max="4574" width="21.77734375" customWidth="1"/>
    <col min="4575" max="4575" width="16.21875" customWidth="1"/>
    <col min="4576" max="4576" width="34.77734375" customWidth="1"/>
    <col min="4577" max="4578" width="24.77734375" customWidth="1"/>
    <col min="4579" max="4579" width="31.44140625" customWidth="1"/>
    <col min="4580" max="4580" width="24.77734375" customWidth="1"/>
    <col min="4581" max="4581" width="26.77734375" customWidth="1"/>
    <col min="4582" max="4584" width="13.77734375" customWidth="1"/>
    <col min="4585" max="4585" width="12.77734375" customWidth="1"/>
    <col min="4586" max="4586" width="15.44140625" customWidth="1"/>
    <col min="4587" max="4587" width="16" customWidth="1"/>
    <col min="4588" max="4588" width="15.5546875" customWidth="1"/>
    <col min="4609" max="4609" width="27.44140625" customWidth="1"/>
    <col min="4610" max="4611" width="21.77734375" customWidth="1"/>
    <col min="4612" max="4612" width="24.77734375" customWidth="1"/>
    <col min="4613" max="4613" width="36" customWidth="1"/>
    <col min="4614" max="4614" width="24.77734375" customWidth="1"/>
    <col min="4615" max="4615" width="26.77734375" customWidth="1"/>
    <col min="4616" max="4617" width="13.77734375" customWidth="1"/>
    <col min="4618" max="4618" width="12.77734375" customWidth="1"/>
    <col min="4619" max="4619" width="15.44140625" customWidth="1"/>
    <col min="4620" max="4620" width="16" customWidth="1"/>
    <col min="4621" max="4621" width="15.5546875" customWidth="1"/>
    <col min="4623" max="4623" width="27.77734375" customWidth="1"/>
    <col min="4624" max="4624" width="18.77734375" customWidth="1"/>
    <col min="4625" max="4625" width="21" customWidth="1"/>
    <col min="4626" max="4626" width="31" customWidth="1"/>
    <col min="4627" max="4627" width="30.77734375" customWidth="1"/>
    <col min="4628" max="4628" width="14.44140625" customWidth="1"/>
    <col min="4629" max="4629" width="27.44140625" customWidth="1"/>
    <col min="4630" max="4630" width="26.44140625" customWidth="1"/>
    <col min="4631" max="4631" width="21.77734375" customWidth="1"/>
    <col min="4632" max="4632" width="12.21875" customWidth="1"/>
    <col min="4633" max="4633" width="13.21875" customWidth="1"/>
    <col min="4634" max="4634" width="14.77734375" customWidth="1"/>
    <col min="4635" max="4635" width="13.77734375" customWidth="1"/>
    <col min="4636" max="4636" width="19.21875" customWidth="1"/>
    <col min="4638" max="4638" width="16.77734375" customWidth="1"/>
    <col min="4639" max="4643" width="19.77734375" customWidth="1"/>
    <col min="4644" max="4644" width="13.21875" customWidth="1"/>
    <col min="4645" max="4645" width="12.44140625" customWidth="1"/>
    <col min="4646" max="4646" width="13.21875" customWidth="1"/>
    <col min="4647" max="4647" width="12.77734375" customWidth="1"/>
    <col min="4648" max="4648" width="12.44140625" customWidth="1"/>
    <col min="4649" max="4649" width="13.77734375" customWidth="1"/>
    <col min="4650" max="4650" width="12.21875" customWidth="1"/>
    <col min="4651" max="4651" width="33" customWidth="1"/>
    <col min="4652" max="4652" width="13.21875" customWidth="1"/>
    <col min="4653" max="4653" width="10.21875" customWidth="1"/>
    <col min="4654" max="4654" width="11.21875" customWidth="1"/>
    <col min="4655" max="4655" width="24.77734375" customWidth="1"/>
    <col min="4656" max="4656" width="14.5546875" customWidth="1"/>
    <col min="4657" max="4657" width="14.77734375" customWidth="1"/>
    <col min="4658" max="4658" width="81.44140625" customWidth="1"/>
    <col min="4659" max="4659" width="30" customWidth="1"/>
    <col min="4660" max="4661" width="24.21875" customWidth="1"/>
    <col min="4662" max="4662" width="17.21875" customWidth="1"/>
    <col min="4663" max="4663" width="24" customWidth="1"/>
    <col min="4664" max="4664" width="19.77734375" customWidth="1"/>
    <col min="4665" max="4665" width="22.77734375" customWidth="1"/>
    <col min="4666" max="4666" width="22.44140625" customWidth="1"/>
    <col min="4667" max="4667" width="20.5546875" customWidth="1"/>
    <col min="4668" max="4668" width="22.44140625" customWidth="1"/>
    <col min="4669" max="4669" width="56.44140625" customWidth="1"/>
    <col min="4670" max="4670" width="18.5546875" customWidth="1"/>
    <col min="4671" max="4671" width="20.44140625" customWidth="1"/>
    <col min="4672" max="4673" width="16" customWidth="1"/>
    <col min="4674" max="4674" width="13" customWidth="1"/>
    <col min="4675" max="4675" width="21.77734375" customWidth="1"/>
    <col min="4676" max="4676" width="19.77734375" customWidth="1"/>
    <col min="4677" max="4677" width="16.21875" customWidth="1"/>
    <col min="4678" max="4678" width="15.77734375" customWidth="1"/>
    <col min="4679" max="4679" width="18.77734375" customWidth="1"/>
    <col min="4680" max="4680" width="14.77734375" customWidth="1"/>
    <col min="4681" max="4681" width="20.21875" customWidth="1"/>
    <col min="4682" max="4682" width="15.21875" customWidth="1"/>
    <col min="4683" max="4683" width="22.77734375" customWidth="1"/>
    <col min="4684" max="4685" width="23" customWidth="1"/>
    <col min="4686" max="4691" width="9.21875" customWidth="1"/>
    <col min="4692" max="4692" width="24.21875" customWidth="1"/>
    <col min="4693" max="4695" width="9.21875" customWidth="1"/>
    <col min="4696" max="4696" width="17.21875" customWidth="1"/>
    <col min="4697" max="4828" width="9.21875" customWidth="1"/>
    <col min="4829" max="4829" width="2" customWidth="1"/>
    <col min="4830" max="4830" width="21.77734375" customWidth="1"/>
    <col min="4831" max="4831" width="16.21875" customWidth="1"/>
    <col min="4832" max="4832" width="34.77734375" customWidth="1"/>
    <col min="4833" max="4834" width="24.77734375" customWidth="1"/>
    <col min="4835" max="4835" width="31.44140625" customWidth="1"/>
    <col min="4836" max="4836" width="24.77734375" customWidth="1"/>
    <col min="4837" max="4837" width="26.77734375" customWidth="1"/>
    <col min="4838" max="4840" width="13.77734375" customWidth="1"/>
    <col min="4841" max="4841" width="12.77734375" customWidth="1"/>
    <col min="4842" max="4842" width="15.44140625" customWidth="1"/>
    <col min="4843" max="4843" width="16" customWidth="1"/>
    <col min="4844" max="4844" width="15.5546875" customWidth="1"/>
    <col min="4865" max="4865" width="27.44140625" customWidth="1"/>
    <col min="4866" max="4867" width="21.77734375" customWidth="1"/>
    <col min="4868" max="4868" width="24.77734375" customWidth="1"/>
    <col min="4869" max="4869" width="36" customWidth="1"/>
    <col min="4870" max="4870" width="24.77734375" customWidth="1"/>
    <col min="4871" max="4871" width="26.77734375" customWidth="1"/>
    <col min="4872" max="4873" width="13.77734375" customWidth="1"/>
    <col min="4874" max="4874" width="12.77734375" customWidth="1"/>
    <col min="4875" max="4875" width="15.44140625" customWidth="1"/>
    <col min="4876" max="4876" width="16" customWidth="1"/>
    <col min="4877" max="4877" width="15.5546875" customWidth="1"/>
    <col min="4879" max="4879" width="27.77734375" customWidth="1"/>
    <col min="4880" max="4880" width="18.77734375" customWidth="1"/>
    <col min="4881" max="4881" width="21" customWidth="1"/>
    <col min="4882" max="4882" width="31" customWidth="1"/>
    <col min="4883" max="4883" width="30.77734375" customWidth="1"/>
    <col min="4884" max="4884" width="14.44140625" customWidth="1"/>
    <col min="4885" max="4885" width="27.44140625" customWidth="1"/>
    <col min="4886" max="4886" width="26.44140625" customWidth="1"/>
    <col min="4887" max="4887" width="21.77734375" customWidth="1"/>
    <col min="4888" max="4888" width="12.21875" customWidth="1"/>
    <col min="4889" max="4889" width="13.21875" customWidth="1"/>
    <col min="4890" max="4890" width="14.77734375" customWidth="1"/>
    <col min="4891" max="4891" width="13.77734375" customWidth="1"/>
    <col min="4892" max="4892" width="19.21875" customWidth="1"/>
    <col min="4894" max="4894" width="16.77734375" customWidth="1"/>
    <col min="4895" max="4899" width="19.77734375" customWidth="1"/>
    <col min="4900" max="4900" width="13.21875" customWidth="1"/>
    <col min="4901" max="4901" width="12.44140625" customWidth="1"/>
    <col min="4902" max="4902" width="13.21875" customWidth="1"/>
    <col min="4903" max="4903" width="12.77734375" customWidth="1"/>
    <col min="4904" max="4904" width="12.44140625" customWidth="1"/>
    <col min="4905" max="4905" width="13.77734375" customWidth="1"/>
    <col min="4906" max="4906" width="12.21875" customWidth="1"/>
    <col min="4907" max="4907" width="33" customWidth="1"/>
    <col min="4908" max="4908" width="13.21875" customWidth="1"/>
    <col min="4909" max="4909" width="10.21875" customWidth="1"/>
    <col min="4910" max="4910" width="11.21875" customWidth="1"/>
    <col min="4911" max="4911" width="24.77734375" customWidth="1"/>
    <col min="4912" max="4912" width="14.5546875" customWidth="1"/>
    <col min="4913" max="4913" width="14.77734375" customWidth="1"/>
    <col min="4914" max="4914" width="81.44140625" customWidth="1"/>
    <col min="4915" max="4915" width="30" customWidth="1"/>
    <col min="4916" max="4917" width="24.21875" customWidth="1"/>
    <col min="4918" max="4918" width="17.21875" customWidth="1"/>
    <col min="4919" max="4919" width="24" customWidth="1"/>
    <col min="4920" max="4920" width="19.77734375" customWidth="1"/>
    <col min="4921" max="4921" width="22.77734375" customWidth="1"/>
    <col min="4922" max="4922" width="22.44140625" customWidth="1"/>
    <col min="4923" max="4923" width="20.5546875" customWidth="1"/>
    <col min="4924" max="4924" width="22.44140625" customWidth="1"/>
    <col min="4925" max="4925" width="56.44140625" customWidth="1"/>
    <col min="4926" max="4926" width="18.5546875" customWidth="1"/>
    <col min="4927" max="4927" width="20.44140625" customWidth="1"/>
    <col min="4928" max="4929" width="16" customWidth="1"/>
    <col min="4930" max="4930" width="13" customWidth="1"/>
    <col min="4931" max="4931" width="21.77734375" customWidth="1"/>
    <col min="4932" max="4932" width="19.77734375" customWidth="1"/>
    <col min="4933" max="4933" width="16.21875" customWidth="1"/>
    <col min="4934" max="4934" width="15.77734375" customWidth="1"/>
    <col min="4935" max="4935" width="18.77734375" customWidth="1"/>
    <col min="4936" max="4936" width="14.77734375" customWidth="1"/>
    <col min="4937" max="4937" width="20.21875" customWidth="1"/>
    <col min="4938" max="4938" width="15.21875" customWidth="1"/>
    <col min="4939" max="4939" width="22.77734375" customWidth="1"/>
    <col min="4940" max="4941" width="23" customWidth="1"/>
    <col min="4942" max="4947" width="9.21875" customWidth="1"/>
    <col min="4948" max="4948" width="24.21875" customWidth="1"/>
    <col min="4949" max="4951" width="9.21875" customWidth="1"/>
    <col min="4952" max="4952" width="17.21875" customWidth="1"/>
    <col min="4953" max="5084" width="9.21875" customWidth="1"/>
    <col min="5085" max="5085" width="2" customWidth="1"/>
    <col min="5086" max="5086" width="21.77734375" customWidth="1"/>
    <col min="5087" max="5087" width="16.21875" customWidth="1"/>
    <col min="5088" max="5088" width="34.77734375" customWidth="1"/>
    <col min="5089" max="5090" width="24.77734375" customWidth="1"/>
    <col min="5091" max="5091" width="31.44140625" customWidth="1"/>
    <col min="5092" max="5092" width="24.77734375" customWidth="1"/>
    <col min="5093" max="5093" width="26.77734375" customWidth="1"/>
    <col min="5094" max="5096" width="13.77734375" customWidth="1"/>
    <col min="5097" max="5097" width="12.77734375" customWidth="1"/>
    <col min="5098" max="5098" width="15.44140625" customWidth="1"/>
    <col min="5099" max="5099" width="16" customWidth="1"/>
    <col min="5100" max="5100" width="15.5546875" customWidth="1"/>
    <col min="5121" max="5121" width="27.44140625" customWidth="1"/>
    <col min="5122" max="5123" width="21.77734375" customWidth="1"/>
    <col min="5124" max="5124" width="24.77734375" customWidth="1"/>
    <col min="5125" max="5125" width="36" customWidth="1"/>
    <col min="5126" max="5126" width="24.77734375" customWidth="1"/>
    <col min="5127" max="5127" width="26.77734375" customWidth="1"/>
    <col min="5128" max="5129" width="13.77734375" customWidth="1"/>
    <col min="5130" max="5130" width="12.77734375" customWidth="1"/>
    <col min="5131" max="5131" width="15.44140625" customWidth="1"/>
    <col min="5132" max="5132" width="16" customWidth="1"/>
    <col min="5133" max="5133" width="15.5546875" customWidth="1"/>
    <col min="5135" max="5135" width="27.77734375" customWidth="1"/>
    <col min="5136" max="5136" width="18.77734375" customWidth="1"/>
    <col min="5137" max="5137" width="21" customWidth="1"/>
    <col min="5138" max="5138" width="31" customWidth="1"/>
    <col min="5139" max="5139" width="30.77734375" customWidth="1"/>
    <col min="5140" max="5140" width="14.44140625" customWidth="1"/>
    <col min="5141" max="5141" width="27.44140625" customWidth="1"/>
    <col min="5142" max="5142" width="26.44140625" customWidth="1"/>
    <col min="5143" max="5143" width="21.77734375" customWidth="1"/>
    <col min="5144" max="5144" width="12.21875" customWidth="1"/>
    <col min="5145" max="5145" width="13.21875" customWidth="1"/>
    <col min="5146" max="5146" width="14.77734375" customWidth="1"/>
    <col min="5147" max="5147" width="13.77734375" customWidth="1"/>
    <col min="5148" max="5148" width="19.21875" customWidth="1"/>
    <col min="5150" max="5150" width="16.77734375" customWidth="1"/>
    <col min="5151" max="5155" width="19.77734375" customWidth="1"/>
    <col min="5156" max="5156" width="13.21875" customWidth="1"/>
    <col min="5157" max="5157" width="12.44140625" customWidth="1"/>
    <col min="5158" max="5158" width="13.21875" customWidth="1"/>
    <col min="5159" max="5159" width="12.77734375" customWidth="1"/>
    <col min="5160" max="5160" width="12.44140625" customWidth="1"/>
    <col min="5161" max="5161" width="13.77734375" customWidth="1"/>
    <col min="5162" max="5162" width="12.21875" customWidth="1"/>
    <col min="5163" max="5163" width="33" customWidth="1"/>
    <col min="5164" max="5164" width="13.21875" customWidth="1"/>
    <col min="5165" max="5165" width="10.21875" customWidth="1"/>
    <col min="5166" max="5166" width="11.21875" customWidth="1"/>
    <col min="5167" max="5167" width="24.77734375" customWidth="1"/>
    <col min="5168" max="5168" width="14.5546875" customWidth="1"/>
    <col min="5169" max="5169" width="14.77734375" customWidth="1"/>
    <col min="5170" max="5170" width="81.44140625" customWidth="1"/>
    <col min="5171" max="5171" width="30" customWidth="1"/>
    <col min="5172" max="5173" width="24.21875" customWidth="1"/>
    <col min="5174" max="5174" width="17.21875" customWidth="1"/>
    <col min="5175" max="5175" width="24" customWidth="1"/>
    <col min="5176" max="5176" width="19.77734375" customWidth="1"/>
    <col min="5177" max="5177" width="22.77734375" customWidth="1"/>
    <col min="5178" max="5178" width="22.44140625" customWidth="1"/>
    <col min="5179" max="5179" width="20.5546875" customWidth="1"/>
    <col min="5180" max="5180" width="22.44140625" customWidth="1"/>
    <col min="5181" max="5181" width="56.44140625" customWidth="1"/>
    <col min="5182" max="5182" width="18.5546875" customWidth="1"/>
    <col min="5183" max="5183" width="20.44140625" customWidth="1"/>
    <col min="5184" max="5185" width="16" customWidth="1"/>
    <col min="5186" max="5186" width="13" customWidth="1"/>
    <col min="5187" max="5187" width="21.77734375" customWidth="1"/>
    <col min="5188" max="5188" width="19.77734375" customWidth="1"/>
    <col min="5189" max="5189" width="16.21875" customWidth="1"/>
    <col min="5190" max="5190" width="15.77734375" customWidth="1"/>
    <col min="5191" max="5191" width="18.77734375" customWidth="1"/>
    <col min="5192" max="5192" width="14.77734375" customWidth="1"/>
    <col min="5193" max="5193" width="20.21875" customWidth="1"/>
    <col min="5194" max="5194" width="15.21875" customWidth="1"/>
    <col min="5195" max="5195" width="22.77734375" customWidth="1"/>
    <col min="5196" max="5197" width="23" customWidth="1"/>
    <col min="5198" max="5203" width="9.21875" customWidth="1"/>
    <col min="5204" max="5204" width="24.21875" customWidth="1"/>
    <col min="5205" max="5207" width="9.21875" customWidth="1"/>
    <col min="5208" max="5208" width="17.21875" customWidth="1"/>
    <col min="5209" max="5340" width="9.21875" customWidth="1"/>
    <col min="5341" max="5341" width="2" customWidth="1"/>
    <col min="5342" max="5342" width="21.77734375" customWidth="1"/>
    <col min="5343" max="5343" width="16.21875" customWidth="1"/>
    <col min="5344" max="5344" width="34.77734375" customWidth="1"/>
    <col min="5345" max="5346" width="24.77734375" customWidth="1"/>
    <col min="5347" max="5347" width="31.44140625" customWidth="1"/>
    <col min="5348" max="5348" width="24.77734375" customWidth="1"/>
    <col min="5349" max="5349" width="26.77734375" customWidth="1"/>
    <col min="5350" max="5352" width="13.77734375" customWidth="1"/>
    <col min="5353" max="5353" width="12.77734375" customWidth="1"/>
    <col min="5354" max="5354" width="15.44140625" customWidth="1"/>
    <col min="5355" max="5355" width="16" customWidth="1"/>
    <col min="5356" max="5356" width="15.5546875" customWidth="1"/>
    <col min="5377" max="5377" width="27.44140625" customWidth="1"/>
    <col min="5378" max="5379" width="21.77734375" customWidth="1"/>
    <col min="5380" max="5380" width="24.77734375" customWidth="1"/>
    <col min="5381" max="5381" width="36" customWidth="1"/>
    <col min="5382" max="5382" width="24.77734375" customWidth="1"/>
    <col min="5383" max="5383" width="26.77734375" customWidth="1"/>
    <col min="5384" max="5385" width="13.77734375" customWidth="1"/>
    <col min="5386" max="5386" width="12.77734375" customWidth="1"/>
    <col min="5387" max="5387" width="15.44140625" customWidth="1"/>
    <col min="5388" max="5388" width="16" customWidth="1"/>
    <col min="5389" max="5389" width="15.5546875" customWidth="1"/>
    <col min="5391" max="5391" width="27.77734375" customWidth="1"/>
    <col min="5392" max="5392" width="18.77734375" customWidth="1"/>
    <col min="5393" max="5393" width="21" customWidth="1"/>
    <col min="5394" max="5394" width="31" customWidth="1"/>
    <col min="5395" max="5395" width="30.77734375" customWidth="1"/>
    <col min="5396" max="5396" width="14.44140625" customWidth="1"/>
    <col min="5397" max="5397" width="27.44140625" customWidth="1"/>
    <col min="5398" max="5398" width="26.44140625" customWidth="1"/>
    <col min="5399" max="5399" width="21.77734375" customWidth="1"/>
    <col min="5400" max="5400" width="12.21875" customWidth="1"/>
    <col min="5401" max="5401" width="13.21875" customWidth="1"/>
    <col min="5402" max="5402" width="14.77734375" customWidth="1"/>
    <col min="5403" max="5403" width="13.77734375" customWidth="1"/>
    <col min="5404" max="5404" width="19.21875" customWidth="1"/>
    <col min="5406" max="5406" width="16.77734375" customWidth="1"/>
    <col min="5407" max="5411" width="19.77734375" customWidth="1"/>
    <col min="5412" max="5412" width="13.21875" customWidth="1"/>
    <col min="5413" max="5413" width="12.44140625" customWidth="1"/>
    <col min="5414" max="5414" width="13.21875" customWidth="1"/>
    <col min="5415" max="5415" width="12.77734375" customWidth="1"/>
    <col min="5416" max="5416" width="12.44140625" customWidth="1"/>
    <col min="5417" max="5417" width="13.77734375" customWidth="1"/>
    <col min="5418" max="5418" width="12.21875" customWidth="1"/>
    <col min="5419" max="5419" width="33" customWidth="1"/>
    <col min="5420" max="5420" width="13.21875" customWidth="1"/>
    <col min="5421" max="5421" width="10.21875" customWidth="1"/>
    <col min="5422" max="5422" width="11.21875" customWidth="1"/>
    <col min="5423" max="5423" width="24.77734375" customWidth="1"/>
    <col min="5424" max="5424" width="14.5546875" customWidth="1"/>
    <col min="5425" max="5425" width="14.77734375" customWidth="1"/>
    <col min="5426" max="5426" width="81.44140625" customWidth="1"/>
    <col min="5427" max="5427" width="30" customWidth="1"/>
    <col min="5428" max="5429" width="24.21875" customWidth="1"/>
    <col min="5430" max="5430" width="17.21875" customWidth="1"/>
    <col min="5431" max="5431" width="24" customWidth="1"/>
    <col min="5432" max="5432" width="19.77734375" customWidth="1"/>
    <col min="5433" max="5433" width="22.77734375" customWidth="1"/>
    <col min="5434" max="5434" width="22.44140625" customWidth="1"/>
    <col min="5435" max="5435" width="20.5546875" customWidth="1"/>
    <col min="5436" max="5436" width="22.44140625" customWidth="1"/>
    <col min="5437" max="5437" width="56.44140625" customWidth="1"/>
    <col min="5438" max="5438" width="18.5546875" customWidth="1"/>
    <col min="5439" max="5439" width="20.44140625" customWidth="1"/>
    <col min="5440" max="5441" width="16" customWidth="1"/>
    <col min="5442" max="5442" width="13" customWidth="1"/>
    <col min="5443" max="5443" width="21.77734375" customWidth="1"/>
    <col min="5444" max="5444" width="19.77734375" customWidth="1"/>
    <col min="5445" max="5445" width="16.21875" customWidth="1"/>
    <col min="5446" max="5446" width="15.77734375" customWidth="1"/>
    <col min="5447" max="5447" width="18.77734375" customWidth="1"/>
    <col min="5448" max="5448" width="14.77734375" customWidth="1"/>
    <col min="5449" max="5449" width="20.21875" customWidth="1"/>
    <col min="5450" max="5450" width="15.21875" customWidth="1"/>
    <col min="5451" max="5451" width="22.77734375" customWidth="1"/>
    <col min="5452" max="5453" width="23" customWidth="1"/>
    <col min="5454" max="5459" width="9.21875" customWidth="1"/>
    <col min="5460" max="5460" width="24.21875" customWidth="1"/>
    <col min="5461" max="5463" width="9.21875" customWidth="1"/>
    <col min="5464" max="5464" width="17.21875" customWidth="1"/>
    <col min="5465" max="5596" width="9.21875" customWidth="1"/>
    <col min="5597" max="5597" width="2" customWidth="1"/>
    <col min="5598" max="5598" width="21.77734375" customWidth="1"/>
    <col min="5599" max="5599" width="16.21875" customWidth="1"/>
    <col min="5600" max="5600" width="34.77734375" customWidth="1"/>
    <col min="5601" max="5602" width="24.77734375" customWidth="1"/>
    <col min="5603" max="5603" width="31.44140625" customWidth="1"/>
    <col min="5604" max="5604" width="24.77734375" customWidth="1"/>
    <col min="5605" max="5605" width="26.77734375" customWidth="1"/>
    <col min="5606" max="5608" width="13.77734375" customWidth="1"/>
    <col min="5609" max="5609" width="12.77734375" customWidth="1"/>
    <col min="5610" max="5610" width="15.44140625" customWidth="1"/>
    <col min="5611" max="5611" width="16" customWidth="1"/>
    <col min="5612" max="5612" width="15.5546875" customWidth="1"/>
    <col min="5633" max="5633" width="27.44140625" customWidth="1"/>
    <col min="5634" max="5635" width="21.77734375" customWidth="1"/>
    <col min="5636" max="5636" width="24.77734375" customWidth="1"/>
    <col min="5637" max="5637" width="36" customWidth="1"/>
    <col min="5638" max="5638" width="24.77734375" customWidth="1"/>
    <col min="5639" max="5639" width="26.77734375" customWidth="1"/>
    <col min="5640" max="5641" width="13.77734375" customWidth="1"/>
    <col min="5642" max="5642" width="12.77734375" customWidth="1"/>
    <col min="5643" max="5643" width="15.44140625" customWidth="1"/>
    <col min="5644" max="5644" width="16" customWidth="1"/>
    <col min="5645" max="5645" width="15.5546875" customWidth="1"/>
    <col min="5647" max="5647" width="27.77734375" customWidth="1"/>
    <col min="5648" max="5648" width="18.77734375" customWidth="1"/>
    <col min="5649" max="5649" width="21" customWidth="1"/>
    <col min="5650" max="5650" width="31" customWidth="1"/>
    <col min="5651" max="5651" width="30.77734375" customWidth="1"/>
    <col min="5652" max="5652" width="14.44140625" customWidth="1"/>
    <col min="5653" max="5653" width="27.44140625" customWidth="1"/>
    <col min="5654" max="5654" width="26.44140625" customWidth="1"/>
    <col min="5655" max="5655" width="21.77734375" customWidth="1"/>
    <col min="5656" max="5656" width="12.21875" customWidth="1"/>
    <col min="5657" max="5657" width="13.21875" customWidth="1"/>
    <col min="5658" max="5658" width="14.77734375" customWidth="1"/>
    <col min="5659" max="5659" width="13.77734375" customWidth="1"/>
    <col min="5660" max="5660" width="19.21875" customWidth="1"/>
    <col min="5662" max="5662" width="16.77734375" customWidth="1"/>
    <col min="5663" max="5667" width="19.77734375" customWidth="1"/>
    <col min="5668" max="5668" width="13.21875" customWidth="1"/>
    <col min="5669" max="5669" width="12.44140625" customWidth="1"/>
    <col min="5670" max="5670" width="13.21875" customWidth="1"/>
    <col min="5671" max="5671" width="12.77734375" customWidth="1"/>
    <col min="5672" max="5672" width="12.44140625" customWidth="1"/>
    <col min="5673" max="5673" width="13.77734375" customWidth="1"/>
    <col min="5674" max="5674" width="12.21875" customWidth="1"/>
    <col min="5675" max="5675" width="33" customWidth="1"/>
    <col min="5676" max="5676" width="13.21875" customWidth="1"/>
    <col min="5677" max="5677" width="10.21875" customWidth="1"/>
    <col min="5678" max="5678" width="11.21875" customWidth="1"/>
    <col min="5679" max="5679" width="24.77734375" customWidth="1"/>
    <col min="5680" max="5680" width="14.5546875" customWidth="1"/>
    <col min="5681" max="5681" width="14.77734375" customWidth="1"/>
    <col min="5682" max="5682" width="81.44140625" customWidth="1"/>
    <col min="5683" max="5683" width="30" customWidth="1"/>
    <col min="5684" max="5685" width="24.21875" customWidth="1"/>
    <col min="5686" max="5686" width="17.21875" customWidth="1"/>
    <col min="5687" max="5687" width="24" customWidth="1"/>
    <col min="5688" max="5688" width="19.77734375" customWidth="1"/>
    <col min="5689" max="5689" width="22.77734375" customWidth="1"/>
    <col min="5690" max="5690" width="22.44140625" customWidth="1"/>
    <col min="5691" max="5691" width="20.5546875" customWidth="1"/>
    <col min="5692" max="5692" width="22.44140625" customWidth="1"/>
    <col min="5693" max="5693" width="56.44140625" customWidth="1"/>
    <col min="5694" max="5694" width="18.5546875" customWidth="1"/>
    <col min="5695" max="5695" width="20.44140625" customWidth="1"/>
    <col min="5696" max="5697" width="16" customWidth="1"/>
    <col min="5698" max="5698" width="13" customWidth="1"/>
    <col min="5699" max="5699" width="21.77734375" customWidth="1"/>
    <col min="5700" max="5700" width="19.77734375" customWidth="1"/>
    <col min="5701" max="5701" width="16.21875" customWidth="1"/>
    <col min="5702" max="5702" width="15.77734375" customWidth="1"/>
    <col min="5703" max="5703" width="18.77734375" customWidth="1"/>
    <col min="5704" max="5704" width="14.77734375" customWidth="1"/>
    <col min="5705" max="5705" width="20.21875" customWidth="1"/>
    <col min="5706" max="5706" width="15.21875" customWidth="1"/>
    <col min="5707" max="5707" width="22.77734375" customWidth="1"/>
    <col min="5708" max="5709" width="23" customWidth="1"/>
    <col min="5710" max="5715" width="9.21875" customWidth="1"/>
    <col min="5716" max="5716" width="24.21875" customWidth="1"/>
    <col min="5717" max="5719" width="9.21875" customWidth="1"/>
    <col min="5720" max="5720" width="17.21875" customWidth="1"/>
    <col min="5721" max="5852" width="9.21875" customWidth="1"/>
    <col min="5853" max="5853" width="2" customWidth="1"/>
    <col min="5854" max="5854" width="21.77734375" customWidth="1"/>
    <col min="5855" max="5855" width="16.21875" customWidth="1"/>
    <col min="5856" max="5856" width="34.77734375" customWidth="1"/>
    <col min="5857" max="5858" width="24.77734375" customWidth="1"/>
    <col min="5859" max="5859" width="31.44140625" customWidth="1"/>
    <col min="5860" max="5860" width="24.77734375" customWidth="1"/>
    <col min="5861" max="5861" width="26.77734375" customWidth="1"/>
    <col min="5862" max="5864" width="13.77734375" customWidth="1"/>
    <col min="5865" max="5865" width="12.77734375" customWidth="1"/>
    <col min="5866" max="5866" width="15.44140625" customWidth="1"/>
    <col min="5867" max="5867" width="16" customWidth="1"/>
    <col min="5868" max="5868" width="15.5546875" customWidth="1"/>
    <col min="5889" max="5889" width="27.44140625" customWidth="1"/>
    <col min="5890" max="5891" width="21.77734375" customWidth="1"/>
    <col min="5892" max="5892" width="24.77734375" customWidth="1"/>
    <col min="5893" max="5893" width="36" customWidth="1"/>
    <col min="5894" max="5894" width="24.77734375" customWidth="1"/>
    <col min="5895" max="5895" width="26.77734375" customWidth="1"/>
    <col min="5896" max="5897" width="13.77734375" customWidth="1"/>
    <col min="5898" max="5898" width="12.77734375" customWidth="1"/>
    <col min="5899" max="5899" width="15.44140625" customWidth="1"/>
    <col min="5900" max="5900" width="16" customWidth="1"/>
    <col min="5901" max="5901" width="15.5546875" customWidth="1"/>
    <col min="5903" max="5903" width="27.77734375" customWidth="1"/>
    <col min="5904" max="5904" width="18.77734375" customWidth="1"/>
    <col min="5905" max="5905" width="21" customWidth="1"/>
    <col min="5906" max="5906" width="31" customWidth="1"/>
    <col min="5907" max="5907" width="30.77734375" customWidth="1"/>
    <col min="5908" max="5908" width="14.44140625" customWidth="1"/>
    <col min="5909" max="5909" width="27.44140625" customWidth="1"/>
    <col min="5910" max="5910" width="26.44140625" customWidth="1"/>
    <col min="5911" max="5911" width="21.77734375" customWidth="1"/>
    <col min="5912" max="5912" width="12.21875" customWidth="1"/>
    <col min="5913" max="5913" width="13.21875" customWidth="1"/>
    <col min="5914" max="5914" width="14.77734375" customWidth="1"/>
    <col min="5915" max="5915" width="13.77734375" customWidth="1"/>
    <col min="5916" max="5916" width="19.21875" customWidth="1"/>
    <col min="5918" max="5918" width="16.77734375" customWidth="1"/>
    <col min="5919" max="5923" width="19.77734375" customWidth="1"/>
    <col min="5924" max="5924" width="13.21875" customWidth="1"/>
    <col min="5925" max="5925" width="12.44140625" customWidth="1"/>
    <col min="5926" max="5926" width="13.21875" customWidth="1"/>
    <col min="5927" max="5927" width="12.77734375" customWidth="1"/>
    <col min="5928" max="5928" width="12.44140625" customWidth="1"/>
    <col min="5929" max="5929" width="13.77734375" customWidth="1"/>
    <col min="5930" max="5930" width="12.21875" customWidth="1"/>
    <col min="5931" max="5931" width="33" customWidth="1"/>
    <col min="5932" max="5932" width="13.21875" customWidth="1"/>
    <col min="5933" max="5933" width="10.21875" customWidth="1"/>
    <col min="5934" max="5934" width="11.21875" customWidth="1"/>
    <col min="5935" max="5935" width="24.77734375" customWidth="1"/>
    <col min="5936" max="5936" width="14.5546875" customWidth="1"/>
    <col min="5937" max="5937" width="14.77734375" customWidth="1"/>
    <col min="5938" max="5938" width="81.44140625" customWidth="1"/>
    <col min="5939" max="5939" width="30" customWidth="1"/>
    <col min="5940" max="5941" width="24.21875" customWidth="1"/>
    <col min="5942" max="5942" width="17.21875" customWidth="1"/>
    <col min="5943" max="5943" width="24" customWidth="1"/>
    <col min="5944" max="5944" width="19.77734375" customWidth="1"/>
    <col min="5945" max="5945" width="22.77734375" customWidth="1"/>
    <col min="5946" max="5946" width="22.44140625" customWidth="1"/>
    <col min="5947" max="5947" width="20.5546875" customWidth="1"/>
    <col min="5948" max="5948" width="22.44140625" customWidth="1"/>
    <col min="5949" max="5949" width="56.44140625" customWidth="1"/>
    <col min="5950" max="5950" width="18.5546875" customWidth="1"/>
    <col min="5951" max="5951" width="20.44140625" customWidth="1"/>
    <col min="5952" max="5953" width="16" customWidth="1"/>
    <col min="5954" max="5954" width="13" customWidth="1"/>
    <col min="5955" max="5955" width="21.77734375" customWidth="1"/>
    <col min="5956" max="5956" width="19.77734375" customWidth="1"/>
    <col min="5957" max="5957" width="16.21875" customWidth="1"/>
    <col min="5958" max="5958" width="15.77734375" customWidth="1"/>
    <col min="5959" max="5959" width="18.77734375" customWidth="1"/>
    <col min="5960" max="5960" width="14.77734375" customWidth="1"/>
    <col min="5961" max="5961" width="20.21875" customWidth="1"/>
    <col min="5962" max="5962" width="15.21875" customWidth="1"/>
    <col min="5963" max="5963" width="22.77734375" customWidth="1"/>
    <col min="5964" max="5965" width="23" customWidth="1"/>
    <col min="5966" max="5971" width="9.21875" customWidth="1"/>
    <col min="5972" max="5972" width="24.21875" customWidth="1"/>
    <col min="5973" max="5975" width="9.21875" customWidth="1"/>
    <col min="5976" max="5976" width="17.21875" customWidth="1"/>
    <col min="5977" max="6108" width="9.21875" customWidth="1"/>
    <col min="6109" max="6109" width="2" customWidth="1"/>
    <col min="6110" max="6110" width="21.77734375" customWidth="1"/>
    <col min="6111" max="6111" width="16.21875" customWidth="1"/>
    <col min="6112" max="6112" width="34.77734375" customWidth="1"/>
    <col min="6113" max="6114" width="24.77734375" customWidth="1"/>
    <col min="6115" max="6115" width="31.44140625" customWidth="1"/>
    <col min="6116" max="6116" width="24.77734375" customWidth="1"/>
    <col min="6117" max="6117" width="26.77734375" customWidth="1"/>
    <col min="6118" max="6120" width="13.77734375" customWidth="1"/>
    <col min="6121" max="6121" width="12.77734375" customWidth="1"/>
    <col min="6122" max="6122" width="15.44140625" customWidth="1"/>
    <col min="6123" max="6123" width="16" customWidth="1"/>
    <col min="6124" max="6124" width="15.5546875" customWidth="1"/>
    <col min="6145" max="6145" width="27.44140625" customWidth="1"/>
    <col min="6146" max="6147" width="21.77734375" customWidth="1"/>
    <col min="6148" max="6148" width="24.77734375" customWidth="1"/>
    <col min="6149" max="6149" width="36" customWidth="1"/>
    <col min="6150" max="6150" width="24.77734375" customWidth="1"/>
    <col min="6151" max="6151" width="26.77734375" customWidth="1"/>
    <col min="6152" max="6153" width="13.77734375" customWidth="1"/>
    <col min="6154" max="6154" width="12.77734375" customWidth="1"/>
    <col min="6155" max="6155" width="15.44140625" customWidth="1"/>
    <col min="6156" max="6156" width="16" customWidth="1"/>
    <col min="6157" max="6157" width="15.5546875" customWidth="1"/>
    <col min="6159" max="6159" width="27.77734375" customWidth="1"/>
    <col min="6160" max="6160" width="18.77734375" customWidth="1"/>
    <col min="6161" max="6161" width="21" customWidth="1"/>
    <col min="6162" max="6162" width="31" customWidth="1"/>
    <col min="6163" max="6163" width="30.77734375" customWidth="1"/>
    <col min="6164" max="6164" width="14.44140625" customWidth="1"/>
    <col min="6165" max="6165" width="27.44140625" customWidth="1"/>
    <col min="6166" max="6166" width="26.44140625" customWidth="1"/>
    <col min="6167" max="6167" width="21.77734375" customWidth="1"/>
    <col min="6168" max="6168" width="12.21875" customWidth="1"/>
    <col min="6169" max="6169" width="13.21875" customWidth="1"/>
    <col min="6170" max="6170" width="14.77734375" customWidth="1"/>
    <col min="6171" max="6171" width="13.77734375" customWidth="1"/>
    <col min="6172" max="6172" width="19.21875" customWidth="1"/>
    <col min="6174" max="6174" width="16.77734375" customWidth="1"/>
    <col min="6175" max="6179" width="19.77734375" customWidth="1"/>
    <col min="6180" max="6180" width="13.21875" customWidth="1"/>
    <col min="6181" max="6181" width="12.44140625" customWidth="1"/>
    <col min="6182" max="6182" width="13.21875" customWidth="1"/>
    <col min="6183" max="6183" width="12.77734375" customWidth="1"/>
    <col min="6184" max="6184" width="12.44140625" customWidth="1"/>
    <col min="6185" max="6185" width="13.77734375" customWidth="1"/>
    <col min="6186" max="6186" width="12.21875" customWidth="1"/>
    <col min="6187" max="6187" width="33" customWidth="1"/>
    <col min="6188" max="6188" width="13.21875" customWidth="1"/>
    <col min="6189" max="6189" width="10.21875" customWidth="1"/>
    <col min="6190" max="6190" width="11.21875" customWidth="1"/>
    <col min="6191" max="6191" width="24.77734375" customWidth="1"/>
    <col min="6192" max="6192" width="14.5546875" customWidth="1"/>
    <col min="6193" max="6193" width="14.77734375" customWidth="1"/>
    <col min="6194" max="6194" width="81.44140625" customWidth="1"/>
    <col min="6195" max="6195" width="30" customWidth="1"/>
    <col min="6196" max="6197" width="24.21875" customWidth="1"/>
    <col min="6198" max="6198" width="17.21875" customWidth="1"/>
    <col min="6199" max="6199" width="24" customWidth="1"/>
    <col min="6200" max="6200" width="19.77734375" customWidth="1"/>
    <col min="6201" max="6201" width="22.77734375" customWidth="1"/>
    <col min="6202" max="6202" width="22.44140625" customWidth="1"/>
    <col min="6203" max="6203" width="20.5546875" customWidth="1"/>
    <col min="6204" max="6204" width="22.44140625" customWidth="1"/>
    <col min="6205" max="6205" width="56.44140625" customWidth="1"/>
    <col min="6206" max="6206" width="18.5546875" customWidth="1"/>
    <col min="6207" max="6207" width="20.44140625" customWidth="1"/>
    <col min="6208" max="6209" width="16" customWidth="1"/>
    <col min="6210" max="6210" width="13" customWidth="1"/>
    <col min="6211" max="6211" width="21.77734375" customWidth="1"/>
    <col min="6212" max="6212" width="19.77734375" customWidth="1"/>
    <col min="6213" max="6213" width="16.21875" customWidth="1"/>
    <col min="6214" max="6214" width="15.77734375" customWidth="1"/>
    <col min="6215" max="6215" width="18.77734375" customWidth="1"/>
    <col min="6216" max="6216" width="14.77734375" customWidth="1"/>
    <col min="6217" max="6217" width="20.21875" customWidth="1"/>
    <col min="6218" max="6218" width="15.21875" customWidth="1"/>
    <col min="6219" max="6219" width="22.77734375" customWidth="1"/>
    <col min="6220" max="6221" width="23" customWidth="1"/>
    <col min="6222" max="6227" width="9.21875" customWidth="1"/>
    <col min="6228" max="6228" width="24.21875" customWidth="1"/>
    <col min="6229" max="6231" width="9.21875" customWidth="1"/>
    <col min="6232" max="6232" width="17.21875" customWidth="1"/>
    <col min="6233" max="6364" width="9.21875" customWidth="1"/>
    <col min="6365" max="6365" width="2" customWidth="1"/>
    <col min="6366" max="6366" width="21.77734375" customWidth="1"/>
    <col min="6367" max="6367" width="16.21875" customWidth="1"/>
    <col min="6368" max="6368" width="34.77734375" customWidth="1"/>
    <col min="6369" max="6370" width="24.77734375" customWidth="1"/>
    <col min="6371" max="6371" width="31.44140625" customWidth="1"/>
    <col min="6372" max="6372" width="24.77734375" customWidth="1"/>
    <col min="6373" max="6373" width="26.77734375" customWidth="1"/>
    <col min="6374" max="6376" width="13.77734375" customWidth="1"/>
    <col min="6377" max="6377" width="12.77734375" customWidth="1"/>
    <col min="6378" max="6378" width="15.44140625" customWidth="1"/>
    <col min="6379" max="6379" width="16" customWidth="1"/>
    <col min="6380" max="6380" width="15.5546875" customWidth="1"/>
    <col min="6401" max="6401" width="27.44140625" customWidth="1"/>
    <col min="6402" max="6403" width="21.77734375" customWidth="1"/>
    <col min="6404" max="6404" width="24.77734375" customWidth="1"/>
    <col min="6405" max="6405" width="36" customWidth="1"/>
    <col min="6406" max="6406" width="24.77734375" customWidth="1"/>
    <col min="6407" max="6407" width="26.77734375" customWidth="1"/>
    <col min="6408" max="6409" width="13.77734375" customWidth="1"/>
    <col min="6410" max="6410" width="12.77734375" customWidth="1"/>
    <col min="6411" max="6411" width="15.44140625" customWidth="1"/>
    <col min="6412" max="6412" width="16" customWidth="1"/>
    <col min="6413" max="6413" width="15.5546875" customWidth="1"/>
    <col min="6415" max="6415" width="27.77734375" customWidth="1"/>
    <col min="6416" max="6416" width="18.77734375" customWidth="1"/>
    <col min="6417" max="6417" width="21" customWidth="1"/>
    <col min="6418" max="6418" width="31" customWidth="1"/>
    <col min="6419" max="6419" width="30.77734375" customWidth="1"/>
    <col min="6420" max="6420" width="14.44140625" customWidth="1"/>
    <col min="6421" max="6421" width="27.44140625" customWidth="1"/>
    <col min="6422" max="6422" width="26.44140625" customWidth="1"/>
    <col min="6423" max="6423" width="21.77734375" customWidth="1"/>
    <col min="6424" max="6424" width="12.21875" customWidth="1"/>
    <col min="6425" max="6425" width="13.21875" customWidth="1"/>
    <col min="6426" max="6426" width="14.77734375" customWidth="1"/>
    <col min="6427" max="6427" width="13.77734375" customWidth="1"/>
    <col min="6428" max="6428" width="19.21875" customWidth="1"/>
    <col min="6430" max="6430" width="16.77734375" customWidth="1"/>
    <col min="6431" max="6435" width="19.77734375" customWidth="1"/>
    <col min="6436" max="6436" width="13.21875" customWidth="1"/>
    <col min="6437" max="6437" width="12.44140625" customWidth="1"/>
    <col min="6438" max="6438" width="13.21875" customWidth="1"/>
    <col min="6439" max="6439" width="12.77734375" customWidth="1"/>
    <col min="6440" max="6440" width="12.44140625" customWidth="1"/>
    <col min="6441" max="6441" width="13.77734375" customWidth="1"/>
    <col min="6442" max="6442" width="12.21875" customWidth="1"/>
    <col min="6443" max="6443" width="33" customWidth="1"/>
    <col min="6444" max="6444" width="13.21875" customWidth="1"/>
    <col min="6445" max="6445" width="10.21875" customWidth="1"/>
    <col min="6446" max="6446" width="11.21875" customWidth="1"/>
    <col min="6447" max="6447" width="24.77734375" customWidth="1"/>
    <col min="6448" max="6448" width="14.5546875" customWidth="1"/>
    <col min="6449" max="6449" width="14.77734375" customWidth="1"/>
    <col min="6450" max="6450" width="81.44140625" customWidth="1"/>
    <col min="6451" max="6451" width="30" customWidth="1"/>
    <col min="6452" max="6453" width="24.21875" customWidth="1"/>
    <col min="6454" max="6454" width="17.21875" customWidth="1"/>
    <col min="6455" max="6455" width="24" customWidth="1"/>
    <col min="6456" max="6456" width="19.77734375" customWidth="1"/>
    <col min="6457" max="6457" width="22.77734375" customWidth="1"/>
    <col min="6458" max="6458" width="22.44140625" customWidth="1"/>
    <col min="6459" max="6459" width="20.5546875" customWidth="1"/>
    <col min="6460" max="6460" width="22.44140625" customWidth="1"/>
    <col min="6461" max="6461" width="56.44140625" customWidth="1"/>
    <col min="6462" max="6462" width="18.5546875" customWidth="1"/>
    <col min="6463" max="6463" width="20.44140625" customWidth="1"/>
    <col min="6464" max="6465" width="16" customWidth="1"/>
    <col min="6466" max="6466" width="13" customWidth="1"/>
    <col min="6467" max="6467" width="21.77734375" customWidth="1"/>
    <col min="6468" max="6468" width="19.77734375" customWidth="1"/>
    <col min="6469" max="6469" width="16.21875" customWidth="1"/>
    <col min="6470" max="6470" width="15.77734375" customWidth="1"/>
    <col min="6471" max="6471" width="18.77734375" customWidth="1"/>
    <col min="6472" max="6472" width="14.77734375" customWidth="1"/>
    <col min="6473" max="6473" width="20.21875" customWidth="1"/>
    <col min="6474" max="6474" width="15.21875" customWidth="1"/>
    <col min="6475" max="6475" width="22.77734375" customWidth="1"/>
    <col min="6476" max="6477" width="23" customWidth="1"/>
    <col min="6478" max="6483" width="9.21875" customWidth="1"/>
    <col min="6484" max="6484" width="24.21875" customWidth="1"/>
    <col min="6485" max="6487" width="9.21875" customWidth="1"/>
    <col min="6488" max="6488" width="17.21875" customWidth="1"/>
    <col min="6489" max="6620" width="9.21875" customWidth="1"/>
    <col min="6621" max="6621" width="2" customWidth="1"/>
    <col min="6622" max="6622" width="21.77734375" customWidth="1"/>
    <col min="6623" max="6623" width="16.21875" customWidth="1"/>
    <col min="6624" max="6624" width="34.77734375" customWidth="1"/>
    <col min="6625" max="6626" width="24.77734375" customWidth="1"/>
    <col min="6627" max="6627" width="31.44140625" customWidth="1"/>
    <col min="6628" max="6628" width="24.77734375" customWidth="1"/>
    <col min="6629" max="6629" width="26.77734375" customWidth="1"/>
    <col min="6630" max="6632" width="13.77734375" customWidth="1"/>
    <col min="6633" max="6633" width="12.77734375" customWidth="1"/>
    <col min="6634" max="6634" width="15.44140625" customWidth="1"/>
    <col min="6635" max="6635" width="16" customWidth="1"/>
    <col min="6636" max="6636" width="15.5546875" customWidth="1"/>
    <col min="6657" max="6657" width="27.44140625" customWidth="1"/>
    <col min="6658" max="6659" width="21.77734375" customWidth="1"/>
    <col min="6660" max="6660" width="24.77734375" customWidth="1"/>
    <col min="6661" max="6661" width="36" customWidth="1"/>
    <col min="6662" max="6662" width="24.77734375" customWidth="1"/>
    <col min="6663" max="6663" width="26.77734375" customWidth="1"/>
    <col min="6664" max="6665" width="13.77734375" customWidth="1"/>
    <col min="6666" max="6666" width="12.77734375" customWidth="1"/>
    <col min="6667" max="6667" width="15.44140625" customWidth="1"/>
    <col min="6668" max="6668" width="16" customWidth="1"/>
    <col min="6669" max="6669" width="15.5546875" customWidth="1"/>
    <col min="6671" max="6671" width="27.77734375" customWidth="1"/>
    <col min="6672" max="6672" width="18.77734375" customWidth="1"/>
    <col min="6673" max="6673" width="21" customWidth="1"/>
    <col min="6674" max="6674" width="31" customWidth="1"/>
    <col min="6675" max="6675" width="30.77734375" customWidth="1"/>
    <col min="6676" max="6676" width="14.44140625" customWidth="1"/>
    <col min="6677" max="6677" width="27.44140625" customWidth="1"/>
    <col min="6678" max="6678" width="26.44140625" customWidth="1"/>
    <col min="6679" max="6679" width="21.77734375" customWidth="1"/>
    <col min="6680" max="6680" width="12.21875" customWidth="1"/>
    <col min="6681" max="6681" width="13.21875" customWidth="1"/>
    <col min="6682" max="6682" width="14.77734375" customWidth="1"/>
    <col min="6683" max="6683" width="13.77734375" customWidth="1"/>
    <col min="6684" max="6684" width="19.21875" customWidth="1"/>
    <col min="6686" max="6686" width="16.77734375" customWidth="1"/>
    <col min="6687" max="6691" width="19.77734375" customWidth="1"/>
    <col min="6692" max="6692" width="13.21875" customWidth="1"/>
    <col min="6693" max="6693" width="12.44140625" customWidth="1"/>
    <col min="6694" max="6694" width="13.21875" customWidth="1"/>
    <col min="6695" max="6695" width="12.77734375" customWidth="1"/>
    <col min="6696" max="6696" width="12.44140625" customWidth="1"/>
    <col min="6697" max="6697" width="13.77734375" customWidth="1"/>
    <col min="6698" max="6698" width="12.21875" customWidth="1"/>
    <col min="6699" max="6699" width="33" customWidth="1"/>
    <col min="6700" max="6700" width="13.21875" customWidth="1"/>
    <col min="6701" max="6701" width="10.21875" customWidth="1"/>
    <col min="6702" max="6702" width="11.21875" customWidth="1"/>
    <col min="6703" max="6703" width="24.77734375" customWidth="1"/>
    <col min="6704" max="6704" width="14.5546875" customWidth="1"/>
    <col min="6705" max="6705" width="14.77734375" customWidth="1"/>
    <col min="6706" max="6706" width="81.44140625" customWidth="1"/>
    <col min="6707" max="6707" width="30" customWidth="1"/>
    <col min="6708" max="6709" width="24.21875" customWidth="1"/>
    <col min="6710" max="6710" width="17.21875" customWidth="1"/>
    <col min="6711" max="6711" width="24" customWidth="1"/>
    <col min="6712" max="6712" width="19.77734375" customWidth="1"/>
    <col min="6713" max="6713" width="22.77734375" customWidth="1"/>
    <col min="6714" max="6714" width="22.44140625" customWidth="1"/>
    <col min="6715" max="6715" width="20.5546875" customWidth="1"/>
    <col min="6716" max="6716" width="22.44140625" customWidth="1"/>
    <col min="6717" max="6717" width="56.44140625" customWidth="1"/>
    <col min="6718" max="6718" width="18.5546875" customWidth="1"/>
    <col min="6719" max="6719" width="20.44140625" customWidth="1"/>
    <col min="6720" max="6721" width="16" customWidth="1"/>
    <col min="6722" max="6722" width="13" customWidth="1"/>
    <col min="6723" max="6723" width="21.77734375" customWidth="1"/>
    <col min="6724" max="6724" width="19.77734375" customWidth="1"/>
    <col min="6725" max="6725" width="16.21875" customWidth="1"/>
    <col min="6726" max="6726" width="15.77734375" customWidth="1"/>
    <col min="6727" max="6727" width="18.77734375" customWidth="1"/>
    <col min="6728" max="6728" width="14.77734375" customWidth="1"/>
    <col min="6729" max="6729" width="20.21875" customWidth="1"/>
    <col min="6730" max="6730" width="15.21875" customWidth="1"/>
    <col min="6731" max="6731" width="22.77734375" customWidth="1"/>
    <col min="6732" max="6733" width="23" customWidth="1"/>
    <col min="6734" max="6739" width="9.21875" customWidth="1"/>
    <col min="6740" max="6740" width="24.21875" customWidth="1"/>
    <col min="6741" max="6743" width="9.21875" customWidth="1"/>
    <col min="6744" max="6744" width="17.21875" customWidth="1"/>
    <col min="6745" max="6876" width="9.21875" customWidth="1"/>
    <col min="6877" max="6877" width="2" customWidth="1"/>
    <col min="6878" max="6878" width="21.77734375" customWidth="1"/>
    <col min="6879" max="6879" width="16.21875" customWidth="1"/>
    <col min="6880" max="6880" width="34.77734375" customWidth="1"/>
    <col min="6881" max="6882" width="24.77734375" customWidth="1"/>
    <col min="6883" max="6883" width="31.44140625" customWidth="1"/>
    <col min="6884" max="6884" width="24.77734375" customWidth="1"/>
    <col min="6885" max="6885" width="26.77734375" customWidth="1"/>
    <col min="6886" max="6888" width="13.77734375" customWidth="1"/>
    <col min="6889" max="6889" width="12.77734375" customWidth="1"/>
    <col min="6890" max="6890" width="15.44140625" customWidth="1"/>
    <col min="6891" max="6891" width="16" customWidth="1"/>
    <col min="6892" max="6892" width="15.5546875" customWidth="1"/>
    <col min="6913" max="6913" width="27.44140625" customWidth="1"/>
    <col min="6914" max="6915" width="21.77734375" customWidth="1"/>
    <col min="6916" max="6916" width="24.77734375" customWidth="1"/>
    <col min="6917" max="6917" width="36" customWidth="1"/>
    <col min="6918" max="6918" width="24.77734375" customWidth="1"/>
    <col min="6919" max="6919" width="26.77734375" customWidth="1"/>
    <col min="6920" max="6921" width="13.77734375" customWidth="1"/>
    <col min="6922" max="6922" width="12.77734375" customWidth="1"/>
    <col min="6923" max="6923" width="15.44140625" customWidth="1"/>
    <col min="6924" max="6924" width="16" customWidth="1"/>
    <col min="6925" max="6925" width="15.5546875" customWidth="1"/>
    <col min="6927" max="6927" width="27.77734375" customWidth="1"/>
    <col min="6928" max="6928" width="18.77734375" customWidth="1"/>
    <col min="6929" max="6929" width="21" customWidth="1"/>
    <col min="6930" max="6930" width="31" customWidth="1"/>
    <col min="6931" max="6931" width="30.77734375" customWidth="1"/>
    <col min="6932" max="6932" width="14.44140625" customWidth="1"/>
    <col min="6933" max="6933" width="27.44140625" customWidth="1"/>
    <col min="6934" max="6934" width="26.44140625" customWidth="1"/>
    <col min="6935" max="6935" width="21.77734375" customWidth="1"/>
    <col min="6936" max="6936" width="12.21875" customWidth="1"/>
    <col min="6937" max="6937" width="13.21875" customWidth="1"/>
    <col min="6938" max="6938" width="14.77734375" customWidth="1"/>
    <col min="6939" max="6939" width="13.77734375" customWidth="1"/>
    <col min="6940" max="6940" width="19.21875" customWidth="1"/>
    <col min="6942" max="6942" width="16.77734375" customWidth="1"/>
    <col min="6943" max="6947" width="19.77734375" customWidth="1"/>
    <col min="6948" max="6948" width="13.21875" customWidth="1"/>
    <col min="6949" max="6949" width="12.44140625" customWidth="1"/>
    <col min="6950" max="6950" width="13.21875" customWidth="1"/>
    <col min="6951" max="6951" width="12.77734375" customWidth="1"/>
    <col min="6952" max="6952" width="12.44140625" customWidth="1"/>
    <col min="6953" max="6953" width="13.77734375" customWidth="1"/>
    <col min="6954" max="6954" width="12.21875" customWidth="1"/>
    <col min="6955" max="6955" width="33" customWidth="1"/>
    <col min="6956" max="6956" width="13.21875" customWidth="1"/>
    <col min="6957" max="6957" width="10.21875" customWidth="1"/>
    <col min="6958" max="6958" width="11.21875" customWidth="1"/>
    <col min="6959" max="6959" width="24.77734375" customWidth="1"/>
    <col min="6960" max="6960" width="14.5546875" customWidth="1"/>
    <col min="6961" max="6961" width="14.77734375" customWidth="1"/>
    <col min="6962" max="6962" width="81.44140625" customWidth="1"/>
    <col min="6963" max="6963" width="30" customWidth="1"/>
    <col min="6964" max="6965" width="24.21875" customWidth="1"/>
    <col min="6966" max="6966" width="17.21875" customWidth="1"/>
    <col min="6967" max="6967" width="24" customWidth="1"/>
    <col min="6968" max="6968" width="19.77734375" customWidth="1"/>
    <col min="6969" max="6969" width="22.77734375" customWidth="1"/>
    <col min="6970" max="6970" width="22.44140625" customWidth="1"/>
    <col min="6971" max="6971" width="20.5546875" customWidth="1"/>
    <col min="6972" max="6972" width="22.44140625" customWidth="1"/>
    <col min="6973" max="6973" width="56.44140625" customWidth="1"/>
    <col min="6974" max="6974" width="18.5546875" customWidth="1"/>
    <col min="6975" max="6975" width="20.44140625" customWidth="1"/>
    <col min="6976" max="6977" width="16" customWidth="1"/>
    <col min="6978" max="6978" width="13" customWidth="1"/>
    <col min="6979" max="6979" width="21.77734375" customWidth="1"/>
    <col min="6980" max="6980" width="19.77734375" customWidth="1"/>
    <col min="6981" max="6981" width="16.21875" customWidth="1"/>
    <col min="6982" max="6982" width="15.77734375" customWidth="1"/>
    <col min="6983" max="6983" width="18.77734375" customWidth="1"/>
    <col min="6984" max="6984" width="14.77734375" customWidth="1"/>
    <col min="6985" max="6985" width="20.21875" customWidth="1"/>
    <col min="6986" max="6986" width="15.21875" customWidth="1"/>
    <col min="6987" max="6987" width="22.77734375" customWidth="1"/>
    <col min="6988" max="6989" width="23" customWidth="1"/>
    <col min="6990" max="6995" width="9.21875" customWidth="1"/>
    <col min="6996" max="6996" width="24.21875" customWidth="1"/>
    <col min="6997" max="6999" width="9.21875" customWidth="1"/>
    <col min="7000" max="7000" width="17.21875" customWidth="1"/>
    <col min="7001" max="7132" width="9.21875" customWidth="1"/>
    <col min="7133" max="7133" width="2" customWidth="1"/>
    <col min="7134" max="7134" width="21.77734375" customWidth="1"/>
    <col min="7135" max="7135" width="16.21875" customWidth="1"/>
    <col min="7136" max="7136" width="34.77734375" customWidth="1"/>
    <col min="7137" max="7138" width="24.77734375" customWidth="1"/>
    <col min="7139" max="7139" width="31.44140625" customWidth="1"/>
    <col min="7140" max="7140" width="24.77734375" customWidth="1"/>
    <col min="7141" max="7141" width="26.77734375" customWidth="1"/>
    <col min="7142" max="7144" width="13.77734375" customWidth="1"/>
    <col min="7145" max="7145" width="12.77734375" customWidth="1"/>
    <col min="7146" max="7146" width="15.44140625" customWidth="1"/>
    <col min="7147" max="7147" width="16" customWidth="1"/>
    <col min="7148" max="7148" width="15.5546875" customWidth="1"/>
    <col min="7169" max="7169" width="27.44140625" customWidth="1"/>
    <col min="7170" max="7171" width="21.77734375" customWidth="1"/>
    <col min="7172" max="7172" width="24.77734375" customWidth="1"/>
    <col min="7173" max="7173" width="36" customWidth="1"/>
    <col min="7174" max="7174" width="24.77734375" customWidth="1"/>
    <col min="7175" max="7175" width="26.77734375" customWidth="1"/>
    <col min="7176" max="7177" width="13.77734375" customWidth="1"/>
    <col min="7178" max="7178" width="12.77734375" customWidth="1"/>
    <col min="7179" max="7179" width="15.44140625" customWidth="1"/>
    <col min="7180" max="7180" width="16" customWidth="1"/>
    <col min="7181" max="7181" width="15.5546875" customWidth="1"/>
    <col min="7183" max="7183" width="27.77734375" customWidth="1"/>
    <col min="7184" max="7184" width="18.77734375" customWidth="1"/>
    <col min="7185" max="7185" width="21" customWidth="1"/>
    <col min="7186" max="7186" width="31" customWidth="1"/>
    <col min="7187" max="7187" width="30.77734375" customWidth="1"/>
    <col min="7188" max="7188" width="14.44140625" customWidth="1"/>
    <col min="7189" max="7189" width="27.44140625" customWidth="1"/>
    <col min="7190" max="7190" width="26.44140625" customWidth="1"/>
    <col min="7191" max="7191" width="21.77734375" customWidth="1"/>
    <col min="7192" max="7192" width="12.21875" customWidth="1"/>
    <col min="7193" max="7193" width="13.21875" customWidth="1"/>
    <col min="7194" max="7194" width="14.77734375" customWidth="1"/>
    <col min="7195" max="7195" width="13.77734375" customWidth="1"/>
    <col min="7196" max="7196" width="19.21875" customWidth="1"/>
    <col min="7198" max="7198" width="16.77734375" customWidth="1"/>
    <col min="7199" max="7203" width="19.77734375" customWidth="1"/>
    <col min="7204" max="7204" width="13.21875" customWidth="1"/>
    <col min="7205" max="7205" width="12.44140625" customWidth="1"/>
    <col min="7206" max="7206" width="13.21875" customWidth="1"/>
    <col min="7207" max="7207" width="12.77734375" customWidth="1"/>
    <col min="7208" max="7208" width="12.44140625" customWidth="1"/>
    <col min="7209" max="7209" width="13.77734375" customWidth="1"/>
    <col min="7210" max="7210" width="12.21875" customWidth="1"/>
    <col min="7211" max="7211" width="33" customWidth="1"/>
    <col min="7212" max="7212" width="13.21875" customWidth="1"/>
    <col min="7213" max="7213" width="10.21875" customWidth="1"/>
    <col min="7214" max="7214" width="11.21875" customWidth="1"/>
    <col min="7215" max="7215" width="24.77734375" customWidth="1"/>
    <col min="7216" max="7216" width="14.5546875" customWidth="1"/>
    <col min="7217" max="7217" width="14.77734375" customWidth="1"/>
    <col min="7218" max="7218" width="81.44140625" customWidth="1"/>
    <col min="7219" max="7219" width="30" customWidth="1"/>
    <col min="7220" max="7221" width="24.21875" customWidth="1"/>
    <col min="7222" max="7222" width="17.21875" customWidth="1"/>
    <col min="7223" max="7223" width="24" customWidth="1"/>
    <col min="7224" max="7224" width="19.77734375" customWidth="1"/>
    <col min="7225" max="7225" width="22.77734375" customWidth="1"/>
    <col min="7226" max="7226" width="22.44140625" customWidth="1"/>
    <col min="7227" max="7227" width="20.5546875" customWidth="1"/>
    <col min="7228" max="7228" width="22.44140625" customWidth="1"/>
    <col min="7229" max="7229" width="56.44140625" customWidth="1"/>
    <col min="7230" max="7230" width="18.5546875" customWidth="1"/>
    <col min="7231" max="7231" width="20.44140625" customWidth="1"/>
    <col min="7232" max="7233" width="16" customWidth="1"/>
    <col min="7234" max="7234" width="13" customWidth="1"/>
    <col min="7235" max="7235" width="21.77734375" customWidth="1"/>
    <col min="7236" max="7236" width="19.77734375" customWidth="1"/>
    <col min="7237" max="7237" width="16.21875" customWidth="1"/>
    <col min="7238" max="7238" width="15.77734375" customWidth="1"/>
    <col min="7239" max="7239" width="18.77734375" customWidth="1"/>
    <col min="7240" max="7240" width="14.77734375" customWidth="1"/>
    <col min="7241" max="7241" width="20.21875" customWidth="1"/>
    <col min="7242" max="7242" width="15.21875" customWidth="1"/>
    <col min="7243" max="7243" width="22.77734375" customWidth="1"/>
    <col min="7244" max="7245" width="23" customWidth="1"/>
    <col min="7246" max="7251" width="9.21875" customWidth="1"/>
    <col min="7252" max="7252" width="24.21875" customWidth="1"/>
    <col min="7253" max="7255" width="9.21875" customWidth="1"/>
    <col min="7256" max="7256" width="17.21875" customWidth="1"/>
    <col min="7257" max="7388" width="9.21875" customWidth="1"/>
    <col min="7389" max="7389" width="2" customWidth="1"/>
    <col min="7390" max="7390" width="21.77734375" customWidth="1"/>
    <col min="7391" max="7391" width="16.21875" customWidth="1"/>
    <col min="7392" max="7392" width="34.77734375" customWidth="1"/>
    <col min="7393" max="7394" width="24.77734375" customWidth="1"/>
    <col min="7395" max="7395" width="31.44140625" customWidth="1"/>
    <col min="7396" max="7396" width="24.77734375" customWidth="1"/>
    <col min="7397" max="7397" width="26.77734375" customWidth="1"/>
    <col min="7398" max="7400" width="13.77734375" customWidth="1"/>
    <col min="7401" max="7401" width="12.77734375" customWidth="1"/>
    <col min="7402" max="7402" width="15.44140625" customWidth="1"/>
    <col min="7403" max="7403" width="16" customWidth="1"/>
    <col min="7404" max="7404" width="15.5546875" customWidth="1"/>
    <col min="7425" max="7425" width="27.44140625" customWidth="1"/>
    <col min="7426" max="7427" width="21.77734375" customWidth="1"/>
    <col min="7428" max="7428" width="24.77734375" customWidth="1"/>
    <col min="7429" max="7429" width="36" customWidth="1"/>
    <col min="7430" max="7430" width="24.77734375" customWidth="1"/>
    <col min="7431" max="7431" width="26.77734375" customWidth="1"/>
    <col min="7432" max="7433" width="13.77734375" customWidth="1"/>
    <col min="7434" max="7434" width="12.77734375" customWidth="1"/>
    <col min="7435" max="7435" width="15.44140625" customWidth="1"/>
    <col min="7436" max="7436" width="16" customWidth="1"/>
    <col min="7437" max="7437" width="15.5546875" customWidth="1"/>
    <col min="7439" max="7439" width="27.77734375" customWidth="1"/>
    <col min="7440" max="7440" width="18.77734375" customWidth="1"/>
    <col min="7441" max="7441" width="21" customWidth="1"/>
    <col min="7442" max="7442" width="31" customWidth="1"/>
    <col min="7443" max="7443" width="30.77734375" customWidth="1"/>
    <col min="7444" max="7444" width="14.44140625" customWidth="1"/>
    <col min="7445" max="7445" width="27.44140625" customWidth="1"/>
    <col min="7446" max="7446" width="26.44140625" customWidth="1"/>
    <col min="7447" max="7447" width="21.77734375" customWidth="1"/>
    <col min="7448" max="7448" width="12.21875" customWidth="1"/>
    <col min="7449" max="7449" width="13.21875" customWidth="1"/>
    <col min="7450" max="7450" width="14.77734375" customWidth="1"/>
    <col min="7451" max="7451" width="13.77734375" customWidth="1"/>
    <col min="7452" max="7452" width="19.21875" customWidth="1"/>
    <col min="7454" max="7454" width="16.77734375" customWidth="1"/>
    <col min="7455" max="7459" width="19.77734375" customWidth="1"/>
    <col min="7460" max="7460" width="13.21875" customWidth="1"/>
    <col min="7461" max="7461" width="12.44140625" customWidth="1"/>
    <col min="7462" max="7462" width="13.21875" customWidth="1"/>
    <col min="7463" max="7463" width="12.77734375" customWidth="1"/>
    <col min="7464" max="7464" width="12.44140625" customWidth="1"/>
    <col min="7465" max="7465" width="13.77734375" customWidth="1"/>
    <col min="7466" max="7466" width="12.21875" customWidth="1"/>
    <col min="7467" max="7467" width="33" customWidth="1"/>
    <col min="7468" max="7468" width="13.21875" customWidth="1"/>
    <col min="7469" max="7469" width="10.21875" customWidth="1"/>
    <col min="7470" max="7470" width="11.21875" customWidth="1"/>
    <col min="7471" max="7471" width="24.77734375" customWidth="1"/>
    <col min="7472" max="7472" width="14.5546875" customWidth="1"/>
    <col min="7473" max="7473" width="14.77734375" customWidth="1"/>
    <col min="7474" max="7474" width="81.44140625" customWidth="1"/>
    <col min="7475" max="7475" width="30" customWidth="1"/>
    <col min="7476" max="7477" width="24.21875" customWidth="1"/>
    <col min="7478" max="7478" width="17.21875" customWidth="1"/>
    <col min="7479" max="7479" width="24" customWidth="1"/>
    <col min="7480" max="7480" width="19.77734375" customWidth="1"/>
    <col min="7481" max="7481" width="22.77734375" customWidth="1"/>
    <col min="7482" max="7482" width="22.44140625" customWidth="1"/>
    <col min="7483" max="7483" width="20.5546875" customWidth="1"/>
    <col min="7484" max="7484" width="22.44140625" customWidth="1"/>
    <col min="7485" max="7485" width="56.44140625" customWidth="1"/>
    <col min="7486" max="7486" width="18.5546875" customWidth="1"/>
    <col min="7487" max="7487" width="20.44140625" customWidth="1"/>
    <col min="7488" max="7489" width="16" customWidth="1"/>
    <col min="7490" max="7490" width="13" customWidth="1"/>
    <col min="7491" max="7491" width="21.77734375" customWidth="1"/>
    <col min="7492" max="7492" width="19.77734375" customWidth="1"/>
    <col min="7493" max="7493" width="16.21875" customWidth="1"/>
    <col min="7494" max="7494" width="15.77734375" customWidth="1"/>
    <col min="7495" max="7495" width="18.77734375" customWidth="1"/>
    <col min="7496" max="7496" width="14.77734375" customWidth="1"/>
    <col min="7497" max="7497" width="20.21875" customWidth="1"/>
    <col min="7498" max="7498" width="15.21875" customWidth="1"/>
    <col min="7499" max="7499" width="22.77734375" customWidth="1"/>
    <col min="7500" max="7501" width="23" customWidth="1"/>
    <col min="7502" max="7507" width="9.21875" customWidth="1"/>
    <col min="7508" max="7508" width="24.21875" customWidth="1"/>
    <col min="7509" max="7511" width="9.21875" customWidth="1"/>
    <col min="7512" max="7512" width="17.21875" customWidth="1"/>
    <col min="7513" max="7644" width="9.21875" customWidth="1"/>
    <col min="7645" max="7645" width="2" customWidth="1"/>
    <col min="7646" max="7646" width="21.77734375" customWidth="1"/>
    <col min="7647" max="7647" width="16.21875" customWidth="1"/>
    <col min="7648" max="7648" width="34.77734375" customWidth="1"/>
    <col min="7649" max="7650" width="24.77734375" customWidth="1"/>
    <col min="7651" max="7651" width="31.44140625" customWidth="1"/>
    <col min="7652" max="7652" width="24.77734375" customWidth="1"/>
    <col min="7653" max="7653" width="26.77734375" customWidth="1"/>
    <col min="7654" max="7656" width="13.77734375" customWidth="1"/>
    <col min="7657" max="7657" width="12.77734375" customWidth="1"/>
    <col min="7658" max="7658" width="15.44140625" customWidth="1"/>
    <col min="7659" max="7659" width="16" customWidth="1"/>
    <col min="7660" max="7660" width="15.5546875" customWidth="1"/>
    <col min="7681" max="7681" width="27.44140625" customWidth="1"/>
    <col min="7682" max="7683" width="21.77734375" customWidth="1"/>
    <col min="7684" max="7684" width="24.77734375" customWidth="1"/>
    <col min="7685" max="7685" width="36" customWidth="1"/>
    <col min="7686" max="7686" width="24.77734375" customWidth="1"/>
    <col min="7687" max="7687" width="26.77734375" customWidth="1"/>
    <col min="7688" max="7689" width="13.77734375" customWidth="1"/>
    <col min="7690" max="7690" width="12.77734375" customWidth="1"/>
    <col min="7691" max="7691" width="15.44140625" customWidth="1"/>
    <col min="7692" max="7692" width="16" customWidth="1"/>
    <col min="7693" max="7693" width="15.5546875" customWidth="1"/>
    <col min="7695" max="7695" width="27.77734375" customWidth="1"/>
    <col min="7696" max="7696" width="18.77734375" customWidth="1"/>
    <col min="7697" max="7697" width="21" customWidth="1"/>
    <col min="7698" max="7698" width="31" customWidth="1"/>
    <col min="7699" max="7699" width="30.77734375" customWidth="1"/>
    <col min="7700" max="7700" width="14.44140625" customWidth="1"/>
    <col min="7701" max="7701" width="27.44140625" customWidth="1"/>
    <col min="7702" max="7702" width="26.44140625" customWidth="1"/>
    <col min="7703" max="7703" width="21.77734375" customWidth="1"/>
    <col min="7704" max="7704" width="12.21875" customWidth="1"/>
    <col min="7705" max="7705" width="13.21875" customWidth="1"/>
    <col min="7706" max="7706" width="14.77734375" customWidth="1"/>
    <col min="7707" max="7707" width="13.77734375" customWidth="1"/>
    <col min="7708" max="7708" width="19.21875" customWidth="1"/>
    <col min="7710" max="7710" width="16.77734375" customWidth="1"/>
    <col min="7711" max="7715" width="19.77734375" customWidth="1"/>
    <col min="7716" max="7716" width="13.21875" customWidth="1"/>
    <col min="7717" max="7717" width="12.44140625" customWidth="1"/>
    <col min="7718" max="7718" width="13.21875" customWidth="1"/>
    <col min="7719" max="7719" width="12.77734375" customWidth="1"/>
    <col min="7720" max="7720" width="12.44140625" customWidth="1"/>
    <col min="7721" max="7721" width="13.77734375" customWidth="1"/>
    <col min="7722" max="7722" width="12.21875" customWidth="1"/>
    <col min="7723" max="7723" width="33" customWidth="1"/>
    <col min="7724" max="7724" width="13.21875" customWidth="1"/>
    <col min="7725" max="7725" width="10.21875" customWidth="1"/>
    <col min="7726" max="7726" width="11.21875" customWidth="1"/>
    <col min="7727" max="7727" width="24.77734375" customWidth="1"/>
    <col min="7728" max="7728" width="14.5546875" customWidth="1"/>
    <col min="7729" max="7729" width="14.77734375" customWidth="1"/>
    <col min="7730" max="7730" width="81.44140625" customWidth="1"/>
    <col min="7731" max="7731" width="30" customWidth="1"/>
    <col min="7732" max="7733" width="24.21875" customWidth="1"/>
    <col min="7734" max="7734" width="17.21875" customWidth="1"/>
    <col min="7735" max="7735" width="24" customWidth="1"/>
    <col min="7736" max="7736" width="19.77734375" customWidth="1"/>
    <col min="7737" max="7737" width="22.77734375" customWidth="1"/>
    <col min="7738" max="7738" width="22.44140625" customWidth="1"/>
    <col min="7739" max="7739" width="20.5546875" customWidth="1"/>
    <col min="7740" max="7740" width="22.44140625" customWidth="1"/>
    <col min="7741" max="7741" width="56.44140625" customWidth="1"/>
    <col min="7742" max="7742" width="18.5546875" customWidth="1"/>
    <col min="7743" max="7743" width="20.44140625" customWidth="1"/>
    <col min="7744" max="7745" width="16" customWidth="1"/>
    <col min="7746" max="7746" width="13" customWidth="1"/>
    <col min="7747" max="7747" width="21.77734375" customWidth="1"/>
    <col min="7748" max="7748" width="19.77734375" customWidth="1"/>
    <col min="7749" max="7749" width="16.21875" customWidth="1"/>
    <col min="7750" max="7750" width="15.77734375" customWidth="1"/>
    <col min="7751" max="7751" width="18.77734375" customWidth="1"/>
    <col min="7752" max="7752" width="14.77734375" customWidth="1"/>
    <col min="7753" max="7753" width="20.21875" customWidth="1"/>
    <col min="7754" max="7754" width="15.21875" customWidth="1"/>
    <col min="7755" max="7755" width="22.77734375" customWidth="1"/>
    <col min="7756" max="7757" width="23" customWidth="1"/>
    <col min="7758" max="7763" width="9.21875" customWidth="1"/>
    <col min="7764" max="7764" width="24.21875" customWidth="1"/>
    <col min="7765" max="7767" width="9.21875" customWidth="1"/>
    <col min="7768" max="7768" width="17.21875" customWidth="1"/>
    <col min="7769" max="7900" width="9.21875" customWidth="1"/>
    <col min="7901" max="7901" width="2" customWidth="1"/>
    <col min="7902" max="7902" width="21.77734375" customWidth="1"/>
    <col min="7903" max="7903" width="16.21875" customWidth="1"/>
    <col min="7904" max="7904" width="34.77734375" customWidth="1"/>
    <col min="7905" max="7906" width="24.77734375" customWidth="1"/>
    <col min="7907" max="7907" width="31.44140625" customWidth="1"/>
    <col min="7908" max="7908" width="24.77734375" customWidth="1"/>
    <col min="7909" max="7909" width="26.77734375" customWidth="1"/>
    <col min="7910" max="7912" width="13.77734375" customWidth="1"/>
    <col min="7913" max="7913" width="12.77734375" customWidth="1"/>
    <col min="7914" max="7914" width="15.44140625" customWidth="1"/>
    <col min="7915" max="7915" width="16" customWidth="1"/>
    <col min="7916" max="7916" width="15.5546875" customWidth="1"/>
    <col min="7937" max="7937" width="27.44140625" customWidth="1"/>
    <col min="7938" max="7939" width="21.77734375" customWidth="1"/>
    <col min="7940" max="7940" width="24.77734375" customWidth="1"/>
    <col min="7941" max="7941" width="36" customWidth="1"/>
    <col min="7942" max="7942" width="24.77734375" customWidth="1"/>
    <col min="7943" max="7943" width="26.77734375" customWidth="1"/>
    <col min="7944" max="7945" width="13.77734375" customWidth="1"/>
    <col min="7946" max="7946" width="12.77734375" customWidth="1"/>
    <col min="7947" max="7947" width="15.44140625" customWidth="1"/>
    <col min="7948" max="7948" width="16" customWidth="1"/>
    <col min="7949" max="7949" width="15.5546875" customWidth="1"/>
    <col min="7951" max="7951" width="27.77734375" customWidth="1"/>
    <col min="7952" max="7952" width="18.77734375" customWidth="1"/>
    <col min="7953" max="7953" width="21" customWidth="1"/>
    <col min="7954" max="7954" width="31" customWidth="1"/>
    <col min="7955" max="7955" width="30.77734375" customWidth="1"/>
    <col min="7956" max="7956" width="14.44140625" customWidth="1"/>
    <col min="7957" max="7957" width="27.44140625" customWidth="1"/>
    <col min="7958" max="7958" width="26.44140625" customWidth="1"/>
    <col min="7959" max="7959" width="21.77734375" customWidth="1"/>
    <col min="7960" max="7960" width="12.21875" customWidth="1"/>
    <col min="7961" max="7961" width="13.21875" customWidth="1"/>
    <col min="7962" max="7962" width="14.77734375" customWidth="1"/>
    <col min="7963" max="7963" width="13.77734375" customWidth="1"/>
    <col min="7964" max="7964" width="19.21875" customWidth="1"/>
    <col min="7966" max="7966" width="16.77734375" customWidth="1"/>
    <col min="7967" max="7971" width="19.77734375" customWidth="1"/>
    <col min="7972" max="7972" width="13.21875" customWidth="1"/>
    <col min="7973" max="7973" width="12.44140625" customWidth="1"/>
    <col min="7974" max="7974" width="13.21875" customWidth="1"/>
    <col min="7975" max="7975" width="12.77734375" customWidth="1"/>
    <col min="7976" max="7976" width="12.44140625" customWidth="1"/>
    <col min="7977" max="7977" width="13.77734375" customWidth="1"/>
    <col min="7978" max="7978" width="12.21875" customWidth="1"/>
    <col min="7979" max="7979" width="33" customWidth="1"/>
    <col min="7980" max="7980" width="13.21875" customWidth="1"/>
    <col min="7981" max="7981" width="10.21875" customWidth="1"/>
    <col min="7982" max="7982" width="11.21875" customWidth="1"/>
    <col min="7983" max="7983" width="24.77734375" customWidth="1"/>
    <col min="7984" max="7984" width="14.5546875" customWidth="1"/>
    <col min="7985" max="7985" width="14.77734375" customWidth="1"/>
    <col min="7986" max="7986" width="81.44140625" customWidth="1"/>
    <col min="7987" max="7987" width="30" customWidth="1"/>
    <col min="7988" max="7989" width="24.21875" customWidth="1"/>
    <col min="7990" max="7990" width="17.21875" customWidth="1"/>
    <col min="7991" max="7991" width="24" customWidth="1"/>
    <col min="7992" max="7992" width="19.77734375" customWidth="1"/>
    <col min="7993" max="7993" width="22.77734375" customWidth="1"/>
    <col min="7994" max="7994" width="22.44140625" customWidth="1"/>
    <col min="7995" max="7995" width="20.5546875" customWidth="1"/>
    <col min="7996" max="7996" width="22.44140625" customWidth="1"/>
    <col min="7997" max="7997" width="56.44140625" customWidth="1"/>
    <col min="7998" max="7998" width="18.5546875" customWidth="1"/>
    <col min="7999" max="7999" width="20.44140625" customWidth="1"/>
    <col min="8000" max="8001" width="16" customWidth="1"/>
    <col min="8002" max="8002" width="13" customWidth="1"/>
    <col min="8003" max="8003" width="21.77734375" customWidth="1"/>
    <col min="8004" max="8004" width="19.77734375" customWidth="1"/>
    <col min="8005" max="8005" width="16.21875" customWidth="1"/>
    <col min="8006" max="8006" width="15.77734375" customWidth="1"/>
    <col min="8007" max="8007" width="18.77734375" customWidth="1"/>
    <col min="8008" max="8008" width="14.77734375" customWidth="1"/>
    <col min="8009" max="8009" width="20.21875" customWidth="1"/>
    <col min="8010" max="8010" width="15.21875" customWidth="1"/>
    <col min="8011" max="8011" width="22.77734375" customWidth="1"/>
    <col min="8012" max="8013" width="23" customWidth="1"/>
    <col min="8014" max="8019" width="9.21875" customWidth="1"/>
    <col min="8020" max="8020" width="24.21875" customWidth="1"/>
    <col min="8021" max="8023" width="9.21875" customWidth="1"/>
    <col min="8024" max="8024" width="17.21875" customWidth="1"/>
    <col min="8025" max="8156" width="9.21875" customWidth="1"/>
    <col min="8157" max="8157" width="2" customWidth="1"/>
    <col min="8158" max="8158" width="21.77734375" customWidth="1"/>
    <col min="8159" max="8159" width="16.21875" customWidth="1"/>
    <col min="8160" max="8160" width="34.77734375" customWidth="1"/>
    <col min="8161" max="8162" width="24.77734375" customWidth="1"/>
    <col min="8163" max="8163" width="31.44140625" customWidth="1"/>
    <col min="8164" max="8164" width="24.77734375" customWidth="1"/>
    <col min="8165" max="8165" width="26.77734375" customWidth="1"/>
    <col min="8166" max="8168" width="13.77734375" customWidth="1"/>
    <col min="8169" max="8169" width="12.77734375" customWidth="1"/>
    <col min="8170" max="8170" width="15.44140625" customWidth="1"/>
    <col min="8171" max="8171" width="16" customWidth="1"/>
    <col min="8172" max="8172" width="15.5546875" customWidth="1"/>
    <col min="8193" max="8193" width="27.44140625" customWidth="1"/>
    <col min="8194" max="8195" width="21.77734375" customWidth="1"/>
    <col min="8196" max="8196" width="24.77734375" customWidth="1"/>
    <col min="8197" max="8197" width="36" customWidth="1"/>
    <col min="8198" max="8198" width="24.77734375" customWidth="1"/>
    <col min="8199" max="8199" width="26.77734375" customWidth="1"/>
    <col min="8200" max="8201" width="13.77734375" customWidth="1"/>
    <col min="8202" max="8202" width="12.77734375" customWidth="1"/>
    <col min="8203" max="8203" width="15.44140625" customWidth="1"/>
    <col min="8204" max="8204" width="16" customWidth="1"/>
    <col min="8205" max="8205" width="15.5546875" customWidth="1"/>
    <col min="8207" max="8207" width="27.77734375" customWidth="1"/>
    <col min="8208" max="8208" width="18.77734375" customWidth="1"/>
    <col min="8209" max="8209" width="21" customWidth="1"/>
    <col min="8210" max="8210" width="31" customWidth="1"/>
    <col min="8211" max="8211" width="30.77734375" customWidth="1"/>
    <col min="8212" max="8212" width="14.44140625" customWidth="1"/>
    <col min="8213" max="8213" width="27.44140625" customWidth="1"/>
    <col min="8214" max="8214" width="26.44140625" customWidth="1"/>
    <col min="8215" max="8215" width="21.77734375" customWidth="1"/>
    <col min="8216" max="8216" width="12.21875" customWidth="1"/>
    <col min="8217" max="8217" width="13.21875" customWidth="1"/>
    <col min="8218" max="8218" width="14.77734375" customWidth="1"/>
    <col min="8219" max="8219" width="13.77734375" customWidth="1"/>
    <col min="8220" max="8220" width="19.21875" customWidth="1"/>
    <col min="8222" max="8222" width="16.77734375" customWidth="1"/>
    <col min="8223" max="8227" width="19.77734375" customWidth="1"/>
    <col min="8228" max="8228" width="13.21875" customWidth="1"/>
    <col min="8229" max="8229" width="12.44140625" customWidth="1"/>
    <col min="8230" max="8230" width="13.21875" customWidth="1"/>
    <col min="8231" max="8231" width="12.77734375" customWidth="1"/>
    <col min="8232" max="8232" width="12.44140625" customWidth="1"/>
    <col min="8233" max="8233" width="13.77734375" customWidth="1"/>
    <col min="8234" max="8234" width="12.21875" customWidth="1"/>
    <col min="8235" max="8235" width="33" customWidth="1"/>
    <col min="8236" max="8236" width="13.21875" customWidth="1"/>
    <col min="8237" max="8237" width="10.21875" customWidth="1"/>
    <col min="8238" max="8238" width="11.21875" customWidth="1"/>
    <col min="8239" max="8239" width="24.77734375" customWidth="1"/>
    <col min="8240" max="8240" width="14.5546875" customWidth="1"/>
    <col min="8241" max="8241" width="14.77734375" customWidth="1"/>
    <col min="8242" max="8242" width="81.44140625" customWidth="1"/>
    <col min="8243" max="8243" width="30" customWidth="1"/>
    <col min="8244" max="8245" width="24.21875" customWidth="1"/>
    <col min="8246" max="8246" width="17.21875" customWidth="1"/>
    <col min="8247" max="8247" width="24" customWidth="1"/>
    <col min="8248" max="8248" width="19.77734375" customWidth="1"/>
    <col min="8249" max="8249" width="22.77734375" customWidth="1"/>
    <col min="8250" max="8250" width="22.44140625" customWidth="1"/>
    <col min="8251" max="8251" width="20.5546875" customWidth="1"/>
    <col min="8252" max="8252" width="22.44140625" customWidth="1"/>
    <col min="8253" max="8253" width="56.44140625" customWidth="1"/>
    <col min="8254" max="8254" width="18.5546875" customWidth="1"/>
    <col min="8255" max="8255" width="20.44140625" customWidth="1"/>
    <col min="8256" max="8257" width="16" customWidth="1"/>
    <col min="8258" max="8258" width="13" customWidth="1"/>
    <col min="8259" max="8259" width="21.77734375" customWidth="1"/>
    <col min="8260" max="8260" width="19.77734375" customWidth="1"/>
    <col min="8261" max="8261" width="16.21875" customWidth="1"/>
    <col min="8262" max="8262" width="15.77734375" customWidth="1"/>
    <col min="8263" max="8263" width="18.77734375" customWidth="1"/>
    <col min="8264" max="8264" width="14.77734375" customWidth="1"/>
    <col min="8265" max="8265" width="20.21875" customWidth="1"/>
    <col min="8266" max="8266" width="15.21875" customWidth="1"/>
    <col min="8267" max="8267" width="22.77734375" customWidth="1"/>
    <col min="8268" max="8269" width="23" customWidth="1"/>
    <col min="8270" max="8275" width="9.21875" customWidth="1"/>
    <col min="8276" max="8276" width="24.21875" customWidth="1"/>
    <col min="8277" max="8279" width="9.21875" customWidth="1"/>
    <col min="8280" max="8280" width="17.21875" customWidth="1"/>
    <col min="8281" max="8412" width="9.21875" customWidth="1"/>
    <col min="8413" max="8413" width="2" customWidth="1"/>
    <col min="8414" max="8414" width="21.77734375" customWidth="1"/>
    <col min="8415" max="8415" width="16.21875" customWidth="1"/>
    <col min="8416" max="8416" width="34.77734375" customWidth="1"/>
    <col min="8417" max="8418" width="24.77734375" customWidth="1"/>
    <col min="8419" max="8419" width="31.44140625" customWidth="1"/>
    <col min="8420" max="8420" width="24.77734375" customWidth="1"/>
    <col min="8421" max="8421" width="26.77734375" customWidth="1"/>
    <col min="8422" max="8424" width="13.77734375" customWidth="1"/>
    <col min="8425" max="8425" width="12.77734375" customWidth="1"/>
    <col min="8426" max="8426" width="15.44140625" customWidth="1"/>
    <col min="8427" max="8427" width="16" customWidth="1"/>
    <col min="8428" max="8428" width="15.5546875" customWidth="1"/>
    <col min="8449" max="8449" width="27.44140625" customWidth="1"/>
    <col min="8450" max="8451" width="21.77734375" customWidth="1"/>
    <col min="8452" max="8452" width="24.77734375" customWidth="1"/>
    <col min="8453" max="8453" width="36" customWidth="1"/>
    <col min="8454" max="8454" width="24.77734375" customWidth="1"/>
    <col min="8455" max="8455" width="26.77734375" customWidth="1"/>
    <col min="8456" max="8457" width="13.77734375" customWidth="1"/>
    <col min="8458" max="8458" width="12.77734375" customWidth="1"/>
    <col min="8459" max="8459" width="15.44140625" customWidth="1"/>
    <col min="8460" max="8460" width="16" customWidth="1"/>
    <col min="8461" max="8461" width="15.5546875" customWidth="1"/>
    <col min="8463" max="8463" width="27.77734375" customWidth="1"/>
    <col min="8464" max="8464" width="18.77734375" customWidth="1"/>
    <col min="8465" max="8465" width="21" customWidth="1"/>
    <col min="8466" max="8466" width="31" customWidth="1"/>
    <col min="8467" max="8467" width="30.77734375" customWidth="1"/>
    <col min="8468" max="8468" width="14.44140625" customWidth="1"/>
    <col min="8469" max="8469" width="27.44140625" customWidth="1"/>
    <col min="8470" max="8470" width="26.44140625" customWidth="1"/>
    <col min="8471" max="8471" width="21.77734375" customWidth="1"/>
    <col min="8472" max="8472" width="12.21875" customWidth="1"/>
    <col min="8473" max="8473" width="13.21875" customWidth="1"/>
    <col min="8474" max="8474" width="14.77734375" customWidth="1"/>
    <col min="8475" max="8475" width="13.77734375" customWidth="1"/>
    <col min="8476" max="8476" width="19.21875" customWidth="1"/>
    <col min="8478" max="8478" width="16.77734375" customWidth="1"/>
    <col min="8479" max="8483" width="19.77734375" customWidth="1"/>
    <col min="8484" max="8484" width="13.21875" customWidth="1"/>
    <col min="8485" max="8485" width="12.44140625" customWidth="1"/>
    <col min="8486" max="8486" width="13.21875" customWidth="1"/>
    <col min="8487" max="8487" width="12.77734375" customWidth="1"/>
    <col min="8488" max="8488" width="12.44140625" customWidth="1"/>
    <col min="8489" max="8489" width="13.77734375" customWidth="1"/>
    <col min="8490" max="8490" width="12.21875" customWidth="1"/>
    <col min="8491" max="8491" width="33" customWidth="1"/>
    <col min="8492" max="8492" width="13.21875" customWidth="1"/>
    <col min="8493" max="8493" width="10.21875" customWidth="1"/>
    <col min="8494" max="8494" width="11.21875" customWidth="1"/>
    <col min="8495" max="8495" width="24.77734375" customWidth="1"/>
    <col min="8496" max="8496" width="14.5546875" customWidth="1"/>
    <col min="8497" max="8497" width="14.77734375" customWidth="1"/>
    <col min="8498" max="8498" width="81.44140625" customWidth="1"/>
    <col min="8499" max="8499" width="30" customWidth="1"/>
    <col min="8500" max="8501" width="24.21875" customWidth="1"/>
    <col min="8502" max="8502" width="17.21875" customWidth="1"/>
    <col min="8503" max="8503" width="24" customWidth="1"/>
    <col min="8504" max="8504" width="19.77734375" customWidth="1"/>
    <col min="8505" max="8505" width="22.77734375" customWidth="1"/>
    <col min="8506" max="8506" width="22.44140625" customWidth="1"/>
    <col min="8507" max="8507" width="20.5546875" customWidth="1"/>
    <col min="8508" max="8508" width="22.44140625" customWidth="1"/>
    <col min="8509" max="8509" width="56.44140625" customWidth="1"/>
    <col min="8510" max="8510" width="18.5546875" customWidth="1"/>
    <col min="8511" max="8511" width="20.44140625" customWidth="1"/>
    <col min="8512" max="8513" width="16" customWidth="1"/>
    <col min="8514" max="8514" width="13" customWidth="1"/>
    <col min="8515" max="8515" width="21.77734375" customWidth="1"/>
    <col min="8516" max="8516" width="19.77734375" customWidth="1"/>
    <col min="8517" max="8517" width="16.21875" customWidth="1"/>
    <col min="8518" max="8518" width="15.77734375" customWidth="1"/>
    <col min="8519" max="8519" width="18.77734375" customWidth="1"/>
    <col min="8520" max="8520" width="14.77734375" customWidth="1"/>
    <col min="8521" max="8521" width="20.21875" customWidth="1"/>
    <col min="8522" max="8522" width="15.21875" customWidth="1"/>
    <col min="8523" max="8523" width="22.77734375" customWidth="1"/>
    <col min="8524" max="8525" width="23" customWidth="1"/>
    <col min="8526" max="8531" width="9.21875" customWidth="1"/>
    <col min="8532" max="8532" width="24.21875" customWidth="1"/>
    <col min="8533" max="8535" width="9.21875" customWidth="1"/>
    <col min="8536" max="8536" width="17.21875" customWidth="1"/>
    <col min="8537" max="8668" width="9.21875" customWidth="1"/>
    <col min="8669" max="8669" width="2" customWidth="1"/>
    <col min="8670" max="8670" width="21.77734375" customWidth="1"/>
    <col min="8671" max="8671" width="16.21875" customWidth="1"/>
    <col min="8672" max="8672" width="34.77734375" customWidth="1"/>
    <col min="8673" max="8674" width="24.77734375" customWidth="1"/>
    <col min="8675" max="8675" width="31.44140625" customWidth="1"/>
    <col min="8676" max="8676" width="24.77734375" customWidth="1"/>
    <col min="8677" max="8677" width="26.77734375" customWidth="1"/>
    <col min="8678" max="8680" width="13.77734375" customWidth="1"/>
    <col min="8681" max="8681" width="12.77734375" customWidth="1"/>
    <col min="8682" max="8682" width="15.44140625" customWidth="1"/>
    <col min="8683" max="8683" width="16" customWidth="1"/>
    <col min="8684" max="8684" width="15.5546875" customWidth="1"/>
    <col min="8705" max="8705" width="27.44140625" customWidth="1"/>
    <col min="8706" max="8707" width="21.77734375" customWidth="1"/>
    <col min="8708" max="8708" width="24.77734375" customWidth="1"/>
    <col min="8709" max="8709" width="36" customWidth="1"/>
    <col min="8710" max="8710" width="24.77734375" customWidth="1"/>
    <col min="8711" max="8711" width="26.77734375" customWidth="1"/>
    <col min="8712" max="8713" width="13.77734375" customWidth="1"/>
    <col min="8714" max="8714" width="12.77734375" customWidth="1"/>
    <col min="8715" max="8715" width="15.44140625" customWidth="1"/>
    <col min="8716" max="8716" width="16" customWidth="1"/>
    <col min="8717" max="8717" width="15.5546875" customWidth="1"/>
    <col min="8719" max="8719" width="27.77734375" customWidth="1"/>
    <col min="8720" max="8720" width="18.77734375" customWidth="1"/>
    <col min="8721" max="8721" width="21" customWidth="1"/>
    <col min="8722" max="8722" width="31" customWidth="1"/>
    <col min="8723" max="8723" width="30.77734375" customWidth="1"/>
    <col min="8724" max="8724" width="14.44140625" customWidth="1"/>
    <col min="8725" max="8725" width="27.44140625" customWidth="1"/>
    <col min="8726" max="8726" width="26.44140625" customWidth="1"/>
    <col min="8727" max="8727" width="21.77734375" customWidth="1"/>
    <col min="8728" max="8728" width="12.21875" customWidth="1"/>
    <col min="8729" max="8729" width="13.21875" customWidth="1"/>
    <col min="8730" max="8730" width="14.77734375" customWidth="1"/>
    <col min="8731" max="8731" width="13.77734375" customWidth="1"/>
    <col min="8732" max="8732" width="19.21875" customWidth="1"/>
    <col min="8734" max="8734" width="16.77734375" customWidth="1"/>
    <col min="8735" max="8739" width="19.77734375" customWidth="1"/>
    <col min="8740" max="8740" width="13.21875" customWidth="1"/>
    <col min="8741" max="8741" width="12.44140625" customWidth="1"/>
    <col min="8742" max="8742" width="13.21875" customWidth="1"/>
    <col min="8743" max="8743" width="12.77734375" customWidth="1"/>
    <col min="8744" max="8744" width="12.44140625" customWidth="1"/>
    <col min="8745" max="8745" width="13.77734375" customWidth="1"/>
    <col min="8746" max="8746" width="12.21875" customWidth="1"/>
    <col min="8747" max="8747" width="33" customWidth="1"/>
    <col min="8748" max="8748" width="13.21875" customWidth="1"/>
    <col min="8749" max="8749" width="10.21875" customWidth="1"/>
    <col min="8750" max="8750" width="11.21875" customWidth="1"/>
    <col min="8751" max="8751" width="24.77734375" customWidth="1"/>
    <col min="8752" max="8752" width="14.5546875" customWidth="1"/>
    <col min="8753" max="8753" width="14.77734375" customWidth="1"/>
    <col min="8754" max="8754" width="81.44140625" customWidth="1"/>
    <col min="8755" max="8755" width="30" customWidth="1"/>
    <col min="8756" max="8757" width="24.21875" customWidth="1"/>
    <col min="8758" max="8758" width="17.21875" customWidth="1"/>
    <col min="8759" max="8759" width="24" customWidth="1"/>
    <col min="8760" max="8760" width="19.77734375" customWidth="1"/>
    <col min="8761" max="8761" width="22.77734375" customWidth="1"/>
    <col min="8762" max="8762" width="22.44140625" customWidth="1"/>
    <col min="8763" max="8763" width="20.5546875" customWidth="1"/>
    <col min="8764" max="8764" width="22.44140625" customWidth="1"/>
    <col min="8765" max="8765" width="56.44140625" customWidth="1"/>
    <col min="8766" max="8766" width="18.5546875" customWidth="1"/>
    <col min="8767" max="8767" width="20.44140625" customWidth="1"/>
    <col min="8768" max="8769" width="16" customWidth="1"/>
    <col min="8770" max="8770" width="13" customWidth="1"/>
    <col min="8771" max="8771" width="21.77734375" customWidth="1"/>
    <col min="8772" max="8772" width="19.77734375" customWidth="1"/>
    <col min="8773" max="8773" width="16.21875" customWidth="1"/>
    <col min="8774" max="8774" width="15.77734375" customWidth="1"/>
    <col min="8775" max="8775" width="18.77734375" customWidth="1"/>
    <col min="8776" max="8776" width="14.77734375" customWidth="1"/>
    <col min="8777" max="8777" width="20.21875" customWidth="1"/>
    <col min="8778" max="8778" width="15.21875" customWidth="1"/>
    <col min="8779" max="8779" width="22.77734375" customWidth="1"/>
    <col min="8780" max="8781" width="23" customWidth="1"/>
    <col min="8782" max="8787" width="9.21875" customWidth="1"/>
    <col min="8788" max="8788" width="24.21875" customWidth="1"/>
    <col min="8789" max="8791" width="9.21875" customWidth="1"/>
    <col min="8792" max="8792" width="17.21875" customWidth="1"/>
    <col min="8793" max="8924" width="9.21875" customWidth="1"/>
    <col min="8925" max="8925" width="2" customWidth="1"/>
    <col min="8926" max="8926" width="21.77734375" customWidth="1"/>
    <col min="8927" max="8927" width="16.21875" customWidth="1"/>
    <col min="8928" max="8928" width="34.77734375" customWidth="1"/>
    <col min="8929" max="8930" width="24.77734375" customWidth="1"/>
    <col min="8931" max="8931" width="31.44140625" customWidth="1"/>
    <col min="8932" max="8932" width="24.77734375" customWidth="1"/>
    <col min="8933" max="8933" width="26.77734375" customWidth="1"/>
    <col min="8934" max="8936" width="13.77734375" customWidth="1"/>
    <col min="8937" max="8937" width="12.77734375" customWidth="1"/>
    <col min="8938" max="8938" width="15.44140625" customWidth="1"/>
    <col min="8939" max="8939" width="16" customWidth="1"/>
    <col min="8940" max="8940" width="15.5546875" customWidth="1"/>
    <col min="8961" max="8961" width="27.44140625" customWidth="1"/>
    <col min="8962" max="8963" width="21.77734375" customWidth="1"/>
    <col min="8964" max="8964" width="24.77734375" customWidth="1"/>
    <col min="8965" max="8965" width="36" customWidth="1"/>
    <col min="8966" max="8966" width="24.77734375" customWidth="1"/>
    <col min="8967" max="8967" width="26.77734375" customWidth="1"/>
    <col min="8968" max="8969" width="13.77734375" customWidth="1"/>
    <col min="8970" max="8970" width="12.77734375" customWidth="1"/>
    <col min="8971" max="8971" width="15.44140625" customWidth="1"/>
    <col min="8972" max="8972" width="16" customWidth="1"/>
    <col min="8973" max="8973" width="15.5546875" customWidth="1"/>
    <col min="8975" max="8975" width="27.77734375" customWidth="1"/>
    <col min="8976" max="8976" width="18.77734375" customWidth="1"/>
    <col min="8977" max="8977" width="21" customWidth="1"/>
    <col min="8978" max="8978" width="31" customWidth="1"/>
    <col min="8979" max="8979" width="30.77734375" customWidth="1"/>
    <col min="8980" max="8980" width="14.44140625" customWidth="1"/>
    <col min="8981" max="8981" width="27.44140625" customWidth="1"/>
    <col min="8982" max="8982" width="26.44140625" customWidth="1"/>
    <col min="8983" max="8983" width="21.77734375" customWidth="1"/>
    <col min="8984" max="8984" width="12.21875" customWidth="1"/>
    <col min="8985" max="8985" width="13.21875" customWidth="1"/>
    <col min="8986" max="8986" width="14.77734375" customWidth="1"/>
    <col min="8987" max="8987" width="13.77734375" customWidth="1"/>
    <col min="8988" max="8988" width="19.21875" customWidth="1"/>
    <col min="8990" max="8990" width="16.77734375" customWidth="1"/>
    <col min="8991" max="8995" width="19.77734375" customWidth="1"/>
    <col min="8996" max="8996" width="13.21875" customWidth="1"/>
    <col min="8997" max="8997" width="12.44140625" customWidth="1"/>
    <col min="8998" max="8998" width="13.21875" customWidth="1"/>
    <col min="8999" max="8999" width="12.77734375" customWidth="1"/>
    <col min="9000" max="9000" width="12.44140625" customWidth="1"/>
    <col min="9001" max="9001" width="13.77734375" customWidth="1"/>
    <col min="9002" max="9002" width="12.21875" customWidth="1"/>
    <col min="9003" max="9003" width="33" customWidth="1"/>
    <col min="9004" max="9004" width="13.21875" customWidth="1"/>
    <col min="9005" max="9005" width="10.21875" customWidth="1"/>
    <col min="9006" max="9006" width="11.21875" customWidth="1"/>
    <col min="9007" max="9007" width="24.77734375" customWidth="1"/>
    <col min="9008" max="9008" width="14.5546875" customWidth="1"/>
    <col min="9009" max="9009" width="14.77734375" customWidth="1"/>
    <col min="9010" max="9010" width="81.44140625" customWidth="1"/>
    <col min="9011" max="9011" width="30" customWidth="1"/>
    <col min="9012" max="9013" width="24.21875" customWidth="1"/>
    <col min="9014" max="9014" width="17.21875" customWidth="1"/>
    <col min="9015" max="9015" width="24" customWidth="1"/>
    <col min="9016" max="9016" width="19.77734375" customWidth="1"/>
    <col min="9017" max="9017" width="22.77734375" customWidth="1"/>
    <col min="9018" max="9018" width="22.44140625" customWidth="1"/>
    <col min="9019" max="9019" width="20.5546875" customWidth="1"/>
    <col min="9020" max="9020" width="22.44140625" customWidth="1"/>
    <col min="9021" max="9021" width="56.44140625" customWidth="1"/>
    <col min="9022" max="9022" width="18.5546875" customWidth="1"/>
    <col min="9023" max="9023" width="20.44140625" customWidth="1"/>
    <col min="9024" max="9025" width="16" customWidth="1"/>
    <col min="9026" max="9026" width="13" customWidth="1"/>
    <col min="9027" max="9027" width="21.77734375" customWidth="1"/>
    <col min="9028" max="9028" width="19.77734375" customWidth="1"/>
    <col min="9029" max="9029" width="16.21875" customWidth="1"/>
    <col min="9030" max="9030" width="15.77734375" customWidth="1"/>
    <col min="9031" max="9031" width="18.77734375" customWidth="1"/>
    <col min="9032" max="9032" width="14.77734375" customWidth="1"/>
    <col min="9033" max="9033" width="20.21875" customWidth="1"/>
    <col min="9034" max="9034" width="15.21875" customWidth="1"/>
    <col min="9035" max="9035" width="22.77734375" customWidth="1"/>
    <col min="9036" max="9037" width="23" customWidth="1"/>
    <col min="9038" max="9043" width="9.21875" customWidth="1"/>
    <col min="9044" max="9044" width="24.21875" customWidth="1"/>
    <col min="9045" max="9047" width="9.21875" customWidth="1"/>
    <col min="9048" max="9048" width="17.21875" customWidth="1"/>
    <col min="9049" max="9180" width="9.21875" customWidth="1"/>
    <col min="9181" max="9181" width="2" customWidth="1"/>
    <col min="9182" max="9182" width="21.77734375" customWidth="1"/>
    <col min="9183" max="9183" width="16.21875" customWidth="1"/>
    <col min="9184" max="9184" width="34.77734375" customWidth="1"/>
    <col min="9185" max="9186" width="24.77734375" customWidth="1"/>
    <col min="9187" max="9187" width="31.44140625" customWidth="1"/>
    <col min="9188" max="9188" width="24.77734375" customWidth="1"/>
    <col min="9189" max="9189" width="26.77734375" customWidth="1"/>
    <col min="9190" max="9192" width="13.77734375" customWidth="1"/>
    <col min="9193" max="9193" width="12.77734375" customWidth="1"/>
    <col min="9194" max="9194" width="15.44140625" customWidth="1"/>
    <col min="9195" max="9195" width="16" customWidth="1"/>
    <col min="9196" max="9196" width="15.5546875" customWidth="1"/>
    <col min="9217" max="9217" width="27.44140625" customWidth="1"/>
    <col min="9218" max="9219" width="21.77734375" customWidth="1"/>
    <col min="9220" max="9220" width="24.77734375" customWidth="1"/>
    <col min="9221" max="9221" width="36" customWidth="1"/>
    <col min="9222" max="9222" width="24.77734375" customWidth="1"/>
    <col min="9223" max="9223" width="26.77734375" customWidth="1"/>
    <col min="9224" max="9225" width="13.77734375" customWidth="1"/>
    <col min="9226" max="9226" width="12.77734375" customWidth="1"/>
    <col min="9227" max="9227" width="15.44140625" customWidth="1"/>
    <col min="9228" max="9228" width="16" customWidth="1"/>
    <col min="9229" max="9229" width="15.5546875" customWidth="1"/>
    <col min="9231" max="9231" width="27.77734375" customWidth="1"/>
    <col min="9232" max="9232" width="18.77734375" customWidth="1"/>
    <col min="9233" max="9233" width="21" customWidth="1"/>
    <col min="9234" max="9234" width="31" customWidth="1"/>
    <col min="9235" max="9235" width="30.77734375" customWidth="1"/>
    <col min="9236" max="9236" width="14.44140625" customWidth="1"/>
    <col min="9237" max="9237" width="27.44140625" customWidth="1"/>
    <col min="9238" max="9238" width="26.44140625" customWidth="1"/>
    <col min="9239" max="9239" width="21.77734375" customWidth="1"/>
    <col min="9240" max="9240" width="12.21875" customWidth="1"/>
    <col min="9241" max="9241" width="13.21875" customWidth="1"/>
    <col min="9242" max="9242" width="14.77734375" customWidth="1"/>
    <col min="9243" max="9243" width="13.77734375" customWidth="1"/>
    <col min="9244" max="9244" width="19.21875" customWidth="1"/>
    <col min="9246" max="9246" width="16.77734375" customWidth="1"/>
    <col min="9247" max="9251" width="19.77734375" customWidth="1"/>
    <col min="9252" max="9252" width="13.21875" customWidth="1"/>
    <col min="9253" max="9253" width="12.44140625" customWidth="1"/>
    <col min="9254" max="9254" width="13.21875" customWidth="1"/>
    <col min="9255" max="9255" width="12.77734375" customWidth="1"/>
    <col min="9256" max="9256" width="12.44140625" customWidth="1"/>
    <col min="9257" max="9257" width="13.77734375" customWidth="1"/>
    <col min="9258" max="9258" width="12.21875" customWidth="1"/>
    <col min="9259" max="9259" width="33" customWidth="1"/>
    <col min="9260" max="9260" width="13.21875" customWidth="1"/>
    <col min="9261" max="9261" width="10.21875" customWidth="1"/>
    <col min="9262" max="9262" width="11.21875" customWidth="1"/>
    <col min="9263" max="9263" width="24.77734375" customWidth="1"/>
    <col min="9264" max="9264" width="14.5546875" customWidth="1"/>
    <col min="9265" max="9265" width="14.77734375" customWidth="1"/>
    <col min="9266" max="9266" width="81.44140625" customWidth="1"/>
    <col min="9267" max="9267" width="30" customWidth="1"/>
    <col min="9268" max="9269" width="24.21875" customWidth="1"/>
    <col min="9270" max="9270" width="17.21875" customWidth="1"/>
    <col min="9271" max="9271" width="24" customWidth="1"/>
    <col min="9272" max="9272" width="19.77734375" customWidth="1"/>
    <col min="9273" max="9273" width="22.77734375" customWidth="1"/>
    <col min="9274" max="9274" width="22.44140625" customWidth="1"/>
    <col min="9275" max="9275" width="20.5546875" customWidth="1"/>
    <col min="9276" max="9276" width="22.44140625" customWidth="1"/>
    <col min="9277" max="9277" width="56.44140625" customWidth="1"/>
    <col min="9278" max="9278" width="18.5546875" customWidth="1"/>
    <col min="9279" max="9279" width="20.44140625" customWidth="1"/>
    <col min="9280" max="9281" width="16" customWidth="1"/>
    <col min="9282" max="9282" width="13" customWidth="1"/>
    <col min="9283" max="9283" width="21.77734375" customWidth="1"/>
    <col min="9284" max="9284" width="19.77734375" customWidth="1"/>
    <col min="9285" max="9285" width="16.21875" customWidth="1"/>
    <col min="9286" max="9286" width="15.77734375" customWidth="1"/>
    <col min="9287" max="9287" width="18.77734375" customWidth="1"/>
    <col min="9288" max="9288" width="14.77734375" customWidth="1"/>
    <col min="9289" max="9289" width="20.21875" customWidth="1"/>
    <col min="9290" max="9290" width="15.21875" customWidth="1"/>
    <col min="9291" max="9291" width="22.77734375" customWidth="1"/>
    <col min="9292" max="9293" width="23" customWidth="1"/>
    <col min="9294" max="9299" width="9.21875" customWidth="1"/>
    <col min="9300" max="9300" width="24.21875" customWidth="1"/>
    <col min="9301" max="9303" width="9.21875" customWidth="1"/>
    <col min="9304" max="9304" width="17.21875" customWidth="1"/>
    <col min="9305" max="9436" width="9.21875" customWidth="1"/>
    <col min="9437" max="9437" width="2" customWidth="1"/>
    <col min="9438" max="9438" width="21.77734375" customWidth="1"/>
    <col min="9439" max="9439" width="16.21875" customWidth="1"/>
    <col min="9440" max="9440" width="34.77734375" customWidth="1"/>
    <col min="9441" max="9442" width="24.77734375" customWidth="1"/>
    <col min="9443" max="9443" width="31.44140625" customWidth="1"/>
    <col min="9444" max="9444" width="24.77734375" customWidth="1"/>
    <col min="9445" max="9445" width="26.77734375" customWidth="1"/>
    <col min="9446" max="9448" width="13.77734375" customWidth="1"/>
    <col min="9449" max="9449" width="12.77734375" customWidth="1"/>
    <col min="9450" max="9450" width="15.44140625" customWidth="1"/>
    <col min="9451" max="9451" width="16" customWidth="1"/>
    <col min="9452" max="9452" width="15.5546875" customWidth="1"/>
    <col min="9473" max="9473" width="27.44140625" customWidth="1"/>
    <col min="9474" max="9475" width="21.77734375" customWidth="1"/>
    <col min="9476" max="9476" width="24.77734375" customWidth="1"/>
    <col min="9477" max="9477" width="36" customWidth="1"/>
    <col min="9478" max="9478" width="24.77734375" customWidth="1"/>
    <col min="9479" max="9479" width="26.77734375" customWidth="1"/>
    <col min="9480" max="9481" width="13.77734375" customWidth="1"/>
    <col min="9482" max="9482" width="12.77734375" customWidth="1"/>
    <col min="9483" max="9483" width="15.44140625" customWidth="1"/>
    <col min="9484" max="9484" width="16" customWidth="1"/>
    <col min="9485" max="9485" width="15.5546875" customWidth="1"/>
    <col min="9487" max="9487" width="27.77734375" customWidth="1"/>
    <col min="9488" max="9488" width="18.77734375" customWidth="1"/>
    <col min="9489" max="9489" width="21" customWidth="1"/>
    <col min="9490" max="9490" width="31" customWidth="1"/>
    <col min="9491" max="9491" width="30.77734375" customWidth="1"/>
    <col min="9492" max="9492" width="14.44140625" customWidth="1"/>
    <col min="9493" max="9493" width="27.44140625" customWidth="1"/>
    <col min="9494" max="9494" width="26.44140625" customWidth="1"/>
    <col min="9495" max="9495" width="21.77734375" customWidth="1"/>
    <col min="9496" max="9496" width="12.21875" customWidth="1"/>
    <col min="9497" max="9497" width="13.21875" customWidth="1"/>
    <col min="9498" max="9498" width="14.77734375" customWidth="1"/>
    <col min="9499" max="9499" width="13.77734375" customWidth="1"/>
    <col min="9500" max="9500" width="19.21875" customWidth="1"/>
    <col min="9502" max="9502" width="16.77734375" customWidth="1"/>
    <col min="9503" max="9507" width="19.77734375" customWidth="1"/>
    <col min="9508" max="9508" width="13.21875" customWidth="1"/>
    <col min="9509" max="9509" width="12.44140625" customWidth="1"/>
    <col min="9510" max="9510" width="13.21875" customWidth="1"/>
    <col min="9511" max="9511" width="12.77734375" customWidth="1"/>
    <col min="9512" max="9512" width="12.44140625" customWidth="1"/>
    <col min="9513" max="9513" width="13.77734375" customWidth="1"/>
    <col min="9514" max="9514" width="12.21875" customWidth="1"/>
    <col min="9515" max="9515" width="33" customWidth="1"/>
    <col min="9516" max="9516" width="13.21875" customWidth="1"/>
    <col min="9517" max="9517" width="10.21875" customWidth="1"/>
    <col min="9518" max="9518" width="11.21875" customWidth="1"/>
    <col min="9519" max="9519" width="24.77734375" customWidth="1"/>
    <col min="9520" max="9520" width="14.5546875" customWidth="1"/>
    <col min="9521" max="9521" width="14.77734375" customWidth="1"/>
    <col min="9522" max="9522" width="81.44140625" customWidth="1"/>
    <col min="9523" max="9523" width="30" customWidth="1"/>
    <col min="9524" max="9525" width="24.21875" customWidth="1"/>
    <col min="9526" max="9526" width="17.21875" customWidth="1"/>
    <col min="9527" max="9527" width="24" customWidth="1"/>
    <col min="9528" max="9528" width="19.77734375" customWidth="1"/>
    <col min="9529" max="9529" width="22.77734375" customWidth="1"/>
    <col min="9530" max="9530" width="22.44140625" customWidth="1"/>
    <col min="9531" max="9531" width="20.5546875" customWidth="1"/>
    <col min="9532" max="9532" width="22.44140625" customWidth="1"/>
    <col min="9533" max="9533" width="56.44140625" customWidth="1"/>
    <col min="9534" max="9534" width="18.5546875" customWidth="1"/>
    <col min="9535" max="9535" width="20.44140625" customWidth="1"/>
    <col min="9536" max="9537" width="16" customWidth="1"/>
    <col min="9538" max="9538" width="13" customWidth="1"/>
    <col min="9539" max="9539" width="21.77734375" customWidth="1"/>
    <col min="9540" max="9540" width="19.77734375" customWidth="1"/>
    <col min="9541" max="9541" width="16.21875" customWidth="1"/>
    <col min="9542" max="9542" width="15.77734375" customWidth="1"/>
    <col min="9543" max="9543" width="18.77734375" customWidth="1"/>
    <col min="9544" max="9544" width="14.77734375" customWidth="1"/>
    <col min="9545" max="9545" width="20.21875" customWidth="1"/>
    <col min="9546" max="9546" width="15.21875" customWidth="1"/>
    <col min="9547" max="9547" width="22.77734375" customWidth="1"/>
    <col min="9548" max="9549" width="23" customWidth="1"/>
    <col min="9550" max="9555" width="9.21875" customWidth="1"/>
    <col min="9556" max="9556" width="24.21875" customWidth="1"/>
    <col min="9557" max="9559" width="9.21875" customWidth="1"/>
    <col min="9560" max="9560" width="17.21875" customWidth="1"/>
    <col min="9561" max="9692" width="9.21875" customWidth="1"/>
    <col min="9693" max="9693" width="2" customWidth="1"/>
    <col min="9694" max="9694" width="21.77734375" customWidth="1"/>
    <col min="9695" max="9695" width="16.21875" customWidth="1"/>
    <col min="9696" max="9696" width="34.77734375" customWidth="1"/>
    <col min="9697" max="9698" width="24.77734375" customWidth="1"/>
    <col min="9699" max="9699" width="31.44140625" customWidth="1"/>
    <col min="9700" max="9700" width="24.77734375" customWidth="1"/>
    <col min="9701" max="9701" width="26.77734375" customWidth="1"/>
    <col min="9702" max="9704" width="13.77734375" customWidth="1"/>
    <col min="9705" max="9705" width="12.77734375" customWidth="1"/>
    <col min="9706" max="9706" width="15.44140625" customWidth="1"/>
    <col min="9707" max="9707" width="16" customWidth="1"/>
    <col min="9708" max="9708" width="15.5546875" customWidth="1"/>
    <col min="9729" max="9729" width="27.44140625" customWidth="1"/>
    <col min="9730" max="9731" width="21.77734375" customWidth="1"/>
    <col min="9732" max="9732" width="24.77734375" customWidth="1"/>
    <col min="9733" max="9733" width="36" customWidth="1"/>
    <col min="9734" max="9734" width="24.77734375" customWidth="1"/>
    <col min="9735" max="9735" width="26.77734375" customWidth="1"/>
    <col min="9736" max="9737" width="13.77734375" customWidth="1"/>
    <col min="9738" max="9738" width="12.77734375" customWidth="1"/>
    <col min="9739" max="9739" width="15.44140625" customWidth="1"/>
    <col min="9740" max="9740" width="16" customWidth="1"/>
    <col min="9741" max="9741" width="15.5546875" customWidth="1"/>
    <col min="9743" max="9743" width="27.77734375" customWidth="1"/>
    <col min="9744" max="9744" width="18.77734375" customWidth="1"/>
    <col min="9745" max="9745" width="21" customWidth="1"/>
    <col min="9746" max="9746" width="31" customWidth="1"/>
    <col min="9747" max="9747" width="30.77734375" customWidth="1"/>
    <col min="9748" max="9748" width="14.44140625" customWidth="1"/>
    <col min="9749" max="9749" width="27.44140625" customWidth="1"/>
    <col min="9750" max="9750" width="26.44140625" customWidth="1"/>
    <col min="9751" max="9751" width="21.77734375" customWidth="1"/>
    <col min="9752" max="9752" width="12.21875" customWidth="1"/>
    <col min="9753" max="9753" width="13.21875" customWidth="1"/>
    <col min="9754" max="9754" width="14.77734375" customWidth="1"/>
    <col min="9755" max="9755" width="13.77734375" customWidth="1"/>
    <col min="9756" max="9756" width="19.21875" customWidth="1"/>
    <col min="9758" max="9758" width="16.77734375" customWidth="1"/>
    <col min="9759" max="9763" width="19.77734375" customWidth="1"/>
    <col min="9764" max="9764" width="13.21875" customWidth="1"/>
    <col min="9765" max="9765" width="12.44140625" customWidth="1"/>
    <col min="9766" max="9766" width="13.21875" customWidth="1"/>
    <col min="9767" max="9767" width="12.77734375" customWidth="1"/>
    <col min="9768" max="9768" width="12.44140625" customWidth="1"/>
    <col min="9769" max="9769" width="13.77734375" customWidth="1"/>
    <col min="9770" max="9770" width="12.21875" customWidth="1"/>
    <col min="9771" max="9771" width="33" customWidth="1"/>
    <col min="9772" max="9772" width="13.21875" customWidth="1"/>
    <col min="9773" max="9773" width="10.21875" customWidth="1"/>
    <col min="9774" max="9774" width="11.21875" customWidth="1"/>
    <col min="9775" max="9775" width="24.77734375" customWidth="1"/>
    <col min="9776" max="9776" width="14.5546875" customWidth="1"/>
    <col min="9777" max="9777" width="14.77734375" customWidth="1"/>
    <col min="9778" max="9778" width="81.44140625" customWidth="1"/>
    <col min="9779" max="9779" width="30" customWidth="1"/>
    <col min="9780" max="9781" width="24.21875" customWidth="1"/>
    <col min="9782" max="9782" width="17.21875" customWidth="1"/>
    <col min="9783" max="9783" width="24" customWidth="1"/>
    <col min="9784" max="9784" width="19.77734375" customWidth="1"/>
    <col min="9785" max="9785" width="22.77734375" customWidth="1"/>
    <col min="9786" max="9786" width="22.44140625" customWidth="1"/>
    <col min="9787" max="9787" width="20.5546875" customWidth="1"/>
    <col min="9788" max="9788" width="22.44140625" customWidth="1"/>
    <col min="9789" max="9789" width="56.44140625" customWidth="1"/>
    <col min="9790" max="9790" width="18.5546875" customWidth="1"/>
    <col min="9791" max="9791" width="20.44140625" customWidth="1"/>
    <col min="9792" max="9793" width="16" customWidth="1"/>
    <col min="9794" max="9794" width="13" customWidth="1"/>
    <col min="9795" max="9795" width="21.77734375" customWidth="1"/>
    <col min="9796" max="9796" width="19.77734375" customWidth="1"/>
    <col min="9797" max="9797" width="16.21875" customWidth="1"/>
    <col min="9798" max="9798" width="15.77734375" customWidth="1"/>
    <col min="9799" max="9799" width="18.77734375" customWidth="1"/>
    <col min="9800" max="9800" width="14.77734375" customWidth="1"/>
    <col min="9801" max="9801" width="20.21875" customWidth="1"/>
    <col min="9802" max="9802" width="15.21875" customWidth="1"/>
    <col min="9803" max="9803" width="22.77734375" customWidth="1"/>
    <col min="9804" max="9805" width="23" customWidth="1"/>
    <col min="9806" max="9811" width="9.21875" customWidth="1"/>
    <col min="9812" max="9812" width="24.21875" customWidth="1"/>
    <col min="9813" max="9815" width="9.21875" customWidth="1"/>
    <col min="9816" max="9816" width="17.21875" customWidth="1"/>
    <col min="9817" max="9948" width="9.21875" customWidth="1"/>
    <col min="9949" max="9949" width="2" customWidth="1"/>
    <col min="9950" max="9950" width="21.77734375" customWidth="1"/>
    <col min="9951" max="9951" width="16.21875" customWidth="1"/>
    <col min="9952" max="9952" width="34.77734375" customWidth="1"/>
    <col min="9953" max="9954" width="24.77734375" customWidth="1"/>
    <col min="9955" max="9955" width="31.44140625" customWidth="1"/>
    <col min="9956" max="9956" width="24.77734375" customWidth="1"/>
    <col min="9957" max="9957" width="26.77734375" customWidth="1"/>
    <col min="9958" max="9960" width="13.77734375" customWidth="1"/>
    <col min="9961" max="9961" width="12.77734375" customWidth="1"/>
    <col min="9962" max="9962" width="15.44140625" customWidth="1"/>
    <col min="9963" max="9963" width="16" customWidth="1"/>
    <col min="9964" max="9964" width="15.5546875" customWidth="1"/>
    <col min="9985" max="9985" width="27.44140625" customWidth="1"/>
    <col min="9986" max="9987" width="21.77734375" customWidth="1"/>
    <col min="9988" max="9988" width="24.77734375" customWidth="1"/>
    <col min="9989" max="9989" width="36" customWidth="1"/>
    <col min="9990" max="9990" width="24.77734375" customWidth="1"/>
    <col min="9991" max="9991" width="26.77734375" customWidth="1"/>
    <col min="9992" max="9993" width="13.77734375" customWidth="1"/>
    <col min="9994" max="9994" width="12.77734375" customWidth="1"/>
    <col min="9995" max="9995" width="15.44140625" customWidth="1"/>
    <col min="9996" max="9996" width="16" customWidth="1"/>
    <col min="9997" max="9997" width="15.5546875" customWidth="1"/>
    <col min="9999" max="9999" width="27.77734375" customWidth="1"/>
    <col min="10000" max="10000" width="18.77734375" customWidth="1"/>
    <col min="10001" max="10001" width="21" customWidth="1"/>
    <col min="10002" max="10002" width="31" customWidth="1"/>
    <col min="10003" max="10003" width="30.77734375" customWidth="1"/>
    <col min="10004" max="10004" width="14.44140625" customWidth="1"/>
    <col min="10005" max="10005" width="27.44140625" customWidth="1"/>
    <col min="10006" max="10006" width="26.44140625" customWidth="1"/>
    <col min="10007" max="10007" width="21.77734375" customWidth="1"/>
    <col min="10008" max="10008" width="12.21875" customWidth="1"/>
    <col min="10009" max="10009" width="13.21875" customWidth="1"/>
    <col min="10010" max="10010" width="14.77734375" customWidth="1"/>
    <col min="10011" max="10011" width="13.77734375" customWidth="1"/>
    <col min="10012" max="10012" width="19.21875" customWidth="1"/>
    <col min="10014" max="10014" width="16.77734375" customWidth="1"/>
    <col min="10015" max="10019" width="19.77734375" customWidth="1"/>
    <col min="10020" max="10020" width="13.21875" customWidth="1"/>
    <col min="10021" max="10021" width="12.44140625" customWidth="1"/>
    <col min="10022" max="10022" width="13.21875" customWidth="1"/>
    <col min="10023" max="10023" width="12.77734375" customWidth="1"/>
    <col min="10024" max="10024" width="12.44140625" customWidth="1"/>
    <col min="10025" max="10025" width="13.77734375" customWidth="1"/>
    <col min="10026" max="10026" width="12.21875" customWidth="1"/>
    <col min="10027" max="10027" width="33" customWidth="1"/>
    <col min="10028" max="10028" width="13.21875" customWidth="1"/>
    <col min="10029" max="10029" width="10.21875" customWidth="1"/>
    <col min="10030" max="10030" width="11.21875" customWidth="1"/>
    <col min="10031" max="10031" width="24.77734375" customWidth="1"/>
    <col min="10032" max="10032" width="14.5546875" customWidth="1"/>
    <col min="10033" max="10033" width="14.77734375" customWidth="1"/>
    <col min="10034" max="10034" width="81.44140625" customWidth="1"/>
    <col min="10035" max="10035" width="30" customWidth="1"/>
    <col min="10036" max="10037" width="24.21875" customWidth="1"/>
    <col min="10038" max="10038" width="17.21875" customWidth="1"/>
    <col min="10039" max="10039" width="24" customWidth="1"/>
    <col min="10040" max="10040" width="19.77734375" customWidth="1"/>
    <col min="10041" max="10041" width="22.77734375" customWidth="1"/>
    <col min="10042" max="10042" width="22.44140625" customWidth="1"/>
    <col min="10043" max="10043" width="20.5546875" customWidth="1"/>
    <col min="10044" max="10044" width="22.44140625" customWidth="1"/>
    <col min="10045" max="10045" width="56.44140625" customWidth="1"/>
    <col min="10046" max="10046" width="18.5546875" customWidth="1"/>
    <col min="10047" max="10047" width="20.44140625" customWidth="1"/>
    <col min="10048" max="10049" width="16" customWidth="1"/>
    <col min="10050" max="10050" width="13" customWidth="1"/>
    <col min="10051" max="10051" width="21.77734375" customWidth="1"/>
    <col min="10052" max="10052" width="19.77734375" customWidth="1"/>
    <col min="10053" max="10053" width="16.21875" customWidth="1"/>
    <col min="10054" max="10054" width="15.77734375" customWidth="1"/>
    <col min="10055" max="10055" width="18.77734375" customWidth="1"/>
    <col min="10056" max="10056" width="14.77734375" customWidth="1"/>
    <col min="10057" max="10057" width="20.21875" customWidth="1"/>
    <col min="10058" max="10058" width="15.21875" customWidth="1"/>
    <col min="10059" max="10059" width="22.77734375" customWidth="1"/>
    <col min="10060" max="10061" width="23" customWidth="1"/>
    <col min="10062" max="10067" width="9.21875" customWidth="1"/>
    <col min="10068" max="10068" width="24.21875" customWidth="1"/>
    <col min="10069" max="10071" width="9.21875" customWidth="1"/>
    <col min="10072" max="10072" width="17.21875" customWidth="1"/>
    <col min="10073" max="10204" width="9.21875" customWidth="1"/>
    <col min="10205" max="10205" width="2" customWidth="1"/>
    <col min="10206" max="10206" width="21.77734375" customWidth="1"/>
    <col min="10207" max="10207" width="16.21875" customWidth="1"/>
    <col min="10208" max="10208" width="34.77734375" customWidth="1"/>
    <col min="10209" max="10210" width="24.77734375" customWidth="1"/>
    <col min="10211" max="10211" width="31.44140625" customWidth="1"/>
    <col min="10212" max="10212" width="24.77734375" customWidth="1"/>
    <col min="10213" max="10213" width="26.77734375" customWidth="1"/>
    <col min="10214" max="10216" width="13.77734375" customWidth="1"/>
    <col min="10217" max="10217" width="12.77734375" customWidth="1"/>
    <col min="10218" max="10218" width="15.44140625" customWidth="1"/>
    <col min="10219" max="10219" width="16" customWidth="1"/>
    <col min="10220" max="10220" width="15.5546875" customWidth="1"/>
    <col min="10241" max="10241" width="27.44140625" customWidth="1"/>
    <col min="10242" max="10243" width="21.77734375" customWidth="1"/>
    <col min="10244" max="10244" width="24.77734375" customWidth="1"/>
    <col min="10245" max="10245" width="36" customWidth="1"/>
    <col min="10246" max="10246" width="24.77734375" customWidth="1"/>
    <col min="10247" max="10247" width="26.77734375" customWidth="1"/>
    <col min="10248" max="10249" width="13.77734375" customWidth="1"/>
    <col min="10250" max="10250" width="12.77734375" customWidth="1"/>
    <col min="10251" max="10251" width="15.44140625" customWidth="1"/>
    <col min="10252" max="10252" width="16" customWidth="1"/>
    <col min="10253" max="10253" width="15.5546875" customWidth="1"/>
    <col min="10255" max="10255" width="27.77734375" customWidth="1"/>
    <col min="10256" max="10256" width="18.77734375" customWidth="1"/>
    <col min="10257" max="10257" width="21" customWidth="1"/>
    <col min="10258" max="10258" width="31" customWidth="1"/>
    <col min="10259" max="10259" width="30.77734375" customWidth="1"/>
    <col min="10260" max="10260" width="14.44140625" customWidth="1"/>
    <col min="10261" max="10261" width="27.44140625" customWidth="1"/>
    <col min="10262" max="10262" width="26.44140625" customWidth="1"/>
    <col min="10263" max="10263" width="21.77734375" customWidth="1"/>
    <col min="10264" max="10264" width="12.21875" customWidth="1"/>
    <col min="10265" max="10265" width="13.21875" customWidth="1"/>
    <col min="10266" max="10266" width="14.77734375" customWidth="1"/>
    <col min="10267" max="10267" width="13.77734375" customWidth="1"/>
    <col min="10268" max="10268" width="19.21875" customWidth="1"/>
    <col min="10270" max="10270" width="16.77734375" customWidth="1"/>
    <col min="10271" max="10275" width="19.77734375" customWidth="1"/>
    <col min="10276" max="10276" width="13.21875" customWidth="1"/>
    <col min="10277" max="10277" width="12.44140625" customWidth="1"/>
    <col min="10278" max="10278" width="13.21875" customWidth="1"/>
    <col min="10279" max="10279" width="12.77734375" customWidth="1"/>
    <col min="10280" max="10280" width="12.44140625" customWidth="1"/>
    <col min="10281" max="10281" width="13.77734375" customWidth="1"/>
    <col min="10282" max="10282" width="12.21875" customWidth="1"/>
    <col min="10283" max="10283" width="33" customWidth="1"/>
    <col min="10284" max="10284" width="13.21875" customWidth="1"/>
    <col min="10285" max="10285" width="10.21875" customWidth="1"/>
    <col min="10286" max="10286" width="11.21875" customWidth="1"/>
    <col min="10287" max="10287" width="24.77734375" customWidth="1"/>
    <col min="10288" max="10288" width="14.5546875" customWidth="1"/>
    <col min="10289" max="10289" width="14.77734375" customWidth="1"/>
    <col min="10290" max="10290" width="81.44140625" customWidth="1"/>
    <col min="10291" max="10291" width="30" customWidth="1"/>
    <col min="10292" max="10293" width="24.21875" customWidth="1"/>
    <col min="10294" max="10294" width="17.21875" customWidth="1"/>
    <col min="10295" max="10295" width="24" customWidth="1"/>
    <col min="10296" max="10296" width="19.77734375" customWidth="1"/>
    <col min="10297" max="10297" width="22.77734375" customWidth="1"/>
    <col min="10298" max="10298" width="22.44140625" customWidth="1"/>
    <col min="10299" max="10299" width="20.5546875" customWidth="1"/>
    <col min="10300" max="10300" width="22.44140625" customWidth="1"/>
    <col min="10301" max="10301" width="56.44140625" customWidth="1"/>
    <col min="10302" max="10302" width="18.5546875" customWidth="1"/>
    <col min="10303" max="10303" width="20.44140625" customWidth="1"/>
    <col min="10304" max="10305" width="16" customWidth="1"/>
    <col min="10306" max="10306" width="13" customWidth="1"/>
    <col min="10307" max="10307" width="21.77734375" customWidth="1"/>
    <col min="10308" max="10308" width="19.77734375" customWidth="1"/>
    <col min="10309" max="10309" width="16.21875" customWidth="1"/>
    <col min="10310" max="10310" width="15.77734375" customWidth="1"/>
    <col min="10311" max="10311" width="18.77734375" customWidth="1"/>
    <col min="10312" max="10312" width="14.77734375" customWidth="1"/>
    <col min="10313" max="10313" width="20.21875" customWidth="1"/>
    <col min="10314" max="10314" width="15.21875" customWidth="1"/>
    <col min="10315" max="10315" width="22.77734375" customWidth="1"/>
    <col min="10316" max="10317" width="23" customWidth="1"/>
    <col min="10318" max="10323" width="9.21875" customWidth="1"/>
    <col min="10324" max="10324" width="24.21875" customWidth="1"/>
    <col min="10325" max="10327" width="9.21875" customWidth="1"/>
    <col min="10328" max="10328" width="17.21875" customWidth="1"/>
    <col min="10329" max="10460" width="9.21875" customWidth="1"/>
    <col min="10461" max="10461" width="2" customWidth="1"/>
    <col min="10462" max="10462" width="21.77734375" customWidth="1"/>
    <col min="10463" max="10463" width="16.21875" customWidth="1"/>
    <col min="10464" max="10464" width="34.77734375" customWidth="1"/>
    <col min="10465" max="10466" width="24.77734375" customWidth="1"/>
    <col min="10467" max="10467" width="31.44140625" customWidth="1"/>
    <col min="10468" max="10468" width="24.77734375" customWidth="1"/>
    <col min="10469" max="10469" width="26.77734375" customWidth="1"/>
    <col min="10470" max="10472" width="13.77734375" customWidth="1"/>
    <col min="10473" max="10473" width="12.77734375" customWidth="1"/>
    <col min="10474" max="10474" width="15.44140625" customWidth="1"/>
    <col min="10475" max="10475" width="16" customWidth="1"/>
    <col min="10476" max="10476" width="15.5546875" customWidth="1"/>
    <col min="10497" max="10497" width="27.44140625" customWidth="1"/>
    <col min="10498" max="10499" width="21.77734375" customWidth="1"/>
    <col min="10500" max="10500" width="24.77734375" customWidth="1"/>
    <col min="10501" max="10501" width="36" customWidth="1"/>
    <col min="10502" max="10502" width="24.77734375" customWidth="1"/>
    <col min="10503" max="10503" width="26.77734375" customWidth="1"/>
    <col min="10504" max="10505" width="13.77734375" customWidth="1"/>
    <col min="10506" max="10506" width="12.77734375" customWidth="1"/>
    <col min="10507" max="10507" width="15.44140625" customWidth="1"/>
    <col min="10508" max="10508" width="16" customWidth="1"/>
    <col min="10509" max="10509" width="15.5546875" customWidth="1"/>
    <col min="10511" max="10511" width="27.77734375" customWidth="1"/>
    <col min="10512" max="10512" width="18.77734375" customWidth="1"/>
    <col min="10513" max="10513" width="21" customWidth="1"/>
    <col min="10514" max="10514" width="31" customWidth="1"/>
    <col min="10515" max="10515" width="30.77734375" customWidth="1"/>
    <col min="10516" max="10516" width="14.44140625" customWidth="1"/>
    <col min="10517" max="10517" width="27.44140625" customWidth="1"/>
    <col min="10518" max="10518" width="26.44140625" customWidth="1"/>
    <col min="10519" max="10519" width="21.77734375" customWidth="1"/>
    <col min="10520" max="10520" width="12.21875" customWidth="1"/>
    <col min="10521" max="10521" width="13.21875" customWidth="1"/>
    <col min="10522" max="10522" width="14.77734375" customWidth="1"/>
    <col min="10523" max="10523" width="13.77734375" customWidth="1"/>
    <col min="10524" max="10524" width="19.21875" customWidth="1"/>
    <col min="10526" max="10526" width="16.77734375" customWidth="1"/>
    <col min="10527" max="10531" width="19.77734375" customWidth="1"/>
    <col min="10532" max="10532" width="13.21875" customWidth="1"/>
    <col min="10533" max="10533" width="12.44140625" customWidth="1"/>
    <col min="10534" max="10534" width="13.21875" customWidth="1"/>
    <col min="10535" max="10535" width="12.77734375" customWidth="1"/>
    <col min="10536" max="10536" width="12.44140625" customWidth="1"/>
    <col min="10537" max="10537" width="13.77734375" customWidth="1"/>
    <col min="10538" max="10538" width="12.21875" customWidth="1"/>
    <col min="10539" max="10539" width="33" customWidth="1"/>
    <col min="10540" max="10540" width="13.21875" customWidth="1"/>
    <col min="10541" max="10541" width="10.21875" customWidth="1"/>
    <col min="10542" max="10542" width="11.21875" customWidth="1"/>
    <col min="10543" max="10543" width="24.77734375" customWidth="1"/>
    <col min="10544" max="10544" width="14.5546875" customWidth="1"/>
    <col min="10545" max="10545" width="14.77734375" customWidth="1"/>
    <col min="10546" max="10546" width="81.44140625" customWidth="1"/>
    <col min="10547" max="10547" width="30" customWidth="1"/>
    <col min="10548" max="10549" width="24.21875" customWidth="1"/>
    <col min="10550" max="10550" width="17.21875" customWidth="1"/>
    <col min="10551" max="10551" width="24" customWidth="1"/>
    <col min="10552" max="10552" width="19.77734375" customWidth="1"/>
    <col min="10553" max="10553" width="22.77734375" customWidth="1"/>
    <col min="10554" max="10554" width="22.44140625" customWidth="1"/>
    <col min="10555" max="10555" width="20.5546875" customWidth="1"/>
    <col min="10556" max="10556" width="22.44140625" customWidth="1"/>
    <col min="10557" max="10557" width="56.44140625" customWidth="1"/>
    <col min="10558" max="10558" width="18.5546875" customWidth="1"/>
    <col min="10559" max="10559" width="20.44140625" customWidth="1"/>
    <col min="10560" max="10561" width="16" customWidth="1"/>
    <col min="10562" max="10562" width="13" customWidth="1"/>
    <col min="10563" max="10563" width="21.77734375" customWidth="1"/>
    <col min="10564" max="10564" width="19.77734375" customWidth="1"/>
    <col min="10565" max="10565" width="16.21875" customWidth="1"/>
    <col min="10566" max="10566" width="15.77734375" customWidth="1"/>
    <col min="10567" max="10567" width="18.77734375" customWidth="1"/>
    <col min="10568" max="10568" width="14.77734375" customWidth="1"/>
    <col min="10569" max="10569" width="20.21875" customWidth="1"/>
    <col min="10570" max="10570" width="15.21875" customWidth="1"/>
    <col min="10571" max="10571" width="22.77734375" customWidth="1"/>
    <col min="10572" max="10573" width="23" customWidth="1"/>
    <col min="10574" max="10579" width="9.21875" customWidth="1"/>
    <col min="10580" max="10580" width="24.21875" customWidth="1"/>
    <col min="10581" max="10583" width="9.21875" customWidth="1"/>
    <col min="10584" max="10584" width="17.21875" customWidth="1"/>
    <col min="10585" max="10716" width="9.21875" customWidth="1"/>
    <col min="10717" max="10717" width="2" customWidth="1"/>
    <col min="10718" max="10718" width="21.77734375" customWidth="1"/>
    <col min="10719" max="10719" width="16.21875" customWidth="1"/>
    <col min="10720" max="10720" width="34.77734375" customWidth="1"/>
    <col min="10721" max="10722" width="24.77734375" customWidth="1"/>
    <col min="10723" max="10723" width="31.44140625" customWidth="1"/>
    <col min="10724" max="10724" width="24.77734375" customWidth="1"/>
    <col min="10725" max="10725" width="26.77734375" customWidth="1"/>
    <col min="10726" max="10728" width="13.77734375" customWidth="1"/>
    <col min="10729" max="10729" width="12.77734375" customWidth="1"/>
    <col min="10730" max="10730" width="15.44140625" customWidth="1"/>
    <col min="10731" max="10731" width="16" customWidth="1"/>
    <col min="10732" max="10732" width="15.5546875" customWidth="1"/>
    <col min="10753" max="10753" width="27.44140625" customWidth="1"/>
    <col min="10754" max="10755" width="21.77734375" customWidth="1"/>
    <col min="10756" max="10756" width="24.77734375" customWidth="1"/>
    <col min="10757" max="10757" width="36" customWidth="1"/>
    <col min="10758" max="10758" width="24.77734375" customWidth="1"/>
    <col min="10759" max="10759" width="26.77734375" customWidth="1"/>
    <col min="10760" max="10761" width="13.77734375" customWidth="1"/>
    <col min="10762" max="10762" width="12.77734375" customWidth="1"/>
    <col min="10763" max="10763" width="15.44140625" customWidth="1"/>
    <col min="10764" max="10764" width="16" customWidth="1"/>
    <col min="10765" max="10765" width="15.5546875" customWidth="1"/>
    <col min="10767" max="10767" width="27.77734375" customWidth="1"/>
    <col min="10768" max="10768" width="18.77734375" customWidth="1"/>
    <col min="10769" max="10769" width="21" customWidth="1"/>
    <col min="10770" max="10770" width="31" customWidth="1"/>
    <col min="10771" max="10771" width="30.77734375" customWidth="1"/>
    <col min="10772" max="10772" width="14.44140625" customWidth="1"/>
    <col min="10773" max="10773" width="27.44140625" customWidth="1"/>
    <col min="10774" max="10774" width="26.44140625" customWidth="1"/>
    <col min="10775" max="10775" width="21.77734375" customWidth="1"/>
    <col min="10776" max="10776" width="12.21875" customWidth="1"/>
    <col min="10777" max="10777" width="13.21875" customWidth="1"/>
    <col min="10778" max="10778" width="14.77734375" customWidth="1"/>
    <col min="10779" max="10779" width="13.77734375" customWidth="1"/>
    <col min="10780" max="10780" width="19.21875" customWidth="1"/>
    <col min="10782" max="10782" width="16.77734375" customWidth="1"/>
    <col min="10783" max="10787" width="19.77734375" customWidth="1"/>
    <col min="10788" max="10788" width="13.21875" customWidth="1"/>
    <col min="10789" max="10789" width="12.44140625" customWidth="1"/>
    <col min="10790" max="10790" width="13.21875" customWidth="1"/>
    <col min="10791" max="10791" width="12.77734375" customWidth="1"/>
    <col min="10792" max="10792" width="12.44140625" customWidth="1"/>
    <col min="10793" max="10793" width="13.77734375" customWidth="1"/>
    <col min="10794" max="10794" width="12.21875" customWidth="1"/>
    <col min="10795" max="10795" width="33" customWidth="1"/>
    <col min="10796" max="10796" width="13.21875" customWidth="1"/>
    <col min="10797" max="10797" width="10.21875" customWidth="1"/>
    <col min="10798" max="10798" width="11.21875" customWidth="1"/>
    <col min="10799" max="10799" width="24.77734375" customWidth="1"/>
    <col min="10800" max="10800" width="14.5546875" customWidth="1"/>
    <col min="10801" max="10801" width="14.77734375" customWidth="1"/>
    <col min="10802" max="10802" width="81.44140625" customWidth="1"/>
    <col min="10803" max="10803" width="30" customWidth="1"/>
    <col min="10804" max="10805" width="24.21875" customWidth="1"/>
    <col min="10806" max="10806" width="17.21875" customWidth="1"/>
    <col min="10807" max="10807" width="24" customWidth="1"/>
    <col min="10808" max="10808" width="19.77734375" customWidth="1"/>
    <col min="10809" max="10809" width="22.77734375" customWidth="1"/>
    <col min="10810" max="10810" width="22.44140625" customWidth="1"/>
    <col min="10811" max="10811" width="20.5546875" customWidth="1"/>
    <col min="10812" max="10812" width="22.44140625" customWidth="1"/>
    <col min="10813" max="10813" width="56.44140625" customWidth="1"/>
    <col min="10814" max="10814" width="18.5546875" customWidth="1"/>
    <col min="10815" max="10815" width="20.44140625" customWidth="1"/>
    <col min="10816" max="10817" width="16" customWidth="1"/>
    <col min="10818" max="10818" width="13" customWidth="1"/>
    <col min="10819" max="10819" width="21.77734375" customWidth="1"/>
    <col min="10820" max="10820" width="19.77734375" customWidth="1"/>
    <col min="10821" max="10821" width="16.21875" customWidth="1"/>
    <col min="10822" max="10822" width="15.77734375" customWidth="1"/>
    <col min="10823" max="10823" width="18.77734375" customWidth="1"/>
    <col min="10824" max="10824" width="14.77734375" customWidth="1"/>
    <col min="10825" max="10825" width="20.21875" customWidth="1"/>
    <col min="10826" max="10826" width="15.21875" customWidth="1"/>
    <col min="10827" max="10827" width="22.77734375" customWidth="1"/>
    <col min="10828" max="10829" width="23" customWidth="1"/>
    <col min="10830" max="10835" width="9.21875" customWidth="1"/>
    <col min="10836" max="10836" width="24.21875" customWidth="1"/>
    <col min="10837" max="10839" width="9.21875" customWidth="1"/>
    <col min="10840" max="10840" width="17.21875" customWidth="1"/>
    <col min="10841" max="10972" width="9.21875" customWidth="1"/>
    <col min="10973" max="10973" width="2" customWidth="1"/>
    <col min="10974" max="10974" width="21.77734375" customWidth="1"/>
    <col min="10975" max="10975" width="16.21875" customWidth="1"/>
    <col min="10976" max="10976" width="34.77734375" customWidth="1"/>
    <col min="10977" max="10978" width="24.77734375" customWidth="1"/>
    <col min="10979" max="10979" width="31.44140625" customWidth="1"/>
    <col min="10980" max="10980" width="24.77734375" customWidth="1"/>
    <col min="10981" max="10981" width="26.77734375" customWidth="1"/>
    <col min="10982" max="10984" width="13.77734375" customWidth="1"/>
    <col min="10985" max="10985" width="12.77734375" customWidth="1"/>
    <col min="10986" max="10986" width="15.44140625" customWidth="1"/>
    <col min="10987" max="10987" width="16" customWidth="1"/>
    <col min="10988" max="10988" width="15.5546875" customWidth="1"/>
    <col min="11009" max="11009" width="27.44140625" customWidth="1"/>
    <col min="11010" max="11011" width="21.77734375" customWidth="1"/>
    <col min="11012" max="11012" width="24.77734375" customWidth="1"/>
    <col min="11013" max="11013" width="36" customWidth="1"/>
    <col min="11014" max="11014" width="24.77734375" customWidth="1"/>
    <col min="11015" max="11015" width="26.77734375" customWidth="1"/>
    <col min="11016" max="11017" width="13.77734375" customWidth="1"/>
    <col min="11018" max="11018" width="12.77734375" customWidth="1"/>
    <col min="11019" max="11019" width="15.44140625" customWidth="1"/>
    <col min="11020" max="11020" width="16" customWidth="1"/>
    <col min="11021" max="11021" width="15.5546875" customWidth="1"/>
    <col min="11023" max="11023" width="27.77734375" customWidth="1"/>
    <col min="11024" max="11024" width="18.77734375" customWidth="1"/>
    <col min="11025" max="11025" width="21" customWidth="1"/>
    <col min="11026" max="11026" width="31" customWidth="1"/>
    <col min="11027" max="11027" width="30.77734375" customWidth="1"/>
    <col min="11028" max="11028" width="14.44140625" customWidth="1"/>
    <col min="11029" max="11029" width="27.44140625" customWidth="1"/>
    <col min="11030" max="11030" width="26.44140625" customWidth="1"/>
    <col min="11031" max="11031" width="21.77734375" customWidth="1"/>
    <col min="11032" max="11032" width="12.21875" customWidth="1"/>
    <col min="11033" max="11033" width="13.21875" customWidth="1"/>
    <col min="11034" max="11034" width="14.77734375" customWidth="1"/>
    <col min="11035" max="11035" width="13.77734375" customWidth="1"/>
    <col min="11036" max="11036" width="19.21875" customWidth="1"/>
    <col min="11038" max="11038" width="16.77734375" customWidth="1"/>
    <col min="11039" max="11043" width="19.77734375" customWidth="1"/>
    <col min="11044" max="11044" width="13.21875" customWidth="1"/>
    <col min="11045" max="11045" width="12.44140625" customWidth="1"/>
    <col min="11046" max="11046" width="13.21875" customWidth="1"/>
    <col min="11047" max="11047" width="12.77734375" customWidth="1"/>
    <col min="11048" max="11048" width="12.44140625" customWidth="1"/>
    <col min="11049" max="11049" width="13.77734375" customWidth="1"/>
    <col min="11050" max="11050" width="12.21875" customWidth="1"/>
    <col min="11051" max="11051" width="33" customWidth="1"/>
    <col min="11052" max="11052" width="13.21875" customWidth="1"/>
    <col min="11053" max="11053" width="10.21875" customWidth="1"/>
    <col min="11054" max="11054" width="11.21875" customWidth="1"/>
    <col min="11055" max="11055" width="24.77734375" customWidth="1"/>
    <col min="11056" max="11056" width="14.5546875" customWidth="1"/>
    <col min="11057" max="11057" width="14.77734375" customWidth="1"/>
    <col min="11058" max="11058" width="81.44140625" customWidth="1"/>
    <col min="11059" max="11059" width="30" customWidth="1"/>
    <col min="11060" max="11061" width="24.21875" customWidth="1"/>
    <col min="11062" max="11062" width="17.21875" customWidth="1"/>
    <col min="11063" max="11063" width="24" customWidth="1"/>
    <col min="11064" max="11064" width="19.77734375" customWidth="1"/>
    <col min="11065" max="11065" width="22.77734375" customWidth="1"/>
    <col min="11066" max="11066" width="22.44140625" customWidth="1"/>
    <col min="11067" max="11067" width="20.5546875" customWidth="1"/>
    <col min="11068" max="11068" width="22.44140625" customWidth="1"/>
    <col min="11069" max="11069" width="56.44140625" customWidth="1"/>
    <col min="11070" max="11070" width="18.5546875" customWidth="1"/>
    <col min="11071" max="11071" width="20.44140625" customWidth="1"/>
    <col min="11072" max="11073" width="16" customWidth="1"/>
    <col min="11074" max="11074" width="13" customWidth="1"/>
    <col min="11075" max="11075" width="21.77734375" customWidth="1"/>
    <col min="11076" max="11076" width="19.77734375" customWidth="1"/>
    <col min="11077" max="11077" width="16.21875" customWidth="1"/>
    <col min="11078" max="11078" width="15.77734375" customWidth="1"/>
    <col min="11079" max="11079" width="18.77734375" customWidth="1"/>
    <col min="11080" max="11080" width="14.77734375" customWidth="1"/>
    <col min="11081" max="11081" width="20.21875" customWidth="1"/>
    <col min="11082" max="11082" width="15.21875" customWidth="1"/>
    <col min="11083" max="11083" width="22.77734375" customWidth="1"/>
    <col min="11084" max="11085" width="23" customWidth="1"/>
    <col min="11086" max="11091" width="9.21875" customWidth="1"/>
    <col min="11092" max="11092" width="24.21875" customWidth="1"/>
    <col min="11093" max="11095" width="9.21875" customWidth="1"/>
    <col min="11096" max="11096" width="17.21875" customWidth="1"/>
    <col min="11097" max="11228" width="9.21875" customWidth="1"/>
    <col min="11229" max="11229" width="2" customWidth="1"/>
    <col min="11230" max="11230" width="21.77734375" customWidth="1"/>
    <col min="11231" max="11231" width="16.21875" customWidth="1"/>
    <col min="11232" max="11232" width="34.77734375" customWidth="1"/>
    <col min="11233" max="11234" width="24.77734375" customWidth="1"/>
    <col min="11235" max="11235" width="31.44140625" customWidth="1"/>
    <col min="11236" max="11236" width="24.77734375" customWidth="1"/>
    <col min="11237" max="11237" width="26.77734375" customWidth="1"/>
    <col min="11238" max="11240" width="13.77734375" customWidth="1"/>
    <col min="11241" max="11241" width="12.77734375" customWidth="1"/>
    <col min="11242" max="11242" width="15.44140625" customWidth="1"/>
    <col min="11243" max="11243" width="16" customWidth="1"/>
    <col min="11244" max="11244" width="15.5546875" customWidth="1"/>
    <col min="11265" max="11265" width="27.44140625" customWidth="1"/>
    <col min="11266" max="11267" width="21.77734375" customWidth="1"/>
    <col min="11268" max="11268" width="24.77734375" customWidth="1"/>
    <col min="11269" max="11269" width="36" customWidth="1"/>
    <col min="11270" max="11270" width="24.77734375" customWidth="1"/>
    <col min="11271" max="11271" width="26.77734375" customWidth="1"/>
    <col min="11272" max="11273" width="13.77734375" customWidth="1"/>
    <col min="11274" max="11274" width="12.77734375" customWidth="1"/>
    <col min="11275" max="11275" width="15.44140625" customWidth="1"/>
    <col min="11276" max="11276" width="16" customWidth="1"/>
    <col min="11277" max="11277" width="15.5546875" customWidth="1"/>
    <col min="11279" max="11279" width="27.77734375" customWidth="1"/>
    <col min="11280" max="11280" width="18.77734375" customWidth="1"/>
    <col min="11281" max="11281" width="21" customWidth="1"/>
    <col min="11282" max="11282" width="31" customWidth="1"/>
    <col min="11283" max="11283" width="30.77734375" customWidth="1"/>
    <col min="11284" max="11284" width="14.44140625" customWidth="1"/>
    <col min="11285" max="11285" width="27.44140625" customWidth="1"/>
    <col min="11286" max="11286" width="26.44140625" customWidth="1"/>
    <col min="11287" max="11287" width="21.77734375" customWidth="1"/>
    <col min="11288" max="11288" width="12.21875" customWidth="1"/>
    <col min="11289" max="11289" width="13.21875" customWidth="1"/>
    <col min="11290" max="11290" width="14.77734375" customWidth="1"/>
    <col min="11291" max="11291" width="13.77734375" customWidth="1"/>
    <col min="11292" max="11292" width="19.21875" customWidth="1"/>
    <col min="11294" max="11294" width="16.77734375" customWidth="1"/>
    <col min="11295" max="11299" width="19.77734375" customWidth="1"/>
    <col min="11300" max="11300" width="13.21875" customWidth="1"/>
    <col min="11301" max="11301" width="12.44140625" customWidth="1"/>
    <col min="11302" max="11302" width="13.21875" customWidth="1"/>
    <col min="11303" max="11303" width="12.77734375" customWidth="1"/>
    <col min="11304" max="11304" width="12.44140625" customWidth="1"/>
    <col min="11305" max="11305" width="13.77734375" customWidth="1"/>
    <col min="11306" max="11306" width="12.21875" customWidth="1"/>
    <col min="11307" max="11307" width="33" customWidth="1"/>
    <col min="11308" max="11308" width="13.21875" customWidth="1"/>
    <col min="11309" max="11309" width="10.21875" customWidth="1"/>
    <col min="11310" max="11310" width="11.21875" customWidth="1"/>
    <col min="11311" max="11311" width="24.77734375" customWidth="1"/>
    <col min="11312" max="11312" width="14.5546875" customWidth="1"/>
    <col min="11313" max="11313" width="14.77734375" customWidth="1"/>
    <col min="11314" max="11314" width="81.44140625" customWidth="1"/>
    <col min="11315" max="11315" width="30" customWidth="1"/>
    <col min="11316" max="11317" width="24.21875" customWidth="1"/>
    <col min="11318" max="11318" width="17.21875" customWidth="1"/>
    <col min="11319" max="11319" width="24" customWidth="1"/>
    <col min="11320" max="11320" width="19.77734375" customWidth="1"/>
    <col min="11321" max="11321" width="22.77734375" customWidth="1"/>
    <col min="11322" max="11322" width="22.44140625" customWidth="1"/>
    <col min="11323" max="11323" width="20.5546875" customWidth="1"/>
    <col min="11324" max="11324" width="22.44140625" customWidth="1"/>
    <col min="11325" max="11325" width="56.44140625" customWidth="1"/>
    <col min="11326" max="11326" width="18.5546875" customWidth="1"/>
    <col min="11327" max="11327" width="20.44140625" customWidth="1"/>
    <col min="11328" max="11329" width="16" customWidth="1"/>
    <col min="11330" max="11330" width="13" customWidth="1"/>
    <col min="11331" max="11331" width="21.77734375" customWidth="1"/>
    <col min="11332" max="11332" width="19.77734375" customWidth="1"/>
    <col min="11333" max="11333" width="16.21875" customWidth="1"/>
    <col min="11334" max="11334" width="15.77734375" customWidth="1"/>
    <col min="11335" max="11335" width="18.77734375" customWidth="1"/>
    <col min="11336" max="11336" width="14.77734375" customWidth="1"/>
    <col min="11337" max="11337" width="20.21875" customWidth="1"/>
    <col min="11338" max="11338" width="15.21875" customWidth="1"/>
    <col min="11339" max="11339" width="22.77734375" customWidth="1"/>
    <col min="11340" max="11341" width="23" customWidth="1"/>
    <col min="11342" max="11347" width="9.21875" customWidth="1"/>
    <col min="11348" max="11348" width="24.21875" customWidth="1"/>
    <col min="11349" max="11351" width="9.21875" customWidth="1"/>
    <col min="11352" max="11352" width="17.21875" customWidth="1"/>
    <col min="11353" max="11484" width="9.21875" customWidth="1"/>
    <col min="11485" max="11485" width="2" customWidth="1"/>
    <col min="11486" max="11486" width="21.77734375" customWidth="1"/>
    <col min="11487" max="11487" width="16.21875" customWidth="1"/>
    <col min="11488" max="11488" width="34.77734375" customWidth="1"/>
    <col min="11489" max="11490" width="24.77734375" customWidth="1"/>
    <col min="11491" max="11491" width="31.44140625" customWidth="1"/>
    <col min="11492" max="11492" width="24.77734375" customWidth="1"/>
    <col min="11493" max="11493" width="26.77734375" customWidth="1"/>
    <col min="11494" max="11496" width="13.77734375" customWidth="1"/>
    <col min="11497" max="11497" width="12.77734375" customWidth="1"/>
    <col min="11498" max="11498" width="15.44140625" customWidth="1"/>
    <col min="11499" max="11499" width="16" customWidth="1"/>
    <col min="11500" max="11500" width="15.5546875" customWidth="1"/>
    <col min="11521" max="11521" width="27.44140625" customWidth="1"/>
    <col min="11522" max="11523" width="21.77734375" customWidth="1"/>
    <col min="11524" max="11524" width="24.77734375" customWidth="1"/>
    <col min="11525" max="11525" width="36" customWidth="1"/>
    <col min="11526" max="11526" width="24.77734375" customWidth="1"/>
    <col min="11527" max="11527" width="26.77734375" customWidth="1"/>
    <col min="11528" max="11529" width="13.77734375" customWidth="1"/>
    <col min="11530" max="11530" width="12.77734375" customWidth="1"/>
    <col min="11531" max="11531" width="15.44140625" customWidth="1"/>
    <col min="11532" max="11532" width="16" customWidth="1"/>
    <col min="11533" max="11533" width="15.5546875" customWidth="1"/>
    <col min="11535" max="11535" width="27.77734375" customWidth="1"/>
    <col min="11536" max="11536" width="18.77734375" customWidth="1"/>
    <col min="11537" max="11537" width="21" customWidth="1"/>
    <col min="11538" max="11538" width="31" customWidth="1"/>
    <col min="11539" max="11539" width="30.77734375" customWidth="1"/>
    <col min="11540" max="11540" width="14.44140625" customWidth="1"/>
    <col min="11541" max="11541" width="27.44140625" customWidth="1"/>
    <col min="11542" max="11542" width="26.44140625" customWidth="1"/>
    <col min="11543" max="11543" width="21.77734375" customWidth="1"/>
    <col min="11544" max="11544" width="12.21875" customWidth="1"/>
    <col min="11545" max="11545" width="13.21875" customWidth="1"/>
    <col min="11546" max="11546" width="14.77734375" customWidth="1"/>
    <col min="11547" max="11547" width="13.77734375" customWidth="1"/>
    <col min="11548" max="11548" width="19.21875" customWidth="1"/>
    <col min="11550" max="11550" width="16.77734375" customWidth="1"/>
    <col min="11551" max="11555" width="19.77734375" customWidth="1"/>
    <col min="11556" max="11556" width="13.21875" customWidth="1"/>
    <col min="11557" max="11557" width="12.44140625" customWidth="1"/>
    <col min="11558" max="11558" width="13.21875" customWidth="1"/>
    <col min="11559" max="11559" width="12.77734375" customWidth="1"/>
    <col min="11560" max="11560" width="12.44140625" customWidth="1"/>
    <col min="11561" max="11561" width="13.77734375" customWidth="1"/>
    <col min="11562" max="11562" width="12.21875" customWidth="1"/>
    <col min="11563" max="11563" width="33" customWidth="1"/>
    <col min="11564" max="11564" width="13.21875" customWidth="1"/>
    <col min="11565" max="11565" width="10.21875" customWidth="1"/>
    <col min="11566" max="11566" width="11.21875" customWidth="1"/>
    <col min="11567" max="11567" width="24.77734375" customWidth="1"/>
    <col min="11568" max="11568" width="14.5546875" customWidth="1"/>
    <col min="11569" max="11569" width="14.77734375" customWidth="1"/>
    <col min="11570" max="11570" width="81.44140625" customWidth="1"/>
    <col min="11571" max="11571" width="30" customWidth="1"/>
    <col min="11572" max="11573" width="24.21875" customWidth="1"/>
    <col min="11574" max="11574" width="17.21875" customWidth="1"/>
    <col min="11575" max="11575" width="24" customWidth="1"/>
    <col min="11576" max="11576" width="19.77734375" customWidth="1"/>
    <col min="11577" max="11577" width="22.77734375" customWidth="1"/>
    <col min="11578" max="11578" width="22.44140625" customWidth="1"/>
    <col min="11579" max="11579" width="20.5546875" customWidth="1"/>
    <col min="11580" max="11580" width="22.44140625" customWidth="1"/>
    <col min="11581" max="11581" width="56.44140625" customWidth="1"/>
    <col min="11582" max="11582" width="18.5546875" customWidth="1"/>
    <col min="11583" max="11583" width="20.44140625" customWidth="1"/>
    <col min="11584" max="11585" width="16" customWidth="1"/>
    <col min="11586" max="11586" width="13" customWidth="1"/>
    <col min="11587" max="11587" width="21.77734375" customWidth="1"/>
    <col min="11588" max="11588" width="19.77734375" customWidth="1"/>
    <col min="11589" max="11589" width="16.21875" customWidth="1"/>
    <col min="11590" max="11590" width="15.77734375" customWidth="1"/>
    <col min="11591" max="11591" width="18.77734375" customWidth="1"/>
    <col min="11592" max="11592" width="14.77734375" customWidth="1"/>
    <col min="11593" max="11593" width="20.21875" customWidth="1"/>
    <col min="11594" max="11594" width="15.21875" customWidth="1"/>
    <col min="11595" max="11595" width="22.77734375" customWidth="1"/>
    <col min="11596" max="11597" width="23" customWidth="1"/>
    <col min="11598" max="11603" width="9.21875" customWidth="1"/>
    <col min="11604" max="11604" width="24.21875" customWidth="1"/>
    <col min="11605" max="11607" width="9.21875" customWidth="1"/>
    <col min="11608" max="11608" width="17.21875" customWidth="1"/>
    <col min="11609" max="11740" width="9.21875" customWidth="1"/>
    <col min="11741" max="11741" width="2" customWidth="1"/>
    <col min="11742" max="11742" width="21.77734375" customWidth="1"/>
    <col min="11743" max="11743" width="16.21875" customWidth="1"/>
    <col min="11744" max="11744" width="34.77734375" customWidth="1"/>
    <col min="11745" max="11746" width="24.77734375" customWidth="1"/>
    <col min="11747" max="11747" width="31.44140625" customWidth="1"/>
    <col min="11748" max="11748" width="24.77734375" customWidth="1"/>
    <col min="11749" max="11749" width="26.77734375" customWidth="1"/>
    <col min="11750" max="11752" width="13.77734375" customWidth="1"/>
    <col min="11753" max="11753" width="12.77734375" customWidth="1"/>
    <col min="11754" max="11754" width="15.44140625" customWidth="1"/>
    <col min="11755" max="11755" width="16" customWidth="1"/>
    <col min="11756" max="11756" width="15.5546875" customWidth="1"/>
    <col min="11777" max="11777" width="27.44140625" customWidth="1"/>
    <col min="11778" max="11779" width="21.77734375" customWidth="1"/>
    <col min="11780" max="11780" width="24.77734375" customWidth="1"/>
    <col min="11781" max="11781" width="36" customWidth="1"/>
    <col min="11782" max="11782" width="24.77734375" customWidth="1"/>
    <col min="11783" max="11783" width="26.77734375" customWidth="1"/>
    <col min="11784" max="11785" width="13.77734375" customWidth="1"/>
    <col min="11786" max="11786" width="12.77734375" customWidth="1"/>
    <col min="11787" max="11787" width="15.44140625" customWidth="1"/>
    <col min="11788" max="11788" width="16" customWidth="1"/>
    <col min="11789" max="11789" width="15.5546875" customWidth="1"/>
    <col min="11791" max="11791" width="27.77734375" customWidth="1"/>
    <col min="11792" max="11792" width="18.77734375" customWidth="1"/>
    <col min="11793" max="11793" width="21" customWidth="1"/>
    <col min="11794" max="11794" width="31" customWidth="1"/>
    <col min="11795" max="11795" width="30.77734375" customWidth="1"/>
    <col min="11796" max="11796" width="14.44140625" customWidth="1"/>
    <col min="11797" max="11797" width="27.44140625" customWidth="1"/>
    <col min="11798" max="11798" width="26.44140625" customWidth="1"/>
    <col min="11799" max="11799" width="21.77734375" customWidth="1"/>
    <col min="11800" max="11800" width="12.21875" customWidth="1"/>
    <col min="11801" max="11801" width="13.21875" customWidth="1"/>
    <col min="11802" max="11802" width="14.77734375" customWidth="1"/>
    <col min="11803" max="11803" width="13.77734375" customWidth="1"/>
    <col min="11804" max="11804" width="19.21875" customWidth="1"/>
    <col min="11806" max="11806" width="16.77734375" customWidth="1"/>
    <col min="11807" max="11811" width="19.77734375" customWidth="1"/>
    <col min="11812" max="11812" width="13.21875" customWidth="1"/>
    <col min="11813" max="11813" width="12.44140625" customWidth="1"/>
    <col min="11814" max="11814" width="13.21875" customWidth="1"/>
    <col min="11815" max="11815" width="12.77734375" customWidth="1"/>
    <col min="11816" max="11816" width="12.44140625" customWidth="1"/>
    <col min="11817" max="11817" width="13.77734375" customWidth="1"/>
    <col min="11818" max="11818" width="12.21875" customWidth="1"/>
    <col min="11819" max="11819" width="33" customWidth="1"/>
    <col min="11820" max="11820" width="13.21875" customWidth="1"/>
    <col min="11821" max="11821" width="10.21875" customWidth="1"/>
    <col min="11822" max="11822" width="11.21875" customWidth="1"/>
    <col min="11823" max="11823" width="24.77734375" customWidth="1"/>
    <col min="11824" max="11824" width="14.5546875" customWidth="1"/>
    <col min="11825" max="11825" width="14.77734375" customWidth="1"/>
    <col min="11826" max="11826" width="81.44140625" customWidth="1"/>
    <col min="11827" max="11827" width="30" customWidth="1"/>
    <col min="11828" max="11829" width="24.21875" customWidth="1"/>
    <col min="11830" max="11830" width="17.21875" customWidth="1"/>
    <col min="11831" max="11831" width="24" customWidth="1"/>
    <col min="11832" max="11832" width="19.77734375" customWidth="1"/>
    <col min="11833" max="11833" width="22.77734375" customWidth="1"/>
    <col min="11834" max="11834" width="22.44140625" customWidth="1"/>
    <col min="11835" max="11835" width="20.5546875" customWidth="1"/>
    <col min="11836" max="11836" width="22.44140625" customWidth="1"/>
    <col min="11837" max="11837" width="56.44140625" customWidth="1"/>
    <col min="11838" max="11838" width="18.5546875" customWidth="1"/>
    <col min="11839" max="11839" width="20.44140625" customWidth="1"/>
    <col min="11840" max="11841" width="16" customWidth="1"/>
    <col min="11842" max="11842" width="13" customWidth="1"/>
    <col min="11843" max="11843" width="21.77734375" customWidth="1"/>
    <col min="11844" max="11844" width="19.77734375" customWidth="1"/>
    <col min="11845" max="11845" width="16.21875" customWidth="1"/>
    <col min="11846" max="11846" width="15.77734375" customWidth="1"/>
    <col min="11847" max="11847" width="18.77734375" customWidth="1"/>
    <col min="11848" max="11848" width="14.77734375" customWidth="1"/>
    <col min="11849" max="11849" width="20.21875" customWidth="1"/>
    <col min="11850" max="11850" width="15.21875" customWidth="1"/>
    <col min="11851" max="11851" width="22.77734375" customWidth="1"/>
    <col min="11852" max="11853" width="23" customWidth="1"/>
    <col min="11854" max="11859" width="9.21875" customWidth="1"/>
    <col min="11860" max="11860" width="24.21875" customWidth="1"/>
    <col min="11861" max="11863" width="9.21875" customWidth="1"/>
    <col min="11864" max="11864" width="17.21875" customWidth="1"/>
    <col min="11865" max="11996" width="9.21875" customWidth="1"/>
    <col min="11997" max="11997" width="2" customWidth="1"/>
    <col min="11998" max="11998" width="21.77734375" customWidth="1"/>
    <col min="11999" max="11999" width="16.21875" customWidth="1"/>
    <col min="12000" max="12000" width="34.77734375" customWidth="1"/>
    <col min="12001" max="12002" width="24.77734375" customWidth="1"/>
    <col min="12003" max="12003" width="31.44140625" customWidth="1"/>
    <col min="12004" max="12004" width="24.77734375" customWidth="1"/>
    <col min="12005" max="12005" width="26.77734375" customWidth="1"/>
    <col min="12006" max="12008" width="13.77734375" customWidth="1"/>
    <col min="12009" max="12009" width="12.77734375" customWidth="1"/>
    <col min="12010" max="12010" width="15.44140625" customWidth="1"/>
    <col min="12011" max="12011" width="16" customWidth="1"/>
    <col min="12012" max="12012" width="15.5546875" customWidth="1"/>
    <col min="12033" max="12033" width="27.44140625" customWidth="1"/>
    <col min="12034" max="12035" width="21.77734375" customWidth="1"/>
    <col min="12036" max="12036" width="24.77734375" customWidth="1"/>
    <col min="12037" max="12037" width="36" customWidth="1"/>
    <col min="12038" max="12038" width="24.77734375" customWidth="1"/>
    <col min="12039" max="12039" width="26.77734375" customWidth="1"/>
    <col min="12040" max="12041" width="13.77734375" customWidth="1"/>
    <col min="12042" max="12042" width="12.77734375" customWidth="1"/>
    <col min="12043" max="12043" width="15.44140625" customWidth="1"/>
    <col min="12044" max="12044" width="16" customWidth="1"/>
    <col min="12045" max="12045" width="15.5546875" customWidth="1"/>
    <col min="12047" max="12047" width="27.77734375" customWidth="1"/>
    <col min="12048" max="12048" width="18.77734375" customWidth="1"/>
    <col min="12049" max="12049" width="21" customWidth="1"/>
    <col min="12050" max="12050" width="31" customWidth="1"/>
    <col min="12051" max="12051" width="30.77734375" customWidth="1"/>
    <col min="12052" max="12052" width="14.44140625" customWidth="1"/>
    <col min="12053" max="12053" width="27.44140625" customWidth="1"/>
    <col min="12054" max="12054" width="26.44140625" customWidth="1"/>
    <col min="12055" max="12055" width="21.77734375" customWidth="1"/>
    <col min="12056" max="12056" width="12.21875" customWidth="1"/>
    <col min="12057" max="12057" width="13.21875" customWidth="1"/>
    <col min="12058" max="12058" width="14.77734375" customWidth="1"/>
    <col min="12059" max="12059" width="13.77734375" customWidth="1"/>
    <col min="12060" max="12060" width="19.21875" customWidth="1"/>
    <col min="12062" max="12062" width="16.77734375" customWidth="1"/>
    <col min="12063" max="12067" width="19.77734375" customWidth="1"/>
    <col min="12068" max="12068" width="13.21875" customWidth="1"/>
    <col min="12069" max="12069" width="12.44140625" customWidth="1"/>
    <col min="12070" max="12070" width="13.21875" customWidth="1"/>
    <col min="12071" max="12071" width="12.77734375" customWidth="1"/>
    <col min="12072" max="12072" width="12.44140625" customWidth="1"/>
    <col min="12073" max="12073" width="13.77734375" customWidth="1"/>
    <col min="12074" max="12074" width="12.21875" customWidth="1"/>
    <col min="12075" max="12075" width="33" customWidth="1"/>
    <col min="12076" max="12076" width="13.21875" customWidth="1"/>
    <col min="12077" max="12077" width="10.21875" customWidth="1"/>
    <col min="12078" max="12078" width="11.21875" customWidth="1"/>
    <col min="12079" max="12079" width="24.77734375" customWidth="1"/>
    <col min="12080" max="12080" width="14.5546875" customWidth="1"/>
    <col min="12081" max="12081" width="14.77734375" customWidth="1"/>
    <col min="12082" max="12082" width="81.44140625" customWidth="1"/>
    <col min="12083" max="12083" width="30" customWidth="1"/>
    <col min="12084" max="12085" width="24.21875" customWidth="1"/>
    <col min="12086" max="12086" width="17.21875" customWidth="1"/>
    <col min="12087" max="12087" width="24" customWidth="1"/>
    <col min="12088" max="12088" width="19.77734375" customWidth="1"/>
    <col min="12089" max="12089" width="22.77734375" customWidth="1"/>
    <col min="12090" max="12090" width="22.44140625" customWidth="1"/>
    <col min="12091" max="12091" width="20.5546875" customWidth="1"/>
    <col min="12092" max="12092" width="22.44140625" customWidth="1"/>
    <col min="12093" max="12093" width="56.44140625" customWidth="1"/>
    <col min="12094" max="12094" width="18.5546875" customWidth="1"/>
    <col min="12095" max="12095" width="20.44140625" customWidth="1"/>
    <col min="12096" max="12097" width="16" customWidth="1"/>
    <col min="12098" max="12098" width="13" customWidth="1"/>
    <col min="12099" max="12099" width="21.77734375" customWidth="1"/>
    <col min="12100" max="12100" width="19.77734375" customWidth="1"/>
    <col min="12101" max="12101" width="16.21875" customWidth="1"/>
    <col min="12102" max="12102" width="15.77734375" customWidth="1"/>
    <col min="12103" max="12103" width="18.77734375" customWidth="1"/>
    <col min="12104" max="12104" width="14.77734375" customWidth="1"/>
    <col min="12105" max="12105" width="20.21875" customWidth="1"/>
    <col min="12106" max="12106" width="15.21875" customWidth="1"/>
    <col min="12107" max="12107" width="22.77734375" customWidth="1"/>
    <col min="12108" max="12109" width="23" customWidth="1"/>
    <col min="12110" max="12115" width="9.21875" customWidth="1"/>
    <col min="12116" max="12116" width="24.21875" customWidth="1"/>
    <col min="12117" max="12119" width="9.21875" customWidth="1"/>
    <col min="12120" max="12120" width="17.21875" customWidth="1"/>
    <col min="12121" max="12252" width="9.21875" customWidth="1"/>
    <col min="12253" max="12253" width="2" customWidth="1"/>
    <col min="12254" max="12254" width="21.77734375" customWidth="1"/>
    <col min="12255" max="12255" width="16.21875" customWidth="1"/>
    <col min="12256" max="12256" width="34.77734375" customWidth="1"/>
    <col min="12257" max="12258" width="24.77734375" customWidth="1"/>
    <col min="12259" max="12259" width="31.44140625" customWidth="1"/>
    <col min="12260" max="12260" width="24.77734375" customWidth="1"/>
    <col min="12261" max="12261" width="26.77734375" customWidth="1"/>
    <col min="12262" max="12264" width="13.77734375" customWidth="1"/>
    <col min="12265" max="12265" width="12.77734375" customWidth="1"/>
    <col min="12266" max="12266" width="15.44140625" customWidth="1"/>
    <col min="12267" max="12267" width="16" customWidth="1"/>
    <col min="12268" max="12268" width="15.5546875" customWidth="1"/>
    <col min="12289" max="12289" width="27.44140625" customWidth="1"/>
    <col min="12290" max="12291" width="21.77734375" customWidth="1"/>
    <col min="12292" max="12292" width="24.77734375" customWidth="1"/>
    <col min="12293" max="12293" width="36" customWidth="1"/>
    <col min="12294" max="12294" width="24.77734375" customWidth="1"/>
    <col min="12295" max="12295" width="26.77734375" customWidth="1"/>
    <col min="12296" max="12297" width="13.77734375" customWidth="1"/>
    <col min="12298" max="12298" width="12.77734375" customWidth="1"/>
    <col min="12299" max="12299" width="15.44140625" customWidth="1"/>
    <col min="12300" max="12300" width="16" customWidth="1"/>
    <col min="12301" max="12301" width="15.5546875" customWidth="1"/>
    <col min="12303" max="12303" width="27.77734375" customWidth="1"/>
    <col min="12304" max="12304" width="18.77734375" customWidth="1"/>
    <col min="12305" max="12305" width="21" customWidth="1"/>
    <col min="12306" max="12306" width="31" customWidth="1"/>
    <col min="12307" max="12307" width="30.77734375" customWidth="1"/>
    <col min="12308" max="12308" width="14.44140625" customWidth="1"/>
    <col min="12309" max="12309" width="27.44140625" customWidth="1"/>
    <col min="12310" max="12310" width="26.44140625" customWidth="1"/>
    <col min="12311" max="12311" width="21.77734375" customWidth="1"/>
    <col min="12312" max="12312" width="12.21875" customWidth="1"/>
    <col min="12313" max="12313" width="13.21875" customWidth="1"/>
    <col min="12314" max="12314" width="14.77734375" customWidth="1"/>
    <col min="12315" max="12315" width="13.77734375" customWidth="1"/>
    <col min="12316" max="12316" width="19.21875" customWidth="1"/>
    <col min="12318" max="12318" width="16.77734375" customWidth="1"/>
    <col min="12319" max="12323" width="19.77734375" customWidth="1"/>
    <col min="12324" max="12324" width="13.21875" customWidth="1"/>
    <col min="12325" max="12325" width="12.44140625" customWidth="1"/>
    <col min="12326" max="12326" width="13.21875" customWidth="1"/>
    <col min="12327" max="12327" width="12.77734375" customWidth="1"/>
    <col min="12328" max="12328" width="12.44140625" customWidth="1"/>
    <col min="12329" max="12329" width="13.77734375" customWidth="1"/>
    <col min="12330" max="12330" width="12.21875" customWidth="1"/>
    <col min="12331" max="12331" width="33" customWidth="1"/>
    <col min="12332" max="12332" width="13.21875" customWidth="1"/>
    <col min="12333" max="12333" width="10.21875" customWidth="1"/>
    <col min="12334" max="12334" width="11.21875" customWidth="1"/>
    <col min="12335" max="12335" width="24.77734375" customWidth="1"/>
    <col min="12336" max="12336" width="14.5546875" customWidth="1"/>
    <col min="12337" max="12337" width="14.77734375" customWidth="1"/>
    <col min="12338" max="12338" width="81.44140625" customWidth="1"/>
    <col min="12339" max="12339" width="30" customWidth="1"/>
    <col min="12340" max="12341" width="24.21875" customWidth="1"/>
    <col min="12342" max="12342" width="17.21875" customWidth="1"/>
    <col min="12343" max="12343" width="24" customWidth="1"/>
    <col min="12344" max="12344" width="19.77734375" customWidth="1"/>
    <col min="12345" max="12345" width="22.77734375" customWidth="1"/>
    <col min="12346" max="12346" width="22.44140625" customWidth="1"/>
    <col min="12347" max="12347" width="20.5546875" customWidth="1"/>
    <col min="12348" max="12348" width="22.44140625" customWidth="1"/>
    <col min="12349" max="12349" width="56.44140625" customWidth="1"/>
    <col min="12350" max="12350" width="18.5546875" customWidth="1"/>
    <col min="12351" max="12351" width="20.44140625" customWidth="1"/>
    <col min="12352" max="12353" width="16" customWidth="1"/>
    <col min="12354" max="12354" width="13" customWidth="1"/>
    <col min="12355" max="12355" width="21.77734375" customWidth="1"/>
    <col min="12356" max="12356" width="19.77734375" customWidth="1"/>
    <col min="12357" max="12357" width="16.21875" customWidth="1"/>
    <col min="12358" max="12358" width="15.77734375" customWidth="1"/>
    <col min="12359" max="12359" width="18.77734375" customWidth="1"/>
    <col min="12360" max="12360" width="14.77734375" customWidth="1"/>
    <col min="12361" max="12361" width="20.21875" customWidth="1"/>
    <col min="12362" max="12362" width="15.21875" customWidth="1"/>
    <col min="12363" max="12363" width="22.77734375" customWidth="1"/>
    <col min="12364" max="12365" width="23" customWidth="1"/>
    <col min="12366" max="12371" width="9.21875" customWidth="1"/>
    <col min="12372" max="12372" width="24.21875" customWidth="1"/>
    <col min="12373" max="12375" width="9.21875" customWidth="1"/>
    <col min="12376" max="12376" width="17.21875" customWidth="1"/>
    <col min="12377" max="12508" width="9.21875" customWidth="1"/>
    <col min="12509" max="12509" width="2" customWidth="1"/>
    <col min="12510" max="12510" width="21.77734375" customWidth="1"/>
    <col min="12511" max="12511" width="16.21875" customWidth="1"/>
    <col min="12512" max="12512" width="34.77734375" customWidth="1"/>
    <col min="12513" max="12514" width="24.77734375" customWidth="1"/>
    <col min="12515" max="12515" width="31.44140625" customWidth="1"/>
    <col min="12516" max="12516" width="24.77734375" customWidth="1"/>
    <col min="12517" max="12517" width="26.77734375" customWidth="1"/>
    <col min="12518" max="12520" width="13.77734375" customWidth="1"/>
    <col min="12521" max="12521" width="12.77734375" customWidth="1"/>
    <col min="12522" max="12522" width="15.44140625" customWidth="1"/>
    <col min="12523" max="12523" width="16" customWidth="1"/>
    <col min="12524" max="12524" width="15.5546875" customWidth="1"/>
    <col min="12545" max="12545" width="27.44140625" customWidth="1"/>
    <col min="12546" max="12547" width="21.77734375" customWidth="1"/>
    <col min="12548" max="12548" width="24.77734375" customWidth="1"/>
    <col min="12549" max="12549" width="36" customWidth="1"/>
    <col min="12550" max="12550" width="24.77734375" customWidth="1"/>
    <col min="12551" max="12551" width="26.77734375" customWidth="1"/>
    <col min="12552" max="12553" width="13.77734375" customWidth="1"/>
    <col min="12554" max="12554" width="12.77734375" customWidth="1"/>
    <col min="12555" max="12555" width="15.44140625" customWidth="1"/>
    <col min="12556" max="12556" width="16" customWidth="1"/>
    <col min="12557" max="12557" width="15.5546875" customWidth="1"/>
    <col min="12559" max="12559" width="27.77734375" customWidth="1"/>
    <col min="12560" max="12560" width="18.77734375" customWidth="1"/>
    <col min="12561" max="12561" width="21" customWidth="1"/>
    <col min="12562" max="12562" width="31" customWidth="1"/>
    <col min="12563" max="12563" width="30.77734375" customWidth="1"/>
    <col min="12564" max="12564" width="14.44140625" customWidth="1"/>
    <col min="12565" max="12565" width="27.44140625" customWidth="1"/>
    <col min="12566" max="12566" width="26.44140625" customWidth="1"/>
    <col min="12567" max="12567" width="21.77734375" customWidth="1"/>
    <col min="12568" max="12568" width="12.21875" customWidth="1"/>
    <col min="12569" max="12569" width="13.21875" customWidth="1"/>
    <col min="12570" max="12570" width="14.77734375" customWidth="1"/>
    <col min="12571" max="12571" width="13.77734375" customWidth="1"/>
    <col min="12572" max="12572" width="19.21875" customWidth="1"/>
    <col min="12574" max="12574" width="16.77734375" customWidth="1"/>
    <col min="12575" max="12579" width="19.77734375" customWidth="1"/>
    <col min="12580" max="12580" width="13.21875" customWidth="1"/>
    <col min="12581" max="12581" width="12.44140625" customWidth="1"/>
    <col min="12582" max="12582" width="13.21875" customWidth="1"/>
    <col min="12583" max="12583" width="12.77734375" customWidth="1"/>
    <col min="12584" max="12584" width="12.44140625" customWidth="1"/>
    <col min="12585" max="12585" width="13.77734375" customWidth="1"/>
    <col min="12586" max="12586" width="12.21875" customWidth="1"/>
    <col min="12587" max="12587" width="33" customWidth="1"/>
    <col min="12588" max="12588" width="13.21875" customWidth="1"/>
    <col min="12589" max="12589" width="10.21875" customWidth="1"/>
    <col min="12590" max="12590" width="11.21875" customWidth="1"/>
    <col min="12591" max="12591" width="24.77734375" customWidth="1"/>
    <col min="12592" max="12592" width="14.5546875" customWidth="1"/>
    <col min="12593" max="12593" width="14.77734375" customWidth="1"/>
    <col min="12594" max="12594" width="81.44140625" customWidth="1"/>
    <col min="12595" max="12595" width="30" customWidth="1"/>
    <col min="12596" max="12597" width="24.21875" customWidth="1"/>
    <col min="12598" max="12598" width="17.21875" customWidth="1"/>
    <col min="12599" max="12599" width="24" customWidth="1"/>
    <col min="12600" max="12600" width="19.77734375" customWidth="1"/>
    <col min="12601" max="12601" width="22.77734375" customWidth="1"/>
    <col min="12602" max="12602" width="22.44140625" customWidth="1"/>
    <col min="12603" max="12603" width="20.5546875" customWidth="1"/>
    <col min="12604" max="12604" width="22.44140625" customWidth="1"/>
    <col min="12605" max="12605" width="56.44140625" customWidth="1"/>
    <col min="12606" max="12606" width="18.5546875" customWidth="1"/>
    <col min="12607" max="12607" width="20.44140625" customWidth="1"/>
    <col min="12608" max="12609" width="16" customWidth="1"/>
    <col min="12610" max="12610" width="13" customWidth="1"/>
    <col min="12611" max="12611" width="21.77734375" customWidth="1"/>
    <col min="12612" max="12612" width="19.77734375" customWidth="1"/>
    <col min="12613" max="12613" width="16.21875" customWidth="1"/>
    <col min="12614" max="12614" width="15.77734375" customWidth="1"/>
    <col min="12615" max="12615" width="18.77734375" customWidth="1"/>
    <col min="12616" max="12616" width="14.77734375" customWidth="1"/>
    <col min="12617" max="12617" width="20.21875" customWidth="1"/>
    <col min="12618" max="12618" width="15.21875" customWidth="1"/>
    <col min="12619" max="12619" width="22.77734375" customWidth="1"/>
    <col min="12620" max="12621" width="23" customWidth="1"/>
    <col min="12622" max="12627" width="9.21875" customWidth="1"/>
    <col min="12628" max="12628" width="24.21875" customWidth="1"/>
    <col min="12629" max="12631" width="9.21875" customWidth="1"/>
    <col min="12632" max="12632" width="17.21875" customWidth="1"/>
    <col min="12633" max="12764" width="9.21875" customWidth="1"/>
    <col min="12765" max="12765" width="2" customWidth="1"/>
    <col min="12766" max="12766" width="21.77734375" customWidth="1"/>
    <col min="12767" max="12767" width="16.21875" customWidth="1"/>
    <col min="12768" max="12768" width="34.77734375" customWidth="1"/>
    <col min="12769" max="12770" width="24.77734375" customWidth="1"/>
    <col min="12771" max="12771" width="31.44140625" customWidth="1"/>
    <col min="12772" max="12772" width="24.77734375" customWidth="1"/>
    <col min="12773" max="12773" width="26.77734375" customWidth="1"/>
    <col min="12774" max="12776" width="13.77734375" customWidth="1"/>
    <col min="12777" max="12777" width="12.77734375" customWidth="1"/>
    <col min="12778" max="12778" width="15.44140625" customWidth="1"/>
    <col min="12779" max="12779" width="16" customWidth="1"/>
    <col min="12780" max="12780" width="15.5546875" customWidth="1"/>
    <col min="12801" max="12801" width="27.44140625" customWidth="1"/>
    <col min="12802" max="12803" width="21.77734375" customWidth="1"/>
    <col min="12804" max="12804" width="24.77734375" customWidth="1"/>
    <col min="12805" max="12805" width="36" customWidth="1"/>
    <col min="12806" max="12806" width="24.77734375" customWidth="1"/>
    <col min="12807" max="12807" width="26.77734375" customWidth="1"/>
    <col min="12808" max="12809" width="13.77734375" customWidth="1"/>
    <col min="12810" max="12810" width="12.77734375" customWidth="1"/>
    <col min="12811" max="12811" width="15.44140625" customWidth="1"/>
    <col min="12812" max="12812" width="16" customWidth="1"/>
    <col min="12813" max="12813" width="15.5546875" customWidth="1"/>
    <col min="12815" max="12815" width="27.77734375" customWidth="1"/>
    <col min="12816" max="12816" width="18.77734375" customWidth="1"/>
    <col min="12817" max="12817" width="21" customWidth="1"/>
    <col min="12818" max="12818" width="31" customWidth="1"/>
    <col min="12819" max="12819" width="30.77734375" customWidth="1"/>
    <col min="12820" max="12820" width="14.44140625" customWidth="1"/>
    <col min="12821" max="12821" width="27.44140625" customWidth="1"/>
    <col min="12822" max="12822" width="26.44140625" customWidth="1"/>
    <col min="12823" max="12823" width="21.77734375" customWidth="1"/>
    <col min="12824" max="12824" width="12.21875" customWidth="1"/>
    <col min="12825" max="12825" width="13.21875" customWidth="1"/>
    <col min="12826" max="12826" width="14.77734375" customWidth="1"/>
    <col min="12827" max="12827" width="13.77734375" customWidth="1"/>
    <col min="12828" max="12828" width="19.21875" customWidth="1"/>
    <col min="12830" max="12830" width="16.77734375" customWidth="1"/>
    <col min="12831" max="12835" width="19.77734375" customWidth="1"/>
    <col min="12836" max="12836" width="13.21875" customWidth="1"/>
    <col min="12837" max="12837" width="12.44140625" customWidth="1"/>
    <col min="12838" max="12838" width="13.21875" customWidth="1"/>
    <col min="12839" max="12839" width="12.77734375" customWidth="1"/>
    <col min="12840" max="12840" width="12.44140625" customWidth="1"/>
    <col min="12841" max="12841" width="13.77734375" customWidth="1"/>
    <col min="12842" max="12842" width="12.21875" customWidth="1"/>
    <col min="12843" max="12843" width="33" customWidth="1"/>
    <col min="12844" max="12844" width="13.21875" customWidth="1"/>
    <col min="12845" max="12845" width="10.21875" customWidth="1"/>
    <col min="12846" max="12846" width="11.21875" customWidth="1"/>
    <col min="12847" max="12847" width="24.77734375" customWidth="1"/>
    <col min="12848" max="12848" width="14.5546875" customWidth="1"/>
    <col min="12849" max="12849" width="14.77734375" customWidth="1"/>
    <col min="12850" max="12850" width="81.44140625" customWidth="1"/>
    <col min="12851" max="12851" width="30" customWidth="1"/>
    <col min="12852" max="12853" width="24.21875" customWidth="1"/>
    <col min="12854" max="12854" width="17.21875" customWidth="1"/>
    <col min="12855" max="12855" width="24" customWidth="1"/>
    <col min="12856" max="12856" width="19.77734375" customWidth="1"/>
    <col min="12857" max="12857" width="22.77734375" customWidth="1"/>
    <col min="12858" max="12858" width="22.44140625" customWidth="1"/>
    <col min="12859" max="12859" width="20.5546875" customWidth="1"/>
    <col min="12860" max="12860" width="22.44140625" customWidth="1"/>
    <col min="12861" max="12861" width="56.44140625" customWidth="1"/>
    <col min="12862" max="12862" width="18.5546875" customWidth="1"/>
    <col min="12863" max="12863" width="20.44140625" customWidth="1"/>
    <col min="12864" max="12865" width="16" customWidth="1"/>
    <col min="12866" max="12866" width="13" customWidth="1"/>
    <col min="12867" max="12867" width="21.77734375" customWidth="1"/>
    <col min="12868" max="12868" width="19.77734375" customWidth="1"/>
    <col min="12869" max="12869" width="16.21875" customWidth="1"/>
    <col min="12870" max="12870" width="15.77734375" customWidth="1"/>
    <col min="12871" max="12871" width="18.77734375" customWidth="1"/>
    <col min="12872" max="12872" width="14.77734375" customWidth="1"/>
    <col min="12873" max="12873" width="20.21875" customWidth="1"/>
    <col min="12874" max="12874" width="15.21875" customWidth="1"/>
    <col min="12875" max="12875" width="22.77734375" customWidth="1"/>
    <col min="12876" max="12877" width="23" customWidth="1"/>
    <col min="12878" max="12883" width="9.21875" customWidth="1"/>
    <col min="12884" max="12884" width="24.21875" customWidth="1"/>
    <col min="12885" max="12887" width="9.21875" customWidth="1"/>
    <col min="12888" max="12888" width="17.21875" customWidth="1"/>
    <col min="12889" max="13020" width="9.21875" customWidth="1"/>
    <col min="13021" max="13021" width="2" customWidth="1"/>
    <col min="13022" max="13022" width="21.77734375" customWidth="1"/>
    <col min="13023" max="13023" width="16.21875" customWidth="1"/>
    <col min="13024" max="13024" width="34.77734375" customWidth="1"/>
    <col min="13025" max="13026" width="24.77734375" customWidth="1"/>
    <col min="13027" max="13027" width="31.44140625" customWidth="1"/>
    <col min="13028" max="13028" width="24.77734375" customWidth="1"/>
    <col min="13029" max="13029" width="26.77734375" customWidth="1"/>
    <col min="13030" max="13032" width="13.77734375" customWidth="1"/>
    <col min="13033" max="13033" width="12.77734375" customWidth="1"/>
    <col min="13034" max="13034" width="15.44140625" customWidth="1"/>
    <col min="13035" max="13035" width="16" customWidth="1"/>
    <col min="13036" max="13036" width="15.5546875" customWidth="1"/>
    <col min="13057" max="13057" width="27.44140625" customWidth="1"/>
    <col min="13058" max="13059" width="21.77734375" customWidth="1"/>
    <col min="13060" max="13060" width="24.77734375" customWidth="1"/>
    <col min="13061" max="13061" width="36" customWidth="1"/>
    <col min="13062" max="13062" width="24.77734375" customWidth="1"/>
    <col min="13063" max="13063" width="26.77734375" customWidth="1"/>
    <col min="13064" max="13065" width="13.77734375" customWidth="1"/>
    <col min="13066" max="13066" width="12.77734375" customWidth="1"/>
    <col min="13067" max="13067" width="15.44140625" customWidth="1"/>
    <col min="13068" max="13068" width="16" customWidth="1"/>
    <col min="13069" max="13069" width="15.5546875" customWidth="1"/>
    <col min="13071" max="13071" width="27.77734375" customWidth="1"/>
    <col min="13072" max="13072" width="18.77734375" customWidth="1"/>
    <col min="13073" max="13073" width="21" customWidth="1"/>
    <col min="13074" max="13074" width="31" customWidth="1"/>
    <col min="13075" max="13075" width="30.77734375" customWidth="1"/>
    <col min="13076" max="13076" width="14.44140625" customWidth="1"/>
    <col min="13077" max="13077" width="27.44140625" customWidth="1"/>
    <col min="13078" max="13078" width="26.44140625" customWidth="1"/>
    <col min="13079" max="13079" width="21.77734375" customWidth="1"/>
    <col min="13080" max="13080" width="12.21875" customWidth="1"/>
    <col min="13081" max="13081" width="13.21875" customWidth="1"/>
    <col min="13082" max="13082" width="14.77734375" customWidth="1"/>
    <col min="13083" max="13083" width="13.77734375" customWidth="1"/>
    <col min="13084" max="13084" width="19.21875" customWidth="1"/>
    <col min="13086" max="13086" width="16.77734375" customWidth="1"/>
    <col min="13087" max="13091" width="19.77734375" customWidth="1"/>
    <col min="13092" max="13092" width="13.21875" customWidth="1"/>
    <col min="13093" max="13093" width="12.44140625" customWidth="1"/>
    <col min="13094" max="13094" width="13.21875" customWidth="1"/>
    <col min="13095" max="13095" width="12.77734375" customWidth="1"/>
    <col min="13096" max="13096" width="12.44140625" customWidth="1"/>
    <col min="13097" max="13097" width="13.77734375" customWidth="1"/>
    <col min="13098" max="13098" width="12.21875" customWidth="1"/>
    <col min="13099" max="13099" width="33" customWidth="1"/>
    <col min="13100" max="13100" width="13.21875" customWidth="1"/>
    <col min="13101" max="13101" width="10.21875" customWidth="1"/>
    <col min="13102" max="13102" width="11.21875" customWidth="1"/>
    <col min="13103" max="13103" width="24.77734375" customWidth="1"/>
    <col min="13104" max="13104" width="14.5546875" customWidth="1"/>
    <col min="13105" max="13105" width="14.77734375" customWidth="1"/>
    <col min="13106" max="13106" width="81.44140625" customWidth="1"/>
    <col min="13107" max="13107" width="30" customWidth="1"/>
    <col min="13108" max="13109" width="24.21875" customWidth="1"/>
    <col min="13110" max="13110" width="17.21875" customWidth="1"/>
    <col min="13111" max="13111" width="24" customWidth="1"/>
    <col min="13112" max="13112" width="19.77734375" customWidth="1"/>
    <col min="13113" max="13113" width="22.77734375" customWidth="1"/>
    <col min="13114" max="13114" width="22.44140625" customWidth="1"/>
    <col min="13115" max="13115" width="20.5546875" customWidth="1"/>
    <col min="13116" max="13116" width="22.44140625" customWidth="1"/>
    <col min="13117" max="13117" width="56.44140625" customWidth="1"/>
    <col min="13118" max="13118" width="18.5546875" customWidth="1"/>
    <col min="13119" max="13119" width="20.44140625" customWidth="1"/>
    <col min="13120" max="13121" width="16" customWidth="1"/>
    <col min="13122" max="13122" width="13" customWidth="1"/>
    <col min="13123" max="13123" width="21.77734375" customWidth="1"/>
    <col min="13124" max="13124" width="19.77734375" customWidth="1"/>
    <col min="13125" max="13125" width="16.21875" customWidth="1"/>
    <col min="13126" max="13126" width="15.77734375" customWidth="1"/>
    <col min="13127" max="13127" width="18.77734375" customWidth="1"/>
    <col min="13128" max="13128" width="14.77734375" customWidth="1"/>
    <col min="13129" max="13129" width="20.21875" customWidth="1"/>
    <col min="13130" max="13130" width="15.21875" customWidth="1"/>
    <col min="13131" max="13131" width="22.77734375" customWidth="1"/>
    <col min="13132" max="13133" width="23" customWidth="1"/>
    <col min="13134" max="13139" width="9.21875" customWidth="1"/>
    <col min="13140" max="13140" width="24.21875" customWidth="1"/>
    <col min="13141" max="13143" width="9.21875" customWidth="1"/>
    <col min="13144" max="13144" width="17.21875" customWidth="1"/>
    <col min="13145" max="13276" width="9.21875" customWidth="1"/>
    <col min="13277" max="13277" width="2" customWidth="1"/>
    <col min="13278" max="13278" width="21.77734375" customWidth="1"/>
    <col min="13279" max="13279" width="16.21875" customWidth="1"/>
    <col min="13280" max="13280" width="34.77734375" customWidth="1"/>
    <col min="13281" max="13282" width="24.77734375" customWidth="1"/>
    <col min="13283" max="13283" width="31.44140625" customWidth="1"/>
    <col min="13284" max="13284" width="24.77734375" customWidth="1"/>
    <col min="13285" max="13285" width="26.77734375" customWidth="1"/>
    <col min="13286" max="13288" width="13.77734375" customWidth="1"/>
    <col min="13289" max="13289" width="12.77734375" customWidth="1"/>
    <col min="13290" max="13290" width="15.44140625" customWidth="1"/>
    <col min="13291" max="13291" width="16" customWidth="1"/>
    <col min="13292" max="13292" width="15.5546875" customWidth="1"/>
    <col min="13313" max="13313" width="27.44140625" customWidth="1"/>
    <col min="13314" max="13315" width="21.77734375" customWidth="1"/>
    <col min="13316" max="13316" width="24.77734375" customWidth="1"/>
    <col min="13317" max="13317" width="36" customWidth="1"/>
    <col min="13318" max="13318" width="24.77734375" customWidth="1"/>
    <col min="13319" max="13319" width="26.77734375" customWidth="1"/>
    <col min="13320" max="13321" width="13.77734375" customWidth="1"/>
    <col min="13322" max="13322" width="12.77734375" customWidth="1"/>
    <col min="13323" max="13323" width="15.44140625" customWidth="1"/>
    <col min="13324" max="13324" width="16" customWidth="1"/>
    <col min="13325" max="13325" width="15.5546875" customWidth="1"/>
    <col min="13327" max="13327" width="27.77734375" customWidth="1"/>
    <col min="13328" max="13328" width="18.77734375" customWidth="1"/>
    <col min="13329" max="13329" width="21" customWidth="1"/>
    <col min="13330" max="13330" width="31" customWidth="1"/>
    <col min="13331" max="13331" width="30.77734375" customWidth="1"/>
    <col min="13332" max="13332" width="14.44140625" customWidth="1"/>
    <col min="13333" max="13333" width="27.44140625" customWidth="1"/>
    <col min="13334" max="13334" width="26.44140625" customWidth="1"/>
    <col min="13335" max="13335" width="21.77734375" customWidth="1"/>
    <col min="13336" max="13336" width="12.21875" customWidth="1"/>
    <col min="13337" max="13337" width="13.21875" customWidth="1"/>
    <col min="13338" max="13338" width="14.77734375" customWidth="1"/>
    <col min="13339" max="13339" width="13.77734375" customWidth="1"/>
    <col min="13340" max="13340" width="19.21875" customWidth="1"/>
    <col min="13342" max="13342" width="16.77734375" customWidth="1"/>
    <col min="13343" max="13347" width="19.77734375" customWidth="1"/>
    <col min="13348" max="13348" width="13.21875" customWidth="1"/>
    <col min="13349" max="13349" width="12.44140625" customWidth="1"/>
    <col min="13350" max="13350" width="13.21875" customWidth="1"/>
    <col min="13351" max="13351" width="12.77734375" customWidth="1"/>
    <col min="13352" max="13352" width="12.44140625" customWidth="1"/>
    <col min="13353" max="13353" width="13.77734375" customWidth="1"/>
    <col min="13354" max="13354" width="12.21875" customWidth="1"/>
    <col min="13355" max="13355" width="33" customWidth="1"/>
    <col min="13356" max="13356" width="13.21875" customWidth="1"/>
    <col min="13357" max="13357" width="10.21875" customWidth="1"/>
    <col min="13358" max="13358" width="11.21875" customWidth="1"/>
    <col min="13359" max="13359" width="24.77734375" customWidth="1"/>
    <col min="13360" max="13360" width="14.5546875" customWidth="1"/>
    <col min="13361" max="13361" width="14.77734375" customWidth="1"/>
    <col min="13362" max="13362" width="81.44140625" customWidth="1"/>
    <col min="13363" max="13363" width="30" customWidth="1"/>
    <col min="13364" max="13365" width="24.21875" customWidth="1"/>
    <col min="13366" max="13366" width="17.21875" customWidth="1"/>
    <col min="13367" max="13367" width="24" customWidth="1"/>
    <col min="13368" max="13368" width="19.77734375" customWidth="1"/>
    <col min="13369" max="13369" width="22.77734375" customWidth="1"/>
    <col min="13370" max="13370" width="22.44140625" customWidth="1"/>
    <col min="13371" max="13371" width="20.5546875" customWidth="1"/>
    <col min="13372" max="13372" width="22.44140625" customWidth="1"/>
    <col min="13373" max="13373" width="56.44140625" customWidth="1"/>
    <col min="13374" max="13374" width="18.5546875" customWidth="1"/>
    <col min="13375" max="13375" width="20.44140625" customWidth="1"/>
    <col min="13376" max="13377" width="16" customWidth="1"/>
    <col min="13378" max="13378" width="13" customWidth="1"/>
    <col min="13379" max="13379" width="21.77734375" customWidth="1"/>
    <col min="13380" max="13380" width="19.77734375" customWidth="1"/>
    <col min="13381" max="13381" width="16.21875" customWidth="1"/>
    <col min="13382" max="13382" width="15.77734375" customWidth="1"/>
    <col min="13383" max="13383" width="18.77734375" customWidth="1"/>
    <col min="13384" max="13384" width="14.77734375" customWidth="1"/>
    <col min="13385" max="13385" width="20.21875" customWidth="1"/>
    <col min="13386" max="13386" width="15.21875" customWidth="1"/>
    <col min="13387" max="13387" width="22.77734375" customWidth="1"/>
    <col min="13388" max="13389" width="23" customWidth="1"/>
    <col min="13390" max="13395" width="9.21875" customWidth="1"/>
    <col min="13396" max="13396" width="24.21875" customWidth="1"/>
    <col min="13397" max="13399" width="9.21875" customWidth="1"/>
    <col min="13400" max="13400" width="17.21875" customWidth="1"/>
    <col min="13401" max="13532" width="9.21875" customWidth="1"/>
    <col min="13533" max="13533" width="2" customWidth="1"/>
    <col min="13534" max="13534" width="21.77734375" customWidth="1"/>
    <col min="13535" max="13535" width="16.21875" customWidth="1"/>
    <col min="13536" max="13536" width="34.77734375" customWidth="1"/>
    <col min="13537" max="13538" width="24.77734375" customWidth="1"/>
    <col min="13539" max="13539" width="31.44140625" customWidth="1"/>
    <col min="13540" max="13540" width="24.77734375" customWidth="1"/>
    <col min="13541" max="13541" width="26.77734375" customWidth="1"/>
    <col min="13542" max="13544" width="13.77734375" customWidth="1"/>
    <col min="13545" max="13545" width="12.77734375" customWidth="1"/>
    <col min="13546" max="13546" width="15.44140625" customWidth="1"/>
    <col min="13547" max="13547" width="16" customWidth="1"/>
    <col min="13548" max="13548" width="15.5546875" customWidth="1"/>
    <col min="13569" max="13569" width="27.44140625" customWidth="1"/>
    <col min="13570" max="13571" width="21.77734375" customWidth="1"/>
    <col min="13572" max="13572" width="24.77734375" customWidth="1"/>
    <col min="13573" max="13573" width="36" customWidth="1"/>
    <col min="13574" max="13574" width="24.77734375" customWidth="1"/>
    <col min="13575" max="13575" width="26.77734375" customWidth="1"/>
    <col min="13576" max="13577" width="13.77734375" customWidth="1"/>
    <col min="13578" max="13578" width="12.77734375" customWidth="1"/>
    <col min="13579" max="13579" width="15.44140625" customWidth="1"/>
    <col min="13580" max="13580" width="16" customWidth="1"/>
    <col min="13581" max="13581" width="15.5546875" customWidth="1"/>
    <col min="13583" max="13583" width="27.77734375" customWidth="1"/>
    <col min="13584" max="13584" width="18.77734375" customWidth="1"/>
    <col min="13585" max="13585" width="21" customWidth="1"/>
    <col min="13586" max="13586" width="31" customWidth="1"/>
    <col min="13587" max="13587" width="30.77734375" customWidth="1"/>
    <col min="13588" max="13588" width="14.44140625" customWidth="1"/>
    <col min="13589" max="13589" width="27.44140625" customWidth="1"/>
    <col min="13590" max="13590" width="26.44140625" customWidth="1"/>
    <col min="13591" max="13591" width="21.77734375" customWidth="1"/>
    <col min="13592" max="13592" width="12.21875" customWidth="1"/>
    <col min="13593" max="13593" width="13.21875" customWidth="1"/>
    <col min="13594" max="13594" width="14.77734375" customWidth="1"/>
    <col min="13595" max="13595" width="13.77734375" customWidth="1"/>
    <col min="13596" max="13596" width="19.21875" customWidth="1"/>
    <col min="13598" max="13598" width="16.77734375" customWidth="1"/>
    <col min="13599" max="13603" width="19.77734375" customWidth="1"/>
    <col min="13604" max="13604" width="13.21875" customWidth="1"/>
    <col min="13605" max="13605" width="12.44140625" customWidth="1"/>
    <col min="13606" max="13606" width="13.21875" customWidth="1"/>
    <col min="13607" max="13607" width="12.77734375" customWidth="1"/>
    <col min="13608" max="13608" width="12.44140625" customWidth="1"/>
    <col min="13609" max="13609" width="13.77734375" customWidth="1"/>
    <col min="13610" max="13610" width="12.21875" customWidth="1"/>
    <col min="13611" max="13611" width="33" customWidth="1"/>
    <col min="13612" max="13612" width="13.21875" customWidth="1"/>
    <col min="13613" max="13613" width="10.21875" customWidth="1"/>
    <col min="13614" max="13614" width="11.21875" customWidth="1"/>
    <col min="13615" max="13615" width="24.77734375" customWidth="1"/>
    <col min="13616" max="13616" width="14.5546875" customWidth="1"/>
    <col min="13617" max="13617" width="14.77734375" customWidth="1"/>
    <col min="13618" max="13618" width="81.44140625" customWidth="1"/>
    <col min="13619" max="13619" width="30" customWidth="1"/>
    <col min="13620" max="13621" width="24.21875" customWidth="1"/>
    <col min="13622" max="13622" width="17.21875" customWidth="1"/>
    <col min="13623" max="13623" width="24" customWidth="1"/>
    <col min="13624" max="13624" width="19.77734375" customWidth="1"/>
    <col min="13625" max="13625" width="22.77734375" customWidth="1"/>
    <col min="13626" max="13626" width="22.44140625" customWidth="1"/>
    <col min="13627" max="13627" width="20.5546875" customWidth="1"/>
    <col min="13628" max="13628" width="22.44140625" customWidth="1"/>
    <col min="13629" max="13629" width="56.44140625" customWidth="1"/>
    <col min="13630" max="13630" width="18.5546875" customWidth="1"/>
    <col min="13631" max="13631" width="20.44140625" customWidth="1"/>
    <col min="13632" max="13633" width="16" customWidth="1"/>
    <col min="13634" max="13634" width="13" customWidth="1"/>
    <col min="13635" max="13635" width="21.77734375" customWidth="1"/>
    <col min="13636" max="13636" width="19.77734375" customWidth="1"/>
    <col min="13637" max="13637" width="16.21875" customWidth="1"/>
    <col min="13638" max="13638" width="15.77734375" customWidth="1"/>
    <col min="13639" max="13639" width="18.77734375" customWidth="1"/>
    <col min="13640" max="13640" width="14.77734375" customWidth="1"/>
    <col min="13641" max="13641" width="20.21875" customWidth="1"/>
    <col min="13642" max="13642" width="15.21875" customWidth="1"/>
    <col min="13643" max="13643" width="22.77734375" customWidth="1"/>
    <col min="13644" max="13645" width="23" customWidth="1"/>
    <col min="13646" max="13651" width="9.21875" customWidth="1"/>
    <col min="13652" max="13652" width="24.21875" customWidth="1"/>
    <col min="13653" max="13655" width="9.21875" customWidth="1"/>
    <col min="13656" max="13656" width="17.21875" customWidth="1"/>
    <col min="13657" max="13788" width="9.21875" customWidth="1"/>
    <col min="13789" max="13789" width="2" customWidth="1"/>
    <col min="13790" max="13790" width="21.77734375" customWidth="1"/>
    <col min="13791" max="13791" width="16.21875" customWidth="1"/>
    <col min="13792" max="13792" width="34.77734375" customWidth="1"/>
    <col min="13793" max="13794" width="24.77734375" customWidth="1"/>
    <col min="13795" max="13795" width="31.44140625" customWidth="1"/>
    <col min="13796" max="13796" width="24.77734375" customWidth="1"/>
    <col min="13797" max="13797" width="26.77734375" customWidth="1"/>
    <col min="13798" max="13800" width="13.77734375" customWidth="1"/>
    <col min="13801" max="13801" width="12.77734375" customWidth="1"/>
    <col min="13802" max="13802" width="15.44140625" customWidth="1"/>
    <col min="13803" max="13803" width="16" customWidth="1"/>
    <col min="13804" max="13804" width="15.5546875" customWidth="1"/>
    <col min="13825" max="13825" width="27.44140625" customWidth="1"/>
    <col min="13826" max="13827" width="21.77734375" customWidth="1"/>
    <col min="13828" max="13828" width="24.77734375" customWidth="1"/>
    <col min="13829" max="13829" width="36" customWidth="1"/>
    <col min="13830" max="13830" width="24.77734375" customWidth="1"/>
    <col min="13831" max="13831" width="26.77734375" customWidth="1"/>
    <col min="13832" max="13833" width="13.77734375" customWidth="1"/>
    <col min="13834" max="13834" width="12.77734375" customWidth="1"/>
    <col min="13835" max="13835" width="15.44140625" customWidth="1"/>
    <col min="13836" max="13836" width="16" customWidth="1"/>
    <col min="13837" max="13837" width="15.5546875" customWidth="1"/>
    <col min="13839" max="13839" width="27.77734375" customWidth="1"/>
    <col min="13840" max="13840" width="18.77734375" customWidth="1"/>
    <col min="13841" max="13841" width="21" customWidth="1"/>
    <col min="13842" max="13842" width="31" customWidth="1"/>
    <col min="13843" max="13843" width="30.77734375" customWidth="1"/>
    <col min="13844" max="13844" width="14.44140625" customWidth="1"/>
    <col min="13845" max="13845" width="27.44140625" customWidth="1"/>
    <col min="13846" max="13846" width="26.44140625" customWidth="1"/>
    <col min="13847" max="13847" width="21.77734375" customWidth="1"/>
    <col min="13848" max="13848" width="12.21875" customWidth="1"/>
    <col min="13849" max="13849" width="13.21875" customWidth="1"/>
    <col min="13850" max="13850" width="14.77734375" customWidth="1"/>
    <col min="13851" max="13851" width="13.77734375" customWidth="1"/>
    <col min="13852" max="13852" width="19.21875" customWidth="1"/>
    <col min="13854" max="13854" width="16.77734375" customWidth="1"/>
    <col min="13855" max="13859" width="19.77734375" customWidth="1"/>
    <col min="13860" max="13860" width="13.21875" customWidth="1"/>
    <col min="13861" max="13861" width="12.44140625" customWidth="1"/>
    <col min="13862" max="13862" width="13.21875" customWidth="1"/>
    <col min="13863" max="13863" width="12.77734375" customWidth="1"/>
    <col min="13864" max="13864" width="12.44140625" customWidth="1"/>
    <col min="13865" max="13865" width="13.77734375" customWidth="1"/>
    <col min="13866" max="13866" width="12.21875" customWidth="1"/>
    <col min="13867" max="13867" width="33" customWidth="1"/>
    <col min="13868" max="13868" width="13.21875" customWidth="1"/>
    <col min="13869" max="13869" width="10.21875" customWidth="1"/>
    <col min="13870" max="13870" width="11.21875" customWidth="1"/>
    <col min="13871" max="13871" width="24.77734375" customWidth="1"/>
    <col min="13872" max="13872" width="14.5546875" customWidth="1"/>
    <col min="13873" max="13873" width="14.77734375" customWidth="1"/>
    <col min="13874" max="13874" width="81.44140625" customWidth="1"/>
    <col min="13875" max="13875" width="30" customWidth="1"/>
    <col min="13876" max="13877" width="24.21875" customWidth="1"/>
    <col min="13878" max="13878" width="17.21875" customWidth="1"/>
    <col min="13879" max="13879" width="24" customWidth="1"/>
    <col min="13880" max="13880" width="19.77734375" customWidth="1"/>
    <col min="13881" max="13881" width="22.77734375" customWidth="1"/>
    <col min="13882" max="13882" width="22.44140625" customWidth="1"/>
    <col min="13883" max="13883" width="20.5546875" customWidth="1"/>
    <col min="13884" max="13884" width="22.44140625" customWidth="1"/>
    <col min="13885" max="13885" width="56.44140625" customWidth="1"/>
    <col min="13886" max="13886" width="18.5546875" customWidth="1"/>
    <col min="13887" max="13887" width="20.44140625" customWidth="1"/>
    <col min="13888" max="13889" width="16" customWidth="1"/>
    <col min="13890" max="13890" width="13" customWidth="1"/>
    <col min="13891" max="13891" width="21.77734375" customWidth="1"/>
    <col min="13892" max="13892" width="19.77734375" customWidth="1"/>
    <col min="13893" max="13893" width="16.21875" customWidth="1"/>
    <col min="13894" max="13894" width="15.77734375" customWidth="1"/>
    <col min="13895" max="13895" width="18.77734375" customWidth="1"/>
    <col min="13896" max="13896" width="14.77734375" customWidth="1"/>
    <col min="13897" max="13897" width="20.21875" customWidth="1"/>
    <col min="13898" max="13898" width="15.21875" customWidth="1"/>
    <col min="13899" max="13899" width="22.77734375" customWidth="1"/>
    <col min="13900" max="13901" width="23" customWidth="1"/>
    <col min="13902" max="13907" width="9.21875" customWidth="1"/>
    <col min="13908" max="13908" width="24.21875" customWidth="1"/>
    <col min="13909" max="13911" width="9.21875" customWidth="1"/>
    <col min="13912" max="13912" width="17.21875" customWidth="1"/>
    <col min="13913" max="14044" width="9.21875" customWidth="1"/>
    <col min="14045" max="14045" width="2" customWidth="1"/>
    <col min="14046" max="14046" width="21.77734375" customWidth="1"/>
    <col min="14047" max="14047" width="16.21875" customWidth="1"/>
    <col min="14048" max="14048" width="34.77734375" customWidth="1"/>
    <col min="14049" max="14050" width="24.77734375" customWidth="1"/>
    <col min="14051" max="14051" width="31.44140625" customWidth="1"/>
    <col min="14052" max="14052" width="24.77734375" customWidth="1"/>
    <col min="14053" max="14053" width="26.77734375" customWidth="1"/>
    <col min="14054" max="14056" width="13.77734375" customWidth="1"/>
    <col min="14057" max="14057" width="12.77734375" customWidth="1"/>
    <col min="14058" max="14058" width="15.44140625" customWidth="1"/>
    <col min="14059" max="14059" width="16" customWidth="1"/>
    <col min="14060" max="14060" width="15.5546875" customWidth="1"/>
    <col min="14081" max="14081" width="27.44140625" customWidth="1"/>
    <col min="14082" max="14083" width="21.77734375" customWidth="1"/>
    <col min="14084" max="14084" width="24.77734375" customWidth="1"/>
    <col min="14085" max="14085" width="36" customWidth="1"/>
    <col min="14086" max="14086" width="24.77734375" customWidth="1"/>
    <col min="14087" max="14087" width="26.77734375" customWidth="1"/>
    <col min="14088" max="14089" width="13.77734375" customWidth="1"/>
    <col min="14090" max="14090" width="12.77734375" customWidth="1"/>
    <col min="14091" max="14091" width="15.44140625" customWidth="1"/>
    <col min="14092" max="14092" width="16" customWidth="1"/>
    <col min="14093" max="14093" width="15.5546875" customWidth="1"/>
    <col min="14095" max="14095" width="27.77734375" customWidth="1"/>
    <col min="14096" max="14096" width="18.77734375" customWidth="1"/>
    <col min="14097" max="14097" width="21" customWidth="1"/>
    <col min="14098" max="14098" width="31" customWidth="1"/>
    <col min="14099" max="14099" width="30.77734375" customWidth="1"/>
    <col min="14100" max="14100" width="14.44140625" customWidth="1"/>
    <col min="14101" max="14101" width="27.44140625" customWidth="1"/>
    <col min="14102" max="14102" width="26.44140625" customWidth="1"/>
    <col min="14103" max="14103" width="21.77734375" customWidth="1"/>
    <col min="14104" max="14104" width="12.21875" customWidth="1"/>
    <col min="14105" max="14105" width="13.21875" customWidth="1"/>
    <col min="14106" max="14106" width="14.77734375" customWidth="1"/>
    <col min="14107" max="14107" width="13.77734375" customWidth="1"/>
    <col min="14108" max="14108" width="19.21875" customWidth="1"/>
    <col min="14110" max="14110" width="16.77734375" customWidth="1"/>
    <col min="14111" max="14115" width="19.77734375" customWidth="1"/>
    <col min="14116" max="14116" width="13.21875" customWidth="1"/>
    <col min="14117" max="14117" width="12.44140625" customWidth="1"/>
    <col min="14118" max="14118" width="13.21875" customWidth="1"/>
    <col min="14119" max="14119" width="12.77734375" customWidth="1"/>
    <col min="14120" max="14120" width="12.44140625" customWidth="1"/>
    <col min="14121" max="14121" width="13.77734375" customWidth="1"/>
    <col min="14122" max="14122" width="12.21875" customWidth="1"/>
    <col min="14123" max="14123" width="33" customWidth="1"/>
    <col min="14124" max="14124" width="13.21875" customWidth="1"/>
    <col min="14125" max="14125" width="10.21875" customWidth="1"/>
    <col min="14126" max="14126" width="11.21875" customWidth="1"/>
    <col min="14127" max="14127" width="24.77734375" customWidth="1"/>
    <col min="14128" max="14128" width="14.5546875" customWidth="1"/>
    <col min="14129" max="14129" width="14.77734375" customWidth="1"/>
    <col min="14130" max="14130" width="81.44140625" customWidth="1"/>
    <col min="14131" max="14131" width="30" customWidth="1"/>
    <col min="14132" max="14133" width="24.21875" customWidth="1"/>
    <col min="14134" max="14134" width="17.21875" customWidth="1"/>
    <col min="14135" max="14135" width="24" customWidth="1"/>
    <col min="14136" max="14136" width="19.77734375" customWidth="1"/>
    <col min="14137" max="14137" width="22.77734375" customWidth="1"/>
    <col min="14138" max="14138" width="22.44140625" customWidth="1"/>
    <col min="14139" max="14139" width="20.5546875" customWidth="1"/>
    <col min="14140" max="14140" width="22.44140625" customWidth="1"/>
    <col min="14141" max="14141" width="56.44140625" customWidth="1"/>
    <col min="14142" max="14142" width="18.5546875" customWidth="1"/>
    <col min="14143" max="14143" width="20.44140625" customWidth="1"/>
    <col min="14144" max="14145" width="16" customWidth="1"/>
    <col min="14146" max="14146" width="13" customWidth="1"/>
    <col min="14147" max="14147" width="21.77734375" customWidth="1"/>
    <col min="14148" max="14148" width="19.77734375" customWidth="1"/>
    <col min="14149" max="14149" width="16.21875" customWidth="1"/>
    <col min="14150" max="14150" width="15.77734375" customWidth="1"/>
    <col min="14151" max="14151" width="18.77734375" customWidth="1"/>
    <col min="14152" max="14152" width="14.77734375" customWidth="1"/>
    <col min="14153" max="14153" width="20.21875" customWidth="1"/>
    <col min="14154" max="14154" width="15.21875" customWidth="1"/>
    <col min="14155" max="14155" width="22.77734375" customWidth="1"/>
    <col min="14156" max="14157" width="23" customWidth="1"/>
    <col min="14158" max="14163" width="9.21875" customWidth="1"/>
    <col min="14164" max="14164" width="24.21875" customWidth="1"/>
    <col min="14165" max="14167" width="9.21875" customWidth="1"/>
    <col min="14168" max="14168" width="17.21875" customWidth="1"/>
    <col min="14169" max="14300" width="9.21875" customWidth="1"/>
    <col min="14301" max="14301" width="2" customWidth="1"/>
    <col min="14302" max="14302" width="21.77734375" customWidth="1"/>
    <col min="14303" max="14303" width="16.21875" customWidth="1"/>
    <col min="14304" max="14304" width="34.77734375" customWidth="1"/>
    <col min="14305" max="14306" width="24.77734375" customWidth="1"/>
    <col min="14307" max="14307" width="31.44140625" customWidth="1"/>
    <col min="14308" max="14308" width="24.77734375" customWidth="1"/>
    <col min="14309" max="14309" width="26.77734375" customWidth="1"/>
    <col min="14310" max="14312" width="13.77734375" customWidth="1"/>
    <col min="14313" max="14313" width="12.77734375" customWidth="1"/>
    <col min="14314" max="14314" width="15.44140625" customWidth="1"/>
    <col min="14315" max="14315" width="16" customWidth="1"/>
    <col min="14316" max="14316" width="15.5546875" customWidth="1"/>
    <col min="14337" max="14337" width="27.44140625" customWidth="1"/>
    <col min="14338" max="14339" width="21.77734375" customWidth="1"/>
    <col min="14340" max="14340" width="24.77734375" customWidth="1"/>
    <col min="14341" max="14341" width="36" customWidth="1"/>
    <col min="14342" max="14342" width="24.77734375" customWidth="1"/>
    <col min="14343" max="14343" width="26.77734375" customWidth="1"/>
    <col min="14344" max="14345" width="13.77734375" customWidth="1"/>
    <col min="14346" max="14346" width="12.77734375" customWidth="1"/>
    <col min="14347" max="14347" width="15.44140625" customWidth="1"/>
    <col min="14348" max="14348" width="16" customWidth="1"/>
    <col min="14349" max="14349" width="15.5546875" customWidth="1"/>
    <col min="14351" max="14351" width="27.77734375" customWidth="1"/>
    <col min="14352" max="14352" width="18.77734375" customWidth="1"/>
    <col min="14353" max="14353" width="21" customWidth="1"/>
    <col min="14354" max="14354" width="31" customWidth="1"/>
    <col min="14355" max="14355" width="30.77734375" customWidth="1"/>
    <col min="14356" max="14356" width="14.44140625" customWidth="1"/>
    <col min="14357" max="14357" width="27.44140625" customWidth="1"/>
    <col min="14358" max="14358" width="26.44140625" customWidth="1"/>
    <col min="14359" max="14359" width="21.77734375" customWidth="1"/>
    <col min="14360" max="14360" width="12.21875" customWidth="1"/>
    <col min="14361" max="14361" width="13.21875" customWidth="1"/>
    <col min="14362" max="14362" width="14.77734375" customWidth="1"/>
    <col min="14363" max="14363" width="13.77734375" customWidth="1"/>
    <col min="14364" max="14364" width="19.21875" customWidth="1"/>
    <col min="14366" max="14366" width="16.77734375" customWidth="1"/>
    <col min="14367" max="14371" width="19.77734375" customWidth="1"/>
    <col min="14372" max="14372" width="13.21875" customWidth="1"/>
    <col min="14373" max="14373" width="12.44140625" customWidth="1"/>
    <col min="14374" max="14374" width="13.21875" customWidth="1"/>
    <col min="14375" max="14375" width="12.77734375" customWidth="1"/>
    <col min="14376" max="14376" width="12.44140625" customWidth="1"/>
    <col min="14377" max="14377" width="13.77734375" customWidth="1"/>
    <col min="14378" max="14378" width="12.21875" customWidth="1"/>
    <col min="14379" max="14379" width="33" customWidth="1"/>
    <col min="14380" max="14380" width="13.21875" customWidth="1"/>
    <col min="14381" max="14381" width="10.21875" customWidth="1"/>
    <col min="14382" max="14382" width="11.21875" customWidth="1"/>
    <col min="14383" max="14383" width="24.77734375" customWidth="1"/>
    <col min="14384" max="14384" width="14.5546875" customWidth="1"/>
    <col min="14385" max="14385" width="14.77734375" customWidth="1"/>
    <col min="14386" max="14386" width="81.44140625" customWidth="1"/>
    <col min="14387" max="14387" width="30" customWidth="1"/>
    <col min="14388" max="14389" width="24.21875" customWidth="1"/>
    <col min="14390" max="14390" width="17.21875" customWidth="1"/>
    <col min="14391" max="14391" width="24" customWidth="1"/>
    <col min="14392" max="14392" width="19.77734375" customWidth="1"/>
    <col min="14393" max="14393" width="22.77734375" customWidth="1"/>
    <col min="14394" max="14394" width="22.44140625" customWidth="1"/>
    <col min="14395" max="14395" width="20.5546875" customWidth="1"/>
    <col min="14396" max="14396" width="22.44140625" customWidth="1"/>
    <col min="14397" max="14397" width="56.44140625" customWidth="1"/>
    <col min="14398" max="14398" width="18.5546875" customWidth="1"/>
    <col min="14399" max="14399" width="20.44140625" customWidth="1"/>
    <col min="14400" max="14401" width="16" customWidth="1"/>
    <col min="14402" max="14402" width="13" customWidth="1"/>
    <col min="14403" max="14403" width="21.77734375" customWidth="1"/>
    <col min="14404" max="14404" width="19.77734375" customWidth="1"/>
    <col min="14405" max="14405" width="16.21875" customWidth="1"/>
    <col min="14406" max="14406" width="15.77734375" customWidth="1"/>
    <col min="14407" max="14407" width="18.77734375" customWidth="1"/>
    <col min="14408" max="14408" width="14.77734375" customWidth="1"/>
    <col min="14409" max="14409" width="20.21875" customWidth="1"/>
    <col min="14410" max="14410" width="15.21875" customWidth="1"/>
    <col min="14411" max="14411" width="22.77734375" customWidth="1"/>
    <col min="14412" max="14413" width="23" customWidth="1"/>
    <col min="14414" max="14419" width="9.21875" customWidth="1"/>
    <col min="14420" max="14420" width="24.21875" customWidth="1"/>
    <col min="14421" max="14423" width="9.21875" customWidth="1"/>
    <col min="14424" max="14424" width="17.21875" customWidth="1"/>
    <col min="14425" max="14556" width="9.21875" customWidth="1"/>
    <col min="14557" max="14557" width="2" customWidth="1"/>
    <col min="14558" max="14558" width="21.77734375" customWidth="1"/>
    <col min="14559" max="14559" width="16.21875" customWidth="1"/>
    <col min="14560" max="14560" width="34.77734375" customWidth="1"/>
    <col min="14561" max="14562" width="24.77734375" customWidth="1"/>
    <col min="14563" max="14563" width="31.44140625" customWidth="1"/>
    <col min="14564" max="14564" width="24.77734375" customWidth="1"/>
    <col min="14565" max="14565" width="26.77734375" customWidth="1"/>
    <col min="14566" max="14568" width="13.77734375" customWidth="1"/>
    <col min="14569" max="14569" width="12.77734375" customWidth="1"/>
    <col min="14570" max="14570" width="15.44140625" customWidth="1"/>
    <col min="14571" max="14571" width="16" customWidth="1"/>
    <col min="14572" max="14572" width="15.5546875" customWidth="1"/>
    <col min="14593" max="14593" width="27.44140625" customWidth="1"/>
    <col min="14594" max="14595" width="21.77734375" customWidth="1"/>
    <col min="14596" max="14596" width="24.77734375" customWidth="1"/>
    <col min="14597" max="14597" width="36" customWidth="1"/>
    <col min="14598" max="14598" width="24.77734375" customWidth="1"/>
    <col min="14599" max="14599" width="26.77734375" customWidth="1"/>
    <col min="14600" max="14601" width="13.77734375" customWidth="1"/>
    <col min="14602" max="14602" width="12.77734375" customWidth="1"/>
    <col min="14603" max="14603" width="15.44140625" customWidth="1"/>
    <col min="14604" max="14604" width="16" customWidth="1"/>
    <col min="14605" max="14605" width="15.5546875" customWidth="1"/>
    <col min="14607" max="14607" width="27.77734375" customWidth="1"/>
    <col min="14608" max="14608" width="18.77734375" customWidth="1"/>
    <col min="14609" max="14609" width="21" customWidth="1"/>
    <col min="14610" max="14610" width="31" customWidth="1"/>
    <col min="14611" max="14611" width="30.77734375" customWidth="1"/>
    <col min="14612" max="14612" width="14.44140625" customWidth="1"/>
    <col min="14613" max="14613" width="27.44140625" customWidth="1"/>
    <col min="14614" max="14614" width="26.44140625" customWidth="1"/>
    <col min="14615" max="14615" width="21.77734375" customWidth="1"/>
    <col min="14616" max="14616" width="12.21875" customWidth="1"/>
    <col min="14617" max="14617" width="13.21875" customWidth="1"/>
    <col min="14618" max="14618" width="14.77734375" customWidth="1"/>
    <col min="14619" max="14619" width="13.77734375" customWidth="1"/>
    <col min="14620" max="14620" width="19.21875" customWidth="1"/>
    <col min="14622" max="14622" width="16.77734375" customWidth="1"/>
    <col min="14623" max="14627" width="19.77734375" customWidth="1"/>
    <col min="14628" max="14628" width="13.21875" customWidth="1"/>
    <col min="14629" max="14629" width="12.44140625" customWidth="1"/>
    <col min="14630" max="14630" width="13.21875" customWidth="1"/>
    <col min="14631" max="14631" width="12.77734375" customWidth="1"/>
    <col min="14632" max="14632" width="12.44140625" customWidth="1"/>
    <col min="14633" max="14633" width="13.77734375" customWidth="1"/>
    <col min="14634" max="14634" width="12.21875" customWidth="1"/>
    <col min="14635" max="14635" width="33" customWidth="1"/>
    <col min="14636" max="14636" width="13.21875" customWidth="1"/>
    <col min="14637" max="14637" width="10.21875" customWidth="1"/>
    <col min="14638" max="14638" width="11.21875" customWidth="1"/>
    <col min="14639" max="14639" width="24.77734375" customWidth="1"/>
    <col min="14640" max="14640" width="14.5546875" customWidth="1"/>
    <col min="14641" max="14641" width="14.77734375" customWidth="1"/>
    <col min="14642" max="14642" width="81.44140625" customWidth="1"/>
    <col min="14643" max="14643" width="30" customWidth="1"/>
    <col min="14644" max="14645" width="24.21875" customWidth="1"/>
    <col min="14646" max="14646" width="17.21875" customWidth="1"/>
    <col min="14647" max="14647" width="24" customWidth="1"/>
    <col min="14648" max="14648" width="19.77734375" customWidth="1"/>
    <col min="14649" max="14649" width="22.77734375" customWidth="1"/>
    <col min="14650" max="14650" width="22.44140625" customWidth="1"/>
    <col min="14651" max="14651" width="20.5546875" customWidth="1"/>
    <col min="14652" max="14652" width="22.44140625" customWidth="1"/>
    <col min="14653" max="14653" width="56.44140625" customWidth="1"/>
    <col min="14654" max="14654" width="18.5546875" customWidth="1"/>
    <col min="14655" max="14655" width="20.44140625" customWidth="1"/>
    <col min="14656" max="14657" width="16" customWidth="1"/>
    <col min="14658" max="14658" width="13" customWidth="1"/>
    <col min="14659" max="14659" width="21.77734375" customWidth="1"/>
    <col min="14660" max="14660" width="19.77734375" customWidth="1"/>
    <col min="14661" max="14661" width="16.21875" customWidth="1"/>
    <col min="14662" max="14662" width="15.77734375" customWidth="1"/>
    <col min="14663" max="14663" width="18.77734375" customWidth="1"/>
    <col min="14664" max="14664" width="14.77734375" customWidth="1"/>
    <col min="14665" max="14665" width="20.21875" customWidth="1"/>
    <col min="14666" max="14666" width="15.21875" customWidth="1"/>
    <col min="14667" max="14667" width="22.77734375" customWidth="1"/>
    <col min="14668" max="14669" width="23" customWidth="1"/>
    <col min="14670" max="14675" width="9.21875" customWidth="1"/>
    <col min="14676" max="14676" width="24.21875" customWidth="1"/>
    <col min="14677" max="14679" width="9.21875" customWidth="1"/>
    <col min="14680" max="14680" width="17.21875" customWidth="1"/>
    <col min="14681" max="14812" width="9.21875" customWidth="1"/>
    <col min="14813" max="14813" width="2" customWidth="1"/>
    <col min="14814" max="14814" width="21.77734375" customWidth="1"/>
    <col min="14815" max="14815" width="16.21875" customWidth="1"/>
    <col min="14816" max="14816" width="34.77734375" customWidth="1"/>
    <col min="14817" max="14818" width="24.77734375" customWidth="1"/>
    <col min="14819" max="14819" width="31.44140625" customWidth="1"/>
    <col min="14820" max="14820" width="24.77734375" customWidth="1"/>
    <col min="14821" max="14821" width="26.77734375" customWidth="1"/>
    <col min="14822" max="14824" width="13.77734375" customWidth="1"/>
    <col min="14825" max="14825" width="12.77734375" customWidth="1"/>
    <col min="14826" max="14826" width="15.44140625" customWidth="1"/>
    <col min="14827" max="14827" width="16" customWidth="1"/>
    <col min="14828" max="14828" width="15.5546875" customWidth="1"/>
    <col min="14849" max="14849" width="27.44140625" customWidth="1"/>
    <col min="14850" max="14851" width="21.77734375" customWidth="1"/>
    <col min="14852" max="14852" width="24.77734375" customWidth="1"/>
    <col min="14853" max="14853" width="36" customWidth="1"/>
    <col min="14854" max="14854" width="24.77734375" customWidth="1"/>
    <col min="14855" max="14855" width="26.77734375" customWidth="1"/>
    <col min="14856" max="14857" width="13.77734375" customWidth="1"/>
    <col min="14858" max="14858" width="12.77734375" customWidth="1"/>
    <col min="14859" max="14859" width="15.44140625" customWidth="1"/>
    <col min="14860" max="14860" width="16" customWidth="1"/>
    <col min="14861" max="14861" width="15.5546875" customWidth="1"/>
    <col min="14863" max="14863" width="27.77734375" customWidth="1"/>
    <col min="14864" max="14864" width="18.77734375" customWidth="1"/>
    <col min="14865" max="14865" width="21" customWidth="1"/>
    <col min="14866" max="14866" width="31" customWidth="1"/>
    <col min="14867" max="14867" width="30.77734375" customWidth="1"/>
    <col min="14868" max="14868" width="14.44140625" customWidth="1"/>
    <col min="14869" max="14869" width="27.44140625" customWidth="1"/>
    <col min="14870" max="14870" width="26.44140625" customWidth="1"/>
    <col min="14871" max="14871" width="21.77734375" customWidth="1"/>
    <col min="14872" max="14872" width="12.21875" customWidth="1"/>
    <col min="14873" max="14873" width="13.21875" customWidth="1"/>
    <col min="14874" max="14874" width="14.77734375" customWidth="1"/>
    <col min="14875" max="14875" width="13.77734375" customWidth="1"/>
    <col min="14876" max="14876" width="19.21875" customWidth="1"/>
    <col min="14878" max="14878" width="16.77734375" customWidth="1"/>
    <col min="14879" max="14883" width="19.77734375" customWidth="1"/>
    <col min="14884" max="14884" width="13.21875" customWidth="1"/>
    <col min="14885" max="14885" width="12.44140625" customWidth="1"/>
    <col min="14886" max="14886" width="13.21875" customWidth="1"/>
    <col min="14887" max="14887" width="12.77734375" customWidth="1"/>
    <col min="14888" max="14888" width="12.44140625" customWidth="1"/>
    <col min="14889" max="14889" width="13.77734375" customWidth="1"/>
    <col min="14890" max="14890" width="12.21875" customWidth="1"/>
    <col min="14891" max="14891" width="33" customWidth="1"/>
    <col min="14892" max="14892" width="13.21875" customWidth="1"/>
    <col min="14893" max="14893" width="10.21875" customWidth="1"/>
    <col min="14894" max="14894" width="11.21875" customWidth="1"/>
    <col min="14895" max="14895" width="24.77734375" customWidth="1"/>
    <col min="14896" max="14896" width="14.5546875" customWidth="1"/>
    <col min="14897" max="14897" width="14.77734375" customWidth="1"/>
    <col min="14898" max="14898" width="81.44140625" customWidth="1"/>
    <col min="14899" max="14899" width="30" customWidth="1"/>
    <col min="14900" max="14901" width="24.21875" customWidth="1"/>
    <col min="14902" max="14902" width="17.21875" customWidth="1"/>
    <col min="14903" max="14903" width="24" customWidth="1"/>
    <col min="14904" max="14904" width="19.77734375" customWidth="1"/>
    <col min="14905" max="14905" width="22.77734375" customWidth="1"/>
    <col min="14906" max="14906" width="22.44140625" customWidth="1"/>
    <col min="14907" max="14907" width="20.5546875" customWidth="1"/>
    <col min="14908" max="14908" width="22.44140625" customWidth="1"/>
    <col min="14909" max="14909" width="56.44140625" customWidth="1"/>
    <col min="14910" max="14910" width="18.5546875" customWidth="1"/>
    <col min="14911" max="14911" width="20.44140625" customWidth="1"/>
    <col min="14912" max="14913" width="16" customWidth="1"/>
    <col min="14914" max="14914" width="13" customWidth="1"/>
    <col min="14915" max="14915" width="21.77734375" customWidth="1"/>
    <col min="14916" max="14916" width="19.77734375" customWidth="1"/>
    <col min="14917" max="14917" width="16.21875" customWidth="1"/>
    <col min="14918" max="14918" width="15.77734375" customWidth="1"/>
    <col min="14919" max="14919" width="18.77734375" customWidth="1"/>
    <col min="14920" max="14920" width="14.77734375" customWidth="1"/>
    <col min="14921" max="14921" width="20.21875" customWidth="1"/>
    <col min="14922" max="14922" width="15.21875" customWidth="1"/>
    <col min="14923" max="14923" width="22.77734375" customWidth="1"/>
    <col min="14924" max="14925" width="23" customWidth="1"/>
    <col min="14926" max="14931" width="9.21875" customWidth="1"/>
    <col min="14932" max="14932" width="24.21875" customWidth="1"/>
    <col min="14933" max="14935" width="9.21875" customWidth="1"/>
    <col min="14936" max="14936" width="17.21875" customWidth="1"/>
    <col min="14937" max="15068" width="9.21875" customWidth="1"/>
    <col min="15069" max="15069" width="2" customWidth="1"/>
    <col min="15070" max="15070" width="21.77734375" customWidth="1"/>
    <col min="15071" max="15071" width="16.21875" customWidth="1"/>
    <col min="15072" max="15072" width="34.77734375" customWidth="1"/>
    <col min="15073" max="15074" width="24.77734375" customWidth="1"/>
    <col min="15075" max="15075" width="31.44140625" customWidth="1"/>
    <col min="15076" max="15076" width="24.77734375" customWidth="1"/>
    <col min="15077" max="15077" width="26.77734375" customWidth="1"/>
    <col min="15078" max="15080" width="13.77734375" customWidth="1"/>
    <col min="15081" max="15081" width="12.77734375" customWidth="1"/>
    <col min="15082" max="15082" width="15.44140625" customWidth="1"/>
    <col min="15083" max="15083" width="16" customWidth="1"/>
    <col min="15084" max="15084" width="15.5546875" customWidth="1"/>
    <col min="15105" max="15105" width="27.44140625" customWidth="1"/>
    <col min="15106" max="15107" width="21.77734375" customWidth="1"/>
    <col min="15108" max="15108" width="24.77734375" customWidth="1"/>
    <col min="15109" max="15109" width="36" customWidth="1"/>
    <col min="15110" max="15110" width="24.77734375" customWidth="1"/>
    <col min="15111" max="15111" width="26.77734375" customWidth="1"/>
    <col min="15112" max="15113" width="13.77734375" customWidth="1"/>
    <col min="15114" max="15114" width="12.77734375" customWidth="1"/>
    <col min="15115" max="15115" width="15.44140625" customWidth="1"/>
    <col min="15116" max="15116" width="16" customWidth="1"/>
    <col min="15117" max="15117" width="15.5546875" customWidth="1"/>
    <col min="15119" max="15119" width="27.77734375" customWidth="1"/>
    <col min="15120" max="15120" width="18.77734375" customWidth="1"/>
    <col min="15121" max="15121" width="21" customWidth="1"/>
    <col min="15122" max="15122" width="31" customWidth="1"/>
    <col min="15123" max="15123" width="30.77734375" customWidth="1"/>
    <col min="15124" max="15124" width="14.44140625" customWidth="1"/>
    <col min="15125" max="15125" width="27.44140625" customWidth="1"/>
    <col min="15126" max="15126" width="26.44140625" customWidth="1"/>
    <col min="15127" max="15127" width="21.77734375" customWidth="1"/>
    <col min="15128" max="15128" width="12.21875" customWidth="1"/>
    <col min="15129" max="15129" width="13.21875" customWidth="1"/>
    <col min="15130" max="15130" width="14.77734375" customWidth="1"/>
    <col min="15131" max="15131" width="13.77734375" customWidth="1"/>
    <col min="15132" max="15132" width="19.21875" customWidth="1"/>
    <col min="15134" max="15134" width="16.77734375" customWidth="1"/>
    <col min="15135" max="15139" width="19.77734375" customWidth="1"/>
    <col min="15140" max="15140" width="13.21875" customWidth="1"/>
    <col min="15141" max="15141" width="12.44140625" customWidth="1"/>
    <col min="15142" max="15142" width="13.21875" customWidth="1"/>
    <col min="15143" max="15143" width="12.77734375" customWidth="1"/>
    <col min="15144" max="15144" width="12.44140625" customWidth="1"/>
    <col min="15145" max="15145" width="13.77734375" customWidth="1"/>
    <col min="15146" max="15146" width="12.21875" customWidth="1"/>
    <col min="15147" max="15147" width="33" customWidth="1"/>
    <col min="15148" max="15148" width="13.21875" customWidth="1"/>
    <col min="15149" max="15149" width="10.21875" customWidth="1"/>
    <col min="15150" max="15150" width="11.21875" customWidth="1"/>
    <col min="15151" max="15151" width="24.77734375" customWidth="1"/>
    <col min="15152" max="15152" width="14.5546875" customWidth="1"/>
    <col min="15153" max="15153" width="14.77734375" customWidth="1"/>
    <col min="15154" max="15154" width="81.44140625" customWidth="1"/>
    <col min="15155" max="15155" width="30" customWidth="1"/>
    <col min="15156" max="15157" width="24.21875" customWidth="1"/>
    <col min="15158" max="15158" width="17.21875" customWidth="1"/>
    <col min="15159" max="15159" width="24" customWidth="1"/>
    <col min="15160" max="15160" width="19.77734375" customWidth="1"/>
    <col min="15161" max="15161" width="22.77734375" customWidth="1"/>
    <col min="15162" max="15162" width="22.44140625" customWidth="1"/>
    <col min="15163" max="15163" width="20.5546875" customWidth="1"/>
    <col min="15164" max="15164" width="22.44140625" customWidth="1"/>
    <col min="15165" max="15165" width="56.44140625" customWidth="1"/>
    <col min="15166" max="15166" width="18.5546875" customWidth="1"/>
    <col min="15167" max="15167" width="20.44140625" customWidth="1"/>
    <col min="15168" max="15169" width="16" customWidth="1"/>
    <col min="15170" max="15170" width="13" customWidth="1"/>
    <col min="15171" max="15171" width="21.77734375" customWidth="1"/>
    <col min="15172" max="15172" width="19.77734375" customWidth="1"/>
    <col min="15173" max="15173" width="16.21875" customWidth="1"/>
    <col min="15174" max="15174" width="15.77734375" customWidth="1"/>
    <col min="15175" max="15175" width="18.77734375" customWidth="1"/>
    <col min="15176" max="15176" width="14.77734375" customWidth="1"/>
    <col min="15177" max="15177" width="20.21875" customWidth="1"/>
    <col min="15178" max="15178" width="15.21875" customWidth="1"/>
    <col min="15179" max="15179" width="22.77734375" customWidth="1"/>
    <col min="15180" max="15181" width="23" customWidth="1"/>
    <col min="15182" max="15187" width="9.21875" customWidth="1"/>
    <col min="15188" max="15188" width="24.21875" customWidth="1"/>
    <col min="15189" max="15191" width="9.21875" customWidth="1"/>
    <col min="15192" max="15192" width="17.21875" customWidth="1"/>
    <col min="15193" max="15324" width="9.21875" customWidth="1"/>
    <col min="15325" max="15325" width="2" customWidth="1"/>
    <col min="15326" max="15326" width="21.77734375" customWidth="1"/>
    <col min="15327" max="15327" width="16.21875" customWidth="1"/>
    <col min="15328" max="15328" width="34.77734375" customWidth="1"/>
    <col min="15329" max="15330" width="24.77734375" customWidth="1"/>
    <col min="15331" max="15331" width="31.44140625" customWidth="1"/>
    <col min="15332" max="15332" width="24.77734375" customWidth="1"/>
    <col min="15333" max="15333" width="26.77734375" customWidth="1"/>
    <col min="15334" max="15336" width="13.77734375" customWidth="1"/>
    <col min="15337" max="15337" width="12.77734375" customWidth="1"/>
    <col min="15338" max="15338" width="15.44140625" customWidth="1"/>
    <col min="15339" max="15339" width="16" customWidth="1"/>
    <col min="15340" max="15340" width="15.5546875" customWidth="1"/>
    <col min="15361" max="15361" width="27.44140625" customWidth="1"/>
    <col min="15362" max="15363" width="21.77734375" customWidth="1"/>
    <col min="15364" max="15364" width="24.77734375" customWidth="1"/>
    <col min="15365" max="15365" width="36" customWidth="1"/>
    <col min="15366" max="15366" width="24.77734375" customWidth="1"/>
    <col min="15367" max="15367" width="26.77734375" customWidth="1"/>
    <col min="15368" max="15369" width="13.77734375" customWidth="1"/>
    <col min="15370" max="15370" width="12.77734375" customWidth="1"/>
    <col min="15371" max="15371" width="15.44140625" customWidth="1"/>
    <col min="15372" max="15372" width="16" customWidth="1"/>
    <col min="15373" max="15373" width="15.5546875" customWidth="1"/>
    <col min="15375" max="15375" width="27.77734375" customWidth="1"/>
    <col min="15376" max="15376" width="18.77734375" customWidth="1"/>
    <col min="15377" max="15377" width="21" customWidth="1"/>
    <col min="15378" max="15378" width="31" customWidth="1"/>
    <col min="15379" max="15379" width="30.77734375" customWidth="1"/>
    <col min="15380" max="15380" width="14.44140625" customWidth="1"/>
    <col min="15381" max="15381" width="27.44140625" customWidth="1"/>
    <col min="15382" max="15382" width="26.44140625" customWidth="1"/>
    <col min="15383" max="15383" width="21.77734375" customWidth="1"/>
    <col min="15384" max="15384" width="12.21875" customWidth="1"/>
    <col min="15385" max="15385" width="13.21875" customWidth="1"/>
    <col min="15386" max="15386" width="14.77734375" customWidth="1"/>
    <col min="15387" max="15387" width="13.77734375" customWidth="1"/>
    <col min="15388" max="15388" width="19.21875" customWidth="1"/>
    <col min="15390" max="15390" width="16.77734375" customWidth="1"/>
    <col min="15391" max="15395" width="19.77734375" customWidth="1"/>
    <col min="15396" max="15396" width="13.21875" customWidth="1"/>
    <col min="15397" max="15397" width="12.44140625" customWidth="1"/>
    <col min="15398" max="15398" width="13.21875" customWidth="1"/>
    <col min="15399" max="15399" width="12.77734375" customWidth="1"/>
    <col min="15400" max="15400" width="12.44140625" customWidth="1"/>
    <col min="15401" max="15401" width="13.77734375" customWidth="1"/>
    <col min="15402" max="15402" width="12.21875" customWidth="1"/>
    <col min="15403" max="15403" width="33" customWidth="1"/>
    <col min="15404" max="15404" width="13.21875" customWidth="1"/>
    <col min="15405" max="15405" width="10.21875" customWidth="1"/>
    <col min="15406" max="15406" width="11.21875" customWidth="1"/>
    <col min="15407" max="15407" width="24.77734375" customWidth="1"/>
    <col min="15408" max="15408" width="14.5546875" customWidth="1"/>
    <col min="15409" max="15409" width="14.77734375" customWidth="1"/>
    <col min="15410" max="15410" width="81.44140625" customWidth="1"/>
    <col min="15411" max="15411" width="30" customWidth="1"/>
    <col min="15412" max="15413" width="24.21875" customWidth="1"/>
    <col min="15414" max="15414" width="17.21875" customWidth="1"/>
    <col min="15415" max="15415" width="24" customWidth="1"/>
    <col min="15416" max="15416" width="19.77734375" customWidth="1"/>
    <col min="15417" max="15417" width="22.77734375" customWidth="1"/>
    <col min="15418" max="15418" width="22.44140625" customWidth="1"/>
    <col min="15419" max="15419" width="20.5546875" customWidth="1"/>
    <col min="15420" max="15420" width="22.44140625" customWidth="1"/>
    <col min="15421" max="15421" width="56.44140625" customWidth="1"/>
    <col min="15422" max="15422" width="18.5546875" customWidth="1"/>
    <col min="15423" max="15423" width="20.44140625" customWidth="1"/>
    <col min="15424" max="15425" width="16" customWidth="1"/>
    <col min="15426" max="15426" width="13" customWidth="1"/>
    <col min="15427" max="15427" width="21.77734375" customWidth="1"/>
    <col min="15428" max="15428" width="19.77734375" customWidth="1"/>
    <col min="15429" max="15429" width="16.21875" customWidth="1"/>
    <col min="15430" max="15430" width="15.77734375" customWidth="1"/>
    <col min="15431" max="15431" width="18.77734375" customWidth="1"/>
    <col min="15432" max="15432" width="14.77734375" customWidth="1"/>
    <col min="15433" max="15433" width="20.21875" customWidth="1"/>
    <col min="15434" max="15434" width="15.21875" customWidth="1"/>
    <col min="15435" max="15435" width="22.77734375" customWidth="1"/>
    <col min="15436" max="15437" width="23" customWidth="1"/>
    <col min="15438" max="15443" width="9.21875" customWidth="1"/>
    <col min="15444" max="15444" width="24.21875" customWidth="1"/>
    <col min="15445" max="15447" width="9.21875" customWidth="1"/>
    <col min="15448" max="15448" width="17.21875" customWidth="1"/>
    <col min="15449" max="15580" width="9.21875" customWidth="1"/>
    <col min="15581" max="15581" width="2" customWidth="1"/>
    <col min="15582" max="15582" width="21.77734375" customWidth="1"/>
    <col min="15583" max="15583" width="16.21875" customWidth="1"/>
    <col min="15584" max="15584" width="34.77734375" customWidth="1"/>
    <col min="15585" max="15586" width="24.77734375" customWidth="1"/>
    <col min="15587" max="15587" width="31.44140625" customWidth="1"/>
    <col min="15588" max="15588" width="24.77734375" customWidth="1"/>
    <col min="15589" max="15589" width="26.77734375" customWidth="1"/>
    <col min="15590" max="15592" width="13.77734375" customWidth="1"/>
    <col min="15593" max="15593" width="12.77734375" customWidth="1"/>
    <col min="15594" max="15594" width="15.44140625" customWidth="1"/>
    <col min="15595" max="15595" width="16" customWidth="1"/>
    <col min="15596" max="15596" width="15.5546875" customWidth="1"/>
    <col min="15617" max="15617" width="27.44140625" customWidth="1"/>
    <col min="15618" max="15619" width="21.77734375" customWidth="1"/>
    <col min="15620" max="15620" width="24.77734375" customWidth="1"/>
    <col min="15621" max="15621" width="36" customWidth="1"/>
    <col min="15622" max="15622" width="24.77734375" customWidth="1"/>
    <col min="15623" max="15623" width="26.77734375" customWidth="1"/>
    <col min="15624" max="15625" width="13.77734375" customWidth="1"/>
    <col min="15626" max="15626" width="12.77734375" customWidth="1"/>
    <col min="15627" max="15627" width="15.44140625" customWidth="1"/>
    <col min="15628" max="15628" width="16" customWidth="1"/>
    <col min="15629" max="15629" width="15.5546875" customWidth="1"/>
    <col min="15631" max="15631" width="27.77734375" customWidth="1"/>
    <col min="15632" max="15632" width="18.77734375" customWidth="1"/>
    <col min="15633" max="15633" width="21" customWidth="1"/>
    <col min="15634" max="15634" width="31" customWidth="1"/>
    <col min="15635" max="15635" width="30.77734375" customWidth="1"/>
    <col min="15636" max="15636" width="14.44140625" customWidth="1"/>
    <col min="15637" max="15637" width="27.44140625" customWidth="1"/>
    <col min="15638" max="15638" width="26.44140625" customWidth="1"/>
    <col min="15639" max="15639" width="21.77734375" customWidth="1"/>
    <col min="15640" max="15640" width="12.21875" customWidth="1"/>
    <col min="15641" max="15641" width="13.21875" customWidth="1"/>
    <col min="15642" max="15642" width="14.77734375" customWidth="1"/>
    <col min="15643" max="15643" width="13.77734375" customWidth="1"/>
    <col min="15644" max="15644" width="19.21875" customWidth="1"/>
    <col min="15646" max="15646" width="16.77734375" customWidth="1"/>
    <col min="15647" max="15651" width="19.77734375" customWidth="1"/>
    <col min="15652" max="15652" width="13.21875" customWidth="1"/>
    <col min="15653" max="15653" width="12.44140625" customWidth="1"/>
    <col min="15654" max="15654" width="13.21875" customWidth="1"/>
    <col min="15655" max="15655" width="12.77734375" customWidth="1"/>
    <col min="15656" max="15656" width="12.44140625" customWidth="1"/>
    <col min="15657" max="15657" width="13.77734375" customWidth="1"/>
    <col min="15658" max="15658" width="12.21875" customWidth="1"/>
    <col min="15659" max="15659" width="33" customWidth="1"/>
    <col min="15660" max="15660" width="13.21875" customWidth="1"/>
    <col min="15661" max="15661" width="10.21875" customWidth="1"/>
    <col min="15662" max="15662" width="11.21875" customWidth="1"/>
    <col min="15663" max="15663" width="24.77734375" customWidth="1"/>
    <col min="15664" max="15664" width="14.5546875" customWidth="1"/>
    <col min="15665" max="15665" width="14.77734375" customWidth="1"/>
    <col min="15666" max="15666" width="81.44140625" customWidth="1"/>
    <col min="15667" max="15667" width="30" customWidth="1"/>
    <col min="15668" max="15669" width="24.21875" customWidth="1"/>
    <col min="15670" max="15670" width="17.21875" customWidth="1"/>
    <col min="15671" max="15671" width="24" customWidth="1"/>
    <col min="15672" max="15672" width="19.77734375" customWidth="1"/>
    <col min="15673" max="15673" width="22.77734375" customWidth="1"/>
    <col min="15674" max="15674" width="22.44140625" customWidth="1"/>
    <col min="15675" max="15675" width="20.5546875" customWidth="1"/>
    <col min="15676" max="15676" width="22.44140625" customWidth="1"/>
    <col min="15677" max="15677" width="56.44140625" customWidth="1"/>
    <col min="15678" max="15678" width="18.5546875" customWidth="1"/>
    <col min="15679" max="15679" width="20.44140625" customWidth="1"/>
    <col min="15680" max="15681" width="16" customWidth="1"/>
    <col min="15682" max="15682" width="13" customWidth="1"/>
    <col min="15683" max="15683" width="21.77734375" customWidth="1"/>
    <col min="15684" max="15684" width="19.77734375" customWidth="1"/>
    <col min="15685" max="15685" width="16.21875" customWidth="1"/>
    <col min="15686" max="15686" width="15.77734375" customWidth="1"/>
    <col min="15687" max="15687" width="18.77734375" customWidth="1"/>
    <col min="15688" max="15688" width="14.77734375" customWidth="1"/>
    <col min="15689" max="15689" width="20.21875" customWidth="1"/>
    <col min="15690" max="15690" width="15.21875" customWidth="1"/>
    <col min="15691" max="15691" width="22.77734375" customWidth="1"/>
    <col min="15692" max="15693" width="23" customWidth="1"/>
    <col min="15694" max="15699" width="9.21875" customWidth="1"/>
    <col min="15700" max="15700" width="24.21875" customWidth="1"/>
    <col min="15701" max="15703" width="9.21875" customWidth="1"/>
    <col min="15704" max="15704" width="17.21875" customWidth="1"/>
    <col min="15705" max="15836" width="9.21875" customWidth="1"/>
    <col min="15837" max="15837" width="2" customWidth="1"/>
    <col min="15838" max="15838" width="21.77734375" customWidth="1"/>
    <col min="15839" max="15839" width="16.21875" customWidth="1"/>
    <col min="15840" max="15840" width="34.77734375" customWidth="1"/>
    <col min="15841" max="15842" width="24.77734375" customWidth="1"/>
    <col min="15843" max="15843" width="31.44140625" customWidth="1"/>
    <col min="15844" max="15844" width="24.77734375" customWidth="1"/>
    <col min="15845" max="15845" width="26.77734375" customWidth="1"/>
    <col min="15846" max="15848" width="13.77734375" customWidth="1"/>
    <col min="15849" max="15849" width="12.77734375" customWidth="1"/>
    <col min="15850" max="15850" width="15.44140625" customWidth="1"/>
    <col min="15851" max="15851" width="16" customWidth="1"/>
    <col min="15852" max="15852" width="15.5546875" customWidth="1"/>
    <col min="15873" max="15873" width="27.44140625" customWidth="1"/>
    <col min="15874" max="15875" width="21.77734375" customWidth="1"/>
    <col min="15876" max="15876" width="24.77734375" customWidth="1"/>
    <col min="15877" max="15877" width="36" customWidth="1"/>
    <col min="15878" max="15878" width="24.77734375" customWidth="1"/>
    <col min="15879" max="15879" width="26.77734375" customWidth="1"/>
    <col min="15880" max="15881" width="13.77734375" customWidth="1"/>
    <col min="15882" max="15882" width="12.77734375" customWidth="1"/>
    <col min="15883" max="15883" width="15.44140625" customWidth="1"/>
    <col min="15884" max="15884" width="16" customWidth="1"/>
    <col min="15885" max="15885" width="15.5546875" customWidth="1"/>
    <col min="15887" max="15887" width="27.77734375" customWidth="1"/>
    <col min="15888" max="15888" width="18.77734375" customWidth="1"/>
    <col min="15889" max="15889" width="21" customWidth="1"/>
    <col min="15890" max="15890" width="31" customWidth="1"/>
    <col min="15891" max="15891" width="30.77734375" customWidth="1"/>
    <col min="15892" max="15892" width="14.44140625" customWidth="1"/>
    <col min="15893" max="15893" width="27.44140625" customWidth="1"/>
    <col min="15894" max="15894" width="26.44140625" customWidth="1"/>
    <col min="15895" max="15895" width="21.77734375" customWidth="1"/>
    <col min="15896" max="15896" width="12.21875" customWidth="1"/>
    <col min="15897" max="15897" width="13.21875" customWidth="1"/>
    <col min="15898" max="15898" width="14.77734375" customWidth="1"/>
    <col min="15899" max="15899" width="13.77734375" customWidth="1"/>
    <col min="15900" max="15900" width="19.21875" customWidth="1"/>
    <col min="15902" max="15902" width="16.77734375" customWidth="1"/>
    <col min="15903" max="15907" width="19.77734375" customWidth="1"/>
    <col min="15908" max="15908" width="13.21875" customWidth="1"/>
    <col min="15909" max="15909" width="12.44140625" customWidth="1"/>
    <col min="15910" max="15910" width="13.21875" customWidth="1"/>
    <col min="15911" max="15911" width="12.77734375" customWidth="1"/>
    <col min="15912" max="15912" width="12.44140625" customWidth="1"/>
    <col min="15913" max="15913" width="13.77734375" customWidth="1"/>
    <col min="15914" max="15914" width="12.21875" customWidth="1"/>
    <col min="15915" max="15915" width="33" customWidth="1"/>
    <col min="15916" max="15916" width="13.21875" customWidth="1"/>
    <col min="15917" max="15917" width="10.21875" customWidth="1"/>
    <col min="15918" max="15918" width="11.21875" customWidth="1"/>
    <col min="15919" max="15919" width="24.77734375" customWidth="1"/>
    <col min="15920" max="15920" width="14.5546875" customWidth="1"/>
    <col min="15921" max="15921" width="14.77734375" customWidth="1"/>
    <col min="15922" max="15922" width="81.44140625" customWidth="1"/>
    <col min="15923" max="15923" width="30" customWidth="1"/>
    <col min="15924" max="15925" width="24.21875" customWidth="1"/>
    <col min="15926" max="15926" width="17.21875" customWidth="1"/>
    <col min="15927" max="15927" width="24" customWidth="1"/>
    <col min="15928" max="15928" width="19.77734375" customWidth="1"/>
    <col min="15929" max="15929" width="22.77734375" customWidth="1"/>
    <col min="15930" max="15930" width="22.44140625" customWidth="1"/>
    <col min="15931" max="15931" width="20.5546875" customWidth="1"/>
    <col min="15932" max="15932" width="22.44140625" customWidth="1"/>
    <col min="15933" max="15933" width="56.44140625" customWidth="1"/>
    <col min="15934" max="15934" width="18.5546875" customWidth="1"/>
    <col min="15935" max="15935" width="20.44140625" customWidth="1"/>
    <col min="15936" max="15937" width="16" customWidth="1"/>
    <col min="15938" max="15938" width="13" customWidth="1"/>
    <col min="15939" max="15939" width="21.77734375" customWidth="1"/>
    <col min="15940" max="15940" width="19.77734375" customWidth="1"/>
    <col min="15941" max="15941" width="16.21875" customWidth="1"/>
    <col min="15942" max="15942" width="15.77734375" customWidth="1"/>
    <col min="15943" max="15943" width="18.77734375" customWidth="1"/>
    <col min="15944" max="15944" width="14.77734375" customWidth="1"/>
    <col min="15945" max="15945" width="20.21875" customWidth="1"/>
    <col min="15946" max="15946" width="15.21875" customWidth="1"/>
    <col min="15947" max="15947" width="22.77734375" customWidth="1"/>
    <col min="15948" max="15949" width="23" customWidth="1"/>
    <col min="15950" max="15955" width="9.21875" customWidth="1"/>
    <col min="15956" max="15956" width="24.21875" customWidth="1"/>
    <col min="15957" max="15959" width="9.21875" customWidth="1"/>
    <col min="15960" max="15960" width="17.21875" customWidth="1"/>
    <col min="15961" max="16092" width="9.21875" customWidth="1"/>
    <col min="16093" max="16093" width="2" customWidth="1"/>
    <col min="16094" max="16094" width="21.77734375" customWidth="1"/>
    <col min="16095" max="16095" width="16.21875" customWidth="1"/>
    <col min="16096" max="16096" width="34.77734375" customWidth="1"/>
    <col min="16097" max="16098" width="24.77734375" customWidth="1"/>
    <col min="16099" max="16099" width="31.44140625" customWidth="1"/>
    <col min="16100" max="16100" width="24.77734375" customWidth="1"/>
    <col min="16101" max="16101" width="26.77734375" customWidth="1"/>
    <col min="16102" max="16104" width="13.77734375" customWidth="1"/>
    <col min="16105" max="16105" width="12.77734375" customWidth="1"/>
    <col min="16106" max="16106" width="15.44140625" customWidth="1"/>
    <col min="16107" max="16107" width="16" customWidth="1"/>
    <col min="16108" max="16108" width="15.5546875" customWidth="1"/>
    <col min="16129" max="16129" width="27.44140625" customWidth="1"/>
    <col min="16130" max="16131" width="21.77734375" customWidth="1"/>
    <col min="16132" max="16132" width="24.77734375" customWidth="1"/>
    <col min="16133" max="16133" width="36" customWidth="1"/>
    <col min="16134" max="16134" width="24.77734375" customWidth="1"/>
    <col min="16135" max="16135" width="26.77734375" customWidth="1"/>
    <col min="16136" max="16137" width="13.77734375" customWidth="1"/>
    <col min="16138" max="16138" width="12.77734375" customWidth="1"/>
    <col min="16139" max="16139" width="15.44140625" customWidth="1"/>
    <col min="16140" max="16140" width="16" customWidth="1"/>
    <col min="16141" max="16141" width="15.5546875" customWidth="1"/>
    <col min="16143" max="16143" width="27.77734375" customWidth="1"/>
    <col min="16144" max="16144" width="18.77734375" customWidth="1"/>
    <col min="16145" max="16145" width="21" customWidth="1"/>
    <col min="16146" max="16146" width="31" customWidth="1"/>
    <col min="16147" max="16147" width="30.77734375" customWidth="1"/>
    <col min="16148" max="16148" width="14.44140625" customWidth="1"/>
    <col min="16149" max="16149" width="27.44140625" customWidth="1"/>
    <col min="16150" max="16150" width="26.44140625" customWidth="1"/>
    <col min="16151" max="16151" width="21.77734375" customWidth="1"/>
    <col min="16152" max="16152" width="12.21875" customWidth="1"/>
    <col min="16153" max="16153" width="13.21875" customWidth="1"/>
    <col min="16154" max="16154" width="14.77734375" customWidth="1"/>
    <col min="16155" max="16155" width="13.77734375" customWidth="1"/>
    <col min="16156" max="16156" width="19.21875" customWidth="1"/>
    <col min="16158" max="16158" width="16.77734375" customWidth="1"/>
    <col min="16159" max="16163" width="19.77734375" customWidth="1"/>
    <col min="16164" max="16164" width="13.21875" customWidth="1"/>
    <col min="16165" max="16165" width="12.44140625" customWidth="1"/>
    <col min="16166" max="16166" width="13.21875" customWidth="1"/>
    <col min="16167" max="16167" width="12.77734375" customWidth="1"/>
    <col min="16168" max="16168" width="12.44140625" customWidth="1"/>
    <col min="16169" max="16169" width="13.77734375" customWidth="1"/>
    <col min="16170" max="16170" width="12.21875" customWidth="1"/>
    <col min="16171" max="16171" width="33" customWidth="1"/>
    <col min="16172" max="16172" width="13.21875" customWidth="1"/>
    <col min="16173" max="16173" width="10.21875" customWidth="1"/>
    <col min="16174" max="16174" width="11.21875" customWidth="1"/>
    <col min="16175" max="16175" width="24.77734375" customWidth="1"/>
    <col min="16176" max="16176" width="14.5546875" customWidth="1"/>
    <col min="16177" max="16177" width="14.77734375" customWidth="1"/>
    <col min="16178" max="16178" width="81.44140625" customWidth="1"/>
    <col min="16179" max="16179" width="30" customWidth="1"/>
    <col min="16180" max="16181" width="24.21875" customWidth="1"/>
    <col min="16182" max="16182" width="17.21875" customWidth="1"/>
    <col min="16183" max="16183" width="24" customWidth="1"/>
    <col min="16184" max="16184" width="19.77734375" customWidth="1"/>
    <col min="16185" max="16185" width="22.77734375" customWidth="1"/>
    <col min="16186" max="16186" width="22.44140625" customWidth="1"/>
    <col min="16187" max="16187" width="20.5546875" customWidth="1"/>
    <col min="16188" max="16188" width="22.44140625" customWidth="1"/>
    <col min="16189" max="16189" width="56.44140625" customWidth="1"/>
    <col min="16190" max="16190" width="18.5546875" customWidth="1"/>
    <col min="16191" max="16191" width="20.44140625" customWidth="1"/>
    <col min="16192" max="16193" width="16" customWidth="1"/>
    <col min="16194" max="16194" width="13" customWidth="1"/>
    <col min="16195" max="16195" width="21.77734375" customWidth="1"/>
    <col min="16196" max="16196" width="19.77734375" customWidth="1"/>
    <col min="16197" max="16197" width="16.21875" customWidth="1"/>
    <col min="16198" max="16198" width="15.77734375" customWidth="1"/>
    <col min="16199" max="16199" width="18.77734375" customWidth="1"/>
    <col min="16200" max="16200" width="14.77734375" customWidth="1"/>
    <col min="16201" max="16201" width="20.21875" customWidth="1"/>
    <col min="16202" max="16202" width="15.21875" customWidth="1"/>
    <col min="16203" max="16203" width="22.77734375" customWidth="1"/>
    <col min="16204" max="16205" width="23" customWidth="1"/>
    <col min="16206" max="16211" width="9.21875" customWidth="1"/>
    <col min="16212" max="16212" width="24.21875" customWidth="1"/>
    <col min="16213" max="16215" width="9.21875" customWidth="1"/>
    <col min="16216" max="16216" width="17.21875" customWidth="1"/>
    <col min="16217" max="16348" width="9.21875" customWidth="1"/>
    <col min="16349" max="16349" width="2" customWidth="1"/>
    <col min="16350" max="16350" width="21.77734375" customWidth="1"/>
    <col min="16351" max="16351" width="16.21875" customWidth="1"/>
    <col min="16352" max="16352" width="34.77734375" customWidth="1"/>
    <col min="16353" max="16354" width="24.77734375" customWidth="1"/>
    <col min="16355" max="16355" width="31.44140625" customWidth="1"/>
    <col min="16356" max="16356" width="24.77734375" customWidth="1"/>
    <col min="16357" max="16357" width="26.77734375" customWidth="1"/>
    <col min="16358" max="16360" width="13.77734375" customWidth="1"/>
    <col min="16361" max="16361" width="12.77734375" customWidth="1"/>
    <col min="16362" max="16362" width="15.44140625" customWidth="1"/>
    <col min="16363" max="16363" width="16" customWidth="1"/>
    <col min="16364" max="16364" width="15.5546875" customWidth="1"/>
  </cols>
  <sheetData>
    <row r="1" spans="1:87" ht="43.5" customHeight="1" thickBot="1" x14ac:dyDescent="0.65">
      <c r="A1" s="50" t="s">
        <v>56</v>
      </c>
      <c r="C1" s="52" t="s">
        <v>57</v>
      </c>
      <c r="F1" s="53"/>
      <c r="J1" s="53"/>
      <c r="K1" s="53"/>
      <c r="L1" s="53"/>
      <c r="M1" s="53"/>
      <c r="N1" s="53"/>
      <c r="P1" s="53"/>
      <c r="AC1" s="53"/>
      <c r="AF1" s="53"/>
      <c r="AP1" s="55"/>
      <c r="AX1" s="53"/>
      <c r="AY1" s="53"/>
      <c r="BB1" s="56"/>
    </row>
    <row r="2" spans="1:87" ht="26.4" thickBot="1" x14ac:dyDescent="0.55000000000000004">
      <c r="C2" s="57" t="s">
        <v>58</v>
      </c>
      <c r="AJ2" s="58" t="s">
        <v>59</v>
      </c>
      <c r="BB2" s="56"/>
      <c r="BC2" s="2247" t="s">
        <v>60</v>
      </c>
      <c r="BD2" s="2247"/>
      <c r="BE2" s="2247"/>
      <c r="BF2" s="2247"/>
      <c r="BG2" s="2247"/>
      <c r="BH2" s="2247"/>
      <c r="BI2" s="2247"/>
      <c r="BJ2" s="2247"/>
      <c r="BK2" s="2247"/>
      <c r="BL2" s="2247"/>
      <c r="BM2" s="2247"/>
      <c r="BN2" s="2247"/>
      <c r="BO2" s="2248" t="s">
        <v>61</v>
      </c>
      <c r="BP2" s="2248"/>
      <c r="BQ2" s="2248"/>
      <c r="BR2" s="2248"/>
      <c r="BS2" s="2249" t="s">
        <v>62</v>
      </c>
      <c r="BT2" s="2249"/>
      <c r="BU2" s="2249"/>
      <c r="BV2" s="2249"/>
    </row>
    <row r="3" spans="1:87" ht="45.75" customHeight="1" thickBot="1" x14ac:dyDescent="0.35">
      <c r="A3" s="59"/>
      <c r="B3" s="60"/>
      <c r="C3" s="61"/>
      <c r="G3" s="61"/>
      <c r="H3" s="62"/>
      <c r="I3" s="62"/>
      <c r="J3" s="61"/>
      <c r="K3" s="61"/>
      <c r="L3" s="61"/>
      <c r="M3" s="61"/>
      <c r="N3" s="61"/>
      <c r="O3" s="61"/>
      <c r="P3" s="61"/>
      <c r="Q3" s="61"/>
      <c r="R3" s="61"/>
      <c r="S3" s="61"/>
      <c r="T3" s="63"/>
      <c r="U3" s="61"/>
      <c r="V3" s="61"/>
      <c r="W3" s="61"/>
      <c r="X3" s="61"/>
      <c r="Y3" s="61" t="s">
        <v>63</v>
      </c>
      <c r="Z3" s="61"/>
      <c r="AA3" s="61"/>
      <c r="AB3" s="61"/>
      <c r="AC3" s="61"/>
      <c r="AD3" s="61"/>
      <c r="AE3" s="61"/>
      <c r="AF3" s="61"/>
      <c r="AG3" s="61"/>
      <c r="AH3" s="61"/>
      <c r="AI3" s="61"/>
      <c r="AJ3" s="2250" t="s">
        <v>64</v>
      </c>
      <c r="AK3" s="2251"/>
      <c r="AL3" s="2251"/>
      <c r="AM3" s="2251"/>
      <c r="AN3" s="2251"/>
      <c r="AO3" s="2251"/>
      <c r="AP3" s="2251"/>
      <c r="AQ3" s="2251"/>
      <c r="AR3" s="2251"/>
      <c r="AS3" s="2251"/>
      <c r="AT3" s="2251"/>
      <c r="AU3" s="2251"/>
      <c r="AV3" s="2251"/>
      <c r="AW3" s="2252"/>
      <c r="AY3" s="62"/>
      <c r="AZ3" s="62"/>
      <c r="BA3" s="62"/>
      <c r="BB3" s="56"/>
      <c r="BC3" s="2253" t="s">
        <v>65</v>
      </c>
      <c r="BD3" s="2254"/>
      <c r="BE3" s="2254"/>
      <c r="BF3" s="2255"/>
      <c r="BG3" s="2256" t="s">
        <v>66</v>
      </c>
      <c r="BH3" s="2257"/>
      <c r="BI3" s="2257"/>
      <c r="BJ3" s="2258"/>
      <c r="BK3" s="2259" t="s">
        <v>67</v>
      </c>
      <c r="BL3" s="2260"/>
      <c r="BM3" s="2260"/>
      <c r="BN3" s="2261"/>
      <c r="BO3" s="2262" t="s">
        <v>68</v>
      </c>
      <c r="BP3" s="2263"/>
      <c r="BQ3" s="2263"/>
      <c r="BR3" s="2264"/>
      <c r="BS3" s="2265" t="s">
        <v>69</v>
      </c>
      <c r="BT3" s="2265"/>
      <c r="BU3" s="2265"/>
      <c r="BV3" s="2266"/>
      <c r="BW3" s="64"/>
    </row>
    <row r="4" spans="1:87" s="94" customFormat="1" ht="108.75" customHeight="1" thickBot="1" x14ac:dyDescent="0.35">
      <c r="A4" s="65" t="s">
        <v>70</v>
      </c>
      <c r="B4" s="66" t="s">
        <v>71</v>
      </c>
      <c r="C4" s="67" t="s">
        <v>72</v>
      </c>
      <c r="D4" s="68" t="s">
        <v>73</v>
      </c>
      <c r="E4" s="68" t="s">
        <v>74</v>
      </c>
      <c r="F4" s="69" t="s">
        <v>75</v>
      </c>
      <c r="G4" s="67" t="s">
        <v>76</v>
      </c>
      <c r="H4" s="70" t="s">
        <v>77</v>
      </c>
      <c r="I4" s="70" t="s">
        <v>78</v>
      </c>
      <c r="J4" s="71" t="s">
        <v>79</v>
      </c>
      <c r="K4" s="72" t="s">
        <v>80</v>
      </c>
      <c r="L4" s="72" t="s">
        <v>81</v>
      </c>
      <c r="M4" s="72" t="s">
        <v>82</v>
      </c>
      <c r="N4" s="72" t="s">
        <v>83</v>
      </c>
      <c r="O4" s="72" t="s">
        <v>84</v>
      </c>
      <c r="P4" s="72" t="s">
        <v>85</v>
      </c>
      <c r="Q4" s="72" t="s">
        <v>86</v>
      </c>
      <c r="R4" s="72" t="s">
        <v>87</v>
      </c>
      <c r="S4" s="72" t="s">
        <v>88</v>
      </c>
      <c r="T4" s="73" t="s">
        <v>89</v>
      </c>
      <c r="U4" s="72" t="s">
        <v>90</v>
      </c>
      <c r="V4" s="72" t="s">
        <v>91</v>
      </c>
      <c r="W4" s="72" t="s">
        <v>92</v>
      </c>
      <c r="X4" s="72" t="s">
        <v>93</v>
      </c>
      <c r="Y4" s="72" t="s">
        <v>94</v>
      </c>
      <c r="Z4" s="72" t="s">
        <v>95</v>
      </c>
      <c r="AA4" s="72" t="s">
        <v>96</v>
      </c>
      <c r="AB4" s="72" t="s">
        <v>97</v>
      </c>
      <c r="AC4" s="74" t="s">
        <v>98</v>
      </c>
      <c r="AD4" s="75" t="s">
        <v>99</v>
      </c>
      <c r="AE4" s="76" t="s">
        <v>100</v>
      </c>
      <c r="AF4" s="71" t="s">
        <v>101</v>
      </c>
      <c r="AG4" s="76" t="s">
        <v>102</v>
      </c>
      <c r="AH4" s="71" t="s">
        <v>103</v>
      </c>
      <c r="AI4" s="77" t="s">
        <v>104</v>
      </c>
      <c r="AJ4" s="78" t="s">
        <v>105</v>
      </c>
      <c r="AK4" s="78" t="s">
        <v>106</v>
      </c>
      <c r="AL4" s="78" t="s">
        <v>107</v>
      </c>
      <c r="AM4" s="79" t="s">
        <v>108</v>
      </c>
      <c r="AN4" s="80" t="s">
        <v>109</v>
      </c>
      <c r="AO4" s="78" t="s">
        <v>110</v>
      </c>
      <c r="AP4" s="78" t="s">
        <v>111</v>
      </c>
      <c r="AQ4" s="78" t="s">
        <v>112</v>
      </c>
      <c r="AR4" s="79" t="s">
        <v>113</v>
      </c>
      <c r="AS4" s="81" t="s">
        <v>114</v>
      </c>
      <c r="AT4" s="81" t="s">
        <v>115</v>
      </c>
      <c r="AU4" s="81" t="s">
        <v>116</v>
      </c>
      <c r="AV4" s="82" t="s">
        <v>117</v>
      </c>
      <c r="AW4" s="83" t="s">
        <v>118</v>
      </c>
      <c r="AX4" s="84" t="s">
        <v>119</v>
      </c>
      <c r="AY4" s="85" t="s">
        <v>120</v>
      </c>
      <c r="AZ4" s="86" t="s">
        <v>121</v>
      </c>
      <c r="BA4" s="86" t="s">
        <v>122</v>
      </c>
      <c r="BB4" s="87"/>
      <c r="BC4" s="71" t="s">
        <v>123</v>
      </c>
      <c r="BD4" s="88" t="s">
        <v>124</v>
      </c>
      <c r="BE4" s="89" t="s">
        <v>125</v>
      </c>
      <c r="BF4" s="90" t="s">
        <v>126</v>
      </c>
      <c r="BG4" s="71" t="s">
        <v>127</v>
      </c>
      <c r="BH4" s="88" t="s">
        <v>128</v>
      </c>
      <c r="BI4" s="89" t="s">
        <v>129</v>
      </c>
      <c r="BJ4" s="90" t="s">
        <v>126</v>
      </c>
      <c r="BK4" s="71" t="s">
        <v>130</v>
      </c>
      <c r="BL4" s="88" t="s">
        <v>128</v>
      </c>
      <c r="BM4" s="89" t="s">
        <v>129</v>
      </c>
      <c r="BN4" s="90" t="s">
        <v>126</v>
      </c>
      <c r="BO4" s="71" t="s">
        <v>127</v>
      </c>
      <c r="BP4" s="88" t="s">
        <v>128</v>
      </c>
      <c r="BQ4" s="89" t="s">
        <v>129</v>
      </c>
      <c r="BR4" s="91" t="s">
        <v>126</v>
      </c>
      <c r="BS4" s="92" t="s">
        <v>130</v>
      </c>
      <c r="BT4" s="88" t="s">
        <v>128</v>
      </c>
      <c r="BU4" s="89" t="s">
        <v>129</v>
      </c>
      <c r="BV4" s="93" t="s">
        <v>126</v>
      </c>
    </row>
    <row r="5" spans="1:87" s="113" customFormat="1" ht="32.25" customHeight="1" thickBot="1" x14ac:dyDescent="0.35">
      <c r="A5" s="95"/>
      <c r="B5" s="95"/>
      <c r="C5" s="96"/>
      <c r="D5" s="96"/>
      <c r="E5" s="96"/>
      <c r="F5" s="97"/>
      <c r="G5" s="96"/>
      <c r="H5" s="96"/>
      <c r="I5" s="96"/>
      <c r="J5" s="96"/>
      <c r="K5" s="96"/>
      <c r="L5" s="96"/>
      <c r="M5" s="96"/>
      <c r="N5" s="96"/>
      <c r="O5" s="96"/>
      <c r="P5" s="96"/>
      <c r="Q5" s="96"/>
      <c r="R5" s="96"/>
      <c r="S5" s="96"/>
      <c r="T5" s="95"/>
      <c r="U5" s="96"/>
      <c r="V5" s="96"/>
      <c r="W5" s="96"/>
      <c r="X5" s="96"/>
      <c r="Y5" s="96"/>
      <c r="Z5" s="96"/>
      <c r="AA5" s="96"/>
      <c r="AB5" s="96"/>
      <c r="AC5" s="98"/>
      <c r="AD5" s="99"/>
      <c r="AE5" s="96"/>
      <c r="AF5" s="96"/>
      <c r="AG5" s="96"/>
      <c r="AH5" s="96"/>
      <c r="AI5" s="96"/>
      <c r="AJ5" s="100"/>
      <c r="AK5" s="100"/>
      <c r="AL5" s="100"/>
      <c r="AM5" s="100"/>
      <c r="AN5" s="100"/>
      <c r="AO5" s="100"/>
      <c r="AP5" s="100"/>
      <c r="AQ5" s="100"/>
      <c r="AR5" s="100"/>
      <c r="AS5" s="100"/>
      <c r="AT5" s="100"/>
      <c r="AU5" s="100"/>
      <c r="AV5" s="100"/>
      <c r="AW5" s="101"/>
      <c r="AX5" s="102"/>
      <c r="AY5" s="103" t="s">
        <v>126</v>
      </c>
      <c r="AZ5" s="104" t="s">
        <v>131</v>
      </c>
      <c r="BA5" s="105" t="s">
        <v>132</v>
      </c>
      <c r="BB5" s="106"/>
      <c r="BC5" s="107" t="s">
        <v>133</v>
      </c>
      <c r="BD5" s="108" t="s">
        <v>134</v>
      </c>
      <c r="BE5" s="108" t="s">
        <v>135</v>
      </c>
      <c r="BF5" s="109" t="s">
        <v>126</v>
      </c>
      <c r="BG5" s="96"/>
      <c r="BH5" s="108"/>
      <c r="BI5" s="110"/>
      <c r="BJ5" s="109"/>
      <c r="BK5" s="96"/>
      <c r="BL5" s="108"/>
      <c r="BM5" s="110"/>
      <c r="BN5" s="109"/>
      <c r="BO5" s="96"/>
      <c r="BP5" s="108"/>
      <c r="BQ5" s="110"/>
      <c r="BR5" s="111"/>
      <c r="BS5" s="112"/>
      <c r="BT5" s="108"/>
      <c r="BU5" s="110"/>
      <c r="BV5" s="111"/>
    </row>
    <row r="6" spans="1:87" s="94" customFormat="1" ht="108.75" customHeight="1" x14ac:dyDescent="0.3">
      <c r="A6" s="114" t="s">
        <v>136</v>
      </c>
      <c r="B6" s="115" t="s">
        <v>137</v>
      </c>
      <c r="C6" s="2267" t="s">
        <v>138</v>
      </c>
      <c r="D6" s="116" t="s">
        <v>139</v>
      </c>
      <c r="E6" s="117" t="s">
        <v>140</v>
      </c>
      <c r="F6" s="118" t="s">
        <v>139</v>
      </c>
      <c r="G6" s="119" t="s">
        <v>141</v>
      </c>
      <c r="H6" s="120" t="s">
        <v>142</v>
      </c>
      <c r="I6" s="120" t="s">
        <v>143</v>
      </c>
      <c r="J6" s="121">
        <v>4.4999999999999998E-2</v>
      </c>
      <c r="K6" s="121">
        <v>3.0911000000000001E-2</v>
      </c>
      <c r="L6" s="121">
        <v>1.4089000000000001E-2</v>
      </c>
      <c r="M6" s="122">
        <v>0</v>
      </c>
      <c r="N6" s="122">
        <v>2.5000000000000001E-2</v>
      </c>
      <c r="O6" s="123" t="s">
        <v>144</v>
      </c>
      <c r="P6" s="124">
        <v>0.5</v>
      </c>
      <c r="Q6" s="125">
        <v>0.15</v>
      </c>
      <c r="R6" s="126" t="s">
        <v>145</v>
      </c>
      <c r="S6" s="127" t="s">
        <v>146</v>
      </c>
      <c r="T6" s="128">
        <v>120</v>
      </c>
      <c r="U6" s="127" t="s">
        <v>147</v>
      </c>
      <c r="V6" s="127" t="s">
        <v>148</v>
      </c>
      <c r="W6" s="127" t="s">
        <v>149</v>
      </c>
      <c r="X6" s="128">
        <v>18</v>
      </c>
      <c r="Y6" s="128" t="s">
        <v>150</v>
      </c>
      <c r="Z6" s="128" t="s">
        <v>151</v>
      </c>
      <c r="AA6" s="129">
        <v>100000</v>
      </c>
      <c r="AB6" s="127" t="s">
        <v>152</v>
      </c>
      <c r="AC6" s="130">
        <v>25</v>
      </c>
      <c r="AD6" s="130">
        <v>25</v>
      </c>
      <c r="AE6" s="131">
        <v>50</v>
      </c>
      <c r="AF6" s="132">
        <v>7.5</v>
      </c>
      <c r="AG6" s="133">
        <v>17.5</v>
      </c>
      <c r="AH6" s="134">
        <v>7.5</v>
      </c>
      <c r="AI6" s="135">
        <v>17.5</v>
      </c>
      <c r="AJ6" s="136">
        <v>2.677</v>
      </c>
      <c r="AK6" s="136">
        <v>0.41399999999999998</v>
      </c>
      <c r="AL6" s="136">
        <v>0</v>
      </c>
      <c r="AM6" s="137">
        <v>3.0910000000000002</v>
      </c>
      <c r="AN6" s="138">
        <v>3.0910000000000002</v>
      </c>
      <c r="AO6" s="136">
        <v>0.20743229268292684</v>
      </c>
      <c r="AP6" s="136">
        <v>1.1672018536585367</v>
      </c>
      <c r="AQ6" s="136">
        <v>0</v>
      </c>
      <c r="AR6" s="137">
        <v>1.3746341463414635</v>
      </c>
      <c r="AS6" s="136">
        <v>0.2126181</v>
      </c>
      <c r="AT6" s="136">
        <v>1.1963819</v>
      </c>
      <c r="AU6" s="136">
        <v>0</v>
      </c>
      <c r="AV6" s="139">
        <v>1.409</v>
      </c>
      <c r="AW6" s="138">
        <v>4.5</v>
      </c>
      <c r="AX6" s="140" t="s">
        <v>153</v>
      </c>
      <c r="AY6" s="141">
        <v>8.4999999999999992E-2</v>
      </c>
      <c r="AZ6" s="142">
        <v>7.7000000000000041E-2</v>
      </c>
      <c r="BA6" s="142">
        <v>7.1399999999999991E-2</v>
      </c>
      <c r="BB6" s="143"/>
      <c r="BC6" s="144">
        <v>7.7000000000000041E-2</v>
      </c>
      <c r="BD6" s="145">
        <v>0.03</v>
      </c>
      <c r="BE6" s="145">
        <v>4.4000000000000067E-2</v>
      </c>
      <c r="BF6" s="146">
        <v>8.4999999999999992E-2</v>
      </c>
      <c r="BG6" s="144">
        <v>7.1399999999999991E-2</v>
      </c>
      <c r="BH6" s="145">
        <v>0.02</v>
      </c>
      <c r="BI6" s="145">
        <v>4.2799999999999998E-2</v>
      </c>
      <c r="BJ6" s="146">
        <v>8.4999999999999992E-2</v>
      </c>
      <c r="BK6" s="144">
        <v>7.1399999999999991E-2</v>
      </c>
      <c r="BL6" s="145">
        <v>0.02</v>
      </c>
      <c r="BM6" s="145">
        <v>4.2799999999999998E-2</v>
      </c>
      <c r="BN6" s="146">
        <v>8.4999999999999992E-2</v>
      </c>
      <c r="BO6" s="144">
        <v>7.1389999999999995E-2</v>
      </c>
      <c r="BP6" s="145">
        <v>3.3333333333333333E-2</v>
      </c>
      <c r="BQ6" s="145">
        <v>7.1300000000000002E-2</v>
      </c>
      <c r="BR6" s="147">
        <v>8.4999999999999992E-2</v>
      </c>
      <c r="BS6" s="148">
        <v>7.1399999999999991E-2</v>
      </c>
      <c r="BT6" s="145">
        <v>0.04</v>
      </c>
      <c r="BU6" s="145">
        <v>8.5599999999999996E-2</v>
      </c>
      <c r="BV6" s="122">
        <v>8.4999999999999992E-2</v>
      </c>
      <c r="BW6" s="149">
        <f>(BI6+BH6)*50%+4%</f>
        <v>7.1399999999999991E-2</v>
      </c>
      <c r="BX6" s="149"/>
      <c r="BY6" s="149"/>
      <c r="BZ6" s="149"/>
      <c r="CA6" s="149">
        <f t="shared" ref="CA6:CA21" si="0">(BM6+BL6)*50%+4%</f>
        <v>7.1399999999999991E-2</v>
      </c>
      <c r="CB6" s="149"/>
      <c r="CC6" s="149"/>
      <c r="CD6" s="149"/>
      <c r="CE6" s="150">
        <f>(BQ6+BP6)*30%+4%</f>
        <v>7.1389999999999995E-2</v>
      </c>
      <c r="CF6" s="150"/>
      <c r="CG6" s="150"/>
      <c r="CH6" s="150"/>
      <c r="CI6" s="150">
        <f>(BU6+BT6)*25%+4%</f>
        <v>7.1399999999999991E-2</v>
      </c>
    </row>
    <row r="7" spans="1:87" s="94" customFormat="1" ht="108.75" customHeight="1" x14ac:dyDescent="0.3">
      <c r="A7" s="151" t="s">
        <v>136</v>
      </c>
      <c r="B7" s="152" t="s">
        <v>137</v>
      </c>
      <c r="C7" s="2267"/>
      <c r="D7" s="153" t="s">
        <v>154</v>
      </c>
      <c r="E7" s="154" t="s">
        <v>140</v>
      </c>
      <c r="F7" s="155" t="s">
        <v>154</v>
      </c>
      <c r="G7" s="156" t="s">
        <v>141</v>
      </c>
      <c r="H7" s="157" t="s">
        <v>142</v>
      </c>
      <c r="I7" s="157" t="s">
        <v>143</v>
      </c>
      <c r="J7" s="158">
        <v>4.4999999999999998E-2</v>
      </c>
      <c r="K7" s="158">
        <v>3.0911000000000001E-2</v>
      </c>
      <c r="L7" s="158">
        <v>1.4089000000000001E-2</v>
      </c>
      <c r="M7" s="159">
        <v>0</v>
      </c>
      <c r="N7" s="159">
        <v>2.5000000000000001E-2</v>
      </c>
      <c r="O7" s="160" t="s">
        <v>144</v>
      </c>
      <c r="P7" s="161">
        <v>0.5</v>
      </c>
      <c r="Q7" s="161">
        <v>0.15</v>
      </c>
      <c r="R7" s="126" t="s">
        <v>145</v>
      </c>
      <c r="S7" s="162" t="s">
        <v>146</v>
      </c>
      <c r="T7" s="163">
        <v>120</v>
      </c>
      <c r="U7" s="162" t="s">
        <v>147</v>
      </c>
      <c r="V7" s="162" t="s">
        <v>148</v>
      </c>
      <c r="W7" s="162" t="s">
        <v>149</v>
      </c>
      <c r="X7" s="163">
        <v>18</v>
      </c>
      <c r="Y7" s="163" t="s">
        <v>150</v>
      </c>
      <c r="Z7" s="163" t="s">
        <v>151</v>
      </c>
      <c r="AA7" s="164">
        <v>100000</v>
      </c>
      <c r="AB7" s="162" t="s">
        <v>152</v>
      </c>
      <c r="AC7" s="165">
        <v>25</v>
      </c>
      <c r="AD7" s="165">
        <v>25</v>
      </c>
      <c r="AE7" s="166">
        <v>50</v>
      </c>
      <c r="AF7" s="167">
        <v>7.5</v>
      </c>
      <c r="AG7" s="168">
        <v>17.5</v>
      </c>
      <c r="AH7" s="169">
        <v>7.5</v>
      </c>
      <c r="AI7" s="170">
        <v>17.5</v>
      </c>
      <c r="AJ7" s="171">
        <v>2.677</v>
      </c>
      <c r="AK7" s="171">
        <v>0.41399999999999998</v>
      </c>
      <c r="AL7" s="171">
        <v>0</v>
      </c>
      <c r="AM7" s="172">
        <v>3.0910000000000002</v>
      </c>
      <c r="AN7" s="173">
        <v>3.0910000000000002</v>
      </c>
      <c r="AO7" s="171">
        <v>0.20743229268292684</v>
      </c>
      <c r="AP7" s="171">
        <v>1.1672018536585367</v>
      </c>
      <c r="AQ7" s="171">
        <v>0</v>
      </c>
      <c r="AR7" s="172">
        <v>1.3746341463414635</v>
      </c>
      <c r="AS7" s="171">
        <v>0.2126181</v>
      </c>
      <c r="AT7" s="171">
        <v>1.1963819</v>
      </c>
      <c r="AU7" s="171">
        <v>0</v>
      </c>
      <c r="AV7" s="174">
        <v>1.409</v>
      </c>
      <c r="AW7" s="173">
        <v>4.5</v>
      </c>
      <c r="AX7" s="175" t="s">
        <v>153</v>
      </c>
      <c r="AY7" s="176">
        <v>8.4999999999999992E-2</v>
      </c>
      <c r="AZ7" s="142">
        <v>7.7000000000000041E-2</v>
      </c>
      <c r="BA7" s="142">
        <v>7.1399999999999991E-2</v>
      </c>
      <c r="BB7" s="143"/>
      <c r="BC7" s="144">
        <v>7.7000000000000041E-2</v>
      </c>
      <c r="BD7" s="145">
        <v>0.03</v>
      </c>
      <c r="BE7" s="145">
        <v>4.4000000000000067E-2</v>
      </c>
      <c r="BF7" s="146">
        <v>8.4999999999999992E-2</v>
      </c>
      <c r="BG7" s="144">
        <v>7.1399999999999991E-2</v>
      </c>
      <c r="BH7" s="145">
        <v>0.02</v>
      </c>
      <c r="BI7" s="145">
        <v>4.2799999999999998E-2</v>
      </c>
      <c r="BJ7" s="146">
        <v>8.4999999999999992E-2</v>
      </c>
      <c r="BK7" s="144">
        <v>7.1399999999999991E-2</v>
      </c>
      <c r="BL7" s="145">
        <v>0.02</v>
      </c>
      <c r="BM7" s="145">
        <v>4.2799999999999998E-2</v>
      </c>
      <c r="BN7" s="146">
        <v>8.4999999999999992E-2</v>
      </c>
      <c r="BO7" s="144">
        <v>7.1389999999999995E-2</v>
      </c>
      <c r="BP7" s="145">
        <v>3.3333333333333333E-2</v>
      </c>
      <c r="BQ7" s="145">
        <v>7.1300000000000002E-2</v>
      </c>
      <c r="BR7" s="177">
        <v>8.4999999999999992E-2</v>
      </c>
      <c r="BS7" s="144">
        <v>7.1399999999999991E-2</v>
      </c>
      <c r="BT7" s="145">
        <v>0.04</v>
      </c>
      <c r="BU7" s="145">
        <v>8.5599999999999996E-2</v>
      </c>
      <c r="BV7" s="122">
        <v>8.4999999999999992E-2</v>
      </c>
      <c r="BW7" s="149">
        <f t="shared" ref="BW7:BW25" si="1">(BI7+BH7)*50%+4%</f>
        <v>7.1399999999999991E-2</v>
      </c>
      <c r="BX7" s="149"/>
      <c r="BY7" s="149"/>
      <c r="BZ7" s="149"/>
      <c r="CA7" s="149">
        <f t="shared" si="0"/>
        <v>7.1399999999999991E-2</v>
      </c>
      <c r="CB7" s="149"/>
      <c r="CC7" s="149"/>
      <c r="CD7" s="149"/>
      <c r="CE7" s="150">
        <f t="shared" ref="CE7:CE25" si="2">(BQ7+BP7)*30%+4%</f>
        <v>7.1389999999999995E-2</v>
      </c>
      <c r="CF7" s="178"/>
      <c r="CG7" s="178"/>
      <c r="CH7" s="178"/>
      <c r="CI7" s="150">
        <f t="shared" ref="CI7:CI25" si="3">(BU7+BT7)*25%+4%</f>
        <v>7.1399999999999991E-2</v>
      </c>
    </row>
    <row r="8" spans="1:87" s="94" customFormat="1" ht="108.75" customHeight="1" x14ac:dyDescent="0.3">
      <c r="A8" s="151" t="s">
        <v>136</v>
      </c>
      <c r="B8" s="179" t="s">
        <v>137</v>
      </c>
      <c r="C8" s="2267"/>
      <c r="D8" s="153" t="s">
        <v>155</v>
      </c>
      <c r="E8" s="154" t="s">
        <v>140</v>
      </c>
      <c r="F8" s="155" t="s">
        <v>155</v>
      </c>
      <c r="G8" s="156" t="s">
        <v>141</v>
      </c>
      <c r="H8" s="157" t="s">
        <v>142</v>
      </c>
      <c r="I8" s="157" t="s">
        <v>143</v>
      </c>
      <c r="J8" s="158">
        <v>4.4999999999999998E-2</v>
      </c>
      <c r="K8" s="158">
        <v>3.0911000000000001E-2</v>
      </c>
      <c r="L8" s="158">
        <v>1.4089000000000001E-2</v>
      </c>
      <c r="M8" s="159">
        <v>0</v>
      </c>
      <c r="N8" s="159">
        <v>2.5000000000000001E-2</v>
      </c>
      <c r="O8" s="180" t="s">
        <v>144</v>
      </c>
      <c r="P8" s="161">
        <v>0.5</v>
      </c>
      <c r="Q8" s="161">
        <v>0.15</v>
      </c>
      <c r="R8" s="126" t="s">
        <v>145</v>
      </c>
      <c r="S8" s="162" t="s">
        <v>146</v>
      </c>
      <c r="T8" s="163">
        <v>120</v>
      </c>
      <c r="U8" s="162" t="s">
        <v>147</v>
      </c>
      <c r="V8" s="162" t="s">
        <v>148</v>
      </c>
      <c r="W8" s="162" t="s">
        <v>149</v>
      </c>
      <c r="X8" s="163">
        <v>18</v>
      </c>
      <c r="Y8" s="163" t="s">
        <v>150</v>
      </c>
      <c r="Z8" s="163" t="s">
        <v>151</v>
      </c>
      <c r="AA8" s="164">
        <v>100000</v>
      </c>
      <c r="AB8" s="162" t="s">
        <v>152</v>
      </c>
      <c r="AC8" s="165">
        <v>25</v>
      </c>
      <c r="AD8" s="165">
        <v>25</v>
      </c>
      <c r="AE8" s="166">
        <v>50</v>
      </c>
      <c r="AF8" s="167">
        <v>7.5</v>
      </c>
      <c r="AG8" s="166">
        <v>17.5</v>
      </c>
      <c r="AH8" s="167">
        <v>7.5</v>
      </c>
      <c r="AI8" s="170">
        <v>17.5</v>
      </c>
      <c r="AJ8" s="171">
        <v>2.677</v>
      </c>
      <c r="AK8" s="171">
        <v>0.41399999999999998</v>
      </c>
      <c r="AL8" s="171">
        <v>0</v>
      </c>
      <c r="AM8" s="172">
        <v>3.0910000000000002</v>
      </c>
      <c r="AN8" s="173">
        <v>3.0910000000000002</v>
      </c>
      <c r="AO8" s="171">
        <v>0.20743229268292684</v>
      </c>
      <c r="AP8" s="171">
        <v>1.1672018536585367</v>
      </c>
      <c r="AQ8" s="171">
        <v>0</v>
      </c>
      <c r="AR8" s="172">
        <v>1.3746341463414635</v>
      </c>
      <c r="AS8" s="171">
        <v>0.2126181</v>
      </c>
      <c r="AT8" s="171">
        <v>1.1963819</v>
      </c>
      <c r="AU8" s="171">
        <v>0</v>
      </c>
      <c r="AV8" s="174">
        <v>1.409</v>
      </c>
      <c r="AW8" s="173">
        <v>4.5</v>
      </c>
      <c r="AX8" s="181" t="s">
        <v>153</v>
      </c>
      <c r="AY8" s="182">
        <v>8.4999999999999992E-2</v>
      </c>
      <c r="AZ8" s="142">
        <v>7.7000000000000041E-2</v>
      </c>
      <c r="BA8" s="142">
        <v>7.1399999999999991E-2</v>
      </c>
      <c r="BB8" s="143"/>
      <c r="BC8" s="144">
        <v>7.7000000000000041E-2</v>
      </c>
      <c r="BD8" s="145">
        <v>0.03</v>
      </c>
      <c r="BE8" s="145">
        <v>4.4000000000000067E-2</v>
      </c>
      <c r="BF8" s="146">
        <v>8.4999999999999992E-2</v>
      </c>
      <c r="BG8" s="144">
        <v>7.1399999999999991E-2</v>
      </c>
      <c r="BH8" s="145">
        <v>0.02</v>
      </c>
      <c r="BI8" s="145">
        <v>4.2799999999999998E-2</v>
      </c>
      <c r="BJ8" s="146">
        <v>8.4999999999999992E-2</v>
      </c>
      <c r="BK8" s="144">
        <v>7.1399999999999991E-2</v>
      </c>
      <c r="BL8" s="145">
        <v>0.02</v>
      </c>
      <c r="BM8" s="145">
        <v>4.2799999999999998E-2</v>
      </c>
      <c r="BN8" s="146">
        <v>8.4999999999999992E-2</v>
      </c>
      <c r="BO8" s="144">
        <v>7.1389999999999995E-2</v>
      </c>
      <c r="BP8" s="145">
        <v>3.3333333333333333E-2</v>
      </c>
      <c r="BQ8" s="145">
        <v>7.1300000000000002E-2</v>
      </c>
      <c r="BR8" s="146">
        <v>8.4999999999999992E-2</v>
      </c>
      <c r="BS8" s="144">
        <v>7.1399999999999991E-2</v>
      </c>
      <c r="BT8" s="145">
        <v>0.04</v>
      </c>
      <c r="BU8" s="145">
        <v>8.5599999999999996E-2</v>
      </c>
      <c r="BV8" s="122">
        <v>8.4999999999999992E-2</v>
      </c>
      <c r="BW8" s="149">
        <f t="shared" si="1"/>
        <v>7.1399999999999991E-2</v>
      </c>
      <c r="BX8" s="149"/>
      <c r="BY8" s="149"/>
      <c r="BZ8" s="149"/>
      <c r="CA8" s="149">
        <f t="shared" si="0"/>
        <v>7.1399999999999991E-2</v>
      </c>
      <c r="CB8" s="149"/>
      <c r="CC8" s="149"/>
      <c r="CD8" s="149"/>
      <c r="CE8" s="150">
        <f t="shared" si="2"/>
        <v>7.1389999999999995E-2</v>
      </c>
      <c r="CF8" s="178"/>
      <c r="CG8" s="178"/>
      <c r="CH8" s="178"/>
      <c r="CI8" s="150">
        <f t="shared" si="3"/>
        <v>7.1399999999999991E-2</v>
      </c>
    </row>
    <row r="9" spans="1:87" s="94" customFormat="1" ht="108.75" customHeight="1" x14ac:dyDescent="0.3">
      <c r="A9" s="151" t="s">
        <v>136</v>
      </c>
      <c r="B9" s="179" t="s">
        <v>137</v>
      </c>
      <c r="C9" s="2267"/>
      <c r="D9" s="183" t="s">
        <v>156</v>
      </c>
      <c r="E9" s="184" t="s">
        <v>157</v>
      </c>
      <c r="F9" s="185" t="s">
        <v>156</v>
      </c>
      <c r="G9" s="156" t="s">
        <v>141</v>
      </c>
      <c r="H9" s="157" t="s">
        <v>142</v>
      </c>
      <c r="I9" s="157" t="s">
        <v>143</v>
      </c>
      <c r="J9" s="158">
        <v>0.06</v>
      </c>
      <c r="K9" s="158">
        <v>4.1216000000000003E-2</v>
      </c>
      <c r="L9" s="158">
        <v>1.8783999999999999E-2</v>
      </c>
      <c r="M9" s="159">
        <v>0</v>
      </c>
      <c r="N9" s="159">
        <v>2.5000000000000001E-2</v>
      </c>
      <c r="O9" s="186" t="s">
        <v>144</v>
      </c>
      <c r="P9" s="161">
        <v>0.5</v>
      </c>
      <c r="Q9" s="161">
        <v>0.15</v>
      </c>
      <c r="R9" s="126" t="s">
        <v>145</v>
      </c>
      <c r="S9" s="162" t="s">
        <v>158</v>
      </c>
      <c r="T9" s="163">
        <v>120</v>
      </c>
      <c r="U9" s="162" t="s">
        <v>147</v>
      </c>
      <c r="V9" s="162" t="s">
        <v>148</v>
      </c>
      <c r="W9" s="162" t="s">
        <v>149</v>
      </c>
      <c r="X9" s="163">
        <v>18</v>
      </c>
      <c r="Y9" s="163" t="s">
        <v>150</v>
      </c>
      <c r="Z9" s="163" t="s">
        <v>151</v>
      </c>
      <c r="AA9" s="164">
        <v>100000</v>
      </c>
      <c r="AB9" s="162" t="s">
        <v>152</v>
      </c>
      <c r="AC9" s="165">
        <v>25</v>
      </c>
      <c r="AD9" s="165">
        <v>25</v>
      </c>
      <c r="AE9" s="166">
        <v>50</v>
      </c>
      <c r="AF9" s="167">
        <v>7.5</v>
      </c>
      <c r="AG9" s="168">
        <v>17.5</v>
      </c>
      <c r="AH9" s="169">
        <v>7.5</v>
      </c>
      <c r="AI9" s="170">
        <v>17.5</v>
      </c>
      <c r="AJ9" s="171">
        <v>3.57</v>
      </c>
      <c r="AK9" s="171">
        <v>0.55200000000000005</v>
      </c>
      <c r="AL9" s="171">
        <v>0</v>
      </c>
      <c r="AM9" s="172">
        <v>4.1219999999999999</v>
      </c>
      <c r="AN9" s="173">
        <v>4.1219999999999999</v>
      </c>
      <c r="AO9" s="171">
        <v>0.27629502439024389</v>
      </c>
      <c r="AP9" s="171">
        <v>1.5559000975609756</v>
      </c>
      <c r="AQ9" s="171">
        <v>0</v>
      </c>
      <c r="AR9" s="172">
        <v>1.8321951219512194</v>
      </c>
      <c r="AS9" s="171">
        <v>0.28320239999999997</v>
      </c>
      <c r="AT9" s="171">
        <v>1.5947975999999999</v>
      </c>
      <c r="AU9" s="171">
        <v>0</v>
      </c>
      <c r="AV9" s="174">
        <v>1.8779999999999999</v>
      </c>
      <c r="AW9" s="173">
        <v>6</v>
      </c>
      <c r="AX9" s="181" t="s">
        <v>159</v>
      </c>
      <c r="AY9" s="182">
        <v>7.3700000000000002E-2</v>
      </c>
      <c r="AZ9" s="187">
        <v>6.5700000000000064E-2</v>
      </c>
      <c r="BA9" s="187">
        <v>6.0100000000000001E-2</v>
      </c>
      <c r="BB9" s="188"/>
      <c r="BC9" s="189">
        <v>6.5700000000000064E-2</v>
      </c>
      <c r="BD9" s="190">
        <v>0.03</v>
      </c>
      <c r="BE9" s="190">
        <v>2.1400000000000113E-2</v>
      </c>
      <c r="BF9" s="177">
        <v>7.3700000000000002E-2</v>
      </c>
      <c r="BG9" s="189">
        <v>6.0100000000000001E-2</v>
      </c>
      <c r="BH9" s="190">
        <v>0.02</v>
      </c>
      <c r="BI9" s="145">
        <v>2.0199999999999999E-2</v>
      </c>
      <c r="BJ9" s="177">
        <v>7.3700000000000002E-2</v>
      </c>
      <c r="BK9" s="189">
        <v>6.0100000000000001E-2</v>
      </c>
      <c r="BL9" s="190">
        <v>0.02</v>
      </c>
      <c r="BM9" s="190">
        <v>2.0199999999999999E-2</v>
      </c>
      <c r="BN9" s="177">
        <v>7.3700000000000002E-2</v>
      </c>
      <c r="BO9" s="189">
        <v>6.0109999999999997E-2</v>
      </c>
      <c r="BP9" s="190">
        <v>3.3333333333333333E-2</v>
      </c>
      <c r="BQ9" s="190">
        <v>3.3700000000000001E-2</v>
      </c>
      <c r="BR9" s="177">
        <v>7.3700000000000002E-2</v>
      </c>
      <c r="BS9" s="189">
        <v>6.0100000000000001E-2</v>
      </c>
      <c r="BT9" s="190">
        <v>0.04</v>
      </c>
      <c r="BU9" s="190">
        <v>4.0399999999999998E-2</v>
      </c>
      <c r="BV9" s="159">
        <v>7.3700000000000002E-2</v>
      </c>
      <c r="BW9" s="149">
        <f t="shared" si="1"/>
        <v>6.0100000000000001E-2</v>
      </c>
      <c r="BX9" s="149"/>
      <c r="BY9" s="149"/>
      <c r="BZ9" s="149"/>
      <c r="CA9" s="149">
        <f t="shared" si="0"/>
        <v>6.0100000000000001E-2</v>
      </c>
      <c r="CB9" s="149"/>
      <c r="CC9" s="149"/>
      <c r="CD9" s="149"/>
      <c r="CE9" s="150">
        <f t="shared" si="2"/>
        <v>6.0109999999999997E-2</v>
      </c>
      <c r="CF9" s="178"/>
      <c r="CG9" s="178"/>
      <c r="CH9" s="178"/>
      <c r="CI9" s="150">
        <f t="shared" si="3"/>
        <v>6.0100000000000001E-2</v>
      </c>
    </row>
    <row r="10" spans="1:87" s="94" customFormat="1" ht="108.75" customHeight="1" x14ac:dyDescent="0.3">
      <c r="A10" s="151" t="s">
        <v>136</v>
      </c>
      <c r="B10" s="179" t="s">
        <v>137</v>
      </c>
      <c r="C10" s="2267"/>
      <c r="D10" s="191" t="s">
        <v>160</v>
      </c>
      <c r="E10" s="192" t="s">
        <v>161</v>
      </c>
      <c r="F10" s="185" t="s">
        <v>160</v>
      </c>
      <c r="G10" s="156" t="s">
        <v>141</v>
      </c>
      <c r="H10" s="157" t="s">
        <v>142</v>
      </c>
      <c r="I10" s="157" t="s">
        <v>143</v>
      </c>
      <c r="J10" s="158">
        <v>0.08</v>
      </c>
      <c r="K10" s="158">
        <v>5.4954999999999997E-2</v>
      </c>
      <c r="L10" s="158">
        <v>2.5045000000000001E-2</v>
      </c>
      <c r="M10" s="159">
        <v>0</v>
      </c>
      <c r="N10" s="159">
        <v>2.5000000000000001E-2</v>
      </c>
      <c r="O10" s="193" t="s">
        <v>144</v>
      </c>
      <c r="P10" s="161">
        <v>0.5</v>
      </c>
      <c r="Q10" s="161">
        <v>0.15</v>
      </c>
      <c r="R10" s="126" t="s">
        <v>145</v>
      </c>
      <c r="S10" s="162" t="s">
        <v>162</v>
      </c>
      <c r="T10" s="163">
        <v>120</v>
      </c>
      <c r="U10" s="162" t="s">
        <v>147</v>
      </c>
      <c r="V10" s="162" t="s">
        <v>148</v>
      </c>
      <c r="W10" s="162" t="s">
        <v>149</v>
      </c>
      <c r="X10" s="163">
        <v>18</v>
      </c>
      <c r="Y10" s="163" t="s">
        <v>150</v>
      </c>
      <c r="Z10" s="163" t="s">
        <v>151</v>
      </c>
      <c r="AA10" s="164">
        <v>100000</v>
      </c>
      <c r="AB10" s="162" t="s">
        <v>152</v>
      </c>
      <c r="AC10" s="165">
        <v>25</v>
      </c>
      <c r="AD10" s="165">
        <v>25</v>
      </c>
      <c r="AE10" s="166">
        <v>50</v>
      </c>
      <c r="AF10" s="167">
        <v>7.5</v>
      </c>
      <c r="AG10" s="168">
        <v>17.5</v>
      </c>
      <c r="AH10" s="169">
        <v>7.5</v>
      </c>
      <c r="AI10" s="170">
        <v>17.5</v>
      </c>
      <c r="AJ10" s="171">
        <v>4.7591339155749637</v>
      </c>
      <c r="AK10" s="171">
        <v>0.73599999999999999</v>
      </c>
      <c r="AL10" s="171">
        <v>0</v>
      </c>
      <c r="AM10" s="172">
        <v>5.4950000000000001</v>
      </c>
      <c r="AN10" s="173">
        <v>5.4950000000000001</v>
      </c>
      <c r="AO10" s="171">
        <v>0.36854048780487803</v>
      </c>
      <c r="AP10" s="171">
        <v>2.0753619512195121</v>
      </c>
      <c r="AQ10" s="171">
        <v>0</v>
      </c>
      <c r="AR10" s="172">
        <v>2.4439024390243902</v>
      </c>
      <c r="AS10" s="171">
        <v>0.37775399999999998</v>
      </c>
      <c r="AT10" s="171">
        <v>2.127246</v>
      </c>
      <c r="AU10" s="171">
        <v>0</v>
      </c>
      <c r="AV10" s="174">
        <v>2.5049999999999999</v>
      </c>
      <c r="AW10" s="173">
        <v>8</v>
      </c>
      <c r="AX10" s="181" t="s">
        <v>163</v>
      </c>
      <c r="AY10" s="182">
        <v>6.6000000000000003E-2</v>
      </c>
      <c r="AZ10" s="187">
        <v>5.8000000000000017E-2</v>
      </c>
      <c r="BA10" s="187">
        <v>5.2400000000000002E-2</v>
      </c>
      <c r="BB10" s="188"/>
      <c r="BC10" s="189">
        <v>5.8000000000000017E-2</v>
      </c>
      <c r="BD10" s="190">
        <v>0.03</v>
      </c>
      <c r="BE10" s="190">
        <v>6.0000000000000331E-3</v>
      </c>
      <c r="BF10" s="177">
        <v>6.6000000000000003E-2</v>
      </c>
      <c r="BG10" s="189">
        <v>5.2400000000000002E-2</v>
      </c>
      <c r="BH10" s="190">
        <v>0.02</v>
      </c>
      <c r="BI10" s="145">
        <v>4.7999999999999996E-3</v>
      </c>
      <c r="BJ10" s="177">
        <v>6.6000000000000003E-2</v>
      </c>
      <c r="BK10" s="189">
        <v>5.2400000000000002E-2</v>
      </c>
      <c r="BL10" s="190">
        <v>0.02</v>
      </c>
      <c r="BM10" s="190">
        <v>4.7999999999999996E-3</v>
      </c>
      <c r="BN10" s="177">
        <v>6.6000000000000003E-2</v>
      </c>
      <c r="BO10" s="189">
        <v>5.2400000000000002E-2</v>
      </c>
      <c r="BP10" s="190">
        <v>3.3333333333333333E-2</v>
      </c>
      <c r="BQ10" s="190">
        <v>8.0000000000000002E-3</v>
      </c>
      <c r="BR10" s="177">
        <v>6.6000000000000003E-2</v>
      </c>
      <c r="BS10" s="189">
        <v>5.2400000000000002E-2</v>
      </c>
      <c r="BT10" s="190">
        <v>0.04</v>
      </c>
      <c r="BU10" s="190">
        <v>9.5999999999999992E-3</v>
      </c>
      <c r="BV10" s="159">
        <v>6.6000000000000003E-2</v>
      </c>
      <c r="BW10" s="149">
        <f t="shared" si="1"/>
        <v>5.2400000000000002E-2</v>
      </c>
      <c r="BX10" s="149"/>
      <c r="BY10" s="149"/>
      <c r="BZ10" s="149"/>
      <c r="CA10" s="149">
        <f t="shared" si="0"/>
        <v>5.2400000000000002E-2</v>
      </c>
      <c r="CB10" s="149"/>
      <c r="CC10" s="149"/>
      <c r="CD10" s="149"/>
      <c r="CE10" s="150">
        <f t="shared" si="2"/>
        <v>5.2400000000000002E-2</v>
      </c>
      <c r="CF10" s="178"/>
      <c r="CG10" s="178"/>
      <c r="CH10" s="178"/>
      <c r="CI10" s="150">
        <f t="shared" si="3"/>
        <v>5.2400000000000002E-2</v>
      </c>
    </row>
    <row r="11" spans="1:87" s="94" customFormat="1" ht="108.75" customHeight="1" thickBot="1" x14ac:dyDescent="0.35">
      <c r="A11" s="151" t="s">
        <v>136</v>
      </c>
      <c r="B11" s="179" t="s">
        <v>137</v>
      </c>
      <c r="C11" s="2268"/>
      <c r="D11" s="194" t="s">
        <v>164</v>
      </c>
      <c r="E11" s="195" t="s">
        <v>165</v>
      </c>
      <c r="F11" s="196" t="s">
        <v>164</v>
      </c>
      <c r="G11" s="197" t="s">
        <v>141</v>
      </c>
      <c r="H11" s="198" t="s">
        <v>142</v>
      </c>
      <c r="I11" s="198" t="s">
        <v>143</v>
      </c>
      <c r="J11" s="199">
        <v>0.1</v>
      </c>
      <c r="K11" s="199">
        <v>6.5839999999999996E-2</v>
      </c>
      <c r="L11" s="199">
        <v>3.4160000000000003E-2</v>
      </c>
      <c r="M11" s="200">
        <v>0</v>
      </c>
      <c r="N11" s="200">
        <v>2.5000000000000001E-2</v>
      </c>
      <c r="O11" s="201" t="s">
        <v>144</v>
      </c>
      <c r="P11" s="202">
        <v>0.5</v>
      </c>
      <c r="Q11" s="202">
        <v>0.15</v>
      </c>
      <c r="R11" s="203" t="s">
        <v>145</v>
      </c>
      <c r="S11" s="204" t="s">
        <v>166</v>
      </c>
      <c r="T11" s="205">
        <v>120</v>
      </c>
      <c r="U11" s="204" t="s">
        <v>147</v>
      </c>
      <c r="V11" s="204" t="s">
        <v>148</v>
      </c>
      <c r="W11" s="204" t="s">
        <v>149</v>
      </c>
      <c r="X11" s="205">
        <v>18</v>
      </c>
      <c r="Y11" s="205" t="s">
        <v>150</v>
      </c>
      <c r="Z11" s="205" t="s">
        <v>151</v>
      </c>
      <c r="AA11" s="206">
        <v>100000</v>
      </c>
      <c r="AB11" s="204" t="s">
        <v>152</v>
      </c>
      <c r="AC11" s="207">
        <v>25</v>
      </c>
      <c r="AD11" s="207">
        <v>25</v>
      </c>
      <c r="AE11" s="208">
        <v>50</v>
      </c>
      <c r="AF11" s="209">
        <v>7.5</v>
      </c>
      <c r="AG11" s="210">
        <v>17.5</v>
      </c>
      <c r="AH11" s="211">
        <v>7.5</v>
      </c>
      <c r="AI11" s="212">
        <v>17.5</v>
      </c>
      <c r="AJ11" s="213">
        <v>5.7010855999999999</v>
      </c>
      <c r="AK11" s="213">
        <v>0.88291439999999988</v>
      </c>
      <c r="AL11" s="213">
        <v>0</v>
      </c>
      <c r="AM11" s="214">
        <v>6.5839999999999996</v>
      </c>
      <c r="AN11" s="215">
        <v>7.4669143999999994</v>
      </c>
      <c r="AO11" s="213">
        <v>0.31327379999999999</v>
      </c>
      <c r="AP11" s="213">
        <v>3.0194261999999998</v>
      </c>
      <c r="AQ11" s="213">
        <v>0</v>
      </c>
      <c r="AR11" s="214">
        <v>3.3327</v>
      </c>
      <c r="AS11" s="213">
        <v>0.321104</v>
      </c>
      <c r="AT11" s="213">
        <v>3.0948960000000003</v>
      </c>
      <c r="AU11" s="213">
        <v>0</v>
      </c>
      <c r="AV11" s="216">
        <v>3.4160000000000004</v>
      </c>
      <c r="AW11" s="215">
        <v>10</v>
      </c>
      <c r="AX11" s="217" t="s">
        <v>167</v>
      </c>
      <c r="AY11" s="218">
        <v>6.6000000000000003E-2</v>
      </c>
      <c r="AZ11" s="219">
        <v>5.8000000000000017E-2</v>
      </c>
      <c r="BA11" s="219">
        <v>5.2400000000000002E-2</v>
      </c>
      <c r="BB11" s="220"/>
      <c r="BC11" s="221">
        <v>5.8000000000000017E-2</v>
      </c>
      <c r="BD11" s="222">
        <v>0.03</v>
      </c>
      <c r="BE11" s="223">
        <v>6.0000000000000331E-3</v>
      </c>
      <c r="BF11" s="224">
        <v>6.6000000000000003E-2</v>
      </c>
      <c r="BG11" s="225">
        <v>5.2400000000000002E-2</v>
      </c>
      <c r="BH11" s="223">
        <v>0.02</v>
      </c>
      <c r="BI11" s="222">
        <v>4.7999999999999996E-3</v>
      </c>
      <c r="BJ11" s="224">
        <v>6.6000000000000003E-2</v>
      </c>
      <c r="BK11" s="225">
        <v>5.2400000000000002E-2</v>
      </c>
      <c r="BL11" s="223">
        <v>0.02</v>
      </c>
      <c r="BM11" s="223">
        <v>4.7999999999999996E-3</v>
      </c>
      <c r="BN11" s="224">
        <v>6.6000000000000003E-2</v>
      </c>
      <c r="BO11" s="225">
        <v>5.2400000000000002E-2</v>
      </c>
      <c r="BP11" s="223">
        <v>3.3333333333333333E-2</v>
      </c>
      <c r="BQ11" s="223">
        <v>8.0000000000000002E-3</v>
      </c>
      <c r="BR11" s="224">
        <v>6.6000000000000003E-2</v>
      </c>
      <c r="BS11" s="225">
        <v>5.2400000000000002E-2</v>
      </c>
      <c r="BT11" s="223">
        <v>0.04</v>
      </c>
      <c r="BU11" s="223">
        <v>9.5999999999999992E-3</v>
      </c>
      <c r="BV11" s="226">
        <v>6.6000000000000003E-2</v>
      </c>
      <c r="BW11" s="149">
        <f t="shared" si="1"/>
        <v>5.2400000000000002E-2</v>
      </c>
      <c r="BX11" s="149"/>
      <c r="BY11" s="149"/>
      <c r="BZ11" s="149"/>
      <c r="CA11" s="149">
        <f t="shared" si="0"/>
        <v>5.2400000000000002E-2</v>
      </c>
      <c r="CB11" s="149"/>
      <c r="CC11" s="149"/>
      <c r="CD11" s="149"/>
      <c r="CE11" s="150">
        <f t="shared" si="2"/>
        <v>5.2400000000000002E-2</v>
      </c>
      <c r="CF11" s="178"/>
      <c r="CG11" s="178"/>
      <c r="CH11" s="178"/>
      <c r="CI11" s="150">
        <f t="shared" si="3"/>
        <v>5.2400000000000002E-2</v>
      </c>
    </row>
    <row r="12" spans="1:87" s="94" customFormat="1" ht="108.75" customHeight="1" x14ac:dyDescent="0.3">
      <c r="A12" s="151" t="s">
        <v>136</v>
      </c>
      <c r="B12" s="179" t="s">
        <v>137</v>
      </c>
      <c r="C12" s="2269" t="s">
        <v>168</v>
      </c>
      <c r="D12" s="227" t="s">
        <v>169</v>
      </c>
      <c r="E12" s="228" t="s">
        <v>170</v>
      </c>
      <c r="F12" s="229" t="s">
        <v>169</v>
      </c>
      <c r="G12" s="230" t="s">
        <v>141</v>
      </c>
      <c r="H12" s="231" t="s">
        <v>142</v>
      </c>
      <c r="I12" s="231" t="s">
        <v>143</v>
      </c>
      <c r="J12" s="232">
        <v>3.5000000000000003E-2</v>
      </c>
      <c r="K12" s="232">
        <v>2.1826999999999999E-2</v>
      </c>
      <c r="L12" s="232">
        <v>1.3173000000000001E-2</v>
      </c>
      <c r="M12" s="233">
        <v>0</v>
      </c>
      <c r="N12" s="233">
        <v>2.5000000000000001E-2</v>
      </c>
      <c r="O12" s="234" t="s">
        <v>144</v>
      </c>
      <c r="P12" s="235">
        <v>0.5</v>
      </c>
      <c r="Q12" s="235">
        <v>0.15</v>
      </c>
      <c r="R12" s="236" t="s">
        <v>145</v>
      </c>
      <c r="S12" s="237" t="s">
        <v>171</v>
      </c>
      <c r="T12" s="238">
        <v>120</v>
      </c>
      <c r="U12" s="237" t="s">
        <v>147</v>
      </c>
      <c r="V12" s="237" t="s">
        <v>148</v>
      </c>
      <c r="W12" s="237" t="s">
        <v>149</v>
      </c>
      <c r="X12" s="238">
        <v>18</v>
      </c>
      <c r="Y12" s="238" t="s">
        <v>150</v>
      </c>
      <c r="Z12" s="238" t="s">
        <v>172</v>
      </c>
      <c r="AA12" s="239">
        <v>100000</v>
      </c>
      <c r="AB12" s="237" t="s">
        <v>152</v>
      </c>
      <c r="AC12" s="240">
        <v>25</v>
      </c>
      <c r="AD12" s="240">
        <v>25</v>
      </c>
      <c r="AE12" s="241">
        <v>50</v>
      </c>
      <c r="AF12" s="242">
        <v>7.5</v>
      </c>
      <c r="AG12" s="243">
        <v>17.5</v>
      </c>
      <c r="AH12" s="244">
        <v>7.5</v>
      </c>
      <c r="AI12" s="245">
        <v>17.5</v>
      </c>
      <c r="AJ12" s="136">
        <v>1.891</v>
      </c>
      <c r="AK12" s="136">
        <v>0.29199999999999998</v>
      </c>
      <c r="AL12" s="136">
        <v>0</v>
      </c>
      <c r="AM12" s="137">
        <v>2.1829999999999998</v>
      </c>
      <c r="AN12" s="138">
        <v>2.1829999999999998</v>
      </c>
      <c r="AO12" s="136">
        <v>0.12617502439024389</v>
      </c>
      <c r="AP12" s="136">
        <v>1.1587030243902441</v>
      </c>
      <c r="AQ12" s="136">
        <v>0</v>
      </c>
      <c r="AR12" s="137">
        <v>1.2848780487804881</v>
      </c>
      <c r="AS12" s="136">
        <v>0.12932939999999998</v>
      </c>
      <c r="AT12" s="136">
        <v>1.1876705999999999</v>
      </c>
      <c r="AU12" s="136">
        <v>0</v>
      </c>
      <c r="AV12" s="139">
        <v>1.3169999999999999</v>
      </c>
      <c r="AW12" s="138">
        <v>3.5</v>
      </c>
      <c r="AX12" s="246" t="s">
        <v>173</v>
      </c>
      <c r="AY12" s="247">
        <v>9.5000000000000001E-2</v>
      </c>
      <c r="AZ12" s="248">
        <v>8.700000000000005E-2</v>
      </c>
      <c r="BA12" s="248">
        <v>8.14E-2</v>
      </c>
      <c r="BB12" s="143"/>
      <c r="BC12" s="249">
        <v>8.700000000000005E-2</v>
      </c>
      <c r="BD12" s="250">
        <v>0.03</v>
      </c>
      <c r="BE12" s="250">
        <v>6.4000000000000085E-2</v>
      </c>
      <c r="BF12" s="251">
        <v>9.5000000000000001E-2</v>
      </c>
      <c r="BG12" s="249">
        <v>8.14E-2</v>
      </c>
      <c r="BH12" s="250">
        <v>0.02</v>
      </c>
      <c r="BI12" s="250">
        <v>6.2799999999999995E-2</v>
      </c>
      <c r="BJ12" s="251">
        <v>9.5000000000000001E-2</v>
      </c>
      <c r="BK12" s="249">
        <v>8.14E-2</v>
      </c>
      <c r="BL12" s="250">
        <v>0.02</v>
      </c>
      <c r="BM12" s="250">
        <v>6.2799999999999995E-2</v>
      </c>
      <c r="BN12" s="251">
        <v>9.5000000000000001E-2</v>
      </c>
      <c r="BO12" s="249">
        <v>8.141000000000001E-2</v>
      </c>
      <c r="BP12" s="250">
        <v>3.3333333333333333E-2</v>
      </c>
      <c r="BQ12" s="250">
        <v>0.1047</v>
      </c>
      <c r="BR12" s="251">
        <v>9.5000000000000001E-2</v>
      </c>
      <c r="BS12" s="249">
        <v>8.14E-2</v>
      </c>
      <c r="BT12" s="250">
        <v>0.04</v>
      </c>
      <c r="BU12" s="250">
        <v>0.12559999999999999</v>
      </c>
      <c r="BV12" s="233">
        <v>9.5000000000000001E-2</v>
      </c>
      <c r="BW12" s="149">
        <f t="shared" si="1"/>
        <v>8.14E-2</v>
      </c>
      <c r="BX12" s="149"/>
      <c r="BY12" s="149"/>
      <c r="BZ12" s="149"/>
      <c r="CA12" s="149">
        <f t="shared" si="0"/>
        <v>8.14E-2</v>
      </c>
      <c r="CB12" s="149"/>
      <c r="CC12" s="149"/>
      <c r="CD12" s="149"/>
      <c r="CE12" s="150">
        <f t="shared" si="2"/>
        <v>8.141000000000001E-2</v>
      </c>
      <c r="CF12" s="178"/>
      <c r="CG12" s="178"/>
      <c r="CH12" s="178"/>
      <c r="CI12" s="150">
        <f t="shared" si="3"/>
        <v>8.14E-2</v>
      </c>
    </row>
    <row r="13" spans="1:87" s="94" customFormat="1" ht="108.75" customHeight="1" x14ac:dyDescent="0.3">
      <c r="A13" s="151" t="s">
        <v>136</v>
      </c>
      <c r="B13" s="179" t="s">
        <v>137</v>
      </c>
      <c r="C13" s="2270"/>
      <c r="D13" s="252" t="s">
        <v>174</v>
      </c>
      <c r="E13" s="253" t="s">
        <v>175</v>
      </c>
      <c r="F13" s="254" t="s">
        <v>174</v>
      </c>
      <c r="G13" s="255" t="s">
        <v>141</v>
      </c>
      <c r="H13" s="256" t="s">
        <v>142</v>
      </c>
      <c r="I13" s="256" t="s">
        <v>143</v>
      </c>
      <c r="J13" s="257">
        <v>4.4999999999999998E-2</v>
      </c>
      <c r="K13" s="257">
        <v>2.8063000000000001E-2</v>
      </c>
      <c r="L13" s="257">
        <v>1.6937000000000001E-2</v>
      </c>
      <c r="M13" s="258">
        <v>0</v>
      </c>
      <c r="N13" s="258">
        <v>2.5000000000000001E-2</v>
      </c>
      <c r="O13" s="259" t="s">
        <v>144</v>
      </c>
      <c r="P13" s="260">
        <v>0.5</v>
      </c>
      <c r="Q13" s="260">
        <v>0.15</v>
      </c>
      <c r="R13" s="236" t="s">
        <v>145</v>
      </c>
      <c r="S13" s="261" t="s">
        <v>176</v>
      </c>
      <c r="T13" s="262">
        <v>120</v>
      </c>
      <c r="U13" s="261" t="s">
        <v>147</v>
      </c>
      <c r="V13" s="261" t="s">
        <v>148</v>
      </c>
      <c r="W13" s="261" t="s">
        <v>149</v>
      </c>
      <c r="X13" s="262">
        <v>18</v>
      </c>
      <c r="Y13" s="262" t="s">
        <v>150</v>
      </c>
      <c r="Z13" s="262" t="s">
        <v>172</v>
      </c>
      <c r="AA13" s="263">
        <v>100000</v>
      </c>
      <c r="AB13" s="261" t="s">
        <v>152</v>
      </c>
      <c r="AC13" s="264">
        <v>25</v>
      </c>
      <c r="AD13" s="264">
        <v>25</v>
      </c>
      <c r="AE13" s="265">
        <v>50</v>
      </c>
      <c r="AF13" s="266">
        <v>7.5</v>
      </c>
      <c r="AG13" s="265">
        <v>17.5</v>
      </c>
      <c r="AH13" s="266">
        <v>7.5</v>
      </c>
      <c r="AI13" s="267">
        <v>17.5</v>
      </c>
      <c r="AJ13" s="171">
        <v>2.4300000000000002</v>
      </c>
      <c r="AK13" s="171">
        <v>0.376</v>
      </c>
      <c r="AL13" s="171">
        <v>0</v>
      </c>
      <c r="AM13" s="172">
        <v>2.806</v>
      </c>
      <c r="AN13" s="173">
        <v>2.806</v>
      </c>
      <c r="AO13" s="171">
        <v>0.16229346341463416</v>
      </c>
      <c r="AP13" s="171">
        <v>1.4903894634146344</v>
      </c>
      <c r="AQ13" s="171">
        <v>0</v>
      </c>
      <c r="AR13" s="172">
        <v>1.6526829268292687</v>
      </c>
      <c r="AS13" s="171">
        <v>0.16635079999999999</v>
      </c>
      <c r="AT13" s="171">
        <v>1.5276491999999999</v>
      </c>
      <c r="AU13" s="171">
        <v>0</v>
      </c>
      <c r="AV13" s="174">
        <v>1.694</v>
      </c>
      <c r="AW13" s="173">
        <v>4.5</v>
      </c>
      <c r="AX13" s="268" t="s">
        <v>177</v>
      </c>
      <c r="AY13" s="269">
        <v>7.2999999999999995E-2</v>
      </c>
      <c r="AZ13" s="270">
        <v>6.500000000000003E-2</v>
      </c>
      <c r="BA13" s="270">
        <v>5.9400000000000001E-2</v>
      </c>
      <c r="BB13" s="188"/>
      <c r="BC13" s="271">
        <v>6.500000000000003E-2</v>
      </c>
      <c r="BD13" s="272">
        <v>0.03</v>
      </c>
      <c r="BE13" s="272">
        <v>2.0000000000000046E-2</v>
      </c>
      <c r="BF13" s="273">
        <v>7.2999999999999995E-2</v>
      </c>
      <c r="BG13" s="271">
        <v>5.9400000000000001E-2</v>
      </c>
      <c r="BH13" s="272">
        <v>0.02</v>
      </c>
      <c r="BI13" s="272">
        <v>1.8800000000000001E-2</v>
      </c>
      <c r="BJ13" s="273">
        <v>7.2999999999999995E-2</v>
      </c>
      <c r="BK13" s="271">
        <v>5.9400000000000001E-2</v>
      </c>
      <c r="BL13" s="272">
        <v>0.02</v>
      </c>
      <c r="BM13" s="272">
        <v>1.8800000000000001E-2</v>
      </c>
      <c r="BN13" s="273">
        <v>7.2999999999999995E-2</v>
      </c>
      <c r="BO13" s="271">
        <v>5.9389999999999998E-2</v>
      </c>
      <c r="BP13" s="272">
        <v>3.3333333333333333E-2</v>
      </c>
      <c r="BQ13" s="272">
        <v>3.1300000000000001E-2</v>
      </c>
      <c r="BR13" s="273">
        <v>7.2999999999999995E-2</v>
      </c>
      <c r="BS13" s="271">
        <v>5.9400000000000001E-2</v>
      </c>
      <c r="BT13" s="272">
        <v>0.04</v>
      </c>
      <c r="BU13" s="272">
        <v>3.7600000000000001E-2</v>
      </c>
      <c r="BV13" s="258">
        <v>7.2999999999999995E-2</v>
      </c>
      <c r="BW13" s="149">
        <f t="shared" si="1"/>
        <v>5.9400000000000001E-2</v>
      </c>
      <c r="BX13" s="149"/>
      <c r="BY13" s="149"/>
      <c r="BZ13" s="149"/>
      <c r="CA13" s="149">
        <f t="shared" si="0"/>
        <v>5.9400000000000001E-2</v>
      </c>
      <c r="CB13" s="149"/>
      <c r="CC13" s="149"/>
      <c r="CD13" s="149"/>
      <c r="CE13" s="150">
        <f t="shared" si="2"/>
        <v>5.9389999999999998E-2</v>
      </c>
      <c r="CF13" s="178"/>
      <c r="CG13" s="178"/>
      <c r="CH13" s="178"/>
      <c r="CI13" s="150">
        <f t="shared" si="3"/>
        <v>5.9400000000000001E-2</v>
      </c>
    </row>
    <row r="14" spans="1:87" s="94" customFormat="1" ht="108.75" customHeight="1" x14ac:dyDescent="0.3">
      <c r="A14" s="151" t="s">
        <v>136</v>
      </c>
      <c r="B14" s="179" t="s">
        <v>137</v>
      </c>
      <c r="C14" s="2270"/>
      <c r="D14" s="252" t="s">
        <v>178</v>
      </c>
      <c r="E14" s="253" t="s">
        <v>179</v>
      </c>
      <c r="F14" s="254" t="s">
        <v>178</v>
      </c>
      <c r="G14" s="255" t="s">
        <v>141</v>
      </c>
      <c r="H14" s="256" t="s">
        <v>142</v>
      </c>
      <c r="I14" s="256" t="s">
        <v>143</v>
      </c>
      <c r="J14" s="257">
        <v>0.06</v>
      </c>
      <c r="K14" s="257">
        <v>3.7416999999999999E-2</v>
      </c>
      <c r="L14" s="257">
        <v>2.2582999999999999E-2</v>
      </c>
      <c r="M14" s="258">
        <v>0</v>
      </c>
      <c r="N14" s="258">
        <v>2.5000000000000001E-2</v>
      </c>
      <c r="O14" s="274" t="s">
        <v>144</v>
      </c>
      <c r="P14" s="260">
        <v>0.5</v>
      </c>
      <c r="Q14" s="260">
        <v>0.15</v>
      </c>
      <c r="R14" s="236" t="s">
        <v>145</v>
      </c>
      <c r="S14" s="261" t="s">
        <v>180</v>
      </c>
      <c r="T14" s="262">
        <v>120</v>
      </c>
      <c r="U14" s="261" t="s">
        <v>147</v>
      </c>
      <c r="V14" s="261" t="s">
        <v>148</v>
      </c>
      <c r="W14" s="261" t="s">
        <v>149</v>
      </c>
      <c r="X14" s="262">
        <v>18</v>
      </c>
      <c r="Y14" s="262" t="s">
        <v>150</v>
      </c>
      <c r="Z14" s="262" t="s">
        <v>172</v>
      </c>
      <c r="AA14" s="263">
        <v>100000</v>
      </c>
      <c r="AB14" s="261" t="s">
        <v>152</v>
      </c>
      <c r="AC14" s="264">
        <v>25</v>
      </c>
      <c r="AD14" s="264">
        <v>25</v>
      </c>
      <c r="AE14" s="265">
        <v>50</v>
      </c>
      <c r="AF14" s="266">
        <v>7.5</v>
      </c>
      <c r="AG14" s="275">
        <v>17.5</v>
      </c>
      <c r="AH14" s="276">
        <v>7.5</v>
      </c>
      <c r="AI14" s="267">
        <v>17.5</v>
      </c>
      <c r="AJ14" s="171">
        <v>3.2410000000000001</v>
      </c>
      <c r="AK14" s="171">
        <v>0.501</v>
      </c>
      <c r="AL14" s="171">
        <v>0</v>
      </c>
      <c r="AM14" s="172">
        <v>3.742</v>
      </c>
      <c r="AN14" s="173">
        <v>3.742</v>
      </c>
      <c r="AO14" s="171">
        <v>0.21632741463414634</v>
      </c>
      <c r="AP14" s="171">
        <v>1.9865994146341466</v>
      </c>
      <c r="AQ14" s="171">
        <v>0</v>
      </c>
      <c r="AR14" s="172">
        <v>2.2029268292682929</v>
      </c>
      <c r="AS14" s="171">
        <v>0.22173559999999998</v>
      </c>
      <c r="AT14" s="171">
        <v>2.0362644000000003</v>
      </c>
      <c r="AU14" s="171">
        <v>0</v>
      </c>
      <c r="AV14" s="174">
        <v>2.258</v>
      </c>
      <c r="AW14" s="173">
        <v>6</v>
      </c>
      <c r="AX14" s="268" t="s">
        <v>181</v>
      </c>
      <c r="AY14" s="269">
        <v>6.5000000000000002E-2</v>
      </c>
      <c r="AZ14" s="270">
        <v>5.7000000000000016E-2</v>
      </c>
      <c r="BA14" s="270">
        <v>5.1400000000000001E-2</v>
      </c>
      <c r="BB14" s="188"/>
      <c r="BC14" s="271">
        <v>5.7000000000000016E-2</v>
      </c>
      <c r="BD14" s="272">
        <v>0.03</v>
      </c>
      <c r="BE14" s="272">
        <v>4.0000000000000313E-3</v>
      </c>
      <c r="BF14" s="273">
        <v>6.5000000000000002E-2</v>
      </c>
      <c r="BG14" s="271">
        <v>5.1400000000000001E-2</v>
      </c>
      <c r="BH14" s="272">
        <v>0.02</v>
      </c>
      <c r="BI14" s="272">
        <v>2.8E-3</v>
      </c>
      <c r="BJ14" s="273">
        <v>6.5000000000000002E-2</v>
      </c>
      <c r="BK14" s="271">
        <v>5.1400000000000001E-2</v>
      </c>
      <c r="BL14" s="272">
        <v>0.02</v>
      </c>
      <c r="BM14" s="272">
        <v>2.8E-3</v>
      </c>
      <c r="BN14" s="273">
        <v>6.5000000000000002E-2</v>
      </c>
      <c r="BO14" s="271">
        <v>5.1409999999999997E-2</v>
      </c>
      <c r="BP14" s="272">
        <v>3.3333333333333333E-2</v>
      </c>
      <c r="BQ14" s="272">
        <v>4.7000000000000002E-3</v>
      </c>
      <c r="BR14" s="273">
        <v>6.5000000000000002E-2</v>
      </c>
      <c r="BS14" s="271">
        <v>5.1400000000000001E-2</v>
      </c>
      <c r="BT14" s="272">
        <v>0.04</v>
      </c>
      <c r="BU14" s="272">
        <v>5.5999999999999999E-3</v>
      </c>
      <c r="BV14" s="258">
        <v>6.5000000000000002E-2</v>
      </c>
      <c r="BW14" s="149">
        <f t="shared" si="1"/>
        <v>5.1400000000000001E-2</v>
      </c>
      <c r="BX14" s="149"/>
      <c r="BY14" s="149"/>
      <c r="BZ14" s="149"/>
      <c r="CA14" s="149">
        <f t="shared" si="0"/>
        <v>5.1400000000000001E-2</v>
      </c>
      <c r="CB14" s="149"/>
      <c r="CC14" s="149"/>
      <c r="CD14" s="149"/>
      <c r="CE14" s="150">
        <f t="shared" si="2"/>
        <v>5.1409999999999997E-2</v>
      </c>
      <c r="CF14" s="178"/>
      <c r="CG14" s="178"/>
      <c r="CH14" s="178"/>
      <c r="CI14" s="150">
        <f t="shared" si="3"/>
        <v>5.1400000000000001E-2</v>
      </c>
    </row>
    <row r="15" spans="1:87" s="94" customFormat="1" ht="108.75" customHeight="1" thickBot="1" x14ac:dyDescent="0.35">
      <c r="A15" s="151" t="s">
        <v>136</v>
      </c>
      <c r="B15" s="179" t="s">
        <v>137</v>
      </c>
      <c r="C15" s="2271"/>
      <c r="D15" s="277" t="s">
        <v>182</v>
      </c>
      <c r="E15" s="278" t="s">
        <v>183</v>
      </c>
      <c r="F15" s="279" t="s">
        <v>182</v>
      </c>
      <c r="G15" s="280" t="s">
        <v>141</v>
      </c>
      <c r="H15" s="281" t="s">
        <v>142</v>
      </c>
      <c r="I15" s="281" t="s">
        <v>143</v>
      </c>
      <c r="J15" s="282">
        <v>0.08</v>
      </c>
      <c r="K15" s="282">
        <v>4.9889000000000003E-2</v>
      </c>
      <c r="L15" s="282">
        <v>3.0110999999999999E-2</v>
      </c>
      <c r="M15" s="283">
        <v>0</v>
      </c>
      <c r="N15" s="283">
        <v>2.5000000000000001E-2</v>
      </c>
      <c r="O15" s="284" t="s">
        <v>144</v>
      </c>
      <c r="P15" s="285">
        <v>0.5</v>
      </c>
      <c r="Q15" s="285">
        <v>0.15</v>
      </c>
      <c r="R15" s="286" t="s">
        <v>145</v>
      </c>
      <c r="S15" s="287" t="s">
        <v>184</v>
      </c>
      <c r="T15" s="288">
        <v>120</v>
      </c>
      <c r="U15" s="287" t="s">
        <v>147</v>
      </c>
      <c r="V15" s="287" t="s">
        <v>148</v>
      </c>
      <c r="W15" s="287" t="s">
        <v>149</v>
      </c>
      <c r="X15" s="288">
        <v>18</v>
      </c>
      <c r="Y15" s="288" t="s">
        <v>150</v>
      </c>
      <c r="Z15" s="288" t="s">
        <v>172</v>
      </c>
      <c r="AA15" s="289">
        <v>100000</v>
      </c>
      <c r="AB15" s="287" t="s">
        <v>152</v>
      </c>
      <c r="AC15" s="290">
        <v>25</v>
      </c>
      <c r="AD15" s="290">
        <v>25</v>
      </c>
      <c r="AE15" s="291">
        <v>50</v>
      </c>
      <c r="AF15" s="292">
        <v>7.5</v>
      </c>
      <c r="AG15" s="291">
        <v>17.5</v>
      </c>
      <c r="AH15" s="292">
        <v>7.5</v>
      </c>
      <c r="AI15" s="293">
        <v>17.5</v>
      </c>
      <c r="AJ15" s="213">
        <v>4.3209999999999997</v>
      </c>
      <c r="AK15" s="213">
        <v>0.66800000000000004</v>
      </c>
      <c r="AL15" s="213">
        <v>0</v>
      </c>
      <c r="AM15" s="214">
        <v>4.9889999999999999</v>
      </c>
      <c r="AN15" s="215">
        <v>4.9889999999999999</v>
      </c>
      <c r="AO15" s="213">
        <v>0.28846848780487805</v>
      </c>
      <c r="AP15" s="213">
        <v>2.6490924878048787</v>
      </c>
      <c r="AQ15" s="213">
        <v>0</v>
      </c>
      <c r="AR15" s="214">
        <v>2.9375609756097569</v>
      </c>
      <c r="AS15" s="213">
        <v>0.2956802</v>
      </c>
      <c r="AT15" s="213">
        <v>2.7153198000000001</v>
      </c>
      <c r="AU15" s="213">
        <v>0</v>
      </c>
      <c r="AV15" s="216">
        <v>3.0110000000000001</v>
      </c>
      <c r="AW15" s="215">
        <v>8</v>
      </c>
      <c r="AX15" s="294" t="s">
        <v>185</v>
      </c>
      <c r="AY15" s="295">
        <v>6.5000000000000002E-2</v>
      </c>
      <c r="AZ15" s="296">
        <v>5.7000000000000016E-2</v>
      </c>
      <c r="BA15" s="296">
        <v>5.1400000000000001E-2</v>
      </c>
      <c r="BB15" s="220"/>
      <c r="BC15" s="297">
        <v>5.7000000000000016E-2</v>
      </c>
      <c r="BD15" s="298">
        <v>0.03</v>
      </c>
      <c r="BE15" s="298">
        <v>4.0000000000000313E-3</v>
      </c>
      <c r="BF15" s="299">
        <v>6.5000000000000002E-2</v>
      </c>
      <c r="BG15" s="297">
        <v>5.1400000000000001E-2</v>
      </c>
      <c r="BH15" s="298">
        <v>0.02</v>
      </c>
      <c r="BI15" s="298">
        <v>2.8E-3</v>
      </c>
      <c r="BJ15" s="299">
        <v>6.5000000000000002E-2</v>
      </c>
      <c r="BK15" s="297">
        <v>5.1400000000000001E-2</v>
      </c>
      <c r="BL15" s="298">
        <v>0.02</v>
      </c>
      <c r="BM15" s="298">
        <v>2.8E-3</v>
      </c>
      <c r="BN15" s="299">
        <v>6.5000000000000002E-2</v>
      </c>
      <c r="BO15" s="297">
        <v>5.1409999999999997E-2</v>
      </c>
      <c r="BP15" s="298">
        <v>3.3333333333333333E-2</v>
      </c>
      <c r="BQ15" s="298">
        <v>4.7000000000000002E-3</v>
      </c>
      <c r="BR15" s="299">
        <v>6.5000000000000002E-2</v>
      </c>
      <c r="BS15" s="297">
        <v>5.1400000000000001E-2</v>
      </c>
      <c r="BT15" s="298">
        <v>0.04</v>
      </c>
      <c r="BU15" s="298">
        <v>5.5999999999999999E-3</v>
      </c>
      <c r="BV15" s="283">
        <v>6.5000000000000002E-2</v>
      </c>
      <c r="BW15" s="149">
        <f t="shared" si="1"/>
        <v>5.1400000000000001E-2</v>
      </c>
      <c r="BX15" s="149"/>
      <c r="BY15" s="149"/>
      <c r="BZ15" s="149"/>
      <c r="CA15" s="149">
        <f t="shared" si="0"/>
        <v>5.1400000000000001E-2</v>
      </c>
      <c r="CB15" s="149"/>
      <c r="CC15" s="149"/>
      <c r="CD15" s="149"/>
      <c r="CE15" s="150">
        <f t="shared" si="2"/>
        <v>5.1409999999999997E-2</v>
      </c>
      <c r="CF15" s="178"/>
      <c r="CG15" s="178"/>
      <c r="CH15" s="178"/>
      <c r="CI15" s="150">
        <f t="shared" si="3"/>
        <v>5.1400000000000001E-2</v>
      </c>
    </row>
    <row r="16" spans="1:87" s="94" customFormat="1" ht="108.75" customHeight="1" x14ac:dyDescent="0.3">
      <c r="A16" s="151" t="s">
        <v>136</v>
      </c>
      <c r="B16" s="179" t="s">
        <v>137</v>
      </c>
      <c r="C16" s="2272" t="s">
        <v>186</v>
      </c>
      <c r="D16" s="300" t="s">
        <v>187</v>
      </c>
      <c r="E16" s="301" t="s">
        <v>188</v>
      </c>
      <c r="F16" s="302" t="s">
        <v>187</v>
      </c>
      <c r="G16" s="303"/>
      <c r="H16" s="304" t="s">
        <v>189</v>
      </c>
      <c r="I16" s="304" t="s">
        <v>190</v>
      </c>
      <c r="J16" s="305">
        <v>6.9000000000000006E-2</v>
      </c>
      <c r="K16" s="305">
        <v>4.4179999999999997E-2</v>
      </c>
      <c r="L16" s="305">
        <v>2.4819999999999998E-2</v>
      </c>
      <c r="M16" s="306">
        <v>0</v>
      </c>
      <c r="N16" s="306">
        <v>2.5000000000000001E-2</v>
      </c>
      <c r="O16" s="307" t="s">
        <v>144</v>
      </c>
      <c r="P16" s="308">
        <v>0.5</v>
      </c>
      <c r="Q16" s="308">
        <v>0.15</v>
      </c>
      <c r="R16" s="309" t="s">
        <v>145</v>
      </c>
      <c r="S16" s="310" t="s">
        <v>191</v>
      </c>
      <c r="T16" s="311">
        <v>120</v>
      </c>
      <c r="U16" s="310" t="s">
        <v>147</v>
      </c>
      <c r="V16" s="310" t="s">
        <v>148</v>
      </c>
      <c r="W16" s="310" t="s">
        <v>149</v>
      </c>
      <c r="X16" s="311">
        <v>18</v>
      </c>
      <c r="Y16" s="311" t="s">
        <v>150</v>
      </c>
      <c r="Z16" s="311" t="s">
        <v>192</v>
      </c>
      <c r="AA16" s="312">
        <v>100000</v>
      </c>
      <c r="AB16" s="310" t="s">
        <v>193</v>
      </c>
      <c r="AC16" s="313">
        <v>25</v>
      </c>
      <c r="AD16" s="313">
        <v>25</v>
      </c>
      <c r="AE16" s="314">
        <v>50</v>
      </c>
      <c r="AF16" s="315">
        <v>7.5</v>
      </c>
      <c r="AG16" s="316">
        <v>17.5</v>
      </c>
      <c r="AH16" s="317">
        <v>7.5</v>
      </c>
      <c r="AI16" s="318">
        <v>17.5</v>
      </c>
      <c r="AJ16" s="319">
        <v>3.8079000000000002E-2</v>
      </c>
      <c r="AK16" s="319">
        <v>6.1009999999999997E-3</v>
      </c>
      <c r="AL16" s="320">
        <v>0</v>
      </c>
      <c r="AM16" s="321">
        <v>4.4180000000000004E-2</v>
      </c>
      <c r="AN16" s="322">
        <v>4.4180000000000004E-2</v>
      </c>
      <c r="AO16" s="319">
        <v>1.5014634146341464E-3</v>
      </c>
      <c r="AP16" s="319">
        <v>2.0741463414634148E-2</v>
      </c>
      <c r="AQ16" s="319">
        <v>1.9717073170731707E-3</v>
      </c>
      <c r="AR16" s="321">
        <v>2.4214634146341465E-2</v>
      </c>
      <c r="AS16" s="319">
        <v>1.539E-3</v>
      </c>
      <c r="AT16" s="319">
        <v>2.1260000000000001E-2</v>
      </c>
      <c r="AU16" s="323">
        <v>2.0209999999999998E-3</v>
      </c>
      <c r="AV16" s="324">
        <v>2.4819999999999998E-2</v>
      </c>
      <c r="AW16" s="322">
        <v>6.9000000000000006E-2</v>
      </c>
      <c r="AX16" s="325" t="s">
        <v>194</v>
      </c>
      <c r="AY16" s="326">
        <v>5.7999999999999996E-2</v>
      </c>
      <c r="AZ16" s="327">
        <v>0</v>
      </c>
      <c r="BA16" s="328">
        <v>7.7999999999999986E-2</v>
      </c>
      <c r="BB16" s="143"/>
      <c r="BC16" s="329"/>
      <c r="BD16" s="330"/>
      <c r="BE16" s="331"/>
      <c r="BF16" s="332"/>
      <c r="BG16" s="333"/>
      <c r="BH16" s="331"/>
      <c r="BI16" s="331"/>
      <c r="BJ16" s="332"/>
      <c r="BK16" s="334">
        <v>7.9666666666666663E-2</v>
      </c>
      <c r="BL16" s="335">
        <v>3.3333333333333333E-2</v>
      </c>
      <c r="BM16" s="335">
        <v>4.5999999999999999E-2</v>
      </c>
      <c r="BN16" s="336">
        <v>5.7999999999999996E-2</v>
      </c>
      <c r="BO16" s="337">
        <v>7.7999999999999986E-2</v>
      </c>
      <c r="BP16" s="335">
        <v>3.3333333333333333E-2</v>
      </c>
      <c r="BQ16" s="335">
        <v>9.3333333333333324E-2</v>
      </c>
      <c r="BR16" s="336">
        <v>5.7999999999999996E-2</v>
      </c>
      <c r="BS16" s="337">
        <v>7.8E-2</v>
      </c>
      <c r="BT16" s="335">
        <v>0.04</v>
      </c>
      <c r="BU16" s="335">
        <v>0.11199999999999999</v>
      </c>
      <c r="BV16" s="338">
        <v>5.7999999999999996E-2</v>
      </c>
      <c r="BW16" s="149">
        <f t="shared" si="1"/>
        <v>0.04</v>
      </c>
      <c r="BX16" s="149"/>
      <c r="BY16" s="149"/>
      <c r="BZ16" s="149"/>
      <c r="CA16" s="149">
        <f t="shared" si="0"/>
        <v>7.9666666666666663E-2</v>
      </c>
      <c r="CB16" s="149"/>
      <c r="CC16" s="149"/>
      <c r="CD16" s="149"/>
      <c r="CE16" s="150">
        <f t="shared" si="2"/>
        <v>7.7999999999999986E-2</v>
      </c>
      <c r="CF16" s="178"/>
      <c r="CG16" s="178"/>
      <c r="CH16" s="178"/>
      <c r="CI16" s="150">
        <f t="shared" si="3"/>
        <v>7.8E-2</v>
      </c>
    </row>
    <row r="17" spans="1:87" s="94" customFormat="1" ht="108.75" customHeight="1" x14ac:dyDescent="0.3">
      <c r="A17" s="151" t="s">
        <v>136</v>
      </c>
      <c r="B17" s="179" t="s">
        <v>137</v>
      </c>
      <c r="C17" s="2273"/>
      <c r="D17" s="339" t="s">
        <v>195</v>
      </c>
      <c r="E17" s="340" t="s">
        <v>196</v>
      </c>
      <c r="F17" s="341" t="s">
        <v>195</v>
      </c>
      <c r="G17" s="342"/>
      <c r="H17" s="343" t="s">
        <v>189</v>
      </c>
      <c r="I17" s="343" t="s">
        <v>190</v>
      </c>
      <c r="J17" s="344">
        <v>7.9000000000000001E-2</v>
      </c>
      <c r="K17" s="344">
        <v>5.6980000000000003E-2</v>
      </c>
      <c r="L17" s="344">
        <v>2.2020000000000001E-2</v>
      </c>
      <c r="M17" s="345">
        <v>0</v>
      </c>
      <c r="N17" s="345">
        <v>2.5000000000000001E-2</v>
      </c>
      <c r="O17" s="346" t="s">
        <v>144</v>
      </c>
      <c r="P17" s="347">
        <v>0.5</v>
      </c>
      <c r="Q17" s="347">
        <v>0.15</v>
      </c>
      <c r="R17" s="309" t="s">
        <v>145</v>
      </c>
      <c r="S17" s="348" t="s">
        <v>197</v>
      </c>
      <c r="T17" s="349">
        <v>120</v>
      </c>
      <c r="U17" s="348" t="s">
        <v>147</v>
      </c>
      <c r="V17" s="348" t="s">
        <v>148</v>
      </c>
      <c r="W17" s="348" t="s">
        <v>149</v>
      </c>
      <c r="X17" s="349">
        <v>18</v>
      </c>
      <c r="Y17" s="349" t="s">
        <v>150</v>
      </c>
      <c r="Z17" s="349" t="s">
        <v>192</v>
      </c>
      <c r="AA17" s="350">
        <v>100000</v>
      </c>
      <c r="AB17" s="348" t="s">
        <v>193</v>
      </c>
      <c r="AC17" s="351">
        <v>25</v>
      </c>
      <c r="AD17" s="351">
        <v>25</v>
      </c>
      <c r="AE17" s="352">
        <v>50</v>
      </c>
      <c r="AF17" s="353">
        <v>7.5</v>
      </c>
      <c r="AG17" s="352">
        <v>17.5</v>
      </c>
      <c r="AH17" s="353">
        <v>7.5</v>
      </c>
      <c r="AI17" s="354">
        <v>17.5</v>
      </c>
      <c r="AJ17" s="355">
        <v>4.9111000000000002E-2</v>
      </c>
      <c r="AK17" s="355">
        <v>7.8689999999999993E-3</v>
      </c>
      <c r="AL17" s="356">
        <v>0</v>
      </c>
      <c r="AM17" s="357">
        <v>5.6980000000000003E-2</v>
      </c>
      <c r="AN17" s="358">
        <v>5.6980000000000003E-2</v>
      </c>
      <c r="AO17" s="319">
        <v>1.1804878048780488E-3</v>
      </c>
      <c r="AP17" s="319">
        <v>1.7521951219512198E-2</v>
      </c>
      <c r="AQ17" s="319">
        <v>2.7804878048780491E-3</v>
      </c>
      <c r="AR17" s="321">
        <v>2.1482926829268296E-2</v>
      </c>
      <c r="AS17" s="355">
        <v>1.2099999999999999E-3</v>
      </c>
      <c r="AT17" s="355">
        <v>1.796E-2</v>
      </c>
      <c r="AU17" s="359">
        <v>2.8500000000000001E-3</v>
      </c>
      <c r="AV17" s="360">
        <v>2.2019999999999998E-2</v>
      </c>
      <c r="AW17" s="358">
        <v>7.9000000000000001E-2</v>
      </c>
      <c r="AX17" s="361" t="s">
        <v>198</v>
      </c>
      <c r="AY17" s="362">
        <v>5.7999999999999996E-2</v>
      </c>
      <c r="AZ17" s="363">
        <v>0</v>
      </c>
      <c r="BA17" s="364">
        <v>7.7999999999999986E-2</v>
      </c>
      <c r="BB17" s="188"/>
      <c r="BC17" s="365"/>
      <c r="BD17" s="366"/>
      <c r="BE17" s="367"/>
      <c r="BF17" s="368"/>
      <c r="BG17" s="369"/>
      <c r="BH17" s="367"/>
      <c r="BI17" s="367"/>
      <c r="BJ17" s="368"/>
      <c r="BK17" s="370">
        <v>7.9666666666666663E-2</v>
      </c>
      <c r="BL17" s="371">
        <v>3.3333333333333333E-2</v>
      </c>
      <c r="BM17" s="371">
        <v>4.5999999999999999E-2</v>
      </c>
      <c r="BN17" s="372">
        <v>5.7999999999999996E-2</v>
      </c>
      <c r="BO17" s="373">
        <v>7.7999999999999986E-2</v>
      </c>
      <c r="BP17" s="371">
        <v>3.3333333333333333E-2</v>
      </c>
      <c r="BQ17" s="371">
        <v>9.3333333333333324E-2</v>
      </c>
      <c r="BR17" s="372">
        <v>5.7999999999999996E-2</v>
      </c>
      <c r="BS17" s="373">
        <v>7.8E-2</v>
      </c>
      <c r="BT17" s="371">
        <v>0.04</v>
      </c>
      <c r="BU17" s="371">
        <v>0.11199999999999999</v>
      </c>
      <c r="BV17" s="374">
        <v>5.7999999999999996E-2</v>
      </c>
      <c r="BW17" s="149">
        <f t="shared" si="1"/>
        <v>0.04</v>
      </c>
      <c r="BX17" s="149"/>
      <c r="BY17" s="149"/>
      <c r="BZ17" s="149"/>
      <c r="CA17" s="149">
        <f t="shared" si="0"/>
        <v>7.9666666666666663E-2</v>
      </c>
      <c r="CB17" s="149"/>
      <c r="CC17" s="149"/>
      <c r="CD17" s="149"/>
      <c r="CE17" s="150">
        <f t="shared" si="2"/>
        <v>7.7999999999999986E-2</v>
      </c>
      <c r="CF17" s="178"/>
      <c r="CG17" s="178"/>
      <c r="CH17" s="178"/>
      <c r="CI17" s="150">
        <f t="shared" si="3"/>
        <v>7.8E-2</v>
      </c>
    </row>
    <row r="18" spans="1:87" s="94" customFormat="1" ht="108.75" customHeight="1" thickBot="1" x14ac:dyDescent="0.35">
      <c r="A18" s="151" t="s">
        <v>136</v>
      </c>
      <c r="B18" s="179" t="s">
        <v>137</v>
      </c>
      <c r="C18" s="2274"/>
      <c r="D18" s="375" t="s">
        <v>199</v>
      </c>
      <c r="E18" s="376" t="s">
        <v>200</v>
      </c>
      <c r="F18" s="377" t="s">
        <v>199</v>
      </c>
      <c r="G18" s="378"/>
      <c r="H18" s="379" t="s">
        <v>189</v>
      </c>
      <c r="I18" s="379" t="s">
        <v>190</v>
      </c>
      <c r="J18" s="380">
        <v>8.8999999999999996E-2</v>
      </c>
      <c r="K18" s="380">
        <v>6.812E-2</v>
      </c>
      <c r="L18" s="380">
        <v>2.0879999999999999E-2</v>
      </c>
      <c r="M18" s="381">
        <v>0</v>
      </c>
      <c r="N18" s="381">
        <v>2.5000000000000001E-2</v>
      </c>
      <c r="O18" s="382" t="s">
        <v>144</v>
      </c>
      <c r="P18" s="383">
        <v>0.5</v>
      </c>
      <c r="Q18" s="383">
        <v>0.15</v>
      </c>
      <c r="R18" s="384" t="s">
        <v>145</v>
      </c>
      <c r="S18" s="385" t="s">
        <v>201</v>
      </c>
      <c r="T18" s="386">
        <v>120</v>
      </c>
      <c r="U18" s="385" t="s">
        <v>147</v>
      </c>
      <c r="V18" s="385" t="s">
        <v>148</v>
      </c>
      <c r="W18" s="385" t="s">
        <v>149</v>
      </c>
      <c r="X18" s="386">
        <v>18</v>
      </c>
      <c r="Y18" s="386" t="s">
        <v>150</v>
      </c>
      <c r="Z18" s="386" t="s">
        <v>192</v>
      </c>
      <c r="AA18" s="387">
        <v>100000</v>
      </c>
      <c r="AB18" s="385" t="s">
        <v>193</v>
      </c>
      <c r="AC18" s="388">
        <v>25</v>
      </c>
      <c r="AD18" s="388">
        <v>25</v>
      </c>
      <c r="AE18" s="389">
        <v>50</v>
      </c>
      <c r="AF18" s="390">
        <v>7.5</v>
      </c>
      <c r="AG18" s="391">
        <v>17.5</v>
      </c>
      <c r="AH18" s="392">
        <v>7.5</v>
      </c>
      <c r="AI18" s="393">
        <v>17.5</v>
      </c>
      <c r="AJ18" s="394">
        <v>5.8712E-2</v>
      </c>
      <c r="AK18" s="394">
        <v>9.4079999999999997E-3</v>
      </c>
      <c r="AL18" s="395">
        <v>0</v>
      </c>
      <c r="AM18" s="396">
        <v>6.812E-2</v>
      </c>
      <c r="AN18" s="397">
        <v>6.812E-2</v>
      </c>
      <c r="AO18" s="394">
        <v>1.0731707317073172E-3</v>
      </c>
      <c r="AP18" s="394">
        <v>1.5853658536585366E-2</v>
      </c>
      <c r="AQ18" s="394">
        <v>3.4439024390243906E-3</v>
      </c>
      <c r="AR18" s="396">
        <v>2.0370731707317076E-2</v>
      </c>
      <c r="AS18" s="394">
        <v>1.1000000000000001E-3</v>
      </c>
      <c r="AT18" s="394">
        <v>1.6250000000000001E-2</v>
      </c>
      <c r="AU18" s="398">
        <v>3.5300000000000002E-3</v>
      </c>
      <c r="AV18" s="399">
        <v>2.0880000000000003E-2</v>
      </c>
      <c r="AW18" s="397">
        <v>8.8999999999999996E-2</v>
      </c>
      <c r="AX18" s="400" t="s">
        <v>202</v>
      </c>
      <c r="AY18" s="401">
        <v>5.7999999999999996E-2</v>
      </c>
      <c r="AZ18" s="402">
        <v>0</v>
      </c>
      <c r="BA18" s="403">
        <v>7.7999999999999986E-2</v>
      </c>
      <c r="BB18" s="220"/>
      <c r="BC18" s="404"/>
      <c r="BD18" s="405"/>
      <c r="BE18" s="406"/>
      <c r="BF18" s="407"/>
      <c r="BG18" s="408"/>
      <c r="BH18" s="406"/>
      <c r="BI18" s="406"/>
      <c r="BJ18" s="407"/>
      <c r="BK18" s="409">
        <v>7.9666666666666663E-2</v>
      </c>
      <c r="BL18" s="410">
        <v>3.3333333333333333E-2</v>
      </c>
      <c r="BM18" s="410">
        <v>4.5999999999999999E-2</v>
      </c>
      <c r="BN18" s="411">
        <v>5.7999999999999996E-2</v>
      </c>
      <c r="BO18" s="412">
        <v>7.7999999999999986E-2</v>
      </c>
      <c r="BP18" s="410">
        <v>3.3333333333333333E-2</v>
      </c>
      <c r="BQ18" s="410">
        <v>9.3333333333333324E-2</v>
      </c>
      <c r="BR18" s="411">
        <v>5.7999999999999996E-2</v>
      </c>
      <c r="BS18" s="412">
        <v>7.8E-2</v>
      </c>
      <c r="BT18" s="410">
        <v>0.04</v>
      </c>
      <c r="BU18" s="410">
        <v>0.11199999999999999</v>
      </c>
      <c r="BV18" s="413">
        <v>5.7999999999999996E-2</v>
      </c>
      <c r="BW18" s="149">
        <f t="shared" si="1"/>
        <v>0.04</v>
      </c>
      <c r="BX18" s="149"/>
      <c r="BY18" s="149"/>
      <c r="BZ18" s="149"/>
      <c r="CA18" s="149">
        <f t="shared" si="0"/>
        <v>7.9666666666666663E-2</v>
      </c>
      <c r="CB18" s="149"/>
      <c r="CC18" s="149"/>
      <c r="CD18" s="149"/>
      <c r="CE18" s="150">
        <f t="shared" si="2"/>
        <v>7.7999999999999986E-2</v>
      </c>
      <c r="CF18" s="178"/>
      <c r="CG18" s="178"/>
      <c r="CH18" s="178"/>
      <c r="CI18" s="150">
        <f t="shared" si="3"/>
        <v>7.8E-2</v>
      </c>
    </row>
    <row r="19" spans="1:87" s="94" customFormat="1" ht="108.75" customHeight="1" x14ac:dyDescent="0.3">
      <c r="A19" s="151" t="s">
        <v>136</v>
      </c>
      <c r="B19" s="179" t="s">
        <v>137</v>
      </c>
      <c r="C19" s="2275" t="s">
        <v>203</v>
      </c>
      <c r="D19" s="414" t="s">
        <v>204</v>
      </c>
      <c r="E19" s="415" t="s">
        <v>205</v>
      </c>
      <c r="F19" s="416" t="s">
        <v>204</v>
      </c>
      <c r="G19" s="417" t="s">
        <v>141</v>
      </c>
      <c r="H19" s="418" t="s">
        <v>142</v>
      </c>
      <c r="I19" s="418" t="s">
        <v>143</v>
      </c>
      <c r="J19" s="419">
        <v>3.5000000000000003E-2</v>
      </c>
      <c r="K19" s="419">
        <v>1.7623E-2</v>
      </c>
      <c r="L19" s="419">
        <v>1.7377E-2</v>
      </c>
      <c r="M19" s="420">
        <v>0</v>
      </c>
      <c r="N19" s="420">
        <v>2.5000000000000001E-2</v>
      </c>
      <c r="O19" s="421" t="s">
        <v>144</v>
      </c>
      <c r="P19" s="422">
        <v>0.5</v>
      </c>
      <c r="Q19" s="422">
        <v>0.15</v>
      </c>
      <c r="R19" s="423" t="s">
        <v>145</v>
      </c>
      <c r="S19" s="424" t="s">
        <v>206</v>
      </c>
      <c r="T19" s="425" t="s">
        <v>207</v>
      </c>
      <c r="U19" s="424" t="s">
        <v>147</v>
      </c>
      <c r="V19" s="424" t="s">
        <v>148</v>
      </c>
      <c r="W19" s="424" t="s">
        <v>149</v>
      </c>
      <c r="X19" s="425">
        <v>18</v>
      </c>
      <c r="Y19" s="425" t="s">
        <v>150</v>
      </c>
      <c r="Z19" s="425" t="s">
        <v>172</v>
      </c>
      <c r="AA19" s="426">
        <v>100000</v>
      </c>
      <c r="AB19" s="424" t="s">
        <v>152</v>
      </c>
      <c r="AC19" s="427">
        <v>17.5</v>
      </c>
      <c r="AD19" s="427">
        <v>17.5</v>
      </c>
      <c r="AE19" s="428">
        <v>35</v>
      </c>
      <c r="AF19" s="429">
        <v>7.5</v>
      </c>
      <c r="AG19" s="430">
        <v>10</v>
      </c>
      <c r="AH19" s="431">
        <v>7.5</v>
      </c>
      <c r="AI19" s="432">
        <v>10</v>
      </c>
      <c r="AJ19" s="433">
        <v>1.526</v>
      </c>
      <c r="AK19" s="433">
        <v>0.23599999999999999</v>
      </c>
      <c r="AL19" s="433">
        <v>0</v>
      </c>
      <c r="AM19" s="434">
        <v>1.762</v>
      </c>
      <c r="AN19" s="435">
        <v>1.762</v>
      </c>
      <c r="AO19" s="433">
        <v>0.41644175609756107</v>
      </c>
      <c r="AP19" s="433">
        <v>1.2791680000000001</v>
      </c>
      <c r="AQ19" s="433">
        <v>0</v>
      </c>
      <c r="AR19" s="434">
        <v>1.6956097560975611</v>
      </c>
      <c r="AS19" s="433">
        <v>0.42685280000000003</v>
      </c>
      <c r="AT19" s="433">
        <v>1.3111472</v>
      </c>
      <c r="AU19" s="433">
        <v>0</v>
      </c>
      <c r="AV19" s="436">
        <v>1.738</v>
      </c>
      <c r="AW19" s="435">
        <v>3.5</v>
      </c>
      <c r="AX19" s="437" t="s">
        <v>208</v>
      </c>
      <c r="AY19" s="438">
        <v>9.5000000000000001E-2</v>
      </c>
      <c r="AZ19" s="439">
        <v>8.700000000000005E-2</v>
      </c>
      <c r="BA19" s="439">
        <v>8.14E-2</v>
      </c>
      <c r="BB19" s="143"/>
      <c r="BC19" s="440">
        <v>8.700000000000005E-2</v>
      </c>
      <c r="BD19" s="441">
        <v>0.03</v>
      </c>
      <c r="BE19" s="441">
        <v>6.4000000000000085E-2</v>
      </c>
      <c r="BF19" s="442">
        <v>9.5000000000000001E-2</v>
      </c>
      <c r="BG19" s="440">
        <v>8.14E-2</v>
      </c>
      <c r="BH19" s="441">
        <v>0.02</v>
      </c>
      <c r="BI19" s="441">
        <v>6.2799999999999995E-2</v>
      </c>
      <c r="BJ19" s="442">
        <v>9.5000000000000001E-2</v>
      </c>
      <c r="BK19" s="440">
        <v>8.14E-2</v>
      </c>
      <c r="BL19" s="441">
        <v>0.02</v>
      </c>
      <c r="BM19" s="441">
        <v>6.2799999999999995E-2</v>
      </c>
      <c r="BN19" s="442">
        <v>9.5000000000000001E-2</v>
      </c>
      <c r="BO19" s="440">
        <v>8.141000000000001E-2</v>
      </c>
      <c r="BP19" s="441">
        <v>3.3333333333333333E-2</v>
      </c>
      <c r="BQ19" s="441">
        <v>0.1047</v>
      </c>
      <c r="BR19" s="442">
        <v>9.5000000000000001E-2</v>
      </c>
      <c r="BS19" s="440">
        <v>8.14E-2</v>
      </c>
      <c r="BT19" s="441">
        <v>0.04</v>
      </c>
      <c r="BU19" s="441">
        <v>0.12559999999999999</v>
      </c>
      <c r="BV19" s="420">
        <v>9.5000000000000001E-2</v>
      </c>
      <c r="BW19" s="149">
        <f t="shared" si="1"/>
        <v>8.14E-2</v>
      </c>
      <c r="BX19" s="149"/>
      <c r="BY19" s="149"/>
      <c r="BZ19" s="149"/>
      <c r="CA19" s="149">
        <f t="shared" si="0"/>
        <v>8.14E-2</v>
      </c>
      <c r="CB19" s="149"/>
      <c r="CC19" s="149"/>
      <c r="CD19" s="149"/>
      <c r="CE19" s="150">
        <f t="shared" si="2"/>
        <v>8.141000000000001E-2</v>
      </c>
      <c r="CF19" s="178"/>
      <c r="CG19" s="178"/>
      <c r="CH19" s="178"/>
      <c r="CI19" s="150">
        <f t="shared" si="3"/>
        <v>8.14E-2</v>
      </c>
    </row>
    <row r="20" spans="1:87" s="94" customFormat="1" ht="108.75" customHeight="1" x14ac:dyDescent="0.3">
      <c r="A20" s="151" t="s">
        <v>136</v>
      </c>
      <c r="B20" s="179" t="s">
        <v>137</v>
      </c>
      <c r="C20" s="2276"/>
      <c r="D20" s="443" t="s">
        <v>209</v>
      </c>
      <c r="E20" s="444" t="s">
        <v>210</v>
      </c>
      <c r="F20" s="445" t="s">
        <v>209</v>
      </c>
      <c r="G20" s="446" t="s">
        <v>141</v>
      </c>
      <c r="H20" s="418" t="s">
        <v>142</v>
      </c>
      <c r="I20" s="418" t="s">
        <v>143</v>
      </c>
      <c r="J20" s="447">
        <v>4.4999999999999998E-2</v>
      </c>
      <c r="K20" s="447">
        <v>2.2658000000000001E-2</v>
      </c>
      <c r="L20" s="447">
        <v>2.2342000000000001E-2</v>
      </c>
      <c r="M20" s="448">
        <v>0</v>
      </c>
      <c r="N20" s="448">
        <v>2.5000000000000001E-2</v>
      </c>
      <c r="O20" s="449" t="s">
        <v>144</v>
      </c>
      <c r="P20" s="450">
        <v>0.5</v>
      </c>
      <c r="Q20" s="450">
        <v>0.15</v>
      </c>
      <c r="R20" s="423" t="s">
        <v>145</v>
      </c>
      <c r="S20" s="451" t="s">
        <v>206</v>
      </c>
      <c r="T20" s="452" t="s">
        <v>207</v>
      </c>
      <c r="U20" s="451" t="s">
        <v>147</v>
      </c>
      <c r="V20" s="451" t="s">
        <v>148</v>
      </c>
      <c r="W20" s="451" t="s">
        <v>149</v>
      </c>
      <c r="X20" s="452">
        <v>18</v>
      </c>
      <c r="Y20" s="452" t="s">
        <v>150</v>
      </c>
      <c r="Z20" s="452" t="s">
        <v>172</v>
      </c>
      <c r="AA20" s="453">
        <v>100000</v>
      </c>
      <c r="AB20" s="451" t="s">
        <v>152</v>
      </c>
      <c r="AC20" s="454">
        <v>17.5</v>
      </c>
      <c r="AD20" s="454">
        <v>17.5</v>
      </c>
      <c r="AE20" s="455">
        <v>35</v>
      </c>
      <c r="AF20" s="456">
        <v>7.5</v>
      </c>
      <c r="AG20" s="455">
        <v>10</v>
      </c>
      <c r="AH20" s="456">
        <v>7.5</v>
      </c>
      <c r="AI20" s="457">
        <v>10</v>
      </c>
      <c r="AJ20" s="458">
        <v>1.9629999999999999</v>
      </c>
      <c r="AK20" s="458">
        <v>0.30299999999999999</v>
      </c>
      <c r="AL20" s="458">
        <v>0</v>
      </c>
      <c r="AM20" s="459">
        <v>2.266</v>
      </c>
      <c r="AN20" s="460">
        <v>2.266</v>
      </c>
      <c r="AO20" s="458">
        <v>0.53507024390243907</v>
      </c>
      <c r="AP20" s="458">
        <v>1.6444419512195123</v>
      </c>
      <c r="AQ20" s="458">
        <v>0</v>
      </c>
      <c r="AR20" s="459">
        <v>2.1795121951219514</v>
      </c>
      <c r="AS20" s="458">
        <v>0.54844700000000002</v>
      </c>
      <c r="AT20" s="458">
        <v>1.6855529999999999</v>
      </c>
      <c r="AU20" s="458">
        <v>0</v>
      </c>
      <c r="AV20" s="461">
        <v>2.234</v>
      </c>
      <c r="AW20" s="460">
        <v>4.5</v>
      </c>
      <c r="AX20" s="462" t="s">
        <v>211</v>
      </c>
      <c r="AY20" s="463">
        <v>8.3000000000000004E-2</v>
      </c>
      <c r="AZ20" s="464">
        <v>7.5000000000000039E-2</v>
      </c>
      <c r="BA20" s="464">
        <v>6.9400000000000003E-2</v>
      </c>
      <c r="BB20" s="188"/>
      <c r="BC20" s="465">
        <v>7.5000000000000039E-2</v>
      </c>
      <c r="BD20" s="466">
        <v>0.03</v>
      </c>
      <c r="BE20" s="466">
        <v>4.0000000000000063E-2</v>
      </c>
      <c r="BF20" s="467">
        <v>8.3000000000000004E-2</v>
      </c>
      <c r="BG20" s="465">
        <v>6.9400000000000003E-2</v>
      </c>
      <c r="BH20" s="466">
        <v>0.02</v>
      </c>
      <c r="BI20" s="466">
        <v>3.8800000000000001E-2</v>
      </c>
      <c r="BJ20" s="467">
        <v>8.3000000000000004E-2</v>
      </c>
      <c r="BK20" s="465">
        <v>6.9400000000000003E-2</v>
      </c>
      <c r="BL20" s="466">
        <v>0.02</v>
      </c>
      <c r="BM20" s="466">
        <v>3.8800000000000001E-2</v>
      </c>
      <c r="BN20" s="467">
        <v>8.3000000000000004E-2</v>
      </c>
      <c r="BO20" s="465">
        <v>6.9409999999999999E-2</v>
      </c>
      <c r="BP20" s="466">
        <v>3.3333333333333333E-2</v>
      </c>
      <c r="BQ20" s="466">
        <v>6.4699999999999994E-2</v>
      </c>
      <c r="BR20" s="467">
        <v>8.3000000000000004E-2</v>
      </c>
      <c r="BS20" s="465">
        <v>6.9400000000000003E-2</v>
      </c>
      <c r="BT20" s="466">
        <v>0.04</v>
      </c>
      <c r="BU20" s="466">
        <v>7.7600000000000002E-2</v>
      </c>
      <c r="BV20" s="448">
        <v>8.3000000000000004E-2</v>
      </c>
      <c r="BW20" s="149">
        <f t="shared" si="1"/>
        <v>6.9400000000000003E-2</v>
      </c>
      <c r="BX20" s="149"/>
      <c r="BY20" s="149"/>
      <c r="BZ20" s="149"/>
      <c r="CA20" s="149">
        <f t="shared" si="0"/>
        <v>6.9400000000000003E-2</v>
      </c>
      <c r="CB20" s="149"/>
      <c r="CC20" s="149"/>
      <c r="CD20" s="149"/>
      <c r="CE20" s="150">
        <f t="shared" si="2"/>
        <v>6.9409999999999999E-2</v>
      </c>
      <c r="CF20" s="178"/>
      <c r="CG20" s="178"/>
      <c r="CH20" s="178"/>
      <c r="CI20" s="150">
        <f t="shared" si="3"/>
        <v>6.9400000000000003E-2</v>
      </c>
    </row>
    <row r="21" spans="1:87" s="94" customFormat="1" ht="108.75" customHeight="1" thickBot="1" x14ac:dyDescent="0.35">
      <c r="A21" s="151" t="s">
        <v>136</v>
      </c>
      <c r="B21" s="179" t="s">
        <v>137</v>
      </c>
      <c r="C21" s="2277"/>
      <c r="D21" s="468" t="s">
        <v>212</v>
      </c>
      <c r="E21" s="469" t="s">
        <v>213</v>
      </c>
      <c r="F21" s="470" t="s">
        <v>212</v>
      </c>
      <c r="G21" s="471" t="s">
        <v>141</v>
      </c>
      <c r="H21" s="472" t="s">
        <v>142</v>
      </c>
      <c r="I21" s="472" t="s">
        <v>143</v>
      </c>
      <c r="J21" s="473">
        <v>0.06</v>
      </c>
      <c r="K21" s="473">
        <v>3.0210000000000001E-2</v>
      </c>
      <c r="L21" s="473">
        <v>2.9790000000000001E-2</v>
      </c>
      <c r="M21" s="474">
        <v>0</v>
      </c>
      <c r="N21" s="474">
        <v>2.5000000000000001E-2</v>
      </c>
      <c r="O21" s="475" t="s">
        <v>144</v>
      </c>
      <c r="P21" s="476">
        <v>0.5</v>
      </c>
      <c r="Q21" s="476">
        <v>0.15</v>
      </c>
      <c r="R21" s="477" t="s">
        <v>145</v>
      </c>
      <c r="S21" s="478" t="s">
        <v>206</v>
      </c>
      <c r="T21" s="479" t="s">
        <v>207</v>
      </c>
      <c r="U21" s="478" t="s">
        <v>147</v>
      </c>
      <c r="V21" s="478" t="s">
        <v>148</v>
      </c>
      <c r="W21" s="478" t="s">
        <v>149</v>
      </c>
      <c r="X21" s="479">
        <v>18</v>
      </c>
      <c r="Y21" s="479" t="s">
        <v>150</v>
      </c>
      <c r="Z21" s="479" t="s">
        <v>172</v>
      </c>
      <c r="AA21" s="480">
        <v>100000</v>
      </c>
      <c r="AB21" s="478" t="s">
        <v>152</v>
      </c>
      <c r="AC21" s="481">
        <v>17.5</v>
      </c>
      <c r="AD21" s="481">
        <v>17.5</v>
      </c>
      <c r="AE21" s="482">
        <v>35</v>
      </c>
      <c r="AF21" s="483">
        <v>7.5</v>
      </c>
      <c r="AG21" s="484">
        <v>10</v>
      </c>
      <c r="AH21" s="485">
        <v>7.5</v>
      </c>
      <c r="AI21" s="486">
        <v>10</v>
      </c>
      <c r="AJ21" s="487">
        <v>2.617</v>
      </c>
      <c r="AK21" s="487">
        <v>0.40400000000000003</v>
      </c>
      <c r="AL21" s="487">
        <v>0</v>
      </c>
      <c r="AM21" s="488">
        <v>3.0209999999999999</v>
      </c>
      <c r="AN21" s="489">
        <v>3.0209999999999999</v>
      </c>
      <c r="AO21" s="487">
        <v>0.71379746341463424</v>
      </c>
      <c r="AP21" s="487">
        <v>2.1925440000000003</v>
      </c>
      <c r="AQ21" s="487">
        <v>0</v>
      </c>
      <c r="AR21" s="488">
        <v>2.9063414634146345</v>
      </c>
      <c r="AS21" s="487">
        <v>0.73164240000000003</v>
      </c>
      <c r="AT21" s="487">
        <v>2.2473576</v>
      </c>
      <c r="AU21" s="487">
        <v>0</v>
      </c>
      <c r="AV21" s="490">
        <v>2.9790000000000001</v>
      </c>
      <c r="AW21" s="489">
        <v>6</v>
      </c>
      <c r="AX21" s="491" t="s">
        <v>214</v>
      </c>
      <c r="AY21" s="492">
        <v>7.2999999999999995E-2</v>
      </c>
      <c r="AZ21" s="493">
        <v>6.500000000000003E-2</v>
      </c>
      <c r="BA21" s="493">
        <v>5.9400000000000001E-2</v>
      </c>
      <c r="BB21" s="220"/>
      <c r="BC21" s="494">
        <v>6.500000000000003E-2</v>
      </c>
      <c r="BD21" s="495">
        <v>0.03</v>
      </c>
      <c r="BE21" s="495">
        <v>2.0000000000000046E-2</v>
      </c>
      <c r="BF21" s="496">
        <v>7.2999999999999995E-2</v>
      </c>
      <c r="BG21" s="494">
        <v>5.9400000000000001E-2</v>
      </c>
      <c r="BH21" s="495">
        <v>0.02</v>
      </c>
      <c r="BI21" s="495">
        <v>1.8800000000000001E-2</v>
      </c>
      <c r="BJ21" s="496">
        <v>7.2999999999999995E-2</v>
      </c>
      <c r="BK21" s="494">
        <v>5.9400000000000001E-2</v>
      </c>
      <c r="BL21" s="495">
        <v>0.02</v>
      </c>
      <c r="BM21" s="495">
        <v>1.8800000000000001E-2</v>
      </c>
      <c r="BN21" s="496">
        <v>7.2999999999999995E-2</v>
      </c>
      <c r="BO21" s="494">
        <v>5.9389999999999998E-2</v>
      </c>
      <c r="BP21" s="495">
        <v>3.3333333333333333E-2</v>
      </c>
      <c r="BQ21" s="495">
        <v>3.1300000000000001E-2</v>
      </c>
      <c r="BR21" s="496">
        <v>7.2999999999999995E-2</v>
      </c>
      <c r="BS21" s="494">
        <v>5.9400000000000001E-2</v>
      </c>
      <c r="BT21" s="495">
        <v>0.04</v>
      </c>
      <c r="BU21" s="495">
        <v>3.7600000000000001E-2</v>
      </c>
      <c r="BV21" s="474">
        <v>7.2999999999999995E-2</v>
      </c>
      <c r="BW21" s="149">
        <f t="shared" si="1"/>
        <v>5.9400000000000001E-2</v>
      </c>
      <c r="BX21" s="149"/>
      <c r="BY21" s="149"/>
      <c r="BZ21" s="149"/>
      <c r="CA21" s="149">
        <f t="shared" si="0"/>
        <v>5.9400000000000001E-2</v>
      </c>
      <c r="CB21" s="149"/>
      <c r="CC21" s="149"/>
      <c r="CD21" s="149"/>
      <c r="CE21" s="150">
        <f t="shared" si="2"/>
        <v>5.9389999999999998E-2</v>
      </c>
      <c r="CF21" s="178"/>
      <c r="CG21" s="178"/>
      <c r="CH21" s="178"/>
      <c r="CI21" s="150">
        <f t="shared" si="3"/>
        <v>5.9400000000000001E-2</v>
      </c>
    </row>
    <row r="22" spans="1:87" s="94" customFormat="1" ht="108.75" customHeight="1" x14ac:dyDescent="0.3">
      <c r="A22" s="151" t="s">
        <v>136</v>
      </c>
      <c r="B22" s="179" t="s">
        <v>137</v>
      </c>
      <c r="C22" s="2278" t="s">
        <v>215</v>
      </c>
      <c r="D22" s="497" t="s">
        <v>216</v>
      </c>
      <c r="E22" s="498" t="s">
        <v>217</v>
      </c>
      <c r="F22" s="499" t="s">
        <v>216</v>
      </c>
      <c r="G22" s="500" t="s">
        <v>141</v>
      </c>
      <c r="H22" s="501" t="s">
        <v>218</v>
      </c>
      <c r="I22" s="501" t="s">
        <v>219</v>
      </c>
      <c r="J22" s="502">
        <v>4.4999999999999998E-2</v>
      </c>
      <c r="K22" s="502">
        <v>3.8691999999999997E-2</v>
      </c>
      <c r="L22" s="502">
        <v>6.3080000000000002E-3</v>
      </c>
      <c r="M22" s="503">
        <v>0</v>
      </c>
      <c r="N22" s="503">
        <v>2.5000000000000001E-2</v>
      </c>
      <c r="O22" s="504" t="s">
        <v>144</v>
      </c>
      <c r="P22" s="505">
        <v>0.5</v>
      </c>
      <c r="Q22" s="505">
        <v>0.15</v>
      </c>
      <c r="R22" s="506" t="s">
        <v>145</v>
      </c>
      <c r="S22" s="507" t="s">
        <v>220</v>
      </c>
      <c r="T22" s="508">
        <v>72</v>
      </c>
      <c r="U22" s="507" t="s">
        <v>147</v>
      </c>
      <c r="V22" s="507" t="s">
        <v>148</v>
      </c>
      <c r="W22" s="507" t="s">
        <v>149</v>
      </c>
      <c r="X22" s="508">
        <v>18</v>
      </c>
      <c r="Y22" s="508" t="s">
        <v>150</v>
      </c>
      <c r="Z22" s="508" t="s">
        <v>151</v>
      </c>
      <c r="AA22" s="509">
        <v>100000</v>
      </c>
      <c r="AB22" s="507" t="s">
        <v>221</v>
      </c>
      <c r="AC22" s="510">
        <v>20.5</v>
      </c>
      <c r="AD22" s="510">
        <v>20.5</v>
      </c>
      <c r="AE22" s="511">
        <v>41</v>
      </c>
      <c r="AF22" s="512">
        <v>7.5</v>
      </c>
      <c r="AG22" s="511">
        <v>13</v>
      </c>
      <c r="AH22" s="512">
        <v>7.5</v>
      </c>
      <c r="AI22" s="513">
        <v>13</v>
      </c>
      <c r="AJ22" s="136">
        <v>3.351</v>
      </c>
      <c r="AK22" s="136">
        <v>0.51800000000000002</v>
      </c>
      <c r="AL22" s="136">
        <v>0</v>
      </c>
      <c r="AM22" s="137">
        <v>3.8690000000000002</v>
      </c>
      <c r="AN22" s="138">
        <v>3.8690000000000002</v>
      </c>
      <c r="AO22" s="136">
        <v>0.61560975609756108</v>
      </c>
      <c r="AP22" s="136">
        <v>0</v>
      </c>
      <c r="AQ22" s="136">
        <v>0</v>
      </c>
      <c r="AR22" s="137">
        <v>0.61560975609756108</v>
      </c>
      <c r="AS22" s="136">
        <v>0.63100000000000001</v>
      </c>
      <c r="AT22" s="136">
        <v>0</v>
      </c>
      <c r="AU22" s="136">
        <v>0</v>
      </c>
      <c r="AV22" s="139">
        <v>0.63100000000000001</v>
      </c>
      <c r="AW22" s="138">
        <v>4.5</v>
      </c>
      <c r="AX22" s="514" t="s">
        <v>222</v>
      </c>
      <c r="AY22" s="515">
        <v>7.2999999999999995E-2</v>
      </c>
      <c r="AZ22" s="516">
        <v>6.5000000000000002E-2</v>
      </c>
      <c r="BA22" s="516">
        <v>5.9400000000000001E-2</v>
      </c>
      <c r="BB22" s="143"/>
      <c r="BC22" s="517">
        <v>6.5000000000000002E-2</v>
      </c>
      <c r="BD22" s="518">
        <v>0.03</v>
      </c>
      <c r="BE22" s="518">
        <v>2.0000000000000004E-2</v>
      </c>
      <c r="BF22" s="519">
        <v>7.2999999999999995E-2</v>
      </c>
      <c r="BG22" s="517">
        <v>5.9400000000000001E-2</v>
      </c>
      <c r="BH22" s="518">
        <v>0.02</v>
      </c>
      <c r="BI22" s="518">
        <v>1.8800000000000001E-2</v>
      </c>
      <c r="BJ22" s="519">
        <v>7.2999999999999995E-2</v>
      </c>
      <c r="BK22" s="517">
        <v>5.9400000000000001E-2</v>
      </c>
      <c r="BL22" s="518">
        <v>0.02</v>
      </c>
      <c r="BM22" s="518">
        <v>1.8800000000000001E-2</v>
      </c>
      <c r="BN22" s="519">
        <v>7.2999999999999995E-2</v>
      </c>
      <c r="BO22" s="517">
        <v>5.9389999999999998E-2</v>
      </c>
      <c r="BP22" s="518">
        <v>3.3333333333333333E-2</v>
      </c>
      <c r="BQ22" s="518">
        <v>3.1300000000000001E-2</v>
      </c>
      <c r="BR22" s="519">
        <v>7.2999999999999995E-2</v>
      </c>
      <c r="BS22" s="517">
        <v>5.9400000000000001E-2</v>
      </c>
      <c r="BT22" s="518">
        <v>0.04</v>
      </c>
      <c r="BU22" s="518">
        <v>3.7600000000000001E-2</v>
      </c>
      <c r="BV22" s="503">
        <v>7.2999999999999995E-2</v>
      </c>
      <c r="BW22" s="149">
        <f t="shared" si="1"/>
        <v>5.9400000000000001E-2</v>
      </c>
      <c r="BX22" s="149"/>
      <c r="BY22" s="149"/>
      <c r="BZ22" s="149"/>
      <c r="CA22" s="149">
        <f>(BM22+BL22)*50%+4%</f>
        <v>5.9400000000000001E-2</v>
      </c>
      <c r="CB22" s="149"/>
      <c r="CC22" s="149"/>
      <c r="CD22" s="149"/>
      <c r="CE22" s="150">
        <f t="shared" si="2"/>
        <v>5.9389999999999998E-2</v>
      </c>
      <c r="CF22" s="178"/>
      <c r="CG22" s="178"/>
      <c r="CH22" s="178"/>
      <c r="CI22" s="150">
        <f t="shared" si="3"/>
        <v>5.9400000000000001E-2</v>
      </c>
    </row>
    <row r="23" spans="1:87" s="94" customFormat="1" ht="108.75" customHeight="1" thickBot="1" x14ac:dyDescent="0.35">
      <c r="A23" s="151" t="s">
        <v>136</v>
      </c>
      <c r="B23" s="179" t="s">
        <v>137</v>
      </c>
      <c r="C23" s="2279"/>
      <c r="D23" s="520" t="s">
        <v>223</v>
      </c>
      <c r="E23" s="521" t="s">
        <v>217</v>
      </c>
      <c r="F23" s="522" t="s">
        <v>223</v>
      </c>
      <c r="G23" s="523" t="s">
        <v>141</v>
      </c>
      <c r="H23" s="524" t="s">
        <v>218</v>
      </c>
      <c r="I23" s="524" t="s">
        <v>219</v>
      </c>
      <c r="J23" s="525">
        <v>4.4999999999999998E-2</v>
      </c>
      <c r="K23" s="525">
        <v>3.8691999999999997E-2</v>
      </c>
      <c r="L23" s="525">
        <v>6.3080000000000002E-3</v>
      </c>
      <c r="M23" s="526">
        <v>0</v>
      </c>
      <c r="N23" s="526">
        <v>2.5000000000000001E-2</v>
      </c>
      <c r="O23" s="527" t="s">
        <v>144</v>
      </c>
      <c r="P23" s="528">
        <v>0.5</v>
      </c>
      <c r="Q23" s="528">
        <v>0.15</v>
      </c>
      <c r="R23" s="529" t="s">
        <v>145</v>
      </c>
      <c r="S23" s="530" t="s">
        <v>220</v>
      </c>
      <c r="T23" s="531">
        <v>72</v>
      </c>
      <c r="U23" s="530" t="s">
        <v>147</v>
      </c>
      <c r="V23" s="530" t="s">
        <v>148</v>
      </c>
      <c r="W23" s="530" t="s">
        <v>149</v>
      </c>
      <c r="X23" s="531">
        <v>18</v>
      </c>
      <c r="Y23" s="531" t="s">
        <v>150</v>
      </c>
      <c r="Z23" s="531" t="s">
        <v>151</v>
      </c>
      <c r="AA23" s="532">
        <v>100000</v>
      </c>
      <c r="AB23" s="530" t="s">
        <v>221</v>
      </c>
      <c r="AC23" s="533">
        <v>20.5</v>
      </c>
      <c r="AD23" s="533">
        <v>20.5</v>
      </c>
      <c r="AE23" s="534">
        <v>41</v>
      </c>
      <c r="AF23" s="535">
        <v>7.5</v>
      </c>
      <c r="AG23" s="536">
        <v>13</v>
      </c>
      <c r="AH23" s="537">
        <v>7.5</v>
      </c>
      <c r="AI23" s="538">
        <v>13</v>
      </c>
      <c r="AJ23" s="213">
        <v>3.351</v>
      </c>
      <c r="AK23" s="213">
        <v>0.51800000000000002</v>
      </c>
      <c r="AL23" s="213">
        <v>0</v>
      </c>
      <c r="AM23" s="214">
        <v>3.8690000000000002</v>
      </c>
      <c r="AN23" s="215">
        <v>3.8690000000000002</v>
      </c>
      <c r="AO23" s="213">
        <v>0.61560975609756108</v>
      </c>
      <c r="AP23" s="213">
        <v>0</v>
      </c>
      <c r="AQ23" s="213">
        <v>0</v>
      </c>
      <c r="AR23" s="214">
        <v>0.61560975609756108</v>
      </c>
      <c r="AS23" s="213">
        <v>0.63100000000000001</v>
      </c>
      <c r="AT23" s="213">
        <v>0</v>
      </c>
      <c r="AU23" s="213">
        <v>0</v>
      </c>
      <c r="AV23" s="216">
        <v>0.63100000000000001</v>
      </c>
      <c r="AW23" s="215">
        <v>4.5</v>
      </c>
      <c r="AX23" s="539" t="s">
        <v>222</v>
      </c>
      <c r="AY23" s="540">
        <v>7.2999999999999995E-2</v>
      </c>
      <c r="AZ23" s="541">
        <v>6.5000000000000002E-2</v>
      </c>
      <c r="BA23" s="541">
        <v>5.9400000000000001E-2</v>
      </c>
      <c r="BB23" s="220"/>
      <c r="BC23" s="542">
        <v>6.5000000000000002E-2</v>
      </c>
      <c r="BD23" s="543">
        <v>0.03</v>
      </c>
      <c r="BE23" s="543">
        <v>2.0000000000000004E-2</v>
      </c>
      <c r="BF23" s="544">
        <v>7.2999999999999995E-2</v>
      </c>
      <c r="BG23" s="542">
        <v>5.9400000000000001E-2</v>
      </c>
      <c r="BH23" s="543">
        <v>0.02</v>
      </c>
      <c r="BI23" s="543">
        <v>1.8800000000000001E-2</v>
      </c>
      <c r="BJ23" s="544">
        <v>7.2999999999999995E-2</v>
      </c>
      <c r="BK23" s="542">
        <v>5.9400000000000001E-2</v>
      </c>
      <c r="BL23" s="543">
        <v>0.02</v>
      </c>
      <c r="BM23" s="543">
        <v>1.8800000000000001E-2</v>
      </c>
      <c r="BN23" s="544">
        <v>7.2999999999999995E-2</v>
      </c>
      <c r="BO23" s="542">
        <v>5.9389999999999998E-2</v>
      </c>
      <c r="BP23" s="543">
        <v>3.3333333333333333E-2</v>
      </c>
      <c r="BQ23" s="543">
        <v>3.1300000000000001E-2</v>
      </c>
      <c r="BR23" s="544">
        <v>7.2999999999999995E-2</v>
      </c>
      <c r="BS23" s="542">
        <v>5.9400000000000001E-2</v>
      </c>
      <c r="BT23" s="543">
        <v>0.04</v>
      </c>
      <c r="BU23" s="543">
        <v>3.7600000000000001E-2</v>
      </c>
      <c r="BV23" s="526">
        <v>7.2999999999999995E-2</v>
      </c>
      <c r="BW23" s="149">
        <f t="shared" si="1"/>
        <v>5.9400000000000001E-2</v>
      </c>
      <c r="BX23" s="149"/>
      <c r="BY23" s="149"/>
      <c r="BZ23" s="149"/>
      <c r="CA23" s="149">
        <f>(BM23+BL23)*50%+4%</f>
        <v>5.9400000000000001E-2</v>
      </c>
      <c r="CB23" s="149"/>
      <c r="CC23" s="149"/>
      <c r="CD23" s="149"/>
      <c r="CE23" s="150">
        <f t="shared" si="2"/>
        <v>5.9389999999999998E-2</v>
      </c>
      <c r="CF23" s="178"/>
      <c r="CG23" s="178"/>
      <c r="CH23" s="178"/>
      <c r="CI23" s="150">
        <f t="shared" si="3"/>
        <v>5.9400000000000001E-2</v>
      </c>
    </row>
    <row r="24" spans="1:87" s="94" customFormat="1" ht="108.75" customHeight="1" x14ac:dyDescent="0.3">
      <c r="A24" s="151" t="s">
        <v>136</v>
      </c>
      <c r="B24" s="179" t="s">
        <v>137</v>
      </c>
      <c r="C24" s="2245" t="s">
        <v>224</v>
      </c>
      <c r="D24" s="545" t="s">
        <v>225</v>
      </c>
      <c r="E24" s="546" t="s">
        <v>226</v>
      </c>
      <c r="F24" s="547" t="s">
        <v>225</v>
      </c>
      <c r="G24" s="548" t="s">
        <v>141</v>
      </c>
      <c r="H24" s="549" t="s">
        <v>227</v>
      </c>
      <c r="I24" s="549" t="s">
        <v>228</v>
      </c>
      <c r="J24" s="550">
        <v>0.08</v>
      </c>
      <c r="K24" s="550">
        <v>7.5563405779431311E-2</v>
      </c>
      <c r="L24" s="550">
        <v>4.4365942205686903E-3</v>
      </c>
      <c r="M24" s="551">
        <v>0</v>
      </c>
      <c r="N24" s="551">
        <v>2.5000000000000001E-2</v>
      </c>
      <c r="O24" s="552" t="s">
        <v>229</v>
      </c>
      <c r="P24" s="553">
        <v>0.26</v>
      </c>
      <c r="Q24" s="553">
        <v>0.15</v>
      </c>
      <c r="R24" s="554" t="s">
        <v>145</v>
      </c>
      <c r="S24" s="552" t="s">
        <v>230</v>
      </c>
      <c r="T24" s="555">
        <v>120</v>
      </c>
      <c r="U24" s="552" t="s">
        <v>147</v>
      </c>
      <c r="V24" s="552" t="s">
        <v>148</v>
      </c>
      <c r="W24" s="552" t="s">
        <v>149</v>
      </c>
      <c r="X24" s="556" t="s">
        <v>231</v>
      </c>
      <c r="Y24" s="555" t="s">
        <v>232</v>
      </c>
      <c r="Z24" s="555" t="s">
        <v>233</v>
      </c>
      <c r="AA24" s="557">
        <v>100000</v>
      </c>
      <c r="AB24" s="552" t="s">
        <v>234</v>
      </c>
      <c r="AC24" s="558">
        <v>25</v>
      </c>
      <c r="AD24" s="558">
        <v>25</v>
      </c>
      <c r="AE24" s="559">
        <v>50</v>
      </c>
      <c r="AF24" s="560">
        <v>7.5</v>
      </c>
      <c r="AG24" s="561">
        <v>17.5</v>
      </c>
      <c r="AH24" s="562">
        <v>7.5</v>
      </c>
      <c r="AI24" s="563">
        <v>17.5</v>
      </c>
      <c r="AJ24" s="136">
        <v>7.556</v>
      </c>
      <c r="AK24" s="136"/>
      <c r="AL24" s="136">
        <v>0</v>
      </c>
      <c r="AM24" s="137">
        <v>7.556</v>
      </c>
      <c r="AN24" s="138">
        <v>7.556</v>
      </c>
      <c r="AO24" s="136">
        <v>0</v>
      </c>
      <c r="AP24" s="136">
        <v>0</v>
      </c>
      <c r="AQ24" s="136">
        <v>0.43317073170731712</v>
      </c>
      <c r="AR24" s="137">
        <v>0.43317073170731712</v>
      </c>
      <c r="AS24" s="136">
        <v>0</v>
      </c>
      <c r="AT24" s="136">
        <v>0</v>
      </c>
      <c r="AU24" s="136">
        <v>0.44400000000000001</v>
      </c>
      <c r="AV24" s="139">
        <v>0.44400000000000001</v>
      </c>
      <c r="AW24" s="138">
        <v>8</v>
      </c>
      <c r="AX24" s="564" t="s">
        <v>235</v>
      </c>
      <c r="AY24" s="565">
        <v>0.08</v>
      </c>
      <c r="AZ24" s="566">
        <v>7.2000000000000008E-2</v>
      </c>
      <c r="BA24" s="566">
        <v>6.6400000000000001E-2</v>
      </c>
      <c r="BB24" s="143"/>
      <c r="BC24" s="567">
        <v>7.2000000000000008E-2</v>
      </c>
      <c r="BD24" s="568">
        <v>0.03</v>
      </c>
      <c r="BE24" s="568">
        <v>3.4000000000000016E-2</v>
      </c>
      <c r="BF24" s="569">
        <v>0.08</v>
      </c>
      <c r="BG24" s="567">
        <v>6.6400000000000001E-2</v>
      </c>
      <c r="BH24" s="568">
        <v>0.02</v>
      </c>
      <c r="BI24" s="568">
        <v>3.2800000000000003E-2</v>
      </c>
      <c r="BJ24" s="569">
        <v>0.08</v>
      </c>
      <c r="BK24" s="567">
        <v>6.6400000000000001E-2</v>
      </c>
      <c r="BL24" s="568">
        <v>0.02</v>
      </c>
      <c r="BM24" s="568">
        <v>3.2800000000000003E-2</v>
      </c>
      <c r="BN24" s="569">
        <v>0.08</v>
      </c>
      <c r="BO24" s="567">
        <v>6.6409999999999997E-2</v>
      </c>
      <c r="BP24" s="568">
        <v>3.3333333333333333E-2</v>
      </c>
      <c r="BQ24" s="568">
        <v>5.4699999999999999E-2</v>
      </c>
      <c r="BR24" s="569">
        <v>0.08</v>
      </c>
      <c r="BS24" s="567">
        <v>6.6400000000000001E-2</v>
      </c>
      <c r="BT24" s="568">
        <v>0.04</v>
      </c>
      <c r="BU24" s="568">
        <v>6.5600000000000006E-2</v>
      </c>
      <c r="BV24" s="551">
        <v>0.08</v>
      </c>
      <c r="BW24" s="149">
        <f t="shared" si="1"/>
        <v>6.6400000000000001E-2</v>
      </c>
      <c r="BX24" s="149"/>
      <c r="BY24" s="149"/>
      <c r="BZ24" s="149"/>
      <c r="CA24" s="149">
        <f>(BM24+BL24)*50%+4%</f>
        <v>6.6400000000000001E-2</v>
      </c>
      <c r="CB24" s="149"/>
      <c r="CC24" s="149"/>
      <c r="CD24" s="149"/>
      <c r="CE24" s="150">
        <f t="shared" si="2"/>
        <v>6.6409999999999997E-2</v>
      </c>
      <c r="CF24" s="178"/>
      <c r="CG24" s="178"/>
      <c r="CH24" s="178"/>
      <c r="CI24" s="150">
        <f t="shared" si="3"/>
        <v>6.6400000000000001E-2</v>
      </c>
    </row>
    <row r="25" spans="1:87" s="94" customFormat="1" ht="108.75" customHeight="1" thickBot="1" x14ac:dyDescent="0.35">
      <c r="A25" s="570" t="s">
        <v>136</v>
      </c>
      <c r="B25" s="571" t="s">
        <v>137</v>
      </c>
      <c r="C25" s="2246"/>
      <c r="D25" s="572" t="s">
        <v>236</v>
      </c>
      <c r="E25" s="573" t="s">
        <v>237</v>
      </c>
      <c r="F25" s="574" t="s">
        <v>236</v>
      </c>
      <c r="G25" s="575" t="s">
        <v>141</v>
      </c>
      <c r="H25" s="576" t="s">
        <v>227</v>
      </c>
      <c r="I25" s="576" t="s">
        <v>228</v>
      </c>
      <c r="J25" s="577">
        <v>0.08</v>
      </c>
      <c r="K25" s="577">
        <v>7.5563405779431311E-2</v>
      </c>
      <c r="L25" s="577">
        <v>4.4365942205686903E-3</v>
      </c>
      <c r="M25" s="578">
        <v>0</v>
      </c>
      <c r="N25" s="578">
        <v>2.5000000000000001E-2</v>
      </c>
      <c r="O25" s="579" t="s">
        <v>229</v>
      </c>
      <c r="P25" s="580">
        <v>0.26</v>
      </c>
      <c r="Q25" s="580">
        <v>0.15</v>
      </c>
      <c r="R25" s="581" t="s">
        <v>145</v>
      </c>
      <c r="S25" s="579" t="s">
        <v>230</v>
      </c>
      <c r="T25" s="582">
        <v>120</v>
      </c>
      <c r="U25" s="579" t="s">
        <v>147</v>
      </c>
      <c r="V25" s="579" t="s">
        <v>148</v>
      </c>
      <c r="W25" s="579" t="s">
        <v>149</v>
      </c>
      <c r="X25" s="583" t="s">
        <v>231</v>
      </c>
      <c r="Y25" s="582" t="s">
        <v>232</v>
      </c>
      <c r="Z25" s="582" t="s">
        <v>233</v>
      </c>
      <c r="AA25" s="584">
        <v>100000</v>
      </c>
      <c r="AB25" s="579" t="s">
        <v>234</v>
      </c>
      <c r="AC25" s="585">
        <v>25</v>
      </c>
      <c r="AD25" s="585">
        <v>25</v>
      </c>
      <c r="AE25" s="586">
        <v>50</v>
      </c>
      <c r="AF25" s="587">
        <v>7.5</v>
      </c>
      <c r="AG25" s="588">
        <v>17.5</v>
      </c>
      <c r="AH25" s="589">
        <v>7.5</v>
      </c>
      <c r="AI25" s="590">
        <v>17.5</v>
      </c>
      <c r="AJ25" s="213">
        <v>7.556</v>
      </c>
      <c r="AK25" s="213"/>
      <c r="AL25" s="213">
        <v>0</v>
      </c>
      <c r="AM25" s="214">
        <v>7.556</v>
      </c>
      <c r="AN25" s="215">
        <v>7.556</v>
      </c>
      <c r="AO25" s="213">
        <v>0</v>
      </c>
      <c r="AP25" s="213">
        <v>0</v>
      </c>
      <c r="AQ25" s="213">
        <v>0.43317073170731712</v>
      </c>
      <c r="AR25" s="214">
        <v>0.43317073170731712</v>
      </c>
      <c r="AS25" s="213">
        <v>0</v>
      </c>
      <c r="AT25" s="213">
        <v>0</v>
      </c>
      <c r="AU25" s="213">
        <v>0.44400000000000001</v>
      </c>
      <c r="AV25" s="216">
        <v>0.44400000000000001</v>
      </c>
      <c r="AW25" s="215">
        <v>8</v>
      </c>
      <c r="AX25" s="591" t="s">
        <v>238</v>
      </c>
      <c r="AY25" s="592">
        <v>0.08</v>
      </c>
      <c r="AZ25" s="593">
        <v>7.2000000000000008E-2</v>
      </c>
      <c r="BA25" s="593">
        <v>6.6400000000000001E-2</v>
      </c>
      <c r="BB25" s="220"/>
      <c r="BC25" s="594">
        <v>7.2000000000000008E-2</v>
      </c>
      <c r="BD25" s="595">
        <v>0.03</v>
      </c>
      <c r="BE25" s="595">
        <v>3.4000000000000016E-2</v>
      </c>
      <c r="BF25" s="596">
        <v>0.08</v>
      </c>
      <c r="BG25" s="594">
        <v>6.6400000000000001E-2</v>
      </c>
      <c r="BH25" s="595">
        <v>0.02</v>
      </c>
      <c r="BI25" s="595">
        <v>3.2800000000000003E-2</v>
      </c>
      <c r="BJ25" s="596">
        <v>0.08</v>
      </c>
      <c r="BK25" s="594">
        <v>6.6400000000000001E-2</v>
      </c>
      <c r="BL25" s="595">
        <v>0.02</v>
      </c>
      <c r="BM25" s="595">
        <v>3.2800000000000003E-2</v>
      </c>
      <c r="BN25" s="596">
        <v>0.08</v>
      </c>
      <c r="BO25" s="594">
        <v>6.6409999999999997E-2</v>
      </c>
      <c r="BP25" s="595">
        <v>3.3333333333333333E-2</v>
      </c>
      <c r="BQ25" s="595">
        <v>5.4699999999999999E-2</v>
      </c>
      <c r="BR25" s="596">
        <v>0.08</v>
      </c>
      <c r="BS25" s="594">
        <v>6.6400000000000001E-2</v>
      </c>
      <c r="BT25" s="595">
        <v>0.04</v>
      </c>
      <c r="BU25" s="595">
        <v>6.5600000000000006E-2</v>
      </c>
      <c r="BV25" s="578">
        <v>0.08</v>
      </c>
      <c r="BW25" s="597">
        <f t="shared" si="1"/>
        <v>6.6400000000000001E-2</v>
      </c>
      <c r="BX25" s="598"/>
      <c r="BY25" s="149"/>
      <c r="BZ25" s="149"/>
      <c r="CA25" s="149">
        <f>(BM25+BL25)*50%+4%</f>
        <v>6.6400000000000001E-2</v>
      </c>
      <c r="CB25" s="149"/>
      <c r="CC25" s="149"/>
      <c r="CD25" s="149"/>
      <c r="CE25" s="150">
        <f t="shared" si="2"/>
        <v>6.6409999999999997E-2</v>
      </c>
      <c r="CF25" s="178"/>
      <c r="CG25" s="178"/>
      <c r="CH25" s="178"/>
      <c r="CI25" s="150">
        <f t="shared" si="3"/>
        <v>6.6400000000000001E-2</v>
      </c>
    </row>
    <row r="26" spans="1:87" s="113" customFormat="1" ht="34.5" customHeight="1" thickBot="1" x14ac:dyDescent="0.35">
      <c r="A26" s="599"/>
      <c r="B26" s="599"/>
      <c r="C26" s="599"/>
      <c r="D26" s="599"/>
      <c r="E26" s="600"/>
      <c r="F26" s="601"/>
      <c r="G26" s="599"/>
      <c r="H26" s="602"/>
      <c r="I26" s="602"/>
      <c r="J26" s="603"/>
      <c r="K26" s="603"/>
      <c r="L26" s="603"/>
      <c r="M26" s="603"/>
      <c r="N26" s="603"/>
      <c r="O26" s="600"/>
      <c r="P26" s="604"/>
      <c r="Q26" s="604"/>
      <c r="R26" s="605"/>
      <c r="S26" s="600"/>
      <c r="T26" s="599"/>
      <c r="U26" s="600"/>
      <c r="V26" s="600"/>
      <c r="W26" s="600"/>
      <c r="X26" s="606"/>
      <c r="Y26" s="599"/>
      <c r="Z26" s="599"/>
      <c r="AA26" s="607"/>
      <c r="AB26" s="600"/>
      <c r="AC26" s="608"/>
      <c r="AD26" s="608"/>
      <c r="AE26" s="609"/>
      <c r="AF26" s="609"/>
      <c r="AG26" s="609"/>
      <c r="AH26" s="609"/>
      <c r="AI26" s="609"/>
      <c r="AJ26" s="610"/>
      <c r="AK26" s="610"/>
      <c r="AL26" s="611"/>
      <c r="AM26" s="612"/>
      <c r="AN26" s="610"/>
      <c r="AO26" s="610"/>
      <c r="AP26" s="610"/>
      <c r="AQ26" s="613"/>
      <c r="AR26" s="613"/>
      <c r="AS26" s="613"/>
      <c r="AT26" s="610"/>
      <c r="AU26" s="610"/>
      <c r="AV26" s="610"/>
      <c r="AW26" s="610"/>
      <c r="AX26" s="614"/>
      <c r="AY26" s="603" t="s">
        <v>239</v>
      </c>
      <c r="AZ26" s="615" t="s">
        <v>133</v>
      </c>
      <c r="BA26" s="615"/>
      <c r="BB26" s="616"/>
      <c r="BC26" s="617" t="s">
        <v>240</v>
      </c>
      <c r="BD26" s="618" t="s">
        <v>241</v>
      </c>
      <c r="BE26" s="618" t="s">
        <v>242</v>
      </c>
      <c r="BF26" s="619" t="s">
        <v>239</v>
      </c>
      <c r="BG26" s="619"/>
      <c r="BH26" s="618"/>
      <c r="BI26" s="618"/>
      <c r="BJ26" s="619"/>
      <c r="BK26" s="619"/>
      <c r="BL26" s="618"/>
      <c r="BM26" s="618"/>
      <c r="BN26" s="619"/>
      <c r="BO26" s="619" t="s">
        <v>240</v>
      </c>
      <c r="BP26" s="618" t="s">
        <v>241</v>
      </c>
      <c r="BQ26" s="618" t="s">
        <v>242</v>
      </c>
      <c r="BR26" s="619" t="s">
        <v>239</v>
      </c>
      <c r="BS26" s="619"/>
      <c r="BT26" s="618"/>
      <c r="BU26" s="618"/>
      <c r="BV26" s="620" t="s">
        <v>239</v>
      </c>
      <c r="BW26" s="621" t="s">
        <v>243</v>
      </c>
      <c r="BX26" s="622" t="s">
        <v>244</v>
      </c>
      <c r="BY26" s="623"/>
      <c r="BZ26" s="623"/>
      <c r="CA26" s="623"/>
      <c r="CB26" s="623"/>
      <c r="CC26" s="623"/>
      <c r="CD26" s="623"/>
      <c r="CE26" s="624"/>
      <c r="CF26" s="625"/>
      <c r="CG26" s="625"/>
      <c r="CH26" s="625"/>
      <c r="CI26" s="624"/>
    </row>
    <row r="27" spans="1:87" s="94" customFormat="1" ht="108.75" customHeight="1" x14ac:dyDescent="0.3">
      <c r="A27" s="114" t="s">
        <v>136</v>
      </c>
      <c r="B27" s="626" t="s">
        <v>245</v>
      </c>
      <c r="C27" s="2286" t="s">
        <v>138</v>
      </c>
      <c r="D27" s="627" t="s">
        <v>246</v>
      </c>
      <c r="E27" s="628" t="s">
        <v>247</v>
      </c>
      <c r="F27" s="629" t="s">
        <v>248</v>
      </c>
      <c r="G27" s="630" t="s">
        <v>249</v>
      </c>
      <c r="H27" s="631" t="s">
        <v>250</v>
      </c>
      <c r="I27" s="631" t="s">
        <v>251</v>
      </c>
      <c r="J27" s="632">
        <v>4.4999999999999998E-2</v>
      </c>
      <c r="K27" s="633">
        <v>2.6999999999999996E-2</v>
      </c>
      <c r="L27" s="633">
        <v>1.7999999999999999E-2</v>
      </c>
      <c r="M27" s="634">
        <v>0</v>
      </c>
      <c r="N27" s="634">
        <v>2.5000000000000001E-2</v>
      </c>
      <c r="O27" s="633" t="s">
        <v>252</v>
      </c>
      <c r="P27" s="635">
        <v>0.43</v>
      </c>
      <c r="Q27" s="632">
        <v>0.15</v>
      </c>
      <c r="R27" s="636" t="s">
        <v>253</v>
      </c>
      <c r="S27" s="637" t="s">
        <v>206</v>
      </c>
      <c r="T27" s="638" t="s">
        <v>254</v>
      </c>
      <c r="U27" s="637" t="s">
        <v>255</v>
      </c>
      <c r="V27" s="639" t="s">
        <v>148</v>
      </c>
      <c r="W27" s="639" t="s">
        <v>256</v>
      </c>
      <c r="X27" s="640">
        <v>18</v>
      </c>
      <c r="Y27" s="640">
        <v>65</v>
      </c>
      <c r="Z27" s="640">
        <v>70</v>
      </c>
      <c r="AA27" s="641">
        <v>100000</v>
      </c>
      <c r="AB27" s="637" t="s">
        <v>257</v>
      </c>
      <c r="AC27" s="642">
        <v>25</v>
      </c>
      <c r="AD27" s="643">
        <v>25</v>
      </c>
      <c r="AE27" s="644">
        <v>50</v>
      </c>
      <c r="AF27" s="645">
        <v>7.5</v>
      </c>
      <c r="AG27" s="646">
        <v>17.5</v>
      </c>
      <c r="AH27" s="645">
        <v>7.5</v>
      </c>
      <c r="AI27" s="646">
        <v>17.5</v>
      </c>
      <c r="AJ27" s="647">
        <v>1.6469999999999999E-2</v>
      </c>
      <c r="AK27" s="648">
        <v>1.0529999999999999E-2</v>
      </c>
      <c r="AL27" s="649">
        <v>0</v>
      </c>
      <c r="AM27" s="650">
        <v>2.6999999999999996E-2</v>
      </c>
      <c r="AN27" s="651">
        <v>2.6999999999999996E-2</v>
      </c>
      <c r="AO27" s="647">
        <v>0</v>
      </c>
      <c r="AP27" s="648">
        <v>1.7560975609756096E-2</v>
      </c>
      <c r="AQ27" s="649">
        <v>0</v>
      </c>
      <c r="AR27" s="650">
        <v>1.7560975609756096E-2</v>
      </c>
      <c r="AS27" s="652">
        <v>0</v>
      </c>
      <c r="AT27" s="652">
        <v>1.7999999999999999E-2</v>
      </c>
      <c r="AU27" s="652">
        <v>0</v>
      </c>
      <c r="AV27" s="653">
        <v>1.7999999999999999E-2</v>
      </c>
      <c r="AW27" s="651">
        <v>4.4999999999999991E-2</v>
      </c>
      <c r="AX27" s="654" t="s">
        <v>258</v>
      </c>
      <c r="AY27" s="655">
        <v>8.4999999999999992E-2</v>
      </c>
      <c r="AZ27" s="656">
        <v>0</v>
      </c>
      <c r="BA27" s="656">
        <v>6.6500000000000004E-2</v>
      </c>
      <c r="BB27" s="657"/>
      <c r="BC27" s="658"/>
      <c r="BD27" s="659"/>
      <c r="BE27" s="660"/>
      <c r="BF27" s="661">
        <v>8.4999999999999992E-2</v>
      </c>
      <c r="BG27" s="662"/>
      <c r="BH27" s="658"/>
      <c r="BI27" s="658"/>
      <c r="BJ27" s="663"/>
      <c r="BK27" s="658"/>
      <c r="BL27" s="658"/>
      <c r="BM27" s="658"/>
      <c r="BN27" s="663"/>
      <c r="BO27" s="664">
        <v>6.6500000000000004E-2</v>
      </c>
      <c r="BP27" s="665">
        <v>3.3333333333333333E-2</v>
      </c>
      <c r="BQ27" s="666">
        <v>7.1333333333333318E-2</v>
      </c>
      <c r="BR27" s="667">
        <v>8.4999999999999992E-2</v>
      </c>
      <c r="BS27" s="664">
        <v>6.6500000000000004E-2</v>
      </c>
      <c r="BT27" s="665">
        <v>0.04</v>
      </c>
      <c r="BU27" s="668">
        <v>8.5599999999999982E-2</v>
      </c>
      <c r="BV27" s="669">
        <v>8.4999999999999992E-2</v>
      </c>
      <c r="BW27" s="670">
        <v>1.7999999999999999E-2</v>
      </c>
      <c r="BX27" s="671">
        <v>6.699999999999999E-2</v>
      </c>
    </row>
    <row r="28" spans="1:87" s="94" customFormat="1" ht="108.75" customHeight="1" x14ac:dyDescent="0.3">
      <c r="A28" s="151" t="s">
        <v>136</v>
      </c>
      <c r="B28" s="672" t="s">
        <v>245</v>
      </c>
      <c r="C28" s="2286"/>
      <c r="D28" s="673" t="s">
        <v>259</v>
      </c>
      <c r="E28" s="674" t="s">
        <v>260</v>
      </c>
      <c r="F28" s="675" t="s">
        <v>261</v>
      </c>
      <c r="G28" s="676" t="s">
        <v>262</v>
      </c>
      <c r="H28" s="677" t="s">
        <v>263</v>
      </c>
      <c r="I28" s="677" t="s">
        <v>264</v>
      </c>
      <c r="J28" s="678">
        <v>4.4999999999999998E-2</v>
      </c>
      <c r="K28" s="679">
        <v>2.988E-2</v>
      </c>
      <c r="L28" s="679">
        <v>1.5120000000000003E-2</v>
      </c>
      <c r="M28" s="680">
        <v>0</v>
      </c>
      <c r="N28" s="681">
        <v>2.5000000000000001E-2</v>
      </c>
      <c r="O28" s="679" t="s">
        <v>252</v>
      </c>
      <c r="P28" s="682">
        <v>0.43</v>
      </c>
      <c r="Q28" s="678">
        <v>0.15</v>
      </c>
      <c r="R28" s="683" t="s">
        <v>145</v>
      </c>
      <c r="S28" s="684" t="s">
        <v>206</v>
      </c>
      <c r="T28" s="685" t="s">
        <v>254</v>
      </c>
      <c r="U28" s="686" t="s">
        <v>255</v>
      </c>
      <c r="V28" s="687" t="s">
        <v>148</v>
      </c>
      <c r="W28" s="687" t="s">
        <v>149</v>
      </c>
      <c r="X28" s="688">
        <v>18</v>
      </c>
      <c r="Y28" s="688">
        <v>65</v>
      </c>
      <c r="Z28" s="688">
        <v>70</v>
      </c>
      <c r="AA28" s="689">
        <v>100000</v>
      </c>
      <c r="AB28" s="686" t="s">
        <v>265</v>
      </c>
      <c r="AC28" s="690">
        <v>25</v>
      </c>
      <c r="AD28" s="691">
        <v>25</v>
      </c>
      <c r="AE28" s="692">
        <v>50</v>
      </c>
      <c r="AF28" s="693">
        <v>7.5</v>
      </c>
      <c r="AG28" s="694">
        <v>17.5</v>
      </c>
      <c r="AH28" s="693">
        <v>7.5</v>
      </c>
      <c r="AI28" s="694">
        <v>17.5</v>
      </c>
      <c r="AJ28" s="647">
        <v>1.7330399999999999E-2</v>
      </c>
      <c r="AK28" s="648">
        <v>9.8604000000000018E-3</v>
      </c>
      <c r="AL28" s="649">
        <v>2.6892000000000001E-3</v>
      </c>
      <c r="AM28" s="650">
        <v>2.988E-2</v>
      </c>
      <c r="AN28" s="651">
        <v>2.988E-2</v>
      </c>
      <c r="AO28" s="647">
        <v>1.4751219512195126E-2</v>
      </c>
      <c r="AP28" s="648">
        <v>0</v>
      </c>
      <c r="AQ28" s="649">
        <v>0</v>
      </c>
      <c r="AR28" s="650">
        <v>1.4751219512195126E-2</v>
      </c>
      <c r="AS28" s="652">
        <v>1.5120000000000003E-2</v>
      </c>
      <c r="AT28" s="652">
        <v>0</v>
      </c>
      <c r="AU28" s="652">
        <v>0</v>
      </c>
      <c r="AV28" s="653">
        <v>1.5120000000000003E-2</v>
      </c>
      <c r="AW28" s="651">
        <v>4.5000000000000005E-2</v>
      </c>
      <c r="AX28" s="695" t="s">
        <v>266</v>
      </c>
      <c r="AY28" s="696">
        <v>8.4999999999999992E-2</v>
      </c>
      <c r="AZ28" s="697">
        <v>0</v>
      </c>
      <c r="BA28" s="698">
        <v>6.6500000000000004E-2</v>
      </c>
      <c r="BB28" s="657"/>
      <c r="BC28" s="699"/>
      <c r="BD28" s="700"/>
      <c r="BE28" s="701"/>
      <c r="BF28" s="702">
        <v>8.4999999999999992E-2</v>
      </c>
      <c r="BG28" s="703"/>
      <c r="BH28" s="699"/>
      <c r="BI28" s="699"/>
      <c r="BJ28" s="704"/>
      <c r="BK28" s="699"/>
      <c r="BL28" s="699"/>
      <c r="BM28" s="699"/>
      <c r="BN28" s="704"/>
      <c r="BO28" s="705">
        <v>6.6500000000000004E-2</v>
      </c>
      <c r="BP28" s="706">
        <v>3.3333333333333333E-2</v>
      </c>
      <c r="BQ28" s="707">
        <v>7.1333333333333318E-2</v>
      </c>
      <c r="BR28" s="708">
        <v>8.4999999999999992E-2</v>
      </c>
      <c r="BS28" s="705">
        <v>6.6500000000000004E-2</v>
      </c>
      <c r="BT28" s="706">
        <v>0.04</v>
      </c>
      <c r="BU28" s="709">
        <v>8.5599999999999982E-2</v>
      </c>
      <c r="BV28" s="710">
        <v>8.4999999999999992E-2</v>
      </c>
      <c r="BW28" s="711">
        <v>1.7999999999999999E-2</v>
      </c>
      <c r="BX28" s="712">
        <v>6.699999999999999E-2</v>
      </c>
    </row>
    <row r="29" spans="1:87" s="94" customFormat="1" ht="108.75" customHeight="1" x14ac:dyDescent="0.3">
      <c r="A29" s="151" t="s">
        <v>136</v>
      </c>
      <c r="B29" s="672" t="s">
        <v>245</v>
      </c>
      <c r="C29" s="2286"/>
      <c r="D29" s="713" t="s">
        <v>267</v>
      </c>
      <c r="E29" s="714" t="s">
        <v>268</v>
      </c>
      <c r="F29" s="715" t="s">
        <v>269</v>
      </c>
      <c r="G29" s="716" t="s">
        <v>249</v>
      </c>
      <c r="H29" s="717" t="s">
        <v>250</v>
      </c>
      <c r="I29" s="717" t="s">
        <v>251</v>
      </c>
      <c r="J29" s="718">
        <v>0.06</v>
      </c>
      <c r="K29" s="719">
        <v>3.5999999999999997E-2</v>
      </c>
      <c r="L29" s="719">
        <v>2.3999999999999997E-2</v>
      </c>
      <c r="M29" s="720">
        <v>0</v>
      </c>
      <c r="N29" s="721">
        <v>2.5000000000000001E-2</v>
      </c>
      <c r="O29" s="719" t="s">
        <v>252</v>
      </c>
      <c r="P29" s="722">
        <v>0.43</v>
      </c>
      <c r="Q29" s="718">
        <v>0.15</v>
      </c>
      <c r="R29" s="723" t="s">
        <v>145</v>
      </c>
      <c r="S29" s="724" t="s">
        <v>270</v>
      </c>
      <c r="T29" s="685" t="s">
        <v>254</v>
      </c>
      <c r="U29" s="725" t="s">
        <v>255</v>
      </c>
      <c r="V29" s="726" t="s">
        <v>148</v>
      </c>
      <c r="W29" s="726" t="s">
        <v>256</v>
      </c>
      <c r="X29" s="727">
        <v>18</v>
      </c>
      <c r="Y29" s="727">
        <v>65</v>
      </c>
      <c r="Z29" s="727">
        <v>70</v>
      </c>
      <c r="AA29" s="728">
        <v>100000</v>
      </c>
      <c r="AB29" s="725" t="s">
        <v>257</v>
      </c>
      <c r="AC29" s="729">
        <v>25</v>
      </c>
      <c r="AD29" s="730">
        <v>25</v>
      </c>
      <c r="AE29" s="731">
        <v>50</v>
      </c>
      <c r="AF29" s="732">
        <v>7.5</v>
      </c>
      <c r="AG29" s="733">
        <v>17.5</v>
      </c>
      <c r="AH29" s="732">
        <v>7.5</v>
      </c>
      <c r="AI29" s="733">
        <v>17.5</v>
      </c>
      <c r="AJ29" s="647">
        <v>2.1959999999999997E-2</v>
      </c>
      <c r="AK29" s="648">
        <v>1.4039999999999999E-2</v>
      </c>
      <c r="AL29" s="649">
        <v>0</v>
      </c>
      <c r="AM29" s="650">
        <v>3.5999999999999997E-2</v>
      </c>
      <c r="AN29" s="651">
        <v>3.5999999999999997E-2</v>
      </c>
      <c r="AO29" s="647">
        <v>0</v>
      </c>
      <c r="AP29" s="648">
        <v>2.3414634146341463E-2</v>
      </c>
      <c r="AQ29" s="649">
        <v>0</v>
      </c>
      <c r="AR29" s="650">
        <v>2.3414634146341463E-2</v>
      </c>
      <c r="AS29" s="652">
        <v>0</v>
      </c>
      <c r="AT29" s="652">
        <v>2.3999999999999997E-2</v>
      </c>
      <c r="AU29" s="652">
        <v>0</v>
      </c>
      <c r="AV29" s="653">
        <v>2.3999999999999997E-2</v>
      </c>
      <c r="AW29" s="651">
        <v>0.06</v>
      </c>
      <c r="AX29" s="654" t="s">
        <v>271</v>
      </c>
      <c r="AY29" s="655">
        <v>7.3700000000000002E-2</v>
      </c>
      <c r="AZ29" s="734">
        <v>0</v>
      </c>
      <c r="BA29" s="656">
        <v>5.5199999999999999E-2</v>
      </c>
      <c r="BB29" s="657"/>
      <c r="BC29" s="735"/>
      <c r="BD29" s="736"/>
      <c r="BE29" s="737"/>
      <c r="BF29" s="738">
        <v>7.3700000000000002E-2</v>
      </c>
      <c r="BG29" s="735"/>
      <c r="BH29" s="735"/>
      <c r="BI29" s="735"/>
      <c r="BJ29" s="739"/>
      <c r="BK29" s="735"/>
      <c r="BL29" s="735"/>
      <c r="BM29" s="735"/>
      <c r="BN29" s="739"/>
      <c r="BO29" s="740">
        <v>5.5199999999999999E-2</v>
      </c>
      <c r="BP29" s="741">
        <v>3.3333333333333333E-2</v>
      </c>
      <c r="BQ29" s="742">
        <v>3.3666666666666664E-2</v>
      </c>
      <c r="BR29" s="738">
        <v>7.3700000000000002E-2</v>
      </c>
      <c r="BS29" s="740">
        <v>5.5199999999999999E-2</v>
      </c>
      <c r="BT29" s="741">
        <v>0.04</v>
      </c>
      <c r="BU29" s="743">
        <v>4.0399999999999998E-2</v>
      </c>
      <c r="BV29" s="744">
        <v>7.3700000000000002E-2</v>
      </c>
      <c r="BW29" s="745">
        <v>1.7999999999999999E-2</v>
      </c>
      <c r="BX29" s="746">
        <v>5.5700000000000006E-2</v>
      </c>
    </row>
    <row r="30" spans="1:87" s="94" customFormat="1" ht="108.75" customHeight="1" x14ac:dyDescent="0.3">
      <c r="A30" s="151" t="s">
        <v>136</v>
      </c>
      <c r="B30" s="672" t="s">
        <v>245</v>
      </c>
      <c r="C30" s="2286"/>
      <c r="D30" s="673" t="s">
        <v>272</v>
      </c>
      <c r="E30" s="747" t="s">
        <v>273</v>
      </c>
      <c r="F30" s="748" t="s">
        <v>274</v>
      </c>
      <c r="G30" s="749" t="s">
        <v>262</v>
      </c>
      <c r="H30" s="677" t="s">
        <v>263</v>
      </c>
      <c r="I30" s="677" t="s">
        <v>264</v>
      </c>
      <c r="J30" s="750">
        <v>0.06</v>
      </c>
      <c r="K30" s="751">
        <v>3.984E-2</v>
      </c>
      <c r="L30" s="751">
        <v>2.0160000000000001E-2</v>
      </c>
      <c r="M30" s="752">
        <v>0</v>
      </c>
      <c r="N30" s="753">
        <v>2.5000000000000001E-2</v>
      </c>
      <c r="O30" s="751" t="s">
        <v>252</v>
      </c>
      <c r="P30" s="754">
        <v>0.43</v>
      </c>
      <c r="Q30" s="750">
        <v>0.15</v>
      </c>
      <c r="R30" s="755" t="s">
        <v>145</v>
      </c>
      <c r="S30" s="756" t="s">
        <v>270</v>
      </c>
      <c r="T30" s="685" t="s">
        <v>254</v>
      </c>
      <c r="U30" s="686" t="s">
        <v>255</v>
      </c>
      <c r="V30" s="687" t="s">
        <v>148</v>
      </c>
      <c r="W30" s="687" t="s">
        <v>149</v>
      </c>
      <c r="X30" s="688">
        <v>18</v>
      </c>
      <c r="Y30" s="688">
        <v>65</v>
      </c>
      <c r="Z30" s="688">
        <v>70</v>
      </c>
      <c r="AA30" s="689">
        <v>100000</v>
      </c>
      <c r="AB30" s="686" t="s">
        <v>265</v>
      </c>
      <c r="AC30" s="690">
        <v>25</v>
      </c>
      <c r="AD30" s="691">
        <v>25</v>
      </c>
      <c r="AE30" s="692">
        <v>50</v>
      </c>
      <c r="AF30" s="693">
        <v>7.5</v>
      </c>
      <c r="AG30" s="694">
        <v>17.5</v>
      </c>
      <c r="AH30" s="693">
        <v>7.5</v>
      </c>
      <c r="AI30" s="694">
        <v>17.5</v>
      </c>
      <c r="AJ30" s="647">
        <v>2.3107199999999998E-2</v>
      </c>
      <c r="AK30" s="648">
        <v>1.3147200000000001E-2</v>
      </c>
      <c r="AL30" s="649">
        <v>3.5856E-3</v>
      </c>
      <c r="AM30" s="650">
        <v>3.984E-2</v>
      </c>
      <c r="AN30" s="651">
        <v>3.984E-2</v>
      </c>
      <c r="AO30" s="647">
        <v>1.966829268292683E-2</v>
      </c>
      <c r="AP30" s="648">
        <v>0</v>
      </c>
      <c r="AQ30" s="649">
        <v>0</v>
      </c>
      <c r="AR30" s="650">
        <v>1.966829268292683E-2</v>
      </c>
      <c r="AS30" s="652">
        <v>2.0160000000000001E-2</v>
      </c>
      <c r="AT30" s="652">
        <v>0</v>
      </c>
      <c r="AU30" s="652">
        <v>0</v>
      </c>
      <c r="AV30" s="653">
        <v>2.0160000000000001E-2</v>
      </c>
      <c r="AW30" s="651">
        <v>0.06</v>
      </c>
      <c r="AX30" s="695" t="s">
        <v>275</v>
      </c>
      <c r="AY30" s="696">
        <v>7.3700000000000002E-2</v>
      </c>
      <c r="AZ30" s="697">
        <v>0</v>
      </c>
      <c r="BA30" s="698">
        <v>5.5199999999999999E-2</v>
      </c>
      <c r="BB30" s="657"/>
      <c r="BC30" s="699"/>
      <c r="BD30" s="700"/>
      <c r="BE30" s="701"/>
      <c r="BF30" s="708">
        <v>7.3700000000000002E-2</v>
      </c>
      <c r="BG30" s="699"/>
      <c r="BH30" s="699"/>
      <c r="BI30" s="699"/>
      <c r="BJ30" s="704"/>
      <c r="BK30" s="699"/>
      <c r="BL30" s="699"/>
      <c r="BM30" s="699"/>
      <c r="BN30" s="704"/>
      <c r="BO30" s="705">
        <v>5.5199999999999999E-2</v>
      </c>
      <c r="BP30" s="706">
        <v>3.3333333333333333E-2</v>
      </c>
      <c r="BQ30" s="707">
        <v>3.3666666666666664E-2</v>
      </c>
      <c r="BR30" s="708">
        <v>7.3700000000000002E-2</v>
      </c>
      <c r="BS30" s="705">
        <v>5.5199999999999999E-2</v>
      </c>
      <c r="BT30" s="706">
        <v>0.04</v>
      </c>
      <c r="BU30" s="709">
        <v>4.0399999999999998E-2</v>
      </c>
      <c r="BV30" s="710">
        <v>7.3700000000000002E-2</v>
      </c>
      <c r="BW30" s="711">
        <v>1.7999999999999999E-2</v>
      </c>
      <c r="BX30" s="712">
        <v>5.5700000000000006E-2</v>
      </c>
    </row>
    <row r="31" spans="1:87" s="94" customFormat="1" ht="108.75" customHeight="1" x14ac:dyDescent="0.3">
      <c r="A31" s="151" t="s">
        <v>136</v>
      </c>
      <c r="B31" s="672" t="s">
        <v>245</v>
      </c>
      <c r="C31" s="2286"/>
      <c r="D31" s="713" t="s">
        <v>276</v>
      </c>
      <c r="E31" s="714" t="s">
        <v>277</v>
      </c>
      <c r="F31" s="715" t="s">
        <v>278</v>
      </c>
      <c r="G31" s="716" t="s">
        <v>249</v>
      </c>
      <c r="H31" s="717" t="s">
        <v>250</v>
      </c>
      <c r="I31" s="717" t="s">
        <v>251</v>
      </c>
      <c r="J31" s="718">
        <v>0.08</v>
      </c>
      <c r="K31" s="719">
        <v>4.8000000000000001E-2</v>
      </c>
      <c r="L31" s="719">
        <v>3.2000000000000001E-2</v>
      </c>
      <c r="M31" s="720">
        <v>0</v>
      </c>
      <c r="N31" s="721">
        <v>2.5000000000000001E-2</v>
      </c>
      <c r="O31" s="719" t="s">
        <v>252</v>
      </c>
      <c r="P31" s="722">
        <v>0.43</v>
      </c>
      <c r="Q31" s="718">
        <v>0.15</v>
      </c>
      <c r="R31" s="723" t="s">
        <v>145</v>
      </c>
      <c r="S31" s="724" t="s">
        <v>279</v>
      </c>
      <c r="T31" s="685" t="s">
        <v>254</v>
      </c>
      <c r="U31" s="725" t="s">
        <v>255</v>
      </c>
      <c r="V31" s="726" t="s">
        <v>148</v>
      </c>
      <c r="W31" s="726" t="s">
        <v>256</v>
      </c>
      <c r="X31" s="727">
        <v>18</v>
      </c>
      <c r="Y31" s="727">
        <v>65</v>
      </c>
      <c r="Z31" s="727">
        <v>70</v>
      </c>
      <c r="AA31" s="728">
        <v>100000</v>
      </c>
      <c r="AB31" s="725" t="s">
        <v>257</v>
      </c>
      <c r="AC31" s="729">
        <v>25</v>
      </c>
      <c r="AD31" s="730">
        <v>25</v>
      </c>
      <c r="AE31" s="731">
        <v>50</v>
      </c>
      <c r="AF31" s="732">
        <v>7.5</v>
      </c>
      <c r="AG31" s="733">
        <v>17.5</v>
      </c>
      <c r="AH31" s="732">
        <v>7.5</v>
      </c>
      <c r="AI31" s="733">
        <v>17.5</v>
      </c>
      <c r="AJ31" s="647">
        <v>2.9279999999999997E-2</v>
      </c>
      <c r="AK31" s="648">
        <v>1.8720000000000001E-2</v>
      </c>
      <c r="AL31" s="649">
        <v>0</v>
      </c>
      <c r="AM31" s="650">
        <v>4.8000000000000001E-2</v>
      </c>
      <c r="AN31" s="651">
        <v>4.8000000000000001E-2</v>
      </c>
      <c r="AO31" s="647">
        <v>0</v>
      </c>
      <c r="AP31" s="648">
        <v>3.1219512195121958E-2</v>
      </c>
      <c r="AQ31" s="649">
        <v>0</v>
      </c>
      <c r="AR31" s="650">
        <v>3.1219512195121958E-2</v>
      </c>
      <c r="AS31" s="652">
        <v>0</v>
      </c>
      <c r="AT31" s="652">
        <v>3.2000000000000001E-2</v>
      </c>
      <c r="AU31" s="652">
        <v>0</v>
      </c>
      <c r="AV31" s="653">
        <v>3.2000000000000001E-2</v>
      </c>
      <c r="AW31" s="651">
        <v>8.0000000000000016E-2</v>
      </c>
      <c r="AX31" s="654" t="s">
        <v>280</v>
      </c>
      <c r="AY31" s="655">
        <v>6.6000000000000003E-2</v>
      </c>
      <c r="AZ31" s="734">
        <v>0</v>
      </c>
      <c r="BA31" s="656">
        <v>4.7500000000000001E-2</v>
      </c>
      <c r="BB31" s="657"/>
      <c r="BC31" s="735"/>
      <c r="BD31" s="736"/>
      <c r="BE31" s="737"/>
      <c r="BF31" s="738">
        <v>6.6000000000000003E-2</v>
      </c>
      <c r="BG31" s="735"/>
      <c r="BH31" s="735"/>
      <c r="BI31" s="735"/>
      <c r="BJ31" s="739"/>
      <c r="BK31" s="735"/>
      <c r="BL31" s="735"/>
      <c r="BM31" s="735"/>
      <c r="BN31" s="739"/>
      <c r="BO31" s="740">
        <v>4.7500000000000001E-2</v>
      </c>
      <c r="BP31" s="741">
        <v>3.3333333333333333E-2</v>
      </c>
      <c r="BQ31" s="742">
        <v>7.9999999999999932E-3</v>
      </c>
      <c r="BR31" s="738">
        <v>6.6000000000000003E-2</v>
      </c>
      <c r="BS31" s="740">
        <v>4.7500000000000001E-2</v>
      </c>
      <c r="BT31" s="741">
        <v>0.04</v>
      </c>
      <c r="BU31" s="743">
        <v>9.5999999999999905E-3</v>
      </c>
      <c r="BV31" s="744">
        <v>6.6000000000000003E-2</v>
      </c>
      <c r="BW31" s="745">
        <v>1.7999999999999999E-2</v>
      </c>
      <c r="BX31" s="746">
        <v>4.8000000000000001E-2</v>
      </c>
    </row>
    <row r="32" spans="1:87" s="94" customFormat="1" ht="108.75" customHeight="1" x14ac:dyDescent="0.3">
      <c r="A32" s="151" t="s">
        <v>136</v>
      </c>
      <c r="B32" s="672" t="s">
        <v>245</v>
      </c>
      <c r="C32" s="2286"/>
      <c r="D32" s="673" t="s">
        <v>281</v>
      </c>
      <c r="E32" s="747" t="s">
        <v>282</v>
      </c>
      <c r="F32" s="748" t="s">
        <v>283</v>
      </c>
      <c r="G32" s="749" t="s">
        <v>262</v>
      </c>
      <c r="H32" s="677" t="s">
        <v>263</v>
      </c>
      <c r="I32" s="677" t="s">
        <v>264</v>
      </c>
      <c r="J32" s="750">
        <v>0.08</v>
      </c>
      <c r="K32" s="751">
        <v>5.3120000000000001E-2</v>
      </c>
      <c r="L32" s="751">
        <v>2.6880000000000001E-2</v>
      </c>
      <c r="M32" s="752">
        <v>0</v>
      </c>
      <c r="N32" s="753">
        <v>2.5000000000000001E-2</v>
      </c>
      <c r="O32" s="751" t="s">
        <v>252</v>
      </c>
      <c r="P32" s="754">
        <v>0.43</v>
      </c>
      <c r="Q32" s="750">
        <v>0.15</v>
      </c>
      <c r="R32" s="755" t="s">
        <v>145</v>
      </c>
      <c r="S32" s="756" t="s">
        <v>279</v>
      </c>
      <c r="T32" s="685" t="s">
        <v>254</v>
      </c>
      <c r="U32" s="686" t="s">
        <v>255</v>
      </c>
      <c r="V32" s="687" t="s">
        <v>148</v>
      </c>
      <c r="W32" s="687" t="s">
        <v>149</v>
      </c>
      <c r="X32" s="688">
        <v>18</v>
      </c>
      <c r="Y32" s="688">
        <v>65</v>
      </c>
      <c r="Z32" s="688">
        <v>70</v>
      </c>
      <c r="AA32" s="689">
        <v>100000</v>
      </c>
      <c r="AB32" s="686" t="s">
        <v>265</v>
      </c>
      <c r="AC32" s="690">
        <v>25</v>
      </c>
      <c r="AD32" s="691">
        <v>25</v>
      </c>
      <c r="AE32" s="692">
        <v>50</v>
      </c>
      <c r="AF32" s="693">
        <v>7.5</v>
      </c>
      <c r="AG32" s="694">
        <v>17.5</v>
      </c>
      <c r="AH32" s="693">
        <v>7.5</v>
      </c>
      <c r="AI32" s="694">
        <v>17.5</v>
      </c>
      <c r="AJ32" s="647">
        <v>3.0809599999999999E-2</v>
      </c>
      <c r="AK32" s="648">
        <v>1.7529599999999999E-2</v>
      </c>
      <c r="AL32" s="649">
        <v>4.7808E-3</v>
      </c>
      <c r="AM32" s="650">
        <v>5.3120000000000001E-2</v>
      </c>
      <c r="AN32" s="651">
        <v>5.3120000000000001E-2</v>
      </c>
      <c r="AO32" s="647">
        <v>2.6224390243902444E-2</v>
      </c>
      <c r="AP32" s="648">
        <v>0</v>
      </c>
      <c r="AQ32" s="649">
        <v>0</v>
      </c>
      <c r="AR32" s="650">
        <v>2.6224390243902444E-2</v>
      </c>
      <c r="AS32" s="652">
        <v>2.6880000000000001E-2</v>
      </c>
      <c r="AT32" s="652">
        <v>0</v>
      </c>
      <c r="AU32" s="652">
        <v>0</v>
      </c>
      <c r="AV32" s="653">
        <v>2.6880000000000001E-2</v>
      </c>
      <c r="AW32" s="651">
        <v>0.08</v>
      </c>
      <c r="AX32" s="695" t="s">
        <v>284</v>
      </c>
      <c r="AY32" s="696">
        <v>6.6000000000000003E-2</v>
      </c>
      <c r="AZ32" s="697">
        <v>0</v>
      </c>
      <c r="BA32" s="698">
        <v>4.7500000000000001E-2</v>
      </c>
      <c r="BB32" s="657"/>
      <c r="BC32" s="699"/>
      <c r="BD32" s="700"/>
      <c r="BE32" s="701"/>
      <c r="BF32" s="708">
        <v>6.6000000000000003E-2</v>
      </c>
      <c r="BG32" s="699"/>
      <c r="BH32" s="699"/>
      <c r="BI32" s="699"/>
      <c r="BJ32" s="704"/>
      <c r="BK32" s="699"/>
      <c r="BL32" s="699"/>
      <c r="BM32" s="699"/>
      <c r="BN32" s="704"/>
      <c r="BO32" s="705">
        <v>4.7500000000000001E-2</v>
      </c>
      <c r="BP32" s="706">
        <v>3.3333333333333333E-2</v>
      </c>
      <c r="BQ32" s="707">
        <v>7.9999999999999932E-3</v>
      </c>
      <c r="BR32" s="708">
        <v>6.6000000000000003E-2</v>
      </c>
      <c r="BS32" s="705">
        <v>4.7500000000000001E-2</v>
      </c>
      <c r="BT32" s="706">
        <v>0.04</v>
      </c>
      <c r="BU32" s="709">
        <v>9.5999999999999905E-3</v>
      </c>
      <c r="BV32" s="757">
        <v>6.6000000000000003E-2</v>
      </c>
      <c r="BW32" s="758">
        <v>1.7999999999999999E-2</v>
      </c>
      <c r="BX32" s="759">
        <v>4.8000000000000001E-2</v>
      </c>
    </row>
    <row r="33" spans="1:76" s="94" customFormat="1" ht="108.75" customHeight="1" x14ac:dyDescent="0.3">
      <c r="A33" s="151" t="s">
        <v>136</v>
      </c>
      <c r="B33" s="672" t="s">
        <v>245</v>
      </c>
      <c r="C33" s="2286"/>
      <c r="D33" s="713" t="s">
        <v>285</v>
      </c>
      <c r="E33" s="714" t="s">
        <v>286</v>
      </c>
      <c r="F33" s="715" t="s">
        <v>287</v>
      </c>
      <c r="G33" s="716" t="s">
        <v>249</v>
      </c>
      <c r="H33" s="717" t="s">
        <v>250</v>
      </c>
      <c r="I33" s="717" t="s">
        <v>251</v>
      </c>
      <c r="J33" s="718">
        <v>0.1</v>
      </c>
      <c r="K33" s="719">
        <v>6.0000000000000012E-2</v>
      </c>
      <c r="L33" s="719">
        <v>4.0000000000000008E-2</v>
      </c>
      <c r="M33" s="720">
        <v>0</v>
      </c>
      <c r="N33" s="721">
        <v>2.5000000000000001E-2</v>
      </c>
      <c r="O33" s="719" t="s">
        <v>252</v>
      </c>
      <c r="P33" s="722">
        <v>0.43</v>
      </c>
      <c r="Q33" s="718">
        <v>0.15</v>
      </c>
      <c r="R33" s="723" t="s">
        <v>145</v>
      </c>
      <c r="S33" s="724" t="s">
        <v>288</v>
      </c>
      <c r="T33" s="685" t="s">
        <v>254</v>
      </c>
      <c r="U33" s="725" t="s">
        <v>255</v>
      </c>
      <c r="V33" s="726" t="s">
        <v>148</v>
      </c>
      <c r="W33" s="726" t="s">
        <v>256</v>
      </c>
      <c r="X33" s="727">
        <v>18</v>
      </c>
      <c r="Y33" s="727">
        <v>65</v>
      </c>
      <c r="Z33" s="727">
        <v>70</v>
      </c>
      <c r="AA33" s="728">
        <v>100000</v>
      </c>
      <c r="AB33" s="725" t="s">
        <v>257</v>
      </c>
      <c r="AC33" s="729">
        <v>25</v>
      </c>
      <c r="AD33" s="730">
        <v>25</v>
      </c>
      <c r="AE33" s="731">
        <v>50</v>
      </c>
      <c r="AF33" s="732">
        <v>7.5</v>
      </c>
      <c r="AG33" s="733">
        <v>17.5</v>
      </c>
      <c r="AH33" s="732">
        <v>7.5</v>
      </c>
      <c r="AI33" s="733">
        <v>17.5</v>
      </c>
      <c r="AJ33" s="647">
        <v>3.6600000000000008E-2</v>
      </c>
      <c r="AK33" s="648">
        <v>2.3400000000000008E-2</v>
      </c>
      <c r="AL33" s="649">
        <v>0</v>
      </c>
      <c r="AM33" s="650">
        <v>6.0000000000000012E-2</v>
      </c>
      <c r="AN33" s="651">
        <v>6.0000000000000012E-2</v>
      </c>
      <c r="AO33" s="647">
        <v>0</v>
      </c>
      <c r="AP33" s="648">
        <v>3.9024390243902453E-2</v>
      </c>
      <c r="AQ33" s="649">
        <v>0</v>
      </c>
      <c r="AR33" s="650">
        <v>3.9024390243902453E-2</v>
      </c>
      <c r="AS33" s="652">
        <v>0</v>
      </c>
      <c r="AT33" s="652">
        <v>4.0000000000000008E-2</v>
      </c>
      <c r="AU33" s="652">
        <v>0</v>
      </c>
      <c r="AV33" s="653">
        <v>4.0000000000000008E-2</v>
      </c>
      <c r="AW33" s="651">
        <v>0.10000000000000002</v>
      </c>
      <c r="AX33" s="654" t="s">
        <v>289</v>
      </c>
      <c r="AY33" s="655">
        <v>6.6000000000000003E-2</v>
      </c>
      <c r="AZ33" s="734">
        <v>0</v>
      </c>
      <c r="BA33" s="656">
        <v>4.7500000000000001E-2</v>
      </c>
      <c r="BB33" s="657"/>
      <c r="BC33" s="735"/>
      <c r="BD33" s="736"/>
      <c r="BE33" s="737"/>
      <c r="BF33" s="738">
        <v>6.6000000000000003E-2</v>
      </c>
      <c r="BG33" s="735"/>
      <c r="BH33" s="735"/>
      <c r="BI33" s="735"/>
      <c r="BJ33" s="739"/>
      <c r="BK33" s="735"/>
      <c r="BL33" s="735"/>
      <c r="BM33" s="735"/>
      <c r="BN33" s="739"/>
      <c r="BO33" s="740">
        <v>4.7500000000000001E-2</v>
      </c>
      <c r="BP33" s="741">
        <v>3.3333333333333333E-2</v>
      </c>
      <c r="BQ33" s="742">
        <v>7.9999999999999932E-3</v>
      </c>
      <c r="BR33" s="738">
        <v>6.6000000000000003E-2</v>
      </c>
      <c r="BS33" s="740">
        <v>4.7500000000000001E-2</v>
      </c>
      <c r="BT33" s="741">
        <v>0.04</v>
      </c>
      <c r="BU33" s="743">
        <v>9.5999999999999905E-3</v>
      </c>
      <c r="BV33" s="760">
        <v>6.6000000000000003E-2</v>
      </c>
      <c r="BW33" s="761">
        <v>1.7999999999999999E-2</v>
      </c>
      <c r="BX33" s="762">
        <v>4.8000000000000001E-2</v>
      </c>
    </row>
    <row r="34" spans="1:76" s="94" customFormat="1" ht="108.75" customHeight="1" thickBot="1" x14ac:dyDescent="0.35">
      <c r="A34" s="151" t="s">
        <v>136</v>
      </c>
      <c r="B34" s="672" t="s">
        <v>245</v>
      </c>
      <c r="C34" s="2287"/>
      <c r="D34" s="763" t="s">
        <v>290</v>
      </c>
      <c r="E34" s="764" t="s">
        <v>291</v>
      </c>
      <c r="F34" s="765" t="s">
        <v>292</v>
      </c>
      <c r="G34" s="766" t="s">
        <v>262</v>
      </c>
      <c r="H34" s="767" t="s">
        <v>263</v>
      </c>
      <c r="I34" s="768" t="s">
        <v>264</v>
      </c>
      <c r="J34" s="769">
        <v>0.1</v>
      </c>
      <c r="K34" s="770">
        <v>6.6400000000000001E-2</v>
      </c>
      <c r="L34" s="770">
        <v>3.3599999999999998E-2</v>
      </c>
      <c r="M34" s="771">
        <v>0</v>
      </c>
      <c r="N34" s="772">
        <v>2.5000000000000001E-2</v>
      </c>
      <c r="O34" s="770" t="s">
        <v>252</v>
      </c>
      <c r="P34" s="773">
        <v>0.43</v>
      </c>
      <c r="Q34" s="769">
        <v>0.15</v>
      </c>
      <c r="R34" s="774" t="s">
        <v>145</v>
      </c>
      <c r="S34" s="775" t="s">
        <v>288</v>
      </c>
      <c r="T34" s="776" t="s">
        <v>254</v>
      </c>
      <c r="U34" s="777" t="s">
        <v>255</v>
      </c>
      <c r="V34" s="778" t="s">
        <v>148</v>
      </c>
      <c r="W34" s="778" t="s">
        <v>149</v>
      </c>
      <c r="X34" s="779">
        <v>18</v>
      </c>
      <c r="Y34" s="779">
        <v>65</v>
      </c>
      <c r="Z34" s="779">
        <v>70</v>
      </c>
      <c r="AA34" s="780">
        <v>100000</v>
      </c>
      <c r="AB34" s="777" t="s">
        <v>265</v>
      </c>
      <c r="AC34" s="781">
        <v>25</v>
      </c>
      <c r="AD34" s="782">
        <v>25</v>
      </c>
      <c r="AE34" s="783">
        <v>50</v>
      </c>
      <c r="AF34" s="784">
        <v>7.5</v>
      </c>
      <c r="AG34" s="785">
        <v>17.5</v>
      </c>
      <c r="AH34" s="784">
        <v>7.5</v>
      </c>
      <c r="AI34" s="785">
        <v>17.5</v>
      </c>
      <c r="AJ34" s="786">
        <v>3.8511999999999998E-2</v>
      </c>
      <c r="AK34" s="787">
        <v>2.1912000000000001E-2</v>
      </c>
      <c r="AL34" s="788">
        <v>5.9759999999999995E-3</v>
      </c>
      <c r="AM34" s="789">
        <v>6.6400000000000001E-2</v>
      </c>
      <c r="AN34" s="790">
        <v>6.6400000000000001E-2</v>
      </c>
      <c r="AO34" s="786">
        <v>3.278048780487805E-2</v>
      </c>
      <c r="AP34" s="787">
        <v>0</v>
      </c>
      <c r="AQ34" s="788">
        <v>0</v>
      </c>
      <c r="AR34" s="789">
        <v>3.278048780487805E-2</v>
      </c>
      <c r="AS34" s="791">
        <v>3.3599999999999998E-2</v>
      </c>
      <c r="AT34" s="791">
        <v>0</v>
      </c>
      <c r="AU34" s="791">
        <v>0</v>
      </c>
      <c r="AV34" s="792">
        <v>3.3599999999999998E-2</v>
      </c>
      <c r="AW34" s="790">
        <v>0.1</v>
      </c>
      <c r="AX34" s="793" t="s">
        <v>293</v>
      </c>
      <c r="AY34" s="794">
        <v>6.6000000000000003E-2</v>
      </c>
      <c r="AZ34" s="795">
        <v>0</v>
      </c>
      <c r="BA34" s="796">
        <v>4.7500000000000001E-2</v>
      </c>
      <c r="BB34" s="797"/>
      <c r="BC34" s="798"/>
      <c r="BD34" s="799"/>
      <c r="BE34" s="800"/>
      <c r="BF34" s="801">
        <v>6.6000000000000003E-2</v>
      </c>
      <c r="BG34" s="798"/>
      <c r="BH34" s="798"/>
      <c r="BI34" s="798"/>
      <c r="BJ34" s="802"/>
      <c r="BK34" s="798"/>
      <c r="BL34" s="798"/>
      <c r="BM34" s="798"/>
      <c r="BN34" s="802"/>
      <c r="BO34" s="803">
        <v>4.7500000000000001E-2</v>
      </c>
      <c r="BP34" s="804">
        <v>3.3333333333333333E-2</v>
      </c>
      <c r="BQ34" s="805">
        <v>7.9999999999999932E-3</v>
      </c>
      <c r="BR34" s="801">
        <v>6.6000000000000003E-2</v>
      </c>
      <c r="BS34" s="803">
        <v>4.7500000000000001E-2</v>
      </c>
      <c r="BT34" s="804">
        <v>0.04</v>
      </c>
      <c r="BU34" s="806">
        <v>9.5999999999999905E-3</v>
      </c>
      <c r="BV34" s="807">
        <v>6.6000000000000003E-2</v>
      </c>
      <c r="BW34" s="808">
        <v>1.7999999999999999E-2</v>
      </c>
      <c r="BX34" s="809">
        <v>4.8000000000000001E-2</v>
      </c>
    </row>
    <row r="35" spans="1:76" s="94" customFormat="1" ht="108.75" customHeight="1" x14ac:dyDescent="0.3">
      <c r="A35" s="151" t="s">
        <v>136</v>
      </c>
      <c r="B35" s="672" t="s">
        <v>245</v>
      </c>
      <c r="C35" s="2288" t="s">
        <v>168</v>
      </c>
      <c r="D35" s="810" t="s">
        <v>294</v>
      </c>
      <c r="E35" s="811" t="s">
        <v>295</v>
      </c>
      <c r="F35" s="812" t="s">
        <v>296</v>
      </c>
      <c r="G35" s="813" t="s">
        <v>249</v>
      </c>
      <c r="H35" s="814" t="s">
        <v>250</v>
      </c>
      <c r="I35" s="815" t="s">
        <v>251</v>
      </c>
      <c r="J35" s="816">
        <v>4.4999999999999998E-2</v>
      </c>
      <c r="K35" s="817">
        <v>2.5874999999999995E-2</v>
      </c>
      <c r="L35" s="817">
        <v>1.9124999999999996E-2</v>
      </c>
      <c r="M35" s="818">
        <v>0</v>
      </c>
      <c r="N35" s="819">
        <v>2.5000000000000001E-2</v>
      </c>
      <c r="O35" s="817" t="s">
        <v>252</v>
      </c>
      <c r="P35" s="820">
        <v>0.44900000000000001</v>
      </c>
      <c r="Q35" s="820">
        <v>0.15</v>
      </c>
      <c r="R35" s="821" t="s">
        <v>145</v>
      </c>
      <c r="S35" s="822" t="s">
        <v>297</v>
      </c>
      <c r="T35" s="823" t="s">
        <v>254</v>
      </c>
      <c r="U35" s="824" t="s">
        <v>255</v>
      </c>
      <c r="V35" s="825" t="s">
        <v>148</v>
      </c>
      <c r="W35" s="825" t="s">
        <v>256</v>
      </c>
      <c r="X35" s="826">
        <v>18</v>
      </c>
      <c r="Y35" s="826">
        <v>65</v>
      </c>
      <c r="Z35" s="826">
        <v>72</v>
      </c>
      <c r="AA35" s="827">
        <v>100000</v>
      </c>
      <c r="AB35" s="828" t="s">
        <v>257</v>
      </c>
      <c r="AC35" s="829">
        <v>25</v>
      </c>
      <c r="AD35" s="830">
        <v>25</v>
      </c>
      <c r="AE35" s="831">
        <v>50</v>
      </c>
      <c r="AF35" s="832">
        <v>7.5</v>
      </c>
      <c r="AG35" s="833">
        <v>17.5</v>
      </c>
      <c r="AH35" s="832">
        <v>7.5</v>
      </c>
      <c r="AI35" s="834">
        <v>17.5</v>
      </c>
      <c r="AJ35" s="835">
        <v>1.5783749999999996E-2</v>
      </c>
      <c r="AK35" s="836">
        <v>1.0091249999999998E-2</v>
      </c>
      <c r="AL35" s="837">
        <v>0</v>
      </c>
      <c r="AM35" s="838">
        <v>2.5874999999999995E-2</v>
      </c>
      <c r="AN35" s="839">
        <v>2.5874999999999995E-2</v>
      </c>
      <c r="AO35" s="835">
        <v>0</v>
      </c>
      <c r="AP35" s="836">
        <v>1.8658536585365853E-2</v>
      </c>
      <c r="AQ35" s="837">
        <v>0</v>
      </c>
      <c r="AR35" s="838">
        <v>1.8658536585365853E-2</v>
      </c>
      <c r="AS35" s="652">
        <v>0</v>
      </c>
      <c r="AT35" s="652">
        <v>1.9124999999999996E-2</v>
      </c>
      <c r="AU35" s="652">
        <v>0</v>
      </c>
      <c r="AV35" s="653">
        <v>1.9124999999999996E-2</v>
      </c>
      <c r="AW35" s="839">
        <v>4.4999999999999991E-2</v>
      </c>
      <c r="AX35" s="840" t="s">
        <v>298</v>
      </c>
      <c r="AY35" s="841">
        <v>7.2999999999999995E-2</v>
      </c>
      <c r="AZ35" s="842">
        <v>0</v>
      </c>
      <c r="BA35" s="843">
        <v>5.5300000000000002E-2</v>
      </c>
      <c r="BB35" s="657"/>
      <c r="BC35" s="844"/>
      <c r="BD35" s="845"/>
      <c r="BE35" s="846"/>
      <c r="BF35" s="847">
        <v>7.2999999999999995E-2</v>
      </c>
      <c r="BG35" s="844"/>
      <c r="BH35" s="844"/>
      <c r="BI35" s="844"/>
      <c r="BJ35" s="848"/>
      <c r="BK35" s="844"/>
      <c r="BL35" s="844"/>
      <c r="BM35" s="844"/>
      <c r="BN35" s="849"/>
      <c r="BO35" s="850">
        <v>5.5300000000000002E-2</v>
      </c>
      <c r="BP35" s="851">
        <v>3.3333333333333333E-2</v>
      </c>
      <c r="BQ35" s="852">
        <v>3.1333333333333338E-2</v>
      </c>
      <c r="BR35" s="847">
        <v>7.2999999999999995E-2</v>
      </c>
      <c r="BS35" s="850">
        <v>5.5300000000000002E-2</v>
      </c>
      <c r="BT35" s="851">
        <v>0.04</v>
      </c>
      <c r="BU35" s="853">
        <v>3.7600000000000001E-2</v>
      </c>
      <c r="BV35" s="854">
        <v>7.2999999999999995E-2</v>
      </c>
      <c r="BW35" s="855">
        <v>1.7999999999999999E-2</v>
      </c>
      <c r="BX35" s="856">
        <v>5.5E-2</v>
      </c>
    </row>
    <row r="36" spans="1:76" s="94" customFormat="1" ht="108.75" customHeight="1" x14ac:dyDescent="0.3">
      <c r="A36" s="151" t="s">
        <v>136</v>
      </c>
      <c r="B36" s="672" t="s">
        <v>245</v>
      </c>
      <c r="C36" s="2289"/>
      <c r="D36" s="857" t="s">
        <v>299</v>
      </c>
      <c r="E36" s="858" t="s">
        <v>300</v>
      </c>
      <c r="F36" s="859" t="s">
        <v>301</v>
      </c>
      <c r="G36" s="860" t="s">
        <v>262</v>
      </c>
      <c r="H36" s="861" t="s">
        <v>263</v>
      </c>
      <c r="I36" s="861" t="s">
        <v>264</v>
      </c>
      <c r="J36" s="862">
        <v>4.4999999999999998E-2</v>
      </c>
      <c r="K36" s="863">
        <v>2.9879999999999993E-2</v>
      </c>
      <c r="L36" s="863">
        <v>1.512E-2</v>
      </c>
      <c r="M36" s="864">
        <v>0</v>
      </c>
      <c r="N36" s="865">
        <v>2.5000000000000001E-2</v>
      </c>
      <c r="O36" s="863" t="s">
        <v>252</v>
      </c>
      <c r="P36" s="866">
        <v>0.44900000000000001</v>
      </c>
      <c r="Q36" s="866">
        <v>0.15</v>
      </c>
      <c r="R36" s="867" t="s">
        <v>145</v>
      </c>
      <c r="S36" s="868" t="s">
        <v>297</v>
      </c>
      <c r="T36" s="869" t="s">
        <v>254</v>
      </c>
      <c r="U36" s="870" t="s">
        <v>255</v>
      </c>
      <c r="V36" s="871" t="s">
        <v>148</v>
      </c>
      <c r="W36" s="871" t="s">
        <v>149</v>
      </c>
      <c r="X36" s="872">
        <v>18</v>
      </c>
      <c r="Y36" s="872">
        <v>65</v>
      </c>
      <c r="Z36" s="872">
        <v>72</v>
      </c>
      <c r="AA36" s="873">
        <v>100000</v>
      </c>
      <c r="AB36" s="874" t="s">
        <v>265</v>
      </c>
      <c r="AC36" s="875">
        <v>25</v>
      </c>
      <c r="AD36" s="876">
        <v>25</v>
      </c>
      <c r="AE36" s="877">
        <v>50</v>
      </c>
      <c r="AF36" s="878">
        <v>7.5</v>
      </c>
      <c r="AG36" s="879">
        <v>17.5</v>
      </c>
      <c r="AH36" s="878">
        <v>7.5</v>
      </c>
      <c r="AI36" s="879">
        <v>17.5</v>
      </c>
      <c r="AJ36" s="647">
        <v>1.7330399999999996E-2</v>
      </c>
      <c r="AK36" s="648">
        <v>9.8604000000000001E-3</v>
      </c>
      <c r="AL36" s="649">
        <v>2.6891999999999997E-3</v>
      </c>
      <c r="AM36" s="650">
        <v>2.9879999999999993E-2</v>
      </c>
      <c r="AN36" s="651">
        <v>2.9879999999999993E-2</v>
      </c>
      <c r="AO36" s="647">
        <v>1.4751219512195123E-2</v>
      </c>
      <c r="AP36" s="648">
        <v>0</v>
      </c>
      <c r="AQ36" s="649">
        <v>0</v>
      </c>
      <c r="AR36" s="650">
        <v>1.4751219512195123E-2</v>
      </c>
      <c r="AS36" s="652">
        <v>1.512E-2</v>
      </c>
      <c r="AT36" s="652">
        <v>0</v>
      </c>
      <c r="AU36" s="652">
        <v>0</v>
      </c>
      <c r="AV36" s="653">
        <v>1.512E-2</v>
      </c>
      <c r="AW36" s="651">
        <v>4.4999999999999991E-2</v>
      </c>
      <c r="AX36" s="880" t="s">
        <v>302</v>
      </c>
      <c r="AY36" s="881">
        <v>7.2999999999999995E-2</v>
      </c>
      <c r="AZ36" s="882">
        <v>0</v>
      </c>
      <c r="BA36" s="883">
        <v>5.5300000000000002E-2</v>
      </c>
      <c r="BB36" s="657"/>
      <c r="BC36" s="884"/>
      <c r="BD36" s="885"/>
      <c r="BE36" s="886"/>
      <c r="BF36" s="887">
        <v>7.2999999999999995E-2</v>
      </c>
      <c r="BG36" s="884"/>
      <c r="BH36" s="884"/>
      <c r="BI36" s="884"/>
      <c r="BJ36" s="888"/>
      <c r="BK36" s="884"/>
      <c r="BL36" s="884"/>
      <c r="BM36" s="884"/>
      <c r="BN36" s="888"/>
      <c r="BO36" s="889">
        <v>5.5300000000000002E-2</v>
      </c>
      <c r="BP36" s="890">
        <v>3.3333333333333333E-2</v>
      </c>
      <c r="BQ36" s="891">
        <v>3.1333333333333338E-2</v>
      </c>
      <c r="BR36" s="887">
        <v>7.2999999999999995E-2</v>
      </c>
      <c r="BS36" s="889">
        <v>5.5300000000000002E-2</v>
      </c>
      <c r="BT36" s="890">
        <v>0.04</v>
      </c>
      <c r="BU36" s="892">
        <v>3.7600000000000001E-2</v>
      </c>
      <c r="BV36" s="893">
        <v>7.2999999999999995E-2</v>
      </c>
      <c r="BW36" s="894">
        <v>1.7999999999999999E-2</v>
      </c>
      <c r="BX36" s="895">
        <v>5.5E-2</v>
      </c>
    </row>
    <row r="37" spans="1:76" s="94" customFormat="1" ht="108.75" customHeight="1" x14ac:dyDescent="0.3">
      <c r="A37" s="151" t="s">
        <v>136</v>
      </c>
      <c r="B37" s="672" t="s">
        <v>245</v>
      </c>
      <c r="C37" s="2289"/>
      <c r="D37" s="896" t="s">
        <v>303</v>
      </c>
      <c r="E37" s="897" t="s">
        <v>304</v>
      </c>
      <c r="F37" s="812" t="s">
        <v>305</v>
      </c>
      <c r="G37" s="813" t="s">
        <v>249</v>
      </c>
      <c r="H37" s="898" t="s">
        <v>250</v>
      </c>
      <c r="I37" s="898" t="s">
        <v>251</v>
      </c>
      <c r="J37" s="899">
        <v>0.06</v>
      </c>
      <c r="K37" s="900">
        <v>3.4499999999999989E-2</v>
      </c>
      <c r="L37" s="900">
        <v>2.5499999999999995E-2</v>
      </c>
      <c r="M37" s="901">
        <v>0</v>
      </c>
      <c r="N37" s="902">
        <v>2.5000000000000001E-2</v>
      </c>
      <c r="O37" s="900" t="s">
        <v>252</v>
      </c>
      <c r="P37" s="903">
        <v>0.44900000000000001</v>
      </c>
      <c r="Q37" s="903">
        <v>0.15</v>
      </c>
      <c r="R37" s="904" t="s">
        <v>145</v>
      </c>
      <c r="S37" s="905" t="s">
        <v>306</v>
      </c>
      <c r="T37" s="869" t="s">
        <v>254</v>
      </c>
      <c r="U37" s="906" t="s">
        <v>255</v>
      </c>
      <c r="V37" s="907" t="s">
        <v>148</v>
      </c>
      <c r="W37" s="907" t="s">
        <v>256</v>
      </c>
      <c r="X37" s="908">
        <v>18</v>
      </c>
      <c r="Y37" s="908">
        <v>65</v>
      </c>
      <c r="Z37" s="908">
        <v>72</v>
      </c>
      <c r="AA37" s="909">
        <v>100000</v>
      </c>
      <c r="AB37" s="910" t="s">
        <v>257</v>
      </c>
      <c r="AC37" s="911">
        <v>25</v>
      </c>
      <c r="AD37" s="912">
        <v>25</v>
      </c>
      <c r="AE37" s="913">
        <v>50</v>
      </c>
      <c r="AF37" s="914">
        <v>7.5</v>
      </c>
      <c r="AG37" s="915">
        <v>17.5</v>
      </c>
      <c r="AH37" s="914">
        <v>7.5</v>
      </c>
      <c r="AI37" s="915">
        <v>17.5</v>
      </c>
      <c r="AJ37" s="647">
        <v>2.1044999999999991E-2</v>
      </c>
      <c r="AK37" s="648">
        <v>1.3454999999999996E-2</v>
      </c>
      <c r="AL37" s="649">
        <v>0</v>
      </c>
      <c r="AM37" s="650">
        <v>3.4499999999999989E-2</v>
      </c>
      <c r="AN37" s="651">
        <v>3.4499999999999989E-2</v>
      </c>
      <c r="AO37" s="647">
        <v>0</v>
      </c>
      <c r="AP37" s="648">
        <v>2.4878048780487803E-2</v>
      </c>
      <c r="AQ37" s="649">
        <v>0</v>
      </c>
      <c r="AR37" s="650">
        <v>2.4878048780487803E-2</v>
      </c>
      <c r="AS37" s="652">
        <v>0</v>
      </c>
      <c r="AT37" s="652">
        <v>2.5499999999999995E-2</v>
      </c>
      <c r="AU37" s="652">
        <v>0</v>
      </c>
      <c r="AV37" s="653">
        <v>2.5499999999999995E-2</v>
      </c>
      <c r="AW37" s="651">
        <v>5.9999999999999984E-2</v>
      </c>
      <c r="AX37" s="840" t="s">
        <v>307</v>
      </c>
      <c r="AY37" s="841">
        <v>6.5000000000000002E-2</v>
      </c>
      <c r="AZ37" s="842">
        <v>0</v>
      </c>
      <c r="BA37" s="843">
        <v>4.7300000000000002E-2</v>
      </c>
      <c r="BB37" s="657"/>
      <c r="BC37" s="916"/>
      <c r="BD37" s="917"/>
      <c r="BE37" s="918"/>
      <c r="BF37" s="919">
        <v>6.5000000000000002E-2</v>
      </c>
      <c r="BG37" s="916"/>
      <c r="BH37" s="916"/>
      <c r="BI37" s="916"/>
      <c r="BJ37" s="920"/>
      <c r="BK37" s="916"/>
      <c r="BL37" s="916"/>
      <c r="BM37" s="916"/>
      <c r="BN37" s="920"/>
      <c r="BO37" s="921">
        <v>4.7300000000000002E-2</v>
      </c>
      <c r="BP37" s="922">
        <v>3.3333333333333333E-2</v>
      </c>
      <c r="BQ37" s="923">
        <v>4.6666666666666679E-3</v>
      </c>
      <c r="BR37" s="919">
        <v>6.5000000000000002E-2</v>
      </c>
      <c r="BS37" s="921">
        <v>4.7300000000000002E-2</v>
      </c>
      <c r="BT37" s="922">
        <v>0.04</v>
      </c>
      <c r="BU37" s="924">
        <v>5.6000000000000008E-3</v>
      </c>
      <c r="BV37" s="925">
        <v>6.5000000000000002E-2</v>
      </c>
      <c r="BW37" s="926">
        <v>1.7999999999999999E-2</v>
      </c>
      <c r="BX37" s="927">
        <v>4.7000000000000007E-2</v>
      </c>
    </row>
    <row r="38" spans="1:76" s="94" customFormat="1" ht="108.75" customHeight="1" x14ac:dyDescent="0.3">
      <c r="A38" s="151" t="s">
        <v>136</v>
      </c>
      <c r="B38" s="672" t="s">
        <v>245</v>
      </c>
      <c r="C38" s="2289"/>
      <c r="D38" s="857" t="s">
        <v>308</v>
      </c>
      <c r="E38" s="858" t="s">
        <v>309</v>
      </c>
      <c r="F38" s="859" t="s">
        <v>310</v>
      </c>
      <c r="G38" s="860" t="s">
        <v>262</v>
      </c>
      <c r="H38" s="861" t="s">
        <v>263</v>
      </c>
      <c r="I38" s="861" t="s">
        <v>264</v>
      </c>
      <c r="J38" s="862">
        <v>0.06</v>
      </c>
      <c r="K38" s="863">
        <v>3.984E-2</v>
      </c>
      <c r="L38" s="863">
        <v>2.0159999999999997E-2</v>
      </c>
      <c r="M38" s="864">
        <v>0</v>
      </c>
      <c r="N38" s="865">
        <v>2.5000000000000001E-2</v>
      </c>
      <c r="O38" s="863" t="s">
        <v>252</v>
      </c>
      <c r="P38" s="866">
        <v>0.44900000000000001</v>
      </c>
      <c r="Q38" s="866">
        <v>0.15</v>
      </c>
      <c r="R38" s="867" t="s">
        <v>145</v>
      </c>
      <c r="S38" s="868" t="s">
        <v>306</v>
      </c>
      <c r="T38" s="869" t="s">
        <v>254</v>
      </c>
      <c r="U38" s="870" t="s">
        <v>255</v>
      </c>
      <c r="V38" s="871" t="s">
        <v>148</v>
      </c>
      <c r="W38" s="871" t="s">
        <v>149</v>
      </c>
      <c r="X38" s="872">
        <v>18</v>
      </c>
      <c r="Y38" s="872">
        <v>65</v>
      </c>
      <c r="Z38" s="872">
        <v>72</v>
      </c>
      <c r="AA38" s="873">
        <v>100000</v>
      </c>
      <c r="AB38" s="874" t="s">
        <v>265</v>
      </c>
      <c r="AC38" s="875">
        <v>25</v>
      </c>
      <c r="AD38" s="876">
        <v>25</v>
      </c>
      <c r="AE38" s="877">
        <v>50</v>
      </c>
      <c r="AF38" s="878">
        <v>7.5</v>
      </c>
      <c r="AG38" s="879">
        <v>17.5</v>
      </c>
      <c r="AH38" s="878">
        <v>7.5</v>
      </c>
      <c r="AI38" s="879">
        <v>17.5</v>
      </c>
      <c r="AJ38" s="647">
        <v>2.3107199999999998E-2</v>
      </c>
      <c r="AK38" s="648">
        <v>1.31472E-2</v>
      </c>
      <c r="AL38" s="649">
        <v>3.5855999999999996E-3</v>
      </c>
      <c r="AM38" s="650">
        <v>3.984E-2</v>
      </c>
      <c r="AN38" s="651">
        <v>3.984E-2</v>
      </c>
      <c r="AO38" s="647">
        <v>1.966829268292683E-2</v>
      </c>
      <c r="AP38" s="648">
        <v>0</v>
      </c>
      <c r="AQ38" s="649">
        <v>0</v>
      </c>
      <c r="AR38" s="650">
        <v>1.966829268292683E-2</v>
      </c>
      <c r="AS38" s="652">
        <v>2.0159999999999997E-2</v>
      </c>
      <c r="AT38" s="652">
        <v>0</v>
      </c>
      <c r="AU38" s="652">
        <v>0</v>
      </c>
      <c r="AV38" s="653">
        <v>2.0159999999999997E-2</v>
      </c>
      <c r="AW38" s="651">
        <v>0.06</v>
      </c>
      <c r="AX38" s="880" t="s">
        <v>311</v>
      </c>
      <c r="AY38" s="881">
        <v>6.5000000000000002E-2</v>
      </c>
      <c r="AZ38" s="882">
        <v>0</v>
      </c>
      <c r="BA38" s="883">
        <v>4.7300000000000002E-2</v>
      </c>
      <c r="BB38" s="657"/>
      <c r="BC38" s="884"/>
      <c r="BD38" s="885"/>
      <c r="BE38" s="886"/>
      <c r="BF38" s="887">
        <v>6.5000000000000002E-2</v>
      </c>
      <c r="BG38" s="884"/>
      <c r="BH38" s="884"/>
      <c r="BI38" s="884"/>
      <c r="BJ38" s="888"/>
      <c r="BK38" s="884"/>
      <c r="BL38" s="884"/>
      <c r="BM38" s="884"/>
      <c r="BN38" s="888"/>
      <c r="BO38" s="889">
        <v>4.7300000000000002E-2</v>
      </c>
      <c r="BP38" s="890">
        <v>3.3333333333333333E-2</v>
      </c>
      <c r="BQ38" s="891">
        <v>4.6666666666666679E-3</v>
      </c>
      <c r="BR38" s="887">
        <v>6.5000000000000002E-2</v>
      </c>
      <c r="BS38" s="889">
        <v>4.7300000000000002E-2</v>
      </c>
      <c r="BT38" s="890">
        <v>0.04</v>
      </c>
      <c r="BU38" s="892">
        <v>5.6000000000000008E-3</v>
      </c>
      <c r="BV38" s="893">
        <v>6.5000000000000002E-2</v>
      </c>
      <c r="BW38" s="894">
        <v>1.7999999999999999E-2</v>
      </c>
      <c r="BX38" s="895">
        <v>4.7000000000000007E-2</v>
      </c>
    </row>
    <row r="39" spans="1:76" s="94" customFormat="1" ht="108.75" customHeight="1" x14ac:dyDescent="0.3">
      <c r="A39" s="151" t="s">
        <v>136</v>
      </c>
      <c r="B39" s="672" t="s">
        <v>245</v>
      </c>
      <c r="C39" s="2289"/>
      <c r="D39" s="896" t="s">
        <v>312</v>
      </c>
      <c r="E39" s="897" t="s">
        <v>313</v>
      </c>
      <c r="F39" s="812" t="s">
        <v>314</v>
      </c>
      <c r="G39" s="813" t="s">
        <v>249</v>
      </c>
      <c r="H39" s="898" t="s">
        <v>250</v>
      </c>
      <c r="I39" s="898" t="s">
        <v>251</v>
      </c>
      <c r="J39" s="899">
        <v>0.08</v>
      </c>
      <c r="K39" s="900">
        <v>4.5999999999999999E-2</v>
      </c>
      <c r="L39" s="900">
        <v>3.4000000000000002E-2</v>
      </c>
      <c r="M39" s="901">
        <v>0</v>
      </c>
      <c r="N39" s="902">
        <v>2.5000000000000001E-2</v>
      </c>
      <c r="O39" s="900" t="s">
        <v>252</v>
      </c>
      <c r="P39" s="903">
        <v>0.44900000000000001</v>
      </c>
      <c r="Q39" s="903">
        <v>0.15</v>
      </c>
      <c r="R39" s="904" t="s">
        <v>145</v>
      </c>
      <c r="S39" s="928" t="s">
        <v>315</v>
      </c>
      <c r="T39" s="869" t="s">
        <v>254</v>
      </c>
      <c r="U39" s="906" t="s">
        <v>255</v>
      </c>
      <c r="V39" s="907" t="s">
        <v>148</v>
      </c>
      <c r="W39" s="907" t="s">
        <v>256</v>
      </c>
      <c r="X39" s="908">
        <v>18</v>
      </c>
      <c r="Y39" s="908">
        <v>65</v>
      </c>
      <c r="Z39" s="908">
        <v>72</v>
      </c>
      <c r="AA39" s="909">
        <v>100000</v>
      </c>
      <c r="AB39" s="910" t="s">
        <v>257</v>
      </c>
      <c r="AC39" s="911">
        <v>25</v>
      </c>
      <c r="AD39" s="912">
        <v>25</v>
      </c>
      <c r="AE39" s="913">
        <v>50</v>
      </c>
      <c r="AF39" s="914">
        <v>7.5</v>
      </c>
      <c r="AG39" s="915">
        <v>17.5</v>
      </c>
      <c r="AH39" s="914">
        <v>7.5</v>
      </c>
      <c r="AI39" s="915">
        <v>17.5</v>
      </c>
      <c r="AJ39" s="647">
        <v>2.8059999999999998E-2</v>
      </c>
      <c r="AK39" s="648">
        <v>1.7940000000000001E-2</v>
      </c>
      <c r="AL39" s="649">
        <v>0</v>
      </c>
      <c r="AM39" s="650">
        <v>4.5999999999999999E-2</v>
      </c>
      <c r="AN39" s="651">
        <v>4.5999999999999999E-2</v>
      </c>
      <c r="AO39" s="647">
        <v>0</v>
      </c>
      <c r="AP39" s="648">
        <v>3.3170731707317082E-2</v>
      </c>
      <c r="AQ39" s="649">
        <v>0</v>
      </c>
      <c r="AR39" s="650">
        <v>3.3170731707317082E-2</v>
      </c>
      <c r="AS39" s="652">
        <v>0</v>
      </c>
      <c r="AT39" s="652">
        <v>3.4000000000000002E-2</v>
      </c>
      <c r="AU39" s="652">
        <v>0</v>
      </c>
      <c r="AV39" s="653">
        <v>3.4000000000000002E-2</v>
      </c>
      <c r="AW39" s="651">
        <v>8.0000000000000016E-2</v>
      </c>
      <c r="AX39" s="840" t="s">
        <v>316</v>
      </c>
      <c r="AY39" s="841">
        <v>6.5000000000000002E-2</v>
      </c>
      <c r="AZ39" s="842">
        <v>0</v>
      </c>
      <c r="BA39" s="843">
        <v>4.7300000000000002E-2</v>
      </c>
      <c r="BB39" s="657"/>
      <c r="BC39" s="916"/>
      <c r="BD39" s="917"/>
      <c r="BE39" s="918"/>
      <c r="BF39" s="919">
        <v>6.5000000000000002E-2</v>
      </c>
      <c r="BG39" s="916"/>
      <c r="BH39" s="916"/>
      <c r="BI39" s="916"/>
      <c r="BJ39" s="920"/>
      <c r="BK39" s="916"/>
      <c r="BL39" s="916"/>
      <c r="BM39" s="916"/>
      <c r="BN39" s="920"/>
      <c r="BO39" s="921">
        <v>4.7300000000000002E-2</v>
      </c>
      <c r="BP39" s="922">
        <v>3.3333333333333333E-2</v>
      </c>
      <c r="BQ39" s="923">
        <v>4.6666666666666679E-3</v>
      </c>
      <c r="BR39" s="919">
        <v>6.5000000000000002E-2</v>
      </c>
      <c r="BS39" s="921">
        <v>4.7300000000000002E-2</v>
      </c>
      <c r="BT39" s="922">
        <v>0.04</v>
      </c>
      <c r="BU39" s="924">
        <v>5.6000000000000008E-3</v>
      </c>
      <c r="BV39" s="925">
        <v>6.5000000000000002E-2</v>
      </c>
      <c r="BW39" s="926">
        <v>1.7999999999999999E-2</v>
      </c>
      <c r="BX39" s="927">
        <v>4.7000000000000007E-2</v>
      </c>
    </row>
    <row r="40" spans="1:76" s="94" customFormat="1" ht="108.75" customHeight="1" thickBot="1" x14ac:dyDescent="0.35">
      <c r="A40" s="151" t="s">
        <v>136</v>
      </c>
      <c r="B40" s="672" t="s">
        <v>245</v>
      </c>
      <c r="C40" s="2290"/>
      <c r="D40" s="929" t="s">
        <v>317</v>
      </c>
      <c r="E40" s="930" t="s">
        <v>318</v>
      </c>
      <c r="F40" s="931" t="s">
        <v>319</v>
      </c>
      <c r="G40" s="932" t="s">
        <v>262</v>
      </c>
      <c r="H40" s="933" t="s">
        <v>263</v>
      </c>
      <c r="I40" s="934" t="s">
        <v>264</v>
      </c>
      <c r="J40" s="935">
        <v>0.08</v>
      </c>
      <c r="K40" s="936">
        <v>5.3120000000000001E-2</v>
      </c>
      <c r="L40" s="936">
        <v>2.6880000000000001E-2</v>
      </c>
      <c r="M40" s="937">
        <v>0</v>
      </c>
      <c r="N40" s="938">
        <v>2.5000000000000001E-2</v>
      </c>
      <c r="O40" s="936" t="s">
        <v>252</v>
      </c>
      <c r="P40" s="939">
        <v>0.44900000000000001</v>
      </c>
      <c r="Q40" s="939">
        <v>0.15</v>
      </c>
      <c r="R40" s="940" t="s">
        <v>145</v>
      </c>
      <c r="S40" s="941" t="s">
        <v>315</v>
      </c>
      <c r="T40" s="942" t="s">
        <v>254</v>
      </c>
      <c r="U40" s="943" t="s">
        <v>255</v>
      </c>
      <c r="V40" s="944" t="s">
        <v>148</v>
      </c>
      <c r="W40" s="944" t="s">
        <v>149</v>
      </c>
      <c r="X40" s="945">
        <v>18</v>
      </c>
      <c r="Y40" s="945">
        <v>65</v>
      </c>
      <c r="Z40" s="945">
        <v>72</v>
      </c>
      <c r="AA40" s="946">
        <v>100000</v>
      </c>
      <c r="AB40" s="943" t="s">
        <v>265</v>
      </c>
      <c r="AC40" s="947">
        <v>25</v>
      </c>
      <c r="AD40" s="948">
        <v>25</v>
      </c>
      <c r="AE40" s="949">
        <v>50</v>
      </c>
      <c r="AF40" s="950">
        <v>7.5</v>
      </c>
      <c r="AG40" s="951">
        <v>17.5</v>
      </c>
      <c r="AH40" s="950">
        <v>7.5</v>
      </c>
      <c r="AI40" s="951">
        <v>17.5</v>
      </c>
      <c r="AJ40" s="786">
        <v>3.0809599999999999E-2</v>
      </c>
      <c r="AK40" s="787">
        <v>1.7529599999999999E-2</v>
      </c>
      <c r="AL40" s="788">
        <v>4.7808E-3</v>
      </c>
      <c r="AM40" s="789">
        <v>5.3120000000000001E-2</v>
      </c>
      <c r="AN40" s="790">
        <v>5.3120000000000001E-2</v>
      </c>
      <c r="AO40" s="786">
        <v>2.622439024390244E-2</v>
      </c>
      <c r="AP40" s="787">
        <v>0</v>
      </c>
      <c r="AQ40" s="788">
        <v>0</v>
      </c>
      <c r="AR40" s="789">
        <v>2.622439024390244E-2</v>
      </c>
      <c r="AS40" s="791">
        <v>2.6880000000000001E-2</v>
      </c>
      <c r="AT40" s="791">
        <v>0</v>
      </c>
      <c r="AU40" s="791">
        <v>0</v>
      </c>
      <c r="AV40" s="792">
        <v>2.6880000000000001E-2</v>
      </c>
      <c r="AW40" s="790">
        <v>0.08</v>
      </c>
      <c r="AX40" s="952" t="s">
        <v>320</v>
      </c>
      <c r="AY40" s="953">
        <v>6.5000000000000002E-2</v>
      </c>
      <c r="AZ40" s="954">
        <v>0</v>
      </c>
      <c r="BA40" s="955">
        <v>4.7300000000000002E-2</v>
      </c>
      <c r="BB40" s="797"/>
      <c r="BC40" s="956"/>
      <c r="BD40" s="957"/>
      <c r="BE40" s="958"/>
      <c r="BF40" s="959">
        <v>6.5000000000000002E-2</v>
      </c>
      <c r="BG40" s="956"/>
      <c r="BH40" s="956"/>
      <c r="BI40" s="956"/>
      <c r="BJ40" s="960"/>
      <c r="BK40" s="956"/>
      <c r="BL40" s="956"/>
      <c r="BM40" s="956"/>
      <c r="BN40" s="960"/>
      <c r="BO40" s="961">
        <v>4.7300000000000002E-2</v>
      </c>
      <c r="BP40" s="962">
        <v>3.3333333333333333E-2</v>
      </c>
      <c r="BQ40" s="963">
        <v>4.6666666666666679E-3</v>
      </c>
      <c r="BR40" s="959">
        <v>6.5000000000000002E-2</v>
      </c>
      <c r="BS40" s="961">
        <v>4.7300000000000002E-2</v>
      </c>
      <c r="BT40" s="962">
        <v>0.04</v>
      </c>
      <c r="BU40" s="964">
        <v>5.6000000000000008E-3</v>
      </c>
      <c r="BV40" s="965">
        <v>6.5000000000000002E-2</v>
      </c>
      <c r="BW40" s="966">
        <v>1.7999999999999999E-2</v>
      </c>
      <c r="BX40" s="967">
        <v>4.7000000000000007E-2</v>
      </c>
    </row>
    <row r="41" spans="1:76" s="94" customFormat="1" ht="108.75" customHeight="1" x14ac:dyDescent="0.3">
      <c r="A41" s="151" t="s">
        <v>136</v>
      </c>
      <c r="B41" s="672" t="s">
        <v>245</v>
      </c>
      <c r="C41" s="2291" t="s">
        <v>203</v>
      </c>
      <c r="D41" s="968" t="s">
        <v>321</v>
      </c>
      <c r="E41" s="969" t="s">
        <v>322</v>
      </c>
      <c r="F41" s="970" t="s">
        <v>323</v>
      </c>
      <c r="G41" s="971" t="s">
        <v>249</v>
      </c>
      <c r="H41" s="972" t="s">
        <v>250</v>
      </c>
      <c r="I41" s="973" t="s">
        <v>251</v>
      </c>
      <c r="J41" s="974">
        <v>3.4999999999999996E-2</v>
      </c>
      <c r="K41" s="975">
        <v>2.0124999999999997E-2</v>
      </c>
      <c r="L41" s="975">
        <v>1.4874999999999998E-2</v>
      </c>
      <c r="M41" s="976">
        <v>0</v>
      </c>
      <c r="N41" s="974">
        <v>2.5000000000000001E-2</v>
      </c>
      <c r="O41" s="975" t="s">
        <v>252</v>
      </c>
      <c r="P41" s="977">
        <v>0.44900000000000001</v>
      </c>
      <c r="Q41" s="977">
        <v>0.15</v>
      </c>
      <c r="R41" s="978" t="s">
        <v>145</v>
      </c>
      <c r="S41" s="979" t="s">
        <v>206</v>
      </c>
      <c r="T41" s="980" t="s">
        <v>207</v>
      </c>
      <c r="U41" s="981" t="s">
        <v>255</v>
      </c>
      <c r="V41" s="982" t="s">
        <v>148</v>
      </c>
      <c r="W41" s="982" t="s">
        <v>256</v>
      </c>
      <c r="X41" s="983">
        <v>18</v>
      </c>
      <c r="Y41" s="983">
        <v>65</v>
      </c>
      <c r="Z41" s="983">
        <v>72</v>
      </c>
      <c r="AA41" s="984">
        <v>100000</v>
      </c>
      <c r="AB41" s="985" t="s">
        <v>257</v>
      </c>
      <c r="AC41" s="986">
        <v>17.5</v>
      </c>
      <c r="AD41" s="987">
        <v>17.5</v>
      </c>
      <c r="AE41" s="988">
        <v>35</v>
      </c>
      <c r="AF41" s="989">
        <v>7.5</v>
      </c>
      <c r="AG41" s="990">
        <v>10</v>
      </c>
      <c r="AH41" s="989">
        <v>7.5</v>
      </c>
      <c r="AI41" s="990">
        <v>10</v>
      </c>
      <c r="AJ41" s="835">
        <v>1.2276249999999997E-2</v>
      </c>
      <c r="AK41" s="836">
        <v>7.8487499999999998E-3</v>
      </c>
      <c r="AL41" s="837">
        <v>0</v>
      </c>
      <c r="AM41" s="838">
        <v>2.0124999999999997E-2</v>
      </c>
      <c r="AN41" s="839">
        <v>2.0124999999999997E-2</v>
      </c>
      <c r="AO41" s="835">
        <v>0</v>
      </c>
      <c r="AP41" s="836">
        <v>1.4512195121951219E-2</v>
      </c>
      <c r="AQ41" s="837">
        <v>0</v>
      </c>
      <c r="AR41" s="838">
        <v>1.4512195121951219E-2</v>
      </c>
      <c r="AS41" s="652">
        <v>0</v>
      </c>
      <c r="AT41" s="652">
        <v>1.4874999999999998E-2</v>
      </c>
      <c r="AU41" s="652">
        <v>0</v>
      </c>
      <c r="AV41" s="653">
        <v>1.4874999999999998E-2</v>
      </c>
      <c r="AW41" s="839">
        <v>3.4999999999999996E-2</v>
      </c>
      <c r="AX41" s="991" t="s">
        <v>324</v>
      </c>
      <c r="AY41" s="992">
        <v>9.5000000000000001E-2</v>
      </c>
      <c r="AZ41" s="993">
        <v>0</v>
      </c>
      <c r="BA41" s="994">
        <v>7.7299999999999994E-2</v>
      </c>
      <c r="BB41" s="657"/>
      <c r="BC41" s="995"/>
      <c r="BD41" s="996"/>
      <c r="BE41" s="997"/>
      <c r="BF41" s="998">
        <v>9.5000000000000001E-2</v>
      </c>
      <c r="BG41" s="995"/>
      <c r="BH41" s="995"/>
      <c r="BI41" s="995"/>
      <c r="BJ41" s="999"/>
      <c r="BK41" s="995"/>
      <c r="BL41" s="995"/>
      <c r="BM41" s="995"/>
      <c r="BN41" s="999"/>
      <c r="BO41" s="1000">
        <v>7.7299999999999994E-2</v>
      </c>
      <c r="BP41" s="1001">
        <v>3.3333333333333333E-2</v>
      </c>
      <c r="BQ41" s="1002">
        <v>0.10466666666666666</v>
      </c>
      <c r="BR41" s="998">
        <v>9.5000000000000001E-2</v>
      </c>
      <c r="BS41" s="1000">
        <v>7.7300000000000008E-2</v>
      </c>
      <c r="BT41" s="1001">
        <v>0.04</v>
      </c>
      <c r="BU41" s="1003">
        <v>0.12559999999999999</v>
      </c>
      <c r="BV41" s="1004">
        <v>9.5000000000000001E-2</v>
      </c>
      <c r="BW41" s="1005">
        <v>1.7999999999999999E-2</v>
      </c>
      <c r="BX41" s="1006">
        <v>7.6999999999999999E-2</v>
      </c>
    </row>
    <row r="42" spans="1:76" s="94" customFormat="1" ht="108.75" customHeight="1" x14ac:dyDescent="0.3">
      <c r="A42" s="151" t="s">
        <v>136</v>
      </c>
      <c r="B42" s="672" t="s">
        <v>245</v>
      </c>
      <c r="C42" s="2292"/>
      <c r="D42" s="1007" t="s">
        <v>325</v>
      </c>
      <c r="E42" s="1008" t="s">
        <v>326</v>
      </c>
      <c r="F42" s="1009" t="s">
        <v>327</v>
      </c>
      <c r="G42" s="1010" t="s">
        <v>262</v>
      </c>
      <c r="H42" s="1011" t="s">
        <v>263</v>
      </c>
      <c r="I42" s="1011" t="s">
        <v>264</v>
      </c>
      <c r="J42" s="1012">
        <v>3.5000000000000003E-2</v>
      </c>
      <c r="K42" s="1013">
        <v>2.3240000000000004E-2</v>
      </c>
      <c r="L42" s="1013">
        <v>1.1760000000000001E-2</v>
      </c>
      <c r="M42" s="1014">
        <v>0</v>
      </c>
      <c r="N42" s="1015">
        <v>2.5000000000000001E-2</v>
      </c>
      <c r="O42" s="1013" t="s">
        <v>252</v>
      </c>
      <c r="P42" s="1016">
        <v>0.44900000000000001</v>
      </c>
      <c r="Q42" s="1016">
        <v>0.15</v>
      </c>
      <c r="R42" s="1017" t="s">
        <v>145</v>
      </c>
      <c r="S42" s="1018" t="s">
        <v>206</v>
      </c>
      <c r="T42" s="1019" t="s">
        <v>207</v>
      </c>
      <c r="U42" s="1020" t="s">
        <v>255</v>
      </c>
      <c r="V42" s="1021" t="s">
        <v>148</v>
      </c>
      <c r="W42" s="1021" t="s">
        <v>149</v>
      </c>
      <c r="X42" s="1022">
        <v>18</v>
      </c>
      <c r="Y42" s="1022">
        <v>65</v>
      </c>
      <c r="Z42" s="1022">
        <v>72</v>
      </c>
      <c r="AA42" s="1023">
        <v>100000</v>
      </c>
      <c r="AB42" s="1024" t="s">
        <v>265</v>
      </c>
      <c r="AC42" s="1025">
        <v>17.5</v>
      </c>
      <c r="AD42" s="1026">
        <v>17.5</v>
      </c>
      <c r="AE42" s="1027">
        <v>35</v>
      </c>
      <c r="AF42" s="1028">
        <v>7.5</v>
      </c>
      <c r="AG42" s="1029">
        <v>10</v>
      </c>
      <c r="AH42" s="1028">
        <v>7.5</v>
      </c>
      <c r="AI42" s="1029">
        <v>10</v>
      </c>
      <c r="AJ42" s="647">
        <v>1.3479200000000004E-2</v>
      </c>
      <c r="AK42" s="648">
        <v>7.669200000000001E-3</v>
      </c>
      <c r="AL42" s="649">
        <v>2.0916000000000003E-3</v>
      </c>
      <c r="AM42" s="650">
        <v>2.3240000000000004E-2</v>
      </c>
      <c r="AN42" s="651">
        <v>2.3240000000000004E-2</v>
      </c>
      <c r="AO42" s="647">
        <v>1.1473170731707321E-2</v>
      </c>
      <c r="AP42" s="648">
        <v>0</v>
      </c>
      <c r="AQ42" s="649">
        <v>0</v>
      </c>
      <c r="AR42" s="650">
        <v>1.1473170731707321E-2</v>
      </c>
      <c r="AS42" s="652">
        <v>1.1760000000000001E-2</v>
      </c>
      <c r="AT42" s="652">
        <v>0</v>
      </c>
      <c r="AU42" s="652">
        <v>0</v>
      </c>
      <c r="AV42" s="653">
        <v>1.1760000000000001E-2</v>
      </c>
      <c r="AW42" s="651">
        <v>3.5000000000000003E-2</v>
      </c>
      <c r="AX42" s="1030" t="s">
        <v>328</v>
      </c>
      <c r="AY42" s="1031">
        <v>9.5000000000000001E-2</v>
      </c>
      <c r="AZ42" s="1032">
        <v>0</v>
      </c>
      <c r="BA42" s="1033">
        <v>7.7299999999999994E-2</v>
      </c>
      <c r="BB42" s="657"/>
      <c r="BC42" s="1034"/>
      <c r="BD42" s="1035"/>
      <c r="BE42" s="1036"/>
      <c r="BF42" s="1037">
        <v>9.5000000000000001E-2</v>
      </c>
      <c r="BG42" s="1034"/>
      <c r="BH42" s="1034"/>
      <c r="BI42" s="1034"/>
      <c r="BJ42" s="1038"/>
      <c r="BK42" s="1034"/>
      <c r="BL42" s="1034"/>
      <c r="BM42" s="1034"/>
      <c r="BN42" s="1038"/>
      <c r="BO42" s="1039">
        <v>7.7299999999999994E-2</v>
      </c>
      <c r="BP42" s="1040">
        <v>3.3333333333333333E-2</v>
      </c>
      <c r="BQ42" s="1041">
        <v>0.10466666666666666</v>
      </c>
      <c r="BR42" s="1037">
        <v>9.5000000000000001E-2</v>
      </c>
      <c r="BS42" s="1039">
        <v>7.7300000000000008E-2</v>
      </c>
      <c r="BT42" s="1040">
        <v>0.04</v>
      </c>
      <c r="BU42" s="1042">
        <v>0.12559999999999999</v>
      </c>
      <c r="BV42" s="1043">
        <v>9.5000000000000001E-2</v>
      </c>
      <c r="BW42" s="1044">
        <v>1.7999999999999999E-2</v>
      </c>
      <c r="BX42" s="1045">
        <v>7.6999999999999999E-2</v>
      </c>
    </row>
    <row r="43" spans="1:76" s="94" customFormat="1" ht="108.75" customHeight="1" x14ac:dyDescent="0.3">
      <c r="A43" s="151" t="s">
        <v>136</v>
      </c>
      <c r="B43" s="672" t="s">
        <v>245</v>
      </c>
      <c r="C43" s="2292"/>
      <c r="D43" s="1046" t="s">
        <v>329</v>
      </c>
      <c r="E43" s="1047" t="s">
        <v>330</v>
      </c>
      <c r="F43" s="970" t="s">
        <v>331</v>
      </c>
      <c r="G43" s="971" t="s">
        <v>249</v>
      </c>
      <c r="H43" s="1048" t="s">
        <v>250</v>
      </c>
      <c r="I43" s="1048" t="s">
        <v>251</v>
      </c>
      <c r="J43" s="1049">
        <v>4.5000000000000012E-2</v>
      </c>
      <c r="K43" s="1050">
        <v>2.5875000000000006E-2</v>
      </c>
      <c r="L43" s="1050">
        <v>1.9125000000000003E-2</v>
      </c>
      <c r="M43" s="1051">
        <v>0</v>
      </c>
      <c r="N43" s="1049">
        <v>2.5000000000000001E-2</v>
      </c>
      <c r="O43" s="1050" t="s">
        <v>252</v>
      </c>
      <c r="P43" s="1052">
        <v>0.44900000000000001</v>
      </c>
      <c r="Q43" s="1052">
        <v>0.15</v>
      </c>
      <c r="R43" s="1053" t="s">
        <v>145</v>
      </c>
      <c r="S43" s="1054" t="s">
        <v>332</v>
      </c>
      <c r="T43" s="1019" t="s">
        <v>207</v>
      </c>
      <c r="U43" s="1055" t="s">
        <v>255</v>
      </c>
      <c r="V43" s="1056" t="s">
        <v>148</v>
      </c>
      <c r="W43" s="1056" t="s">
        <v>256</v>
      </c>
      <c r="X43" s="1057">
        <v>18</v>
      </c>
      <c r="Y43" s="1057">
        <v>65</v>
      </c>
      <c r="Z43" s="1057">
        <v>72</v>
      </c>
      <c r="AA43" s="1058">
        <v>100000</v>
      </c>
      <c r="AB43" s="1059" t="s">
        <v>257</v>
      </c>
      <c r="AC43" s="1060">
        <v>17.5</v>
      </c>
      <c r="AD43" s="1061">
        <v>17.5</v>
      </c>
      <c r="AE43" s="1062">
        <v>35</v>
      </c>
      <c r="AF43" s="1063">
        <v>7.5</v>
      </c>
      <c r="AG43" s="1064">
        <v>10</v>
      </c>
      <c r="AH43" s="1063">
        <v>7.5</v>
      </c>
      <c r="AI43" s="1064">
        <v>10</v>
      </c>
      <c r="AJ43" s="647">
        <v>1.5783750000000003E-2</v>
      </c>
      <c r="AK43" s="648">
        <v>1.0091250000000003E-2</v>
      </c>
      <c r="AL43" s="649">
        <v>0</v>
      </c>
      <c r="AM43" s="650">
        <v>2.5875000000000006E-2</v>
      </c>
      <c r="AN43" s="651">
        <v>2.5875000000000006E-2</v>
      </c>
      <c r="AO43" s="647">
        <v>0</v>
      </c>
      <c r="AP43" s="648">
        <v>1.865853658536586E-2</v>
      </c>
      <c r="AQ43" s="649">
        <v>0</v>
      </c>
      <c r="AR43" s="650">
        <v>1.865853658536586E-2</v>
      </c>
      <c r="AS43" s="652">
        <v>0</v>
      </c>
      <c r="AT43" s="652">
        <v>1.9125000000000003E-2</v>
      </c>
      <c r="AU43" s="652">
        <v>0</v>
      </c>
      <c r="AV43" s="653">
        <v>1.9125000000000003E-2</v>
      </c>
      <c r="AW43" s="651">
        <v>4.5000000000000012E-2</v>
      </c>
      <c r="AX43" s="991" t="s">
        <v>333</v>
      </c>
      <c r="AY43" s="992">
        <v>8.3000000000000004E-2</v>
      </c>
      <c r="AZ43" s="993">
        <v>0</v>
      </c>
      <c r="BA43" s="994">
        <v>6.5299999999999997E-2</v>
      </c>
      <c r="BB43" s="657"/>
      <c r="BC43" s="1065"/>
      <c r="BD43" s="1066"/>
      <c r="BE43" s="1067"/>
      <c r="BF43" s="1068">
        <v>8.3000000000000004E-2</v>
      </c>
      <c r="BG43" s="1065"/>
      <c r="BH43" s="1065"/>
      <c r="BI43" s="1065"/>
      <c r="BJ43" s="1069"/>
      <c r="BK43" s="1065"/>
      <c r="BL43" s="1065"/>
      <c r="BM43" s="1065"/>
      <c r="BN43" s="1069"/>
      <c r="BO43" s="1070">
        <v>6.5299999999999997E-2</v>
      </c>
      <c r="BP43" s="1071">
        <v>3.3333333333333333E-2</v>
      </c>
      <c r="BQ43" s="1072">
        <v>6.4666666666666678E-2</v>
      </c>
      <c r="BR43" s="1068">
        <v>8.3000000000000004E-2</v>
      </c>
      <c r="BS43" s="1070">
        <v>6.5299999999999997E-2</v>
      </c>
      <c r="BT43" s="1071">
        <v>0.04</v>
      </c>
      <c r="BU43" s="1073">
        <v>7.7600000000000002E-2</v>
      </c>
      <c r="BV43" s="1074">
        <v>8.3000000000000004E-2</v>
      </c>
      <c r="BW43" s="1075">
        <v>1.7999999999999999E-2</v>
      </c>
      <c r="BX43" s="1076">
        <v>6.5000000000000002E-2</v>
      </c>
    </row>
    <row r="44" spans="1:76" s="94" customFormat="1" ht="108.75" customHeight="1" x14ac:dyDescent="0.3">
      <c r="A44" s="151" t="s">
        <v>136</v>
      </c>
      <c r="B44" s="672" t="s">
        <v>245</v>
      </c>
      <c r="C44" s="2292"/>
      <c r="D44" s="1007" t="s">
        <v>334</v>
      </c>
      <c r="E44" s="1008" t="s">
        <v>335</v>
      </c>
      <c r="F44" s="1009" t="s">
        <v>336</v>
      </c>
      <c r="G44" s="1010" t="s">
        <v>262</v>
      </c>
      <c r="H44" s="1011" t="s">
        <v>263</v>
      </c>
      <c r="I44" s="1011" t="s">
        <v>264</v>
      </c>
      <c r="J44" s="1012">
        <v>4.4999999999999991E-2</v>
      </c>
      <c r="K44" s="1013">
        <v>2.9879999999999993E-2</v>
      </c>
      <c r="L44" s="1013">
        <v>1.512E-2</v>
      </c>
      <c r="M44" s="1014">
        <v>0</v>
      </c>
      <c r="N44" s="1015">
        <v>2.5000000000000001E-2</v>
      </c>
      <c r="O44" s="1013" t="s">
        <v>252</v>
      </c>
      <c r="P44" s="1016">
        <v>0.44900000000000001</v>
      </c>
      <c r="Q44" s="1016">
        <v>0.15</v>
      </c>
      <c r="R44" s="1017" t="s">
        <v>145</v>
      </c>
      <c r="S44" s="1018" t="s">
        <v>332</v>
      </c>
      <c r="T44" s="1019" t="s">
        <v>207</v>
      </c>
      <c r="U44" s="1020" t="s">
        <v>255</v>
      </c>
      <c r="V44" s="1021" t="s">
        <v>148</v>
      </c>
      <c r="W44" s="1021" t="s">
        <v>149</v>
      </c>
      <c r="X44" s="1022">
        <v>18</v>
      </c>
      <c r="Y44" s="1022">
        <v>65</v>
      </c>
      <c r="Z44" s="1022">
        <v>72</v>
      </c>
      <c r="AA44" s="1023">
        <v>100000</v>
      </c>
      <c r="AB44" s="1024" t="s">
        <v>265</v>
      </c>
      <c r="AC44" s="1025">
        <v>17.5</v>
      </c>
      <c r="AD44" s="1026">
        <v>17.5</v>
      </c>
      <c r="AE44" s="1027">
        <v>35</v>
      </c>
      <c r="AF44" s="1028">
        <v>7.5</v>
      </c>
      <c r="AG44" s="1029">
        <v>10</v>
      </c>
      <c r="AH44" s="1028">
        <v>7.5</v>
      </c>
      <c r="AI44" s="1029">
        <v>10</v>
      </c>
      <c r="AJ44" s="647">
        <v>1.7330399999999996E-2</v>
      </c>
      <c r="AK44" s="648">
        <v>9.8604000000000001E-3</v>
      </c>
      <c r="AL44" s="649">
        <v>2.6891999999999997E-3</v>
      </c>
      <c r="AM44" s="650">
        <v>2.9879999999999993E-2</v>
      </c>
      <c r="AN44" s="651">
        <v>2.9879999999999993E-2</v>
      </c>
      <c r="AO44" s="647">
        <v>1.4751219512195123E-2</v>
      </c>
      <c r="AP44" s="648">
        <v>0</v>
      </c>
      <c r="AQ44" s="649">
        <v>0</v>
      </c>
      <c r="AR44" s="650">
        <v>1.4751219512195123E-2</v>
      </c>
      <c r="AS44" s="652">
        <v>1.512E-2</v>
      </c>
      <c r="AT44" s="652">
        <v>0</v>
      </c>
      <c r="AU44" s="652">
        <v>0</v>
      </c>
      <c r="AV44" s="653">
        <v>1.512E-2</v>
      </c>
      <c r="AW44" s="651">
        <v>4.4999999999999991E-2</v>
      </c>
      <c r="AX44" s="1030" t="s">
        <v>337</v>
      </c>
      <c r="AY44" s="1031">
        <v>8.3000000000000004E-2</v>
      </c>
      <c r="AZ44" s="1032">
        <v>0</v>
      </c>
      <c r="BA44" s="1033">
        <v>6.5299999999999997E-2</v>
      </c>
      <c r="BB44" s="657"/>
      <c r="BC44" s="1034"/>
      <c r="BD44" s="1035"/>
      <c r="BE44" s="1036"/>
      <c r="BF44" s="1037">
        <v>8.3000000000000004E-2</v>
      </c>
      <c r="BG44" s="1034"/>
      <c r="BH44" s="1034"/>
      <c r="BI44" s="1034"/>
      <c r="BJ44" s="1038"/>
      <c r="BK44" s="1034"/>
      <c r="BL44" s="1034"/>
      <c r="BM44" s="1034"/>
      <c r="BN44" s="1038"/>
      <c r="BO44" s="1039">
        <v>6.5299999999999997E-2</v>
      </c>
      <c r="BP44" s="1040">
        <v>3.3333333333333333E-2</v>
      </c>
      <c r="BQ44" s="1041">
        <v>6.4666666666666678E-2</v>
      </c>
      <c r="BR44" s="1037">
        <v>8.3000000000000004E-2</v>
      </c>
      <c r="BS44" s="1039">
        <v>6.5299999999999997E-2</v>
      </c>
      <c r="BT44" s="1040">
        <v>0.04</v>
      </c>
      <c r="BU44" s="1042">
        <v>7.7600000000000002E-2</v>
      </c>
      <c r="BV44" s="1043">
        <v>8.3000000000000004E-2</v>
      </c>
      <c r="BW44" s="1044">
        <v>1.7999999999999999E-2</v>
      </c>
      <c r="BX44" s="1045">
        <v>6.5000000000000002E-2</v>
      </c>
    </row>
    <row r="45" spans="1:76" s="94" customFormat="1" ht="108.75" customHeight="1" x14ac:dyDescent="0.3">
      <c r="A45" s="151" t="s">
        <v>136</v>
      </c>
      <c r="B45" s="672" t="s">
        <v>245</v>
      </c>
      <c r="C45" s="2292"/>
      <c r="D45" s="1046" t="s">
        <v>338</v>
      </c>
      <c r="E45" s="1047" t="s">
        <v>339</v>
      </c>
      <c r="F45" s="970" t="s">
        <v>340</v>
      </c>
      <c r="G45" s="971" t="s">
        <v>249</v>
      </c>
      <c r="H45" s="1048" t="s">
        <v>250</v>
      </c>
      <c r="I45" s="1048" t="s">
        <v>251</v>
      </c>
      <c r="J45" s="1049">
        <v>5.9999999999999984E-2</v>
      </c>
      <c r="K45" s="1050">
        <v>3.4499999999999989E-2</v>
      </c>
      <c r="L45" s="1050">
        <v>2.5499999999999995E-2</v>
      </c>
      <c r="M45" s="1051">
        <v>0</v>
      </c>
      <c r="N45" s="1049">
        <v>2.5000000000000001E-2</v>
      </c>
      <c r="O45" s="1050" t="s">
        <v>252</v>
      </c>
      <c r="P45" s="1052">
        <v>0.44900000000000001</v>
      </c>
      <c r="Q45" s="1052">
        <v>0.15</v>
      </c>
      <c r="R45" s="1053" t="s">
        <v>145</v>
      </c>
      <c r="S45" s="1054" t="s">
        <v>341</v>
      </c>
      <c r="T45" s="1019" t="s">
        <v>207</v>
      </c>
      <c r="U45" s="1055" t="s">
        <v>255</v>
      </c>
      <c r="V45" s="1056" t="s">
        <v>148</v>
      </c>
      <c r="W45" s="1056" t="s">
        <v>256</v>
      </c>
      <c r="X45" s="1057">
        <v>18</v>
      </c>
      <c r="Y45" s="1057">
        <v>65</v>
      </c>
      <c r="Z45" s="1057">
        <v>72</v>
      </c>
      <c r="AA45" s="1058">
        <v>100000</v>
      </c>
      <c r="AB45" s="1059" t="s">
        <v>257</v>
      </c>
      <c r="AC45" s="1060">
        <v>17.5</v>
      </c>
      <c r="AD45" s="1061">
        <v>17.5</v>
      </c>
      <c r="AE45" s="1062">
        <v>35</v>
      </c>
      <c r="AF45" s="1063">
        <v>7.5</v>
      </c>
      <c r="AG45" s="1064">
        <v>10</v>
      </c>
      <c r="AH45" s="1063">
        <v>7.5</v>
      </c>
      <c r="AI45" s="1064">
        <v>10</v>
      </c>
      <c r="AJ45" s="647">
        <v>2.1044999999999991E-2</v>
      </c>
      <c r="AK45" s="648">
        <v>1.3454999999999996E-2</v>
      </c>
      <c r="AL45" s="649">
        <v>0</v>
      </c>
      <c r="AM45" s="650">
        <v>3.4499999999999989E-2</v>
      </c>
      <c r="AN45" s="651">
        <v>3.4499999999999989E-2</v>
      </c>
      <c r="AO45" s="647">
        <v>0</v>
      </c>
      <c r="AP45" s="648">
        <v>2.4878048780487803E-2</v>
      </c>
      <c r="AQ45" s="649">
        <v>0</v>
      </c>
      <c r="AR45" s="650">
        <v>2.4878048780487803E-2</v>
      </c>
      <c r="AS45" s="652">
        <v>0</v>
      </c>
      <c r="AT45" s="652">
        <v>2.5499999999999995E-2</v>
      </c>
      <c r="AU45" s="652">
        <v>0</v>
      </c>
      <c r="AV45" s="653">
        <v>2.5499999999999995E-2</v>
      </c>
      <c r="AW45" s="651">
        <v>5.9999999999999984E-2</v>
      </c>
      <c r="AX45" s="991" t="s">
        <v>342</v>
      </c>
      <c r="AY45" s="992">
        <v>7.2999999999999995E-2</v>
      </c>
      <c r="AZ45" s="993">
        <v>0</v>
      </c>
      <c r="BA45" s="994">
        <v>5.5300000000000002E-2</v>
      </c>
      <c r="BB45" s="657"/>
      <c r="BC45" s="1065"/>
      <c r="BD45" s="1066"/>
      <c r="BE45" s="1067"/>
      <c r="BF45" s="1068">
        <v>7.2999999999999995E-2</v>
      </c>
      <c r="BG45" s="1065"/>
      <c r="BH45" s="1065"/>
      <c r="BI45" s="1065"/>
      <c r="BJ45" s="1069"/>
      <c r="BK45" s="1065"/>
      <c r="BL45" s="1065"/>
      <c r="BM45" s="1065"/>
      <c r="BN45" s="1069"/>
      <c r="BO45" s="1070">
        <v>5.5300000000000002E-2</v>
      </c>
      <c r="BP45" s="1071">
        <v>3.3333333333333333E-2</v>
      </c>
      <c r="BQ45" s="1072">
        <v>3.1333333333333338E-2</v>
      </c>
      <c r="BR45" s="1068">
        <v>7.2999999999999995E-2</v>
      </c>
      <c r="BS45" s="1070">
        <v>5.5300000000000002E-2</v>
      </c>
      <c r="BT45" s="1071">
        <v>0.04</v>
      </c>
      <c r="BU45" s="1073">
        <v>3.7600000000000001E-2</v>
      </c>
      <c r="BV45" s="1074">
        <v>7.2999999999999995E-2</v>
      </c>
      <c r="BW45" s="1075">
        <v>1.7999999999999999E-2</v>
      </c>
      <c r="BX45" s="1076">
        <v>5.5E-2</v>
      </c>
    </row>
    <row r="46" spans="1:76" s="94" customFormat="1" ht="108.75" customHeight="1" thickBot="1" x14ac:dyDescent="0.35">
      <c r="A46" s="151" t="s">
        <v>136</v>
      </c>
      <c r="B46" s="672" t="s">
        <v>245</v>
      </c>
      <c r="C46" s="2293"/>
      <c r="D46" s="1077" t="s">
        <v>343</v>
      </c>
      <c r="E46" s="1078" t="s">
        <v>344</v>
      </c>
      <c r="F46" s="1079" t="s">
        <v>345</v>
      </c>
      <c r="G46" s="1080" t="s">
        <v>262</v>
      </c>
      <c r="H46" s="1081" t="s">
        <v>263</v>
      </c>
      <c r="I46" s="1082" t="s">
        <v>264</v>
      </c>
      <c r="J46" s="1083">
        <v>0.06</v>
      </c>
      <c r="K46" s="1084">
        <v>3.984E-2</v>
      </c>
      <c r="L46" s="1084">
        <v>2.0159999999999997E-2</v>
      </c>
      <c r="M46" s="1085">
        <v>0</v>
      </c>
      <c r="N46" s="1086">
        <v>2.5000000000000001E-2</v>
      </c>
      <c r="O46" s="1084" t="s">
        <v>252</v>
      </c>
      <c r="P46" s="1087">
        <v>0.44900000000000001</v>
      </c>
      <c r="Q46" s="1087">
        <v>0.15</v>
      </c>
      <c r="R46" s="1088" t="s">
        <v>145</v>
      </c>
      <c r="S46" s="1089" t="s">
        <v>341</v>
      </c>
      <c r="T46" s="1090" t="s">
        <v>207</v>
      </c>
      <c r="U46" s="1091" t="s">
        <v>255</v>
      </c>
      <c r="V46" s="1092" t="s">
        <v>148</v>
      </c>
      <c r="W46" s="1092" t="s">
        <v>149</v>
      </c>
      <c r="X46" s="1093">
        <v>18</v>
      </c>
      <c r="Y46" s="1093">
        <v>65</v>
      </c>
      <c r="Z46" s="1093">
        <v>72</v>
      </c>
      <c r="AA46" s="1094">
        <v>100000</v>
      </c>
      <c r="AB46" s="1095" t="s">
        <v>265</v>
      </c>
      <c r="AC46" s="1096">
        <v>17.5</v>
      </c>
      <c r="AD46" s="1097">
        <v>17.5</v>
      </c>
      <c r="AE46" s="1098">
        <v>35</v>
      </c>
      <c r="AF46" s="1099">
        <v>7.5</v>
      </c>
      <c r="AG46" s="1100">
        <v>10</v>
      </c>
      <c r="AH46" s="1099">
        <v>7.5</v>
      </c>
      <c r="AI46" s="1100">
        <v>10</v>
      </c>
      <c r="AJ46" s="786">
        <v>2.3107199999999998E-2</v>
      </c>
      <c r="AK46" s="787">
        <v>1.31472E-2</v>
      </c>
      <c r="AL46" s="788">
        <v>3.5855999999999996E-3</v>
      </c>
      <c r="AM46" s="789">
        <v>3.984E-2</v>
      </c>
      <c r="AN46" s="790">
        <v>3.984E-2</v>
      </c>
      <c r="AO46" s="786">
        <v>1.966829268292683E-2</v>
      </c>
      <c r="AP46" s="787">
        <v>0</v>
      </c>
      <c r="AQ46" s="788">
        <v>0</v>
      </c>
      <c r="AR46" s="789">
        <v>1.966829268292683E-2</v>
      </c>
      <c r="AS46" s="791">
        <v>2.0159999999999997E-2</v>
      </c>
      <c r="AT46" s="791">
        <v>0</v>
      </c>
      <c r="AU46" s="791">
        <v>0</v>
      </c>
      <c r="AV46" s="792">
        <v>2.0159999999999997E-2</v>
      </c>
      <c r="AW46" s="790">
        <v>0.06</v>
      </c>
      <c r="AX46" s="1101" t="s">
        <v>346</v>
      </c>
      <c r="AY46" s="1102">
        <v>7.2999999999999995E-2</v>
      </c>
      <c r="AZ46" s="1103">
        <v>0</v>
      </c>
      <c r="BA46" s="1104">
        <v>5.5300000000000002E-2</v>
      </c>
      <c r="BB46" s="797"/>
      <c r="BC46" s="1105"/>
      <c r="BD46" s="1106"/>
      <c r="BE46" s="1107"/>
      <c r="BF46" s="1108">
        <v>7.2999999999999995E-2</v>
      </c>
      <c r="BG46" s="1105"/>
      <c r="BH46" s="1105"/>
      <c r="BI46" s="1105"/>
      <c r="BJ46" s="1109"/>
      <c r="BK46" s="1105"/>
      <c r="BL46" s="1105"/>
      <c r="BM46" s="1105"/>
      <c r="BN46" s="1109"/>
      <c r="BO46" s="1110">
        <v>5.5300000000000002E-2</v>
      </c>
      <c r="BP46" s="1111">
        <v>3.3333333333333333E-2</v>
      </c>
      <c r="BQ46" s="1112">
        <v>3.1333333333333338E-2</v>
      </c>
      <c r="BR46" s="1108">
        <v>7.2999999999999995E-2</v>
      </c>
      <c r="BS46" s="1110">
        <v>5.5300000000000002E-2</v>
      </c>
      <c r="BT46" s="1111">
        <v>0.04</v>
      </c>
      <c r="BU46" s="1113">
        <v>3.7600000000000001E-2</v>
      </c>
      <c r="BV46" s="1114">
        <v>7.2999999999999995E-2</v>
      </c>
      <c r="BW46" s="1115">
        <v>1.7999999999999999E-2</v>
      </c>
      <c r="BX46" s="1116">
        <v>5.5E-2</v>
      </c>
    </row>
    <row r="47" spans="1:76" s="94" customFormat="1" ht="108.75" customHeight="1" x14ac:dyDescent="0.3">
      <c r="A47" s="151" t="s">
        <v>136</v>
      </c>
      <c r="B47" s="672" t="s">
        <v>245</v>
      </c>
      <c r="C47" s="2294" t="s">
        <v>215</v>
      </c>
      <c r="D47" s="1117" t="s">
        <v>347</v>
      </c>
      <c r="E47" s="1118" t="s">
        <v>348</v>
      </c>
      <c r="F47" s="1119" t="s">
        <v>349</v>
      </c>
      <c r="G47" s="1120"/>
      <c r="H47" s="1121" t="s">
        <v>350</v>
      </c>
      <c r="I47" s="1122" t="s">
        <v>351</v>
      </c>
      <c r="J47" s="1123">
        <v>4.4999999999999998E-2</v>
      </c>
      <c r="K47" s="1124">
        <v>3.4875000000000003E-2</v>
      </c>
      <c r="L47" s="1124">
        <v>1.0124999999999999E-2</v>
      </c>
      <c r="M47" s="1125">
        <v>0</v>
      </c>
      <c r="N47" s="1126">
        <v>2.5000000000000001E-2</v>
      </c>
      <c r="O47" s="1127" t="s">
        <v>229</v>
      </c>
      <c r="P47" s="1128">
        <v>0.44900000000000001</v>
      </c>
      <c r="Q47" s="1128">
        <v>0.15</v>
      </c>
      <c r="R47" s="1129" t="s">
        <v>145</v>
      </c>
      <c r="S47" s="1130" t="s">
        <v>352</v>
      </c>
      <c r="T47" s="1131" t="s">
        <v>353</v>
      </c>
      <c r="U47" s="1132" t="s">
        <v>255</v>
      </c>
      <c r="V47" s="1133" t="s">
        <v>148</v>
      </c>
      <c r="W47" s="1133" t="s">
        <v>149</v>
      </c>
      <c r="X47" s="1134">
        <v>18</v>
      </c>
      <c r="Y47" s="1134">
        <v>65</v>
      </c>
      <c r="Z47" s="1134">
        <v>70</v>
      </c>
      <c r="AA47" s="1135">
        <v>100000</v>
      </c>
      <c r="AB47" s="1132" t="s">
        <v>354</v>
      </c>
      <c r="AC47" s="1136">
        <v>20.5</v>
      </c>
      <c r="AD47" s="1137">
        <v>20.5</v>
      </c>
      <c r="AE47" s="1138">
        <v>41</v>
      </c>
      <c r="AF47" s="1139">
        <v>7.5</v>
      </c>
      <c r="AG47" s="1140">
        <v>13</v>
      </c>
      <c r="AH47" s="1139">
        <v>7.5</v>
      </c>
      <c r="AI47" s="1140">
        <v>13</v>
      </c>
      <c r="AJ47" s="835">
        <v>2.325E-2</v>
      </c>
      <c r="AK47" s="836">
        <v>1.1625E-2</v>
      </c>
      <c r="AL47" s="837">
        <v>0</v>
      </c>
      <c r="AM47" s="838">
        <v>3.4875000000000003E-2</v>
      </c>
      <c r="AN47" s="839">
        <v>3.4875000000000003E-2</v>
      </c>
      <c r="AO47" s="835">
        <v>9.878048780487805E-3</v>
      </c>
      <c r="AP47" s="836">
        <v>0</v>
      </c>
      <c r="AQ47" s="837">
        <v>0</v>
      </c>
      <c r="AR47" s="838">
        <v>9.878048780487805E-3</v>
      </c>
      <c r="AS47" s="652">
        <v>1.0124999999999999E-2</v>
      </c>
      <c r="AT47" s="652">
        <v>0</v>
      </c>
      <c r="AU47" s="652">
        <v>0</v>
      </c>
      <c r="AV47" s="653">
        <v>1.0124999999999999E-2</v>
      </c>
      <c r="AW47" s="839">
        <v>4.4999999999999998E-2</v>
      </c>
      <c r="AX47" s="1141" t="s">
        <v>355</v>
      </c>
      <c r="AY47" s="1142">
        <v>7.2999999999999995E-2</v>
      </c>
      <c r="AZ47" s="1143">
        <v>0</v>
      </c>
      <c r="BA47" s="1144">
        <v>5.5300000000000002E-2</v>
      </c>
      <c r="BB47" s="657"/>
      <c r="BC47" s="1145"/>
      <c r="BD47" s="1146"/>
      <c r="BE47" s="1147"/>
      <c r="BF47" s="1148">
        <v>7.2999999999999995E-2</v>
      </c>
      <c r="BG47" s="1145"/>
      <c r="BH47" s="1145"/>
      <c r="BI47" s="1145"/>
      <c r="BJ47" s="1149"/>
      <c r="BK47" s="1145"/>
      <c r="BL47" s="1145"/>
      <c r="BM47" s="1145"/>
      <c r="BN47" s="1149"/>
      <c r="BO47" s="1150">
        <v>5.5300000000000002E-2</v>
      </c>
      <c r="BP47" s="1151">
        <v>3.3333333333333333E-2</v>
      </c>
      <c r="BQ47" s="1152">
        <v>3.1333333333333338E-2</v>
      </c>
      <c r="BR47" s="1148">
        <v>7.2999999999999995E-2</v>
      </c>
      <c r="BS47" s="1150">
        <v>5.5300000000000002E-2</v>
      </c>
      <c r="BT47" s="1151">
        <v>0.04</v>
      </c>
      <c r="BU47" s="1153">
        <v>3.7600000000000001E-2</v>
      </c>
      <c r="BV47" s="1154">
        <v>7.2999999999999995E-2</v>
      </c>
      <c r="BW47" s="1155">
        <v>1.7999999999999999E-2</v>
      </c>
      <c r="BX47" s="1156">
        <v>5.5E-2</v>
      </c>
    </row>
    <row r="48" spans="1:76" s="94" customFormat="1" ht="108.75" customHeight="1" thickBot="1" x14ac:dyDescent="0.35">
      <c r="A48" s="151" t="s">
        <v>136</v>
      </c>
      <c r="B48" s="672" t="s">
        <v>245</v>
      </c>
      <c r="C48" s="2295"/>
      <c r="D48" s="1157" t="s">
        <v>356</v>
      </c>
      <c r="E48" s="1158" t="s">
        <v>357</v>
      </c>
      <c r="F48" s="1159" t="s">
        <v>358</v>
      </c>
      <c r="G48" s="1160"/>
      <c r="H48" s="1161" t="s">
        <v>350</v>
      </c>
      <c r="I48" s="1162" t="s">
        <v>351</v>
      </c>
      <c r="J48" s="1163">
        <v>4.4999999999999998E-2</v>
      </c>
      <c r="K48" s="1164">
        <v>3.4875000000000003E-2</v>
      </c>
      <c r="L48" s="1164">
        <v>1.0124999999999999E-2</v>
      </c>
      <c r="M48" s="1165">
        <v>0</v>
      </c>
      <c r="N48" s="1166">
        <v>2.5000000000000001E-2</v>
      </c>
      <c r="O48" s="1167" t="s">
        <v>229</v>
      </c>
      <c r="P48" s="1168">
        <v>0.44900000000000001</v>
      </c>
      <c r="Q48" s="1168">
        <v>0.15</v>
      </c>
      <c r="R48" s="1169" t="s">
        <v>145</v>
      </c>
      <c r="S48" s="1170" t="s">
        <v>352</v>
      </c>
      <c r="T48" s="1171" t="s">
        <v>353</v>
      </c>
      <c r="U48" s="1172" t="s">
        <v>255</v>
      </c>
      <c r="V48" s="1173" t="s">
        <v>148</v>
      </c>
      <c r="W48" s="1173" t="s">
        <v>149</v>
      </c>
      <c r="X48" s="1174">
        <v>18</v>
      </c>
      <c r="Y48" s="1174">
        <v>65</v>
      </c>
      <c r="Z48" s="1174">
        <v>70</v>
      </c>
      <c r="AA48" s="1175">
        <v>100000</v>
      </c>
      <c r="AB48" s="1172" t="s">
        <v>354</v>
      </c>
      <c r="AC48" s="1176">
        <v>20.5</v>
      </c>
      <c r="AD48" s="1177">
        <v>20.5</v>
      </c>
      <c r="AE48" s="1178">
        <v>41</v>
      </c>
      <c r="AF48" s="1179">
        <v>7.5</v>
      </c>
      <c r="AG48" s="1180">
        <v>13</v>
      </c>
      <c r="AH48" s="1179">
        <v>7.5</v>
      </c>
      <c r="AI48" s="1180">
        <v>13</v>
      </c>
      <c r="AJ48" s="786">
        <v>2.325E-2</v>
      </c>
      <c r="AK48" s="787">
        <v>1.1625E-2</v>
      </c>
      <c r="AL48" s="788">
        <v>0</v>
      </c>
      <c r="AM48" s="789">
        <v>3.4875000000000003E-2</v>
      </c>
      <c r="AN48" s="790">
        <v>3.4875000000000003E-2</v>
      </c>
      <c r="AO48" s="786">
        <v>9.878048780487805E-3</v>
      </c>
      <c r="AP48" s="787">
        <v>0</v>
      </c>
      <c r="AQ48" s="788">
        <v>0</v>
      </c>
      <c r="AR48" s="789">
        <v>9.878048780487805E-3</v>
      </c>
      <c r="AS48" s="791">
        <v>1.0124999999999999E-2</v>
      </c>
      <c r="AT48" s="791">
        <v>0</v>
      </c>
      <c r="AU48" s="791">
        <v>0</v>
      </c>
      <c r="AV48" s="792">
        <v>1.0124999999999999E-2</v>
      </c>
      <c r="AW48" s="790">
        <v>4.4999999999999998E-2</v>
      </c>
      <c r="AX48" s="1181" t="s">
        <v>359</v>
      </c>
      <c r="AY48" s="1182">
        <v>7.2999999999999995E-2</v>
      </c>
      <c r="AZ48" s="1183">
        <v>0</v>
      </c>
      <c r="BA48" s="1184">
        <v>5.5300000000000002E-2</v>
      </c>
      <c r="BB48" s="797"/>
      <c r="BC48" s="1185"/>
      <c r="BD48" s="1186"/>
      <c r="BE48" s="1187"/>
      <c r="BF48" s="1188">
        <v>7.2999999999999995E-2</v>
      </c>
      <c r="BG48" s="1185"/>
      <c r="BH48" s="1185"/>
      <c r="BI48" s="1185"/>
      <c r="BJ48" s="1189"/>
      <c r="BK48" s="1185"/>
      <c r="BL48" s="1185"/>
      <c r="BM48" s="1185"/>
      <c r="BN48" s="1189"/>
      <c r="BO48" s="1190">
        <v>5.5300000000000002E-2</v>
      </c>
      <c r="BP48" s="1191">
        <v>3.3333333333333333E-2</v>
      </c>
      <c r="BQ48" s="1192">
        <v>3.1333333333333338E-2</v>
      </c>
      <c r="BR48" s="1188">
        <v>7.2999999999999995E-2</v>
      </c>
      <c r="BS48" s="1190">
        <v>5.5300000000000002E-2</v>
      </c>
      <c r="BT48" s="1191">
        <v>0.04</v>
      </c>
      <c r="BU48" s="1193">
        <v>3.7600000000000001E-2</v>
      </c>
      <c r="BV48" s="1194">
        <v>7.2999999999999995E-2</v>
      </c>
      <c r="BW48" s="1195">
        <v>1.7999999999999999E-2</v>
      </c>
      <c r="BX48" s="1196">
        <v>5.5E-2</v>
      </c>
    </row>
    <row r="49" spans="1:76" s="94" customFormat="1" ht="108.75" customHeight="1" x14ac:dyDescent="0.3">
      <c r="A49" s="151" t="s">
        <v>136</v>
      </c>
      <c r="B49" s="672" t="s">
        <v>245</v>
      </c>
      <c r="C49" s="1197" t="s">
        <v>224</v>
      </c>
      <c r="D49" s="1198" t="s">
        <v>360</v>
      </c>
      <c r="E49" s="1199" t="s">
        <v>361</v>
      </c>
      <c r="F49" s="1200" t="s">
        <v>362</v>
      </c>
      <c r="G49" s="1201"/>
      <c r="H49" s="1202" t="s">
        <v>363</v>
      </c>
      <c r="I49" s="1203" t="s">
        <v>364</v>
      </c>
      <c r="J49" s="1204">
        <v>0.08</v>
      </c>
      <c r="K49" s="1205">
        <v>7.5563405779431311E-2</v>
      </c>
      <c r="L49" s="1205">
        <v>4.4365942205686903E-3</v>
      </c>
      <c r="M49" s="1206">
        <v>0</v>
      </c>
      <c r="N49" s="1207">
        <v>2.5000000000000001E-2</v>
      </c>
      <c r="O49" s="1205" t="s">
        <v>252</v>
      </c>
      <c r="P49" s="1208">
        <v>0.26</v>
      </c>
      <c r="Q49" s="1208">
        <v>0</v>
      </c>
      <c r="R49" s="1209" t="s">
        <v>145</v>
      </c>
      <c r="S49" s="1210" t="s">
        <v>365</v>
      </c>
      <c r="T49" s="1211" t="s">
        <v>254</v>
      </c>
      <c r="U49" s="1212" t="s">
        <v>255</v>
      </c>
      <c r="V49" s="1213" t="s">
        <v>148</v>
      </c>
      <c r="W49" s="1213" t="s">
        <v>149</v>
      </c>
      <c r="X49" s="1214">
        <v>60</v>
      </c>
      <c r="Y49" s="1214">
        <v>70</v>
      </c>
      <c r="Z49" s="1214">
        <v>75</v>
      </c>
      <c r="AA49" s="1215">
        <v>100000</v>
      </c>
      <c r="AB49" s="1212" t="s">
        <v>366</v>
      </c>
      <c r="AC49" s="1216">
        <v>25</v>
      </c>
      <c r="AD49" s="1217">
        <v>25</v>
      </c>
      <c r="AE49" s="1218">
        <v>50</v>
      </c>
      <c r="AF49" s="1219">
        <v>7.5</v>
      </c>
      <c r="AG49" s="1220">
        <v>17.5</v>
      </c>
      <c r="AH49" s="1219">
        <v>7.5</v>
      </c>
      <c r="AI49" s="1220">
        <v>17.5</v>
      </c>
      <c r="AJ49" s="835">
        <v>7.5563405779431311E-2</v>
      </c>
      <c r="AK49" s="836">
        <v>0</v>
      </c>
      <c r="AL49" s="837">
        <v>0</v>
      </c>
      <c r="AM49" s="838">
        <v>7.5563405779431311E-2</v>
      </c>
      <c r="AN49" s="839">
        <v>7.5563405779431311E-2</v>
      </c>
      <c r="AO49" s="835">
        <v>0</v>
      </c>
      <c r="AP49" s="836">
        <v>0</v>
      </c>
      <c r="AQ49" s="837">
        <v>4.328384605432869E-3</v>
      </c>
      <c r="AR49" s="838">
        <v>4.328384605432869E-3</v>
      </c>
      <c r="AS49" s="1221">
        <v>0</v>
      </c>
      <c r="AT49" s="1221">
        <v>0</v>
      </c>
      <c r="AU49" s="1221">
        <v>4.4365942205686903E-3</v>
      </c>
      <c r="AV49" s="1222">
        <v>4.4365942205686903E-3</v>
      </c>
      <c r="AW49" s="839">
        <v>0.08</v>
      </c>
      <c r="AX49" s="1223" t="s">
        <v>367</v>
      </c>
      <c r="AY49" s="1224">
        <v>0.08</v>
      </c>
      <c r="AZ49" s="1225">
        <v>0</v>
      </c>
      <c r="BA49" s="1226">
        <v>6.6400000000000001E-2</v>
      </c>
      <c r="BB49" s="657"/>
      <c r="BC49" s="1227"/>
      <c r="BD49" s="1228"/>
      <c r="BE49" s="1229"/>
      <c r="BF49" s="1230">
        <v>0.08</v>
      </c>
      <c r="BG49" s="1227"/>
      <c r="BH49" s="1227"/>
      <c r="BI49" s="1227"/>
      <c r="BJ49" s="1231"/>
      <c r="BK49" s="1227"/>
      <c r="BL49" s="1227"/>
      <c r="BM49" s="1227"/>
      <c r="BN49" s="1231"/>
      <c r="BO49" s="1232">
        <v>6.6400000000000001E-2</v>
      </c>
      <c r="BP49" s="1233">
        <v>3.3333333333333333E-2</v>
      </c>
      <c r="BQ49" s="1234">
        <v>5.4666666666666662E-2</v>
      </c>
      <c r="BR49" s="1230">
        <v>0.08</v>
      </c>
      <c r="BS49" s="1232">
        <v>6.6400000000000001E-2</v>
      </c>
      <c r="BT49" s="1233">
        <v>0.04</v>
      </c>
      <c r="BU49" s="1235">
        <v>6.5599999999999992E-2</v>
      </c>
      <c r="BV49" s="1236">
        <v>0.08</v>
      </c>
      <c r="BW49" s="1237">
        <v>1.44E-2</v>
      </c>
      <c r="BX49" s="1238">
        <v>6.5600000000000006E-2</v>
      </c>
    </row>
    <row r="50" spans="1:76" s="94" customFormat="1" ht="108.75" customHeight="1" thickBot="1" x14ac:dyDescent="0.35">
      <c r="A50" s="570" t="s">
        <v>136</v>
      </c>
      <c r="B50" s="1239" t="s">
        <v>245</v>
      </c>
      <c r="C50" s="1240"/>
      <c r="D50" s="1241" t="s">
        <v>368</v>
      </c>
      <c r="E50" s="1242" t="s">
        <v>369</v>
      </c>
      <c r="F50" s="1243" t="s">
        <v>370</v>
      </c>
      <c r="G50" s="1244"/>
      <c r="H50" s="1245" t="s">
        <v>363</v>
      </c>
      <c r="I50" s="1245" t="s">
        <v>364</v>
      </c>
      <c r="J50" s="1246">
        <v>0.08</v>
      </c>
      <c r="K50" s="1247">
        <v>7.5563405779431311E-2</v>
      </c>
      <c r="L50" s="1247">
        <v>4.4365942205686903E-3</v>
      </c>
      <c r="M50" s="1248">
        <v>0</v>
      </c>
      <c r="N50" s="1249">
        <v>2.5000000000000001E-2</v>
      </c>
      <c r="O50" s="1247" t="s">
        <v>252</v>
      </c>
      <c r="P50" s="1250">
        <v>0.26</v>
      </c>
      <c r="Q50" s="1250">
        <v>0</v>
      </c>
      <c r="R50" s="1251" t="s">
        <v>145</v>
      </c>
      <c r="S50" s="1252" t="s">
        <v>365</v>
      </c>
      <c r="T50" s="1253" t="s">
        <v>254</v>
      </c>
      <c r="U50" s="1254" t="s">
        <v>255</v>
      </c>
      <c r="V50" s="1255" t="s">
        <v>148</v>
      </c>
      <c r="W50" s="1255" t="s">
        <v>149</v>
      </c>
      <c r="X50" s="1256">
        <v>60</v>
      </c>
      <c r="Y50" s="1256">
        <v>70</v>
      </c>
      <c r="Z50" s="1256">
        <v>75</v>
      </c>
      <c r="AA50" s="1257">
        <v>100000</v>
      </c>
      <c r="AB50" s="1254" t="s">
        <v>366</v>
      </c>
      <c r="AC50" s="1258">
        <v>25</v>
      </c>
      <c r="AD50" s="1259">
        <v>25</v>
      </c>
      <c r="AE50" s="1260">
        <v>50</v>
      </c>
      <c r="AF50" s="1261">
        <v>7.5</v>
      </c>
      <c r="AG50" s="1262">
        <v>17.5</v>
      </c>
      <c r="AH50" s="1261">
        <v>7.5</v>
      </c>
      <c r="AI50" s="1262">
        <v>17.5</v>
      </c>
      <c r="AJ50" s="786">
        <v>7.5563405779431311E-2</v>
      </c>
      <c r="AK50" s="787">
        <v>0</v>
      </c>
      <c r="AL50" s="788">
        <v>0</v>
      </c>
      <c r="AM50" s="789">
        <v>7.5563405779431311E-2</v>
      </c>
      <c r="AN50" s="790">
        <v>7.5563405779431311E-2</v>
      </c>
      <c r="AO50" s="786">
        <v>0</v>
      </c>
      <c r="AP50" s="787">
        <v>0</v>
      </c>
      <c r="AQ50" s="788">
        <v>4.328384605432869E-3</v>
      </c>
      <c r="AR50" s="789">
        <v>4.328384605432869E-3</v>
      </c>
      <c r="AS50" s="791">
        <v>0</v>
      </c>
      <c r="AT50" s="791">
        <v>0</v>
      </c>
      <c r="AU50" s="791">
        <v>4.4365942205686903E-3</v>
      </c>
      <c r="AV50" s="792">
        <v>4.4365942205686903E-3</v>
      </c>
      <c r="AW50" s="790">
        <v>0.08</v>
      </c>
      <c r="AX50" s="1263" t="s">
        <v>371</v>
      </c>
      <c r="AY50" s="1264">
        <v>0.08</v>
      </c>
      <c r="AZ50" s="1265">
        <v>0</v>
      </c>
      <c r="BA50" s="1266">
        <v>6.6400000000000001E-2</v>
      </c>
      <c r="BB50" s="1267"/>
      <c r="BC50" s="1268"/>
      <c r="BD50" s="1269"/>
      <c r="BE50" s="1270"/>
      <c r="BF50" s="1271">
        <v>0.08</v>
      </c>
      <c r="BG50" s="1272"/>
      <c r="BH50" s="1272"/>
      <c r="BI50" s="1272"/>
      <c r="BJ50" s="1273"/>
      <c r="BK50" s="1272"/>
      <c r="BL50" s="1272"/>
      <c r="BM50" s="1272"/>
      <c r="BN50" s="1273"/>
      <c r="BO50" s="1274">
        <v>6.6400000000000001E-2</v>
      </c>
      <c r="BP50" s="1275">
        <v>3.3333333333333333E-2</v>
      </c>
      <c r="BQ50" s="1276">
        <v>5.4666666666666662E-2</v>
      </c>
      <c r="BR50" s="1271">
        <v>0.08</v>
      </c>
      <c r="BS50" s="1274">
        <v>6.6400000000000001E-2</v>
      </c>
      <c r="BT50" s="1275">
        <v>0.04</v>
      </c>
      <c r="BU50" s="1277">
        <v>6.5599999999999992E-2</v>
      </c>
      <c r="BV50" s="1278">
        <v>0.08</v>
      </c>
      <c r="BW50" s="1279">
        <v>1.44E-2</v>
      </c>
      <c r="BX50" s="1280">
        <v>6.5600000000000006E-2</v>
      </c>
    </row>
    <row r="51" spans="1:76" s="113" customFormat="1" ht="47.25" customHeight="1" thickBot="1" x14ac:dyDescent="0.35">
      <c r="A51" s="1281"/>
      <c r="B51" s="1281"/>
      <c r="C51" s="1281"/>
      <c r="D51" s="1282"/>
      <c r="E51" s="1283"/>
      <c r="F51" s="1284"/>
      <c r="G51" s="1283"/>
      <c r="H51" s="96"/>
      <c r="I51" s="96"/>
      <c r="J51" s="1283"/>
      <c r="K51" s="1283"/>
      <c r="L51" s="1283"/>
      <c r="M51" s="1283"/>
      <c r="N51" s="1283"/>
      <c r="O51" s="1283"/>
      <c r="P51" s="1283"/>
      <c r="Q51" s="1283"/>
      <c r="R51" s="1283"/>
      <c r="S51" s="1283"/>
      <c r="T51" s="95"/>
      <c r="U51" s="96"/>
      <c r="V51" s="96"/>
      <c r="W51" s="96"/>
      <c r="X51" s="95"/>
      <c r="Y51" s="95"/>
      <c r="Z51" s="95"/>
      <c r="AA51" s="1285"/>
      <c r="AB51" s="96"/>
      <c r="AC51" s="98"/>
      <c r="AD51" s="99"/>
      <c r="AE51" s="96"/>
      <c r="AF51" s="96"/>
      <c r="AG51" s="1286"/>
      <c r="AH51" s="96"/>
      <c r="AI51" s="96"/>
      <c r="AJ51" s="1287"/>
      <c r="AK51" s="1288"/>
      <c r="AL51" s="1289"/>
      <c r="AM51" s="1290"/>
      <c r="AN51" s="1291"/>
      <c r="AO51" s="1287"/>
      <c r="AP51" s="1288"/>
      <c r="AQ51" s="1289"/>
      <c r="AR51" s="1290"/>
      <c r="AS51" s="101"/>
      <c r="AT51" s="101"/>
      <c r="AU51" s="101"/>
      <c r="AV51" s="1292"/>
      <c r="AW51" s="1292"/>
      <c r="AX51" s="1291"/>
      <c r="AY51" s="1293" t="s">
        <v>372</v>
      </c>
      <c r="AZ51" s="1294" t="s">
        <v>133</v>
      </c>
      <c r="BA51" s="1294" t="s">
        <v>133</v>
      </c>
      <c r="BB51" s="1295"/>
      <c r="BC51" s="96" t="s">
        <v>372</v>
      </c>
      <c r="BD51" s="108" t="s">
        <v>373</v>
      </c>
      <c r="BE51" s="110" t="s">
        <v>374</v>
      </c>
      <c r="BF51" s="96" t="s">
        <v>372</v>
      </c>
    </row>
    <row r="52" spans="1:76" s="94" customFormat="1" ht="81.75" customHeight="1" x14ac:dyDescent="0.3">
      <c r="A52" s="114" t="s">
        <v>375</v>
      </c>
      <c r="B52" s="115" t="s">
        <v>245</v>
      </c>
      <c r="C52" s="2296" t="s">
        <v>376</v>
      </c>
      <c r="D52" s="1296" t="s">
        <v>377</v>
      </c>
      <c r="E52" s="1297" t="s">
        <v>378</v>
      </c>
      <c r="F52" s="1298" t="s">
        <v>379</v>
      </c>
      <c r="G52" s="1299" t="s">
        <v>249</v>
      </c>
      <c r="H52" s="1300" t="s">
        <v>380</v>
      </c>
      <c r="I52" s="1300" t="s">
        <v>381</v>
      </c>
      <c r="J52" s="1301">
        <v>4.4999999999999998E-2</v>
      </c>
      <c r="K52" s="1302">
        <v>2.6999999999999996E-2</v>
      </c>
      <c r="L52" s="1302">
        <v>1.7999999999999999E-2</v>
      </c>
      <c r="M52" s="1303">
        <v>0</v>
      </c>
      <c r="N52" s="1303">
        <v>2.5000000000000001E-2</v>
      </c>
      <c r="O52" s="1302" t="s">
        <v>252</v>
      </c>
      <c r="P52" s="1304">
        <v>0.43</v>
      </c>
      <c r="Q52" s="1305">
        <v>0.15</v>
      </c>
      <c r="R52" s="1306" t="s">
        <v>382</v>
      </c>
      <c r="S52" s="1307" t="s">
        <v>365</v>
      </c>
      <c r="T52" s="638" t="s">
        <v>254</v>
      </c>
      <c r="U52" s="1308" t="s">
        <v>255</v>
      </c>
      <c r="V52" s="1309" t="s">
        <v>148</v>
      </c>
      <c r="W52" s="1309" t="s">
        <v>383</v>
      </c>
      <c r="X52" s="1310">
        <v>18</v>
      </c>
      <c r="Y52" s="1310" t="s">
        <v>384</v>
      </c>
      <c r="Z52" s="1310" t="s">
        <v>385</v>
      </c>
      <c r="AA52" s="1311">
        <v>100000</v>
      </c>
      <c r="AB52" s="1309" t="s">
        <v>257</v>
      </c>
      <c r="AC52" s="1312">
        <v>25</v>
      </c>
      <c r="AD52" s="1312">
        <v>25</v>
      </c>
      <c r="AE52" s="1313">
        <v>50</v>
      </c>
      <c r="AF52" s="1314">
        <v>7.5</v>
      </c>
      <c r="AG52" s="1315">
        <v>17.5</v>
      </c>
      <c r="AH52" s="1316">
        <v>7.5</v>
      </c>
      <c r="AI52" s="1312">
        <v>17.5</v>
      </c>
      <c r="AJ52" s="1317">
        <v>1.6469999999999999E-2</v>
      </c>
      <c r="AK52" s="1318">
        <v>1.0529999999999999E-2</v>
      </c>
      <c r="AL52" s="1319">
        <v>0</v>
      </c>
      <c r="AM52" s="650">
        <v>2.6999999999999996E-2</v>
      </c>
      <c r="AN52" s="651">
        <v>2.6999999999999996E-2</v>
      </c>
      <c r="AO52" s="647">
        <v>0</v>
      </c>
      <c r="AP52" s="648">
        <v>1.7560975609756096E-2</v>
      </c>
      <c r="AQ52" s="649">
        <v>0</v>
      </c>
      <c r="AR52" s="650">
        <v>1.7560975609756096E-2</v>
      </c>
      <c r="AS52" s="652">
        <v>0</v>
      </c>
      <c r="AT52" s="652">
        <v>1.7999999999999999E-2</v>
      </c>
      <c r="AU52" s="652">
        <v>0</v>
      </c>
      <c r="AV52" s="653">
        <v>1.7999999999999999E-2</v>
      </c>
      <c r="AW52" s="651">
        <v>4.4999999999999991E-2</v>
      </c>
      <c r="AX52" s="1320" t="s">
        <v>386</v>
      </c>
      <c r="AY52" s="1321">
        <v>8.4999999999999992E-2</v>
      </c>
      <c r="AZ52" s="1322">
        <v>0</v>
      </c>
      <c r="BA52" s="1323">
        <v>0</v>
      </c>
      <c r="BB52" s="1324"/>
      <c r="BC52" s="1325">
        <v>8.4999999999999992E-2</v>
      </c>
      <c r="BD52" s="1326">
        <v>1.7999999999999999E-2</v>
      </c>
      <c r="BE52" s="1326">
        <v>6.699999999999999E-2</v>
      </c>
      <c r="BF52" s="1325">
        <v>8.4999999999999992E-2</v>
      </c>
    </row>
    <row r="53" spans="1:76" s="94" customFormat="1" ht="80.25" customHeight="1" thickBot="1" x14ac:dyDescent="0.35">
      <c r="A53" s="151" t="s">
        <v>375</v>
      </c>
      <c r="B53" s="179" t="s">
        <v>245</v>
      </c>
      <c r="C53" s="2297"/>
      <c r="D53" s="1327" t="s">
        <v>387</v>
      </c>
      <c r="E53" s="1328" t="s">
        <v>378</v>
      </c>
      <c r="F53" s="1329" t="s">
        <v>388</v>
      </c>
      <c r="G53" s="1330" t="s">
        <v>262</v>
      </c>
      <c r="H53" s="1331" t="s">
        <v>389</v>
      </c>
      <c r="I53" s="1331" t="s">
        <v>390</v>
      </c>
      <c r="J53" s="1332">
        <v>4.4999999999999998E-2</v>
      </c>
      <c r="K53" s="1333">
        <v>2.988E-2</v>
      </c>
      <c r="L53" s="1333">
        <v>1.5120000000000003E-2</v>
      </c>
      <c r="M53" s="1334">
        <v>0</v>
      </c>
      <c r="N53" s="1335">
        <v>2.5000000000000001E-2</v>
      </c>
      <c r="O53" s="1333" t="s">
        <v>252</v>
      </c>
      <c r="P53" s="1336">
        <v>0.43</v>
      </c>
      <c r="Q53" s="1337">
        <v>0.15</v>
      </c>
      <c r="R53" s="1338" t="s">
        <v>391</v>
      </c>
      <c r="S53" s="1339" t="s">
        <v>365</v>
      </c>
      <c r="T53" s="776" t="s">
        <v>254</v>
      </c>
      <c r="U53" s="1340" t="s">
        <v>255</v>
      </c>
      <c r="V53" s="1341" t="s">
        <v>148</v>
      </c>
      <c r="W53" s="1341" t="s">
        <v>392</v>
      </c>
      <c r="X53" s="1342">
        <v>18</v>
      </c>
      <c r="Y53" s="1342" t="s">
        <v>384</v>
      </c>
      <c r="Z53" s="1342" t="s">
        <v>385</v>
      </c>
      <c r="AA53" s="1343">
        <v>100000</v>
      </c>
      <c r="AB53" s="1341" t="s">
        <v>265</v>
      </c>
      <c r="AC53" s="1344">
        <v>25</v>
      </c>
      <c r="AD53" s="1344">
        <v>25</v>
      </c>
      <c r="AE53" s="1345">
        <v>50</v>
      </c>
      <c r="AF53" s="1346">
        <v>7.5</v>
      </c>
      <c r="AG53" s="1347">
        <v>17.5</v>
      </c>
      <c r="AH53" s="1348">
        <v>7.5</v>
      </c>
      <c r="AI53" s="1344">
        <v>17.5</v>
      </c>
      <c r="AJ53" s="1317">
        <v>1.7330399999999999E-2</v>
      </c>
      <c r="AK53" s="1318">
        <v>9.8604000000000018E-3</v>
      </c>
      <c r="AL53" s="1319">
        <v>2.6892000000000001E-3</v>
      </c>
      <c r="AM53" s="650">
        <v>2.988E-2</v>
      </c>
      <c r="AN53" s="651">
        <v>2.988E-2</v>
      </c>
      <c r="AO53" s="647">
        <v>1.4751219512195126E-2</v>
      </c>
      <c r="AP53" s="648">
        <v>0</v>
      </c>
      <c r="AQ53" s="649">
        <v>0</v>
      </c>
      <c r="AR53" s="650">
        <v>1.4751219512195126E-2</v>
      </c>
      <c r="AS53" s="1349">
        <v>1.5120000000000003E-2</v>
      </c>
      <c r="AT53" s="1350">
        <v>0</v>
      </c>
      <c r="AU53" s="1350">
        <v>0</v>
      </c>
      <c r="AV53" s="1351">
        <v>1.5120000000000003E-2</v>
      </c>
      <c r="AW53" s="1352">
        <v>4.5000000000000005E-2</v>
      </c>
      <c r="AX53" s="1353" t="s">
        <v>393</v>
      </c>
      <c r="AY53" s="1354">
        <v>8.4999999999999992E-2</v>
      </c>
      <c r="AZ53" s="1355">
        <v>0</v>
      </c>
      <c r="BA53" s="1355">
        <v>0</v>
      </c>
      <c r="BB53" s="1356"/>
      <c r="BC53" s="1357">
        <v>8.4999999999999992E-2</v>
      </c>
      <c r="BD53" s="1358">
        <v>1.7999999999999999E-2</v>
      </c>
      <c r="BE53" s="1358">
        <v>6.699999999999999E-2</v>
      </c>
      <c r="BF53" s="1357">
        <v>8.4999999999999992E-2</v>
      </c>
    </row>
    <row r="54" spans="1:76" s="1372" customFormat="1" ht="60" customHeight="1" x14ac:dyDescent="0.3">
      <c r="A54" s="151" t="s">
        <v>375</v>
      </c>
      <c r="B54" s="672" t="s">
        <v>245</v>
      </c>
      <c r="C54" s="2298" t="s">
        <v>138</v>
      </c>
      <c r="D54" s="1359" t="s">
        <v>394</v>
      </c>
      <c r="E54" s="628" t="s">
        <v>378</v>
      </c>
      <c r="F54" s="1360" t="s">
        <v>395</v>
      </c>
      <c r="G54" s="1361" t="s">
        <v>249</v>
      </c>
      <c r="H54" s="631" t="s">
        <v>250</v>
      </c>
      <c r="I54" s="631" t="s">
        <v>251</v>
      </c>
      <c r="J54" s="1362">
        <v>4.4999999999999998E-2</v>
      </c>
      <c r="K54" s="1363">
        <v>2.6999999999999996E-2</v>
      </c>
      <c r="L54" s="1363">
        <v>1.7999999999999999E-2</v>
      </c>
      <c r="M54" s="1364">
        <v>0</v>
      </c>
      <c r="N54" s="1364">
        <v>2.5000000000000001E-2</v>
      </c>
      <c r="O54" s="1363" t="s">
        <v>252</v>
      </c>
      <c r="P54" s="1365">
        <v>0.43</v>
      </c>
      <c r="Q54" s="1362">
        <v>0.15</v>
      </c>
      <c r="R54" s="1366" t="s">
        <v>253</v>
      </c>
      <c r="S54" s="1367" t="s">
        <v>206</v>
      </c>
      <c r="T54" s="1368" t="s">
        <v>254</v>
      </c>
      <c r="U54" s="637" t="s">
        <v>255</v>
      </c>
      <c r="V54" s="639" t="s">
        <v>148</v>
      </c>
      <c r="W54" s="639" t="s">
        <v>256</v>
      </c>
      <c r="X54" s="640">
        <v>18</v>
      </c>
      <c r="Y54" s="640">
        <v>65</v>
      </c>
      <c r="Z54" s="640">
        <v>70</v>
      </c>
      <c r="AA54" s="641">
        <v>100000</v>
      </c>
      <c r="AB54" s="637" t="s">
        <v>257</v>
      </c>
      <c r="AC54" s="642">
        <v>25</v>
      </c>
      <c r="AD54" s="643">
        <v>25</v>
      </c>
      <c r="AE54" s="644">
        <v>50</v>
      </c>
      <c r="AF54" s="645">
        <v>7.5</v>
      </c>
      <c r="AG54" s="1369">
        <v>17.5</v>
      </c>
      <c r="AH54" s="645">
        <v>7.5</v>
      </c>
      <c r="AI54" s="646">
        <v>17.5</v>
      </c>
      <c r="AJ54" s="835">
        <v>1.6469999999999999E-2</v>
      </c>
      <c r="AK54" s="836">
        <v>1.0529999999999999E-2</v>
      </c>
      <c r="AL54" s="837">
        <v>0</v>
      </c>
      <c r="AM54" s="838">
        <v>2.6999999999999996E-2</v>
      </c>
      <c r="AN54" s="839">
        <v>2.6999999999999996E-2</v>
      </c>
      <c r="AO54" s="835">
        <v>0</v>
      </c>
      <c r="AP54" s="836">
        <v>1.7560975609756096E-2</v>
      </c>
      <c r="AQ54" s="837">
        <v>0</v>
      </c>
      <c r="AR54" s="838">
        <v>1.7560975609756096E-2</v>
      </c>
      <c r="AS54" s="652">
        <v>0</v>
      </c>
      <c r="AT54" s="652">
        <v>1.7999999999999999E-2</v>
      </c>
      <c r="AU54" s="652">
        <v>0</v>
      </c>
      <c r="AV54" s="653">
        <v>1.7999999999999999E-2</v>
      </c>
      <c r="AW54" s="651">
        <v>4.4999999999999991E-2</v>
      </c>
      <c r="AX54" s="654" t="s">
        <v>396</v>
      </c>
      <c r="AY54" s="1370">
        <v>8.4999999999999992E-2</v>
      </c>
      <c r="AZ54" s="1371">
        <v>0</v>
      </c>
      <c r="BA54" s="1371">
        <v>0</v>
      </c>
      <c r="BB54" s="657"/>
      <c r="BC54" s="664">
        <v>8.4999999999999992E-2</v>
      </c>
      <c r="BD54" s="665">
        <v>1.7999999999999999E-2</v>
      </c>
      <c r="BE54" s="666">
        <v>6.699999999999999E-2</v>
      </c>
      <c r="BF54" s="664">
        <v>8.4999999999999992E-2</v>
      </c>
    </row>
    <row r="55" spans="1:76" s="1372" customFormat="1" ht="60" customHeight="1" x14ac:dyDescent="0.3">
      <c r="A55" s="151" t="s">
        <v>375</v>
      </c>
      <c r="B55" s="672" t="s">
        <v>245</v>
      </c>
      <c r="C55" s="2286"/>
      <c r="D55" s="1373" t="s">
        <v>397</v>
      </c>
      <c r="E55" s="674" t="s">
        <v>378</v>
      </c>
      <c r="F55" s="675" t="s">
        <v>398</v>
      </c>
      <c r="G55" s="676" t="s">
        <v>262</v>
      </c>
      <c r="H55" s="677" t="s">
        <v>263</v>
      </c>
      <c r="I55" s="677" t="s">
        <v>264</v>
      </c>
      <c r="J55" s="678">
        <v>4.4999999999999998E-2</v>
      </c>
      <c r="K55" s="679">
        <v>2.988E-2</v>
      </c>
      <c r="L55" s="679">
        <v>1.5120000000000003E-2</v>
      </c>
      <c r="M55" s="680">
        <v>0</v>
      </c>
      <c r="N55" s="681">
        <v>2.5000000000000001E-2</v>
      </c>
      <c r="O55" s="679" t="s">
        <v>252</v>
      </c>
      <c r="P55" s="682">
        <v>0.43</v>
      </c>
      <c r="Q55" s="678">
        <v>0.15</v>
      </c>
      <c r="R55" s="683" t="s">
        <v>145</v>
      </c>
      <c r="S55" s="684" t="s">
        <v>206</v>
      </c>
      <c r="T55" s="685" t="s">
        <v>254</v>
      </c>
      <c r="U55" s="686" t="s">
        <v>255</v>
      </c>
      <c r="V55" s="687" t="s">
        <v>148</v>
      </c>
      <c r="W55" s="687" t="s">
        <v>149</v>
      </c>
      <c r="X55" s="688">
        <v>18</v>
      </c>
      <c r="Y55" s="688">
        <v>65</v>
      </c>
      <c r="Z55" s="688">
        <v>70</v>
      </c>
      <c r="AA55" s="689">
        <v>100000</v>
      </c>
      <c r="AB55" s="686" t="s">
        <v>265</v>
      </c>
      <c r="AC55" s="690">
        <v>25</v>
      </c>
      <c r="AD55" s="691">
        <v>25</v>
      </c>
      <c r="AE55" s="692">
        <v>50</v>
      </c>
      <c r="AF55" s="693">
        <v>7.5</v>
      </c>
      <c r="AG55" s="694">
        <v>17.5</v>
      </c>
      <c r="AH55" s="693">
        <v>7.5</v>
      </c>
      <c r="AI55" s="694">
        <v>17.5</v>
      </c>
      <c r="AJ55" s="647">
        <v>1.7330399999999999E-2</v>
      </c>
      <c r="AK55" s="648">
        <v>9.8604000000000018E-3</v>
      </c>
      <c r="AL55" s="649">
        <v>2.6892000000000001E-3</v>
      </c>
      <c r="AM55" s="650">
        <v>2.988E-2</v>
      </c>
      <c r="AN55" s="651">
        <v>2.988E-2</v>
      </c>
      <c r="AO55" s="647">
        <v>1.4751219512195126E-2</v>
      </c>
      <c r="AP55" s="648">
        <v>0</v>
      </c>
      <c r="AQ55" s="649">
        <v>0</v>
      </c>
      <c r="AR55" s="650">
        <v>1.4751219512195126E-2</v>
      </c>
      <c r="AS55" s="652">
        <v>1.5120000000000003E-2</v>
      </c>
      <c r="AT55" s="652">
        <v>0</v>
      </c>
      <c r="AU55" s="652">
        <v>0</v>
      </c>
      <c r="AV55" s="653">
        <v>1.5120000000000003E-2</v>
      </c>
      <c r="AW55" s="651">
        <v>4.5000000000000005E-2</v>
      </c>
      <c r="AX55" s="695" t="s">
        <v>399</v>
      </c>
      <c r="AY55" s="1374">
        <v>8.4999999999999992E-2</v>
      </c>
      <c r="AZ55" s="1375">
        <v>0</v>
      </c>
      <c r="BA55" s="1375">
        <v>0</v>
      </c>
      <c r="BB55" s="657"/>
      <c r="BC55" s="705">
        <v>8.4999999999999992E-2</v>
      </c>
      <c r="BD55" s="706">
        <v>1.7999999999999999E-2</v>
      </c>
      <c r="BE55" s="707">
        <v>6.699999999999999E-2</v>
      </c>
      <c r="BF55" s="705">
        <v>8.4999999999999992E-2</v>
      </c>
    </row>
    <row r="56" spans="1:76" ht="60" customHeight="1" x14ac:dyDescent="0.3">
      <c r="A56" s="151" t="s">
        <v>375</v>
      </c>
      <c r="B56" s="672" t="s">
        <v>245</v>
      </c>
      <c r="C56" s="2286"/>
      <c r="D56" s="1376" t="s">
        <v>400</v>
      </c>
      <c r="E56" s="714" t="s">
        <v>401</v>
      </c>
      <c r="F56" s="715" t="s">
        <v>402</v>
      </c>
      <c r="G56" s="716" t="s">
        <v>249</v>
      </c>
      <c r="H56" s="717" t="s">
        <v>250</v>
      </c>
      <c r="I56" s="717" t="s">
        <v>251</v>
      </c>
      <c r="J56" s="718">
        <v>0.06</v>
      </c>
      <c r="K56" s="719">
        <v>3.5999999999999997E-2</v>
      </c>
      <c r="L56" s="719">
        <v>2.3999999999999997E-2</v>
      </c>
      <c r="M56" s="720">
        <v>0</v>
      </c>
      <c r="N56" s="721">
        <v>2.5000000000000001E-2</v>
      </c>
      <c r="O56" s="719" t="s">
        <v>252</v>
      </c>
      <c r="P56" s="722">
        <v>0.43</v>
      </c>
      <c r="Q56" s="718">
        <v>0.15</v>
      </c>
      <c r="R56" s="723" t="s">
        <v>145</v>
      </c>
      <c r="S56" s="724" t="s">
        <v>270</v>
      </c>
      <c r="T56" s="685" t="s">
        <v>254</v>
      </c>
      <c r="U56" s="725" t="s">
        <v>255</v>
      </c>
      <c r="V56" s="726" t="s">
        <v>148</v>
      </c>
      <c r="W56" s="726" t="s">
        <v>256</v>
      </c>
      <c r="X56" s="727">
        <v>18</v>
      </c>
      <c r="Y56" s="727">
        <v>65</v>
      </c>
      <c r="Z56" s="727">
        <v>70</v>
      </c>
      <c r="AA56" s="728">
        <v>100000</v>
      </c>
      <c r="AB56" s="725" t="s">
        <v>257</v>
      </c>
      <c r="AC56" s="729">
        <v>25</v>
      </c>
      <c r="AD56" s="730">
        <v>25</v>
      </c>
      <c r="AE56" s="731">
        <v>50</v>
      </c>
      <c r="AF56" s="732">
        <v>7.5</v>
      </c>
      <c r="AG56" s="733">
        <v>17.5</v>
      </c>
      <c r="AH56" s="732">
        <v>7.5</v>
      </c>
      <c r="AI56" s="733">
        <v>17.5</v>
      </c>
      <c r="AJ56" s="647">
        <v>2.1959999999999997E-2</v>
      </c>
      <c r="AK56" s="648">
        <v>1.4039999999999999E-2</v>
      </c>
      <c r="AL56" s="649">
        <v>0</v>
      </c>
      <c r="AM56" s="650">
        <v>3.5999999999999997E-2</v>
      </c>
      <c r="AN56" s="651">
        <v>3.5999999999999997E-2</v>
      </c>
      <c r="AO56" s="647">
        <v>0</v>
      </c>
      <c r="AP56" s="648">
        <v>2.3414634146341463E-2</v>
      </c>
      <c r="AQ56" s="649">
        <v>0</v>
      </c>
      <c r="AR56" s="650">
        <v>2.3414634146341463E-2</v>
      </c>
      <c r="AS56" s="652">
        <v>0</v>
      </c>
      <c r="AT56" s="652">
        <v>2.3999999999999997E-2</v>
      </c>
      <c r="AU56" s="652">
        <v>0</v>
      </c>
      <c r="AV56" s="653">
        <v>2.3999999999999997E-2</v>
      </c>
      <c r="AW56" s="651">
        <v>0.06</v>
      </c>
      <c r="AX56" s="654" t="s">
        <v>403</v>
      </c>
      <c r="AY56" s="1370">
        <v>7.3700000000000002E-2</v>
      </c>
      <c r="AZ56" s="1371">
        <v>0</v>
      </c>
      <c r="BA56" s="1371">
        <v>0</v>
      </c>
      <c r="BB56" s="657"/>
      <c r="BC56" s="740">
        <v>7.3700000000000002E-2</v>
      </c>
      <c r="BD56" s="741">
        <v>1.7999999999999999E-2</v>
      </c>
      <c r="BE56" s="742">
        <v>5.5700000000000006E-2</v>
      </c>
      <c r="BF56" s="740">
        <v>7.3700000000000002E-2</v>
      </c>
    </row>
    <row r="57" spans="1:76" ht="60" customHeight="1" x14ac:dyDescent="0.3">
      <c r="A57" s="151" t="s">
        <v>375</v>
      </c>
      <c r="B57" s="672" t="s">
        <v>245</v>
      </c>
      <c r="C57" s="2286"/>
      <c r="D57" s="1377" t="s">
        <v>404</v>
      </c>
      <c r="E57" s="747" t="s">
        <v>401</v>
      </c>
      <c r="F57" s="748" t="s">
        <v>405</v>
      </c>
      <c r="G57" s="749" t="s">
        <v>262</v>
      </c>
      <c r="H57" s="677" t="s">
        <v>263</v>
      </c>
      <c r="I57" s="677" t="s">
        <v>264</v>
      </c>
      <c r="J57" s="750">
        <v>0.06</v>
      </c>
      <c r="K57" s="751">
        <v>3.984E-2</v>
      </c>
      <c r="L57" s="751">
        <v>2.0160000000000001E-2</v>
      </c>
      <c r="M57" s="752">
        <v>0</v>
      </c>
      <c r="N57" s="753">
        <v>2.5000000000000001E-2</v>
      </c>
      <c r="O57" s="751" t="s">
        <v>252</v>
      </c>
      <c r="P57" s="754">
        <v>0.43</v>
      </c>
      <c r="Q57" s="750">
        <v>0.15</v>
      </c>
      <c r="R57" s="755" t="s">
        <v>145</v>
      </c>
      <c r="S57" s="756" t="s">
        <v>270</v>
      </c>
      <c r="T57" s="685" t="s">
        <v>254</v>
      </c>
      <c r="U57" s="686" t="s">
        <v>255</v>
      </c>
      <c r="V57" s="687" t="s">
        <v>148</v>
      </c>
      <c r="W57" s="687" t="s">
        <v>149</v>
      </c>
      <c r="X57" s="688">
        <v>18</v>
      </c>
      <c r="Y57" s="688">
        <v>65</v>
      </c>
      <c r="Z57" s="688">
        <v>70</v>
      </c>
      <c r="AA57" s="689">
        <v>100000</v>
      </c>
      <c r="AB57" s="686" t="s">
        <v>265</v>
      </c>
      <c r="AC57" s="690">
        <v>25</v>
      </c>
      <c r="AD57" s="691">
        <v>25</v>
      </c>
      <c r="AE57" s="692">
        <v>50</v>
      </c>
      <c r="AF57" s="693">
        <v>7.5</v>
      </c>
      <c r="AG57" s="694">
        <v>17.5</v>
      </c>
      <c r="AH57" s="693">
        <v>7.5</v>
      </c>
      <c r="AI57" s="694">
        <v>17.5</v>
      </c>
      <c r="AJ57" s="647">
        <v>2.3107199999999998E-2</v>
      </c>
      <c r="AK57" s="648">
        <v>1.3147200000000001E-2</v>
      </c>
      <c r="AL57" s="649">
        <v>3.5856E-3</v>
      </c>
      <c r="AM57" s="650">
        <v>3.984E-2</v>
      </c>
      <c r="AN57" s="651">
        <v>3.984E-2</v>
      </c>
      <c r="AO57" s="647">
        <v>1.966829268292683E-2</v>
      </c>
      <c r="AP57" s="648">
        <v>0</v>
      </c>
      <c r="AQ57" s="649">
        <v>0</v>
      </c>
      <c r="AR57" s="650">
        <v>1.966829268292683E-2</v>
      </c>
      <c r="AS57" s="652">
        <v>2.0160000000000001E-2</v>
      </c>
      <c r="AT57" s="652">
        <v>0</v>
      </c>
      <c r="AU57" s="652">
        <v>0</v>
      </c>
      <c r="AV57" s="653">
        <v>2.0160000000000001E-2</v>
      </c>
      <c r="AW57" s="651">
        <v>0.06</v>
      </c>
      <c r="AX57" s="695" t="s">
        <v>406</v>
      </c>
      <c r="AY57" s="1374">
        <v>7.3700000000000002E-2</v>
      </c>
      <c r="AZ57" s="1375">
        <v>0</v>
      </c>
      <c r="BA57" s="1375">
        <v>0</v>
      </c>
      <c r="BB57" s="657"/>
      <c r="BC57" s="705">
        <v>7.3700000000000002E-2</v>
      </c>
      <c r="BD57" s="706">
        <v>1.7999999999999999E-2</v>
      </c>
      <c r="BE57" s="707">
        <v>5.5700000000000006E-2</v>
      </c>
      <c r="BF57" s="705">
        <v>7.3700000000000002E-2</v>
      </c>
    </row>
    <row r="58" spans="1:76" ht="60" customHeight="1" x14ac:dyDescent="0.3">
      <c r="A58" s="151" t="s">
        <v>375</v>
      </c>
      <c r="B58" s="672" t="s">
        <v>245</v>
      </c>
      <c r="C58" s="2286"/>
      <c r="D58" s="1376" t="s">
        <v>407</v>
      </c>
      <c r="E58" s="714" t="s">
        <v>408</v>
      </c>
      <c r="F58" s="715" t="s">
        <v>409</v>
      </c>
      <c r="G58" s="716" t="s">
        <v>249</v>
      </c>
      <c r="H58" s="717" t="s">
        <v>250</v>
      </c>
      <c r="I58" s="717" t="s">
        <v>251</v>
      </c>
      <c r="J58" s="718">
        <v>0.08</v>
      </c>
      <c r="K58" s="719">
        <v>4.8000000000000001E-2</v>
      </c>
      <c r="L58" s="719">
        <v>3.2000000000000001E-2</v>
      </c>
      <c r="M58" s="720">
        <v>0</v>
      </c>
      <c r="N58" s="721">
        <v>2.5000000000000001E-2</v>
      </c>
      <c r="O58" s="719" t="s">
        <v>252</v>
      </c>
      <c r="P58" s="722">
        <v>0.43</v>
      </c>
      <c r="Q58" s="718">
        <v>0.15</v>
      </c>
      <c r="R58" s="723" t="s">
        <v>145</v>
      </c>
      <c r="S58" s="724" t="s">
        <v>279</v>
      </c>
      <c r="T58" s="685" t="s">
        <v>254</v>
      </c>
      <c r="U58" s="725" t="s">
        <v>255</v>
      </c>
      <c r="V58" s="726" t="s">
        <v>148</v>
      </c>
      <c r="W58" s="726" t="s">
        <v>256</v>
      </c>
      <c r="X58" s="727">
        <v>18</v>
      </c>
      <c r="Y58" s="727">
        <v>65</v>
      </c>
      <c r="Z58" s="727">
        <v>70</v>
      </c>
      <c r="AA58" s="728">
        <v>100000</v>
      </c>
      <c r="AB58" s="725" t="s">
        <v>257</v>
      </c>
      <c r="AC58" s="729">
        <v>25</v>
      </c>
      <c r="AD58" s="730">
        <v>25</v>
      </c>
      <c r="AE58" s="731">
        <v>50</v>
      </c>
      <c r="AF58" s="732">
        <v>7.5</v>
      </c>
      <c r="AG58" s="733">
        <v>17.5</v>
      </c>
      <c r="AH58" s="732">
        <v>7.5</v>
      </c>
      <c r="AI58" s="733">
        <v>17.5</v>
      </c>
      <c r="AJ58" s="647">
        <v>2.9279999999999997E-2</v>
      </c>
      <c r="AK58" s="648">
        <v>1.8720000000000001E-2</v>
      </c>
      <c r="AL58" s="649">
        <v>0</v>
      </c>
      <c r="AM58" s="650">
        <v>4.8000000000000001E-2</v>
      </c>
      <c r="AN58" s="651">
        <v>4.8000000000000001E-2</v>
      </c>
      <c r="AO58" s="647">
        <v>0</v>
      </c>
      <c r="AP58" s="648">
        <v>3.1219512195121958E-2</v>
      </c>
      <c r="AQ58" s="649">
        <v>0</v>
      </c>
      <c r="AR58" s="650">
        <v>3.1219512195121958E-2</v>
      </c>
      <c r="AS58" s="652">
        <v>0</v>
      </c>
      <c r="AT58" s="652">
        <v>3.2000000000000001E-2</v>
      </c>
      <c r="AU58" s="652">
        <v>0</v>
      </c>
      <c r="AV58" s="653">
        <v>3.2000000000000001E-2</v>
      </c>
      <c r="AW58" s="651">
        <v>8.0000000000000016E-2</v>
      </c>
      <c r="AX58" s="654" t="s">
        <v>410</v>
      </c>
      <c r="AY58" s="1370">
        <v>6.6000000000000003E-2</v>
      </c>
      <c r="AZ58" s="1371">
        <v>0</v>
      </c>
      <c r="BA58" s="1371">
        <v>0</v>
      </c>
      <c r="BB58" s="657"/>
      <c r="BC58" s="740">
        <v>6.6000000000000003E-2</v>
      </c>
      <c r="BD58" s="741">
        <v>1.7999999999999999E-2</v>
      </c>
      <c r="BE58" s="742">
        <v>4.8000000000000001E-2</v>
      </c>
      <c r="BF58" s="740">
        <v>6.6000000000000003E-2</v>
      </c>
    </row>
    <row r="59" spans="1:76" ht="60" customHeight="1" x14ac:dyDescent="0.3">
      <c r="A59" s="151" t="s">
        <v>375</v>
      </c>
      <c r="B59" s="672" t="s">
        <v>245</v>
      </c>
      <c r="C59" s="2286"/>
      <c r="D59" s="1377" t="s">
        <v>411</v>
      </c>
      <c r="E59" s="747" t="s">
        <v>408</v>
      </c>
      <c r="F59" s="748" t="s">
        <v>412</v>
      </c>
      <c r="G59" s="749" t="s">
        <v>262</v>
      </c>
      <c r="H59" s="677" t="s">
        <v>263</v>
      </c>
      <c r="I59" s="677" t="s">
        <v>264</v>
      </c>
      <c r="J59" s="750">
        <v>0.08</v>
      </c>
      <c r="K59" s="751">
        <v>5.3120000000000001E-2</v>
      </c>
      <c r="L59" s="751">
        <v>2.6880000000000001E-2</v>
      </c>
      <c r="M59" s="752">
        <v>0</v>
      </c>
      <c r="N59" s="753">
        <v>2.5000000000000001E-2</v>
      </c>
      <c r="O59" s="751" t="s">
        <v>252</v>
      </c>
      <c r="P59" s="754">
        <v>0.43</v>
      </c>
      <c r="Q59" s="750">
        <v>0.15</v>
      </c>
      <c r="R59" s="755" t="s">
        <v>145</v>
      </c>
      <c r="S59" s="756" t="s">
        <v>279</v>
      </c>
      <c r="T59" s="685" t="s">
        <v>254</v>
      </c>
      <c r="U59" s="686" t="s">
        <v>255</v>
      </c>
      <c r="V59" s="687" t="s">
        <v>148</v>
      </c>
      <c r="W59" s="687" t="s">
        <v>149</v>
      </c>
      <c r="X59" s="688">
        <v>18</v>
      </c>
      <c r="Y59" s="688">
        <v>65</v>
      </c>
      <c r="Z59" s="688">
        <v>70</v>
      </c>
      <c r="AA59" s="689">
        <v>100000</v>
      </c>
      <c r="AB59" s="686" t="s">
        <v>265</v>
      </c>
      <c r="AC59" s="690">
        <v>25</v>
      </c>
      <c r="AD59" s="691">
        <v>25</v>
      </c>
      <c r="AE59" s="692">
        <v>50</v>
      </c>
      <c r="AF59" s="693">
        <v>7.5</v>
      </c>
      <c r="AG59" s="694">
        <v>17.5</v>
      </c>
      <c r="AH59" s="693">
        <v>7.5</v>
      </c>
      <c r="AI59" s="694">
        <v>17.5</v>
      </c>
      <c r="AJ59" s="647">
        <v>3.0809599999999999E-2</v>
      </c>
      <c r="AK59" s="648">
        <v>1.7529599999999999E-2</v>
      </c>
      <c r="AL59" s="649">
        <v>4.7808E-3</v>
      </c>
      <c r="AM59" s="650">
        <v>5.3120000000000001E-2</v>
      </c>
      <c r="AN59" s="651">
        <v>5.3120000000000001E-2</v>
      </c>
      <c r="AO59" s="647">
        <v>2.6224390243902444E-2</v>
      </c>
      <c r="AP59" s="648">
        <v>0</v>
      </c>
      <c r="AQ59" s="649">
        <v>0</v>
      </c>
      <c r="AR59" s="650">
        <v>2.6224390243902444E-2</v>
      </c>
      <c r="AS59" s="652">
        <v>2.6880000000000001E-2</v>
      </c>
      <c r="AT59" s="652">
        <v>0</v>
      </c>
      <c r="AU59" s="652">
        <v>0</v>
      </c>
      <c r="AV59" s="653">
        <v>2.6880000000000001E-2</v>
      </c>
      <c r="AW59" s="651">
        <v>0.08</v>
      </c>
      <c r="AX59" s="695" t="s">
        <v>413</v>
      </c>
      <c r="AY59" s="1374">
        <v>6.6000000000000003E-2</v>
      </c>
      <c r="AZ59" s="1375">
        <v>0</v>
      </c>
      <c r="BA59" s="1375">
        <v>0</v>
      </c>
      <c r="BB59" s="657"/>
      <c r="BC59" s="705">
        <v>6.6000000000000003E-2</v>
      </c>
      <c r="BD59" s="706">
        <v>1.7999999999999999E-2</v>
      </c>
      <c r="BE59" s="707">
        <v>4.8000000000000001E-2</v>
      </c>
      <c r="BF59" s="705">
        <v>6.6000000000000003E-2</v>
      </c>
    </row>
    <row r="60" spans="1:76" ht="60" customHeight="1" x14ac:dyDescent="0.3">
      <c r="A60" s="151" t="s">
        <v>375</v>
      </c>
      <c r="B60" s="672" t="s">
        <v>245</v>
      </c>
      <c r="C60" s="2286"/>
      <c r="D60" s="1376" t="s">
        <v>414</v>
      </c>
      <c r="E60" s="714" t="s">
        <v>415</v>
      </c>
      <c r="F60" s="715" t="s">
        <v>416</v>
      </c>
      <c r="G60" s="716" t="s">
        <v>249</v>
      </c>
      <c r="H60" s="717" t="s">
        <v>250</v>
      </c>
      <c r="I60" s="717" t="s">
        <v>251</v>
      </c>
      <c r="J60" s="718">
        <v>0.1</v>
      </c>
      <c r="K60" s="719">
        <v>6.0000000000000012E-2</v>
      </c>
      <c r="L60" s="719">
        <v>4.0000000000000008E-2</v>
      </c>
      <c r="M60" s="720">
        <v>0</v>
      </c>
      <c r="N60" s="721">
        <v>2.5000000000000001E-2</v>
      </c>
      <c r="O60" s="719" t="s">
        <v>252</v>
      </c>
      <c r="P60" s="722">
        <v>0.43</v>
      </c>
      <c r="Q60" s="718">
        <v>0.15</v>
      </c>
      <c r="R60" s="723" t="s">
        <v>145</v>
      </c>
      <c r="S60" s="724" t="s">
        <v>288</v>
      </c>
      <c r="T60" s="685" t="s">
        <v>254</v>
      </c>
      <c r="U60" s="725" t="s">
        <v>255</v>
      </c>
      <c r="V60" s="726" t="s">
        <v>148</v>
      </c>
      <c r="W60" s="726" t="s">
        <v>256</v>
      </c>
      <c r="X60" s="727">
        <v>18</v>
      </c>
      <c r="Y60" s="727">
        <v>65</v>
      </c>
      <c r="Z60" s="727">
        <v>70</v>
      </c>
      <c r="AA60" s="728">
        <v>100000</v>
      </c>
      <c r="AB60" s="725" t="s">
        <v>257</v>
      </c>
      <c r="AC60" s="729">
        <v>25</v>
      </c>
      <c r="AD60" s="730">
        <v>25</v>
      </c>
      <c r="AE60" s="731">
        <v>50</v>
      </c>
      <c r="AF60" s="732">
        <v>7.5</v>
      </c>
      <c r="AG60" s="733">
        <v>17.5</v>
      </c>
      <c r="AH60" s="732">
        <v>7.5</v>
      </c>
      <c r="AI60" s="733">
        <v>17.5</v>
      </c>
      <c r="AJ60" s="647">
        <v>3.6600000000000008E-2</v>
      </c>
      <c r="AK60" s="648">
        <v>2.3400000000000008E-2</v>
      </c>
      <c r="AL60" s="649">
        <v>0</v>
      </c>
      <c r="AM60" s="650">
        <v>6.0000000000000012E-2</v>
      </c>
      <c r="AN60" s="651">
        <v>6.0000000000000012E-2</v>
      </c>
      <c r="AO60" s="647">
        <v>0</v>
      </c>
      <c r="AP60" s="648">
        <v>3.9024390243902453E-2</v>
      </c>
      <c r="AQ60" s="649">
        <v>0</v>
      </c>
      <c r="AR60" s="650">
        <v>3.9024390243902453E-2</v>
      </c>
      <c r="AS60" s="652">
        <v>0</v>
      </c>
      <c r="AT60" s="652">
        <v>4.0000000000000008E-2</v>
      </c>
      <c r="AU60" s="652">
        <v>0</v>
      </c>
      <c r="AV60" s="653">
        <v>4.0000000000000008E-2</v>
      </c>
      <c r="AW60" s="651">
        <v>0.10000000000000002</v>
      </c>
      <c r="AX60" s="654" t="s">
        <v>417</v>
      </c>
      <c r="AY60" s="1370">
        <v>6.6000000000000003E-2</v>
      </c>
      <c r="AZ60" s="1371">
        <v>0</v>
      </c>
      <c r="BA60" s="1371">
        <v>0</v>
      </c>
      <c r="BB60" s="657"/>
      <c r="BC60" s="740">
        <v>6.6000000000000003E-2</v>
      </c>
      <c r="BD60" s="741">
        <v>1.7999999999999999E-2</v>
      </c>
      <c r="BE60" s="742">
        <v>4.8000000000000001E-2</v>
      </c>
      <c r="BF60" s="740">
        <v>6.6000000000000003E-2</v>
      </c>
    </row>
    <row r="61" spans="1:76" ht="60" customHeight="1" thickBot="1" x14ac:dyDescent="0.35">
      <c r="A61" s="151" t="s">
        <v>375</v>
      </c>
      <c r="B61" s="672" t="s">
        <v>245</v>
      </c>
      <c r="C61" s="2287"/>
      <c r="D61" s="1378" t="s">
        <v>418</v>
      </c>
      <c r="E61" s="1379" t="s">
        <v>415</v>
      </c>
      <c r="F61" s="765" t="s">
        <v>419</v>
      </c>
      <c r="G61" s="766" t="s">
        <v>262</v>
      </c>
      <c r="H61" s="767" t="s">
        <v>263</v>
      </c>
      <c r="I61" s="768" t="s">
        <v>264</v>
      </c>
      <c r="J61" s="769">
        <v>0.1</v>
      </c>
      <c r="K61" s="770">
        <v>6.6400000000000001E-2</v>
      </c>
      <c r="L61" s="770">
        <v>3.3599999999999998E-2</v>
      </c>
      <c r="M61" s="771">
        <v>0</v>
      </c>
      <c r="N61" s="772">
        <v>2.5000000000000001E-2</v>
      </c>
      <c r="O61" s="770" t="s">
        <v>252</v>
      </c>
      <c r="P61" s="773">
        <v>0.43</v>
      </c>
      <c r="Q61" s="769">
        <v>0.15</v>
      </c>
      <c r="R61" s="774" t="s">
        <v>145</v>
      </c>
      <c r="S61" s="775" t="s">
        <v>288</v>
      </c>
      <c r="T61" s="776" t="s">
        <v>254</v>
      </c>
      <c r="U61" s="777" t="s">
        <v>255</v>
      </c>
      <c r="V61" s="778" t="s">
        <v>148</v>
      </c>
      <c r="W61" s="778" t="s">
        <v>149</v>
      </c>
      <c r="X61" s="779">
        <v>18</v>
      </c>
      <c r="Y61" s="779">
        <v>65</v>
      </c>
      <c r="Z61" s="779">
        <v>70</v>
      </c>
      <c r="AA61" s="780">
        <v>100000</v>
      </c>
      <c r="AB61" s="777" t="s">
        <v>265</v>
      </c>
      <c r="AC61" s="781">
        <v>25</v>
      </c>
      <c r="AD61" s="782">
        <v>25</v>
      </c>
      <c r="AE61" s="783">
        <v>50</v>
      </c>
      <c r="AF61" s="784">
        <v>7.5</v>
      </c>
      <c r="AG61" s="785">
        <v>17.5</v>
      </c>
      <c r="AH61" s="784">
        <v>7.5</v>
      </c>
      <c r="AI61" s="785">
        <v>17.5</v>
      </c>
      <c r="AJ61" s="786">
        <v>3.8511999999999998E-2</v>
      </c>
      <c r="AK61" s="787">
        <v>2.1912000000000001E-2</v>
      </c>
      <c r="AL61" s="788">
        <v>5.9759999999999995E-3</v>
      </c>
      <c r="AM61" s="789">
        <v>6.6400000000000001E-2</v>
      </c>
      <c r="AN61" s="790">
        <v>6.6400000000000001E-2</v>
      </c>
      <c r="AO61" s="786">
        <v>3.278048780487805E-2</v>
      </c>
      <c r="AP61" s="787">
        <v>0</v>
      </c>
      <c r="AQ61" s="788">
        <v>0</v>
      </c>
      <c r="AR61" s="789">
        <v>3.278048780487805E-2</v>
      </c>
      <c r="AS61" s="791">
        <v>3.3599999999999998E-2</v>
      </c>
      <c r="AT61" s="791">
        <v>0</v>
      </c>
      <c r="AU61" s="791">
        <v>0</v>
      </c>
      <c r="AV61" s="792">
        <v>3.3599999999999998E-2</v>
      </c>
      <c r="AW61" s="790">
        <v>0.1</v>
      </c>
      <c r="AX61" s="793" t="s">
        <v>420</v>
      </c>
      <c r="AY61" s="1380">
        <v>6.6000000000000003E-2</v>
      </c>
      <c r="AZ61" s="1381">
        <v>0</v>
      </c>
      <c r="BA61" s="1381">
        <v>0</v>
      </c>
      <c r="BB61" s="797"/>
      <c r="BC61" s="803">
        <v>6.6000000000000003E-2</v>
      </c>
      <c r="BD61" s="804">
        <v>1.7999999999999999E-2</v>
      </c>
      <c r="BE61" s="805">
        <v>4.8000000000000001E-2</v>
      </c>
      <c r="BF61" s="803">
        <v>6.6000000000000003E-2</v>
      </c>
    </row>
    <row r="62" spans="1:76" ht="60" customHeight="1" x14ac:dyDescent="0.3">
      <c r="A62" s="151" t="s">
        <v>375</v>
      </c>
      <c r="B62" s="672" t="s">
        <v>245</v>
      </c>
      <c r="C62" s="2288" t="s">
        <v>168</v>
      </c>
      <c r="D62" s="1382" t="s">
        <v>421</v>
      </c>
      <c r="E62" s="1383" t="s">
        <v>422</v>
      </c>
      <c r="F62" s="812" t="s">
        <v>423</v>
      </c>
      <c r="G62" s="813" t="s">
        <v>249</v>
      </c>
      <c r="H62" s="814" t="s">
        <v>250</v>
      </c>
      <c r="I62" s="815" t="s">
        <v>251</v>
      </c>
      <c r="J62" s="816">
        <v>4.4999999999999998E-2</v>
      </c>
      <c r="K62" s="817">
        <v>2.5874999999999995E-2</v>
      </c>
      <c r="L62" s="817">
        <v>1.9124999999999996E-2</v>
      </c>
      <c r="M62" s="818">
        <v>0</v>
      </c>
      <c r="N62" s="819">
        <v>2.5000000000000001E-2</v>
      </c>
      <c r="O62" s="817" t="s">
        <v>252</v>
      </c>
      <c r="P62" s="820">
        <v>0.44900000000000001</v>
      </c>
      <c r="Q62" s="820">
        <v>0.15</v>
      </c>
      <c r="R62" s="821" t="s">
        <v>145</v>
      </c>
      <c r="S62" s="822" t="s">
        <v>297</v>
      </c>
      <c r="T62" s="823" t="s">
        <v>254</v>
      </c>
      <c r="U62" s="824" t="s">
        <v>255</v>
      </c>
      <c r="V62" s="825" t="s">
        <v>148</v>
      </c>
      <c r="W62" s="825" t="s">
        <v>256</v>
      </c>
      <c r="X62" s="826">
        <v>18</v>
      </c>
      <c r="Y62" s="826">
        <v>65</v>
      </c>
      <c r="Z62" s="826">
        <v>72</v>
      </c>
      <c r="AA62" s="827">
        <v>100000</v>
      </c>
      <c r="AB62" s="828" t="s">
        <v>257</v>
      </c>
      <c r="AC62" s="829">
        <v>25</v>
      </c>
      <c r="AD62" s="830">
        <v>25</v>
      </c>
      <c r="AE62" s="831">
        <v>50</v>
      </c>
      <c r="AF62" s="832">
        <v>7.5</v>
      </c>
      <c r="AG62" s="833">
        <v>17.5</v>
      </c>
      <c r="AH62" s="832">
        <v>7.5</v>
      </c>
      <c r="AI62" s="834">
        <v>17.5</v>
      </c>
      <c r="AJ62" s="835">
        <v>1.5783749999999996E-2</v>
      </c>
      <c r="AK62" s="836">
        <v>1.0091249999999998E-2</v>
      </c>
      <c r="AL62" s="837">
        <v>0</v>
      </c>
      <c r="AM62" s="838">
        <v>2.5874999999999995E-2</v>
      </c>
      <c r="AN62" s="839">
        <v>2.5874999999999995E-2</v>
      </c>
      <c r="AO62" s="835">
        <v>0</v>
      </c>
      <c r="AP62" s="836">
        <v>1.8658536585365853E-2</v>
      </c>
      <c r="AQ62" s="837">
        <v>0</v>
      </c>
      <c r="AR62" s="838">
        <v>1.8658536585365853E-2</v>
      </c>
      <c r="AS62" s="652">
        <v>0</v>
      </c>
      <c r="AT62" s="652">
        <v>1.9124999999999996E-2</v>
      </c>
      <c r="AU62" s="652">
        <v>0</v>
      </c>
      <c r="AV62" s="653">
        <v>1.9124999999999996E-2</v>
      </c>
      <c r="AW62" s="839">
        <v>4.4999999999999991E-2</v>
      </c>
      <c r="AX62" s="840" t="s">
        <v>424</v>
      </c>
      <c r="AY62" s="1384">
        <v>7.2999999999999995E-2</v>
      </c>
      <c r="AZ62" s="1385">
        <v>0</v>
      </c>
      <c r="BA62" s="1385">
        <v>0</v>
      </c>
      <c r="BB62" s="657"/>
      <c r="BC62" s="850">
        <v>7.2999999999999995E-2</v>
      </c>
      <c r="BD62" s="851">
        <v>1.7999999999999999E-2</v>
      </c>
      <c r="BE62" s="852">
        <v>5.5E-2</v>
      </c>
      <c r="BF62" s="850">
        <v>7.2999999999999995E-2</v>
      </c>
    </row>
    <row r="63" spans="1:76" ht="60" customHeight="1" x14ac:dyDescent="0.3">
      <c r="A63" s="151" t="s">
        <v>375</v>
      </c>
      <c r="B63" s="672" t="s">
        <v>245</v>
      </c>
      <c r="C63" s="2289"/>
      <c r="D63" s="1386" t="s">
        <v>425</v>
      </c>
      <c r="E63" s="1387" t="s">
        <v>422</v>
      </c>
      <c r="F63" s="859" t="s">
        <v>426</v>
      </c>
      <c r="G63" s="860" t="s">
        <v>262</v>
      </c>
      <c r="H63" s="861" t="s">
        <v>263</v>
      </c>
      <c r="I63" s="861" t="s">
        <v>264</v>
      </c>
      <c r="J63" s="862">
        <v>4.4999999999999998E-2</v>
      </c>
      <c r="K63" s="863">
        <v>2.9879999999999993E-2</v>
      </c>
      <c r="L63" s="863">
        <v>1.512E-2</v>
      </c>
      <c r="M63" s="864">
        <v>0</v>
      </c>
      <c r="N63" s="865">
        <v>2.5000000000000001E-2</v>
      </c>
      <c r="O63" s="863" t="s">
        <v>252</v>
      </c>
      <c r="P63" s="866">
        <v>0.44900000000000001</v>
      </c>
      <c r="Q63" s="866">
        <v>0.15</v>
      </c>
      <c r="R63" s="867" t="s">
        <v>145</v>
      </c>
      <c r="S63" s="868" t="s">
        <v>297</v>
      </c>
      <c r="T63" s="869" t="s">
        <v>254</v>
      </c>
      <c r="U63" s="870" t="s">
        <v>255</v>
      </c>
      <c r="V63" s="871" t="s">
        <v>148</v>
      </c>
      <c r="W63" s="871" t="s">
        <v>149</v>
      </c>
      <c r="X63" s="872">
        <v>18</v>
      </c>
      <c r="Y63" s="872">
        <v>65</v>
      </c>
      <c r="Z63" s="872">
        <v>72</v>
      </c>
      <c r="AA63" s="873">
        <v>100000</v>
      </c>
      <c r="AB63" s="874" t="s">
        <v>265</v>
      </c>
      <c r="AC63" s="875">
        <v>25</v>
      </c>
      <c r="AD63" s="876">
        <v>25</v>
      </c>
      <c r="AE63" s="877">
        <v>50</v>
      </c>
      <c r="AF63" s="878">
        <v>7.5</v>
      </c>
      <c r="AG63" s="879">
        <v>17.5</v>
      </c>
      <c r="AH63" s="878">
        <v>7.5</v>
      </c>
      <c r="AI63" s="879">
        <v>17.5</v>
      </c>
      <c r="AJ63" s="647">
        <v>1.7330399999999996E-2</v>
      </c>
      <c r="AK63" s="648">
        <v>9.8604000000000001E-3</v>
      </c>
      <c r="AL63" s="649">
        <v>2.6891999999999997E-3</v>
      </c>
      <c r="AM63" s="650">
        <v>2.9879999999999993E-2</v>
      </c>
      <c r="AN63" s="651">
        <v>2.9879999999999993E-2</v>
      </c>
      <c r="AO63" s="647">
        <v>1.4751219512195123E-2</v>
      </c>
      <c r="AP63" s="648">
        <v>0</v>
      </c>
      <c r="AQ63" s="649">
        <v>0</v>
      </c>
      <c r="AR63" s="650">
        <v>1.4751219512195123E-2</v>
      </c>
      <c r="AS63" s="652">
        <v>1.512E-2</v>
      </c>
      <c r="AT63" s="652">
        <v>0</v>
      </c>
      <c r="AU63" s="652">
        <v>0</v>
      </c>
      <c r="AV63" s="653">
        <v>1.512E-2</v>
      </c>
      <c r="AW63" s="651">
        <v>4.4999999999999991E-2</v>
      </c>
      <c r="AX63" s="880" t="s">
        <v>427</v>
      </c>
      <c r="AY63" s="1388">
        <v>7.2999999999999995E-2</v>
      </c>
      <c r="AZ63" s="1389">
        <v>0</v>
      </c>
      <c r="BA63" s="1389">
        <v>0</v>
      </c>
      <c r="BB63" s="657"/>
      <c r="BC63" s="889">
        <v>7.2999999999999995E-2</v>
      </c>
      <c r="BD63" s="890">
        <v>1.7999999999999999E-2</v>
      </c>
      <c r="BE63" s="891">
        <v>5.5E-2</v>
      </c>
      <c r="BF63" s="889">
        <v>7.2999999999999995E-2</v>
      </c>
    </row>
    <row r="64" spans="1:76" ht="60" customHeight="1" x14ac:dyDescent="0.3">
      <c r="A64" s="151" t="s">
        <v>375</v>
      </c>
      <c r="B64" s="672" t="s">
        <v>245</v>
      </c>
      <c r="C64" s="2289"/>
      <c r="D64" s="1390" t="s">
        <v>428</v>
      </c>
      <c r="E64" s="897" t="s">
        <v>429</v>
      </c>
      <c r="F64" s="812" t="s">
        <v>430</v>
      </c>
      <c r="G64" s="813" t="s">
        <v>249</v>
      </c>
      <c r="H64" s="898" t="s">
        <v>250</v>
      </c>
      <c r="I64" s="898" t="s">
        <v>251</v>
      </c>
      <c r="J64" s="899">
        <v>0.06</v>
      </c>
      <c r="K64" s="900">
        <v>3.4499999999999989E-2</v>
      </c>
      <c r="L64" s="900">
        <v>2.5499999999999995E-2</v>
      </c>
      <c r="M64" s="901">
        <v>0</v>
      </c>
      <c r="N64" s="902">
        <v>2.5000000000000001E-2</v>
      </c>
      <c r="O64" s="900" t="s">
        <v>252</v>
      </c>
      <c r="P64" s="903">
        <v>0.44900000000000001</v>
      </c>
      <c r="Q64" s="903">
        <v>0.15</v>
      </c>
      <c r="R64" s="904" t="s">
        <v>145</v>
      </c>
      <c r="S64" s="905" t="s">
        <v>306</v>
      </c>
      <c r="T64" s="869" t="s">
        <v>254</v>
      </c>
      <c r="U64" s="906" t="s">
        <v>255</v>
      </c>
      <c r="V64" s="907" t="s">
        <v>148</v>
      </c>
      <c r="W64" s="907" t="s">
        <v>256</v>
      </c>
      <c r="X64" s="908">
        <v>18</v>
      </c>
      <c r="Y64" s="908">
        <v>65</v>
      </c>
      <c r="Z64" s="908">
        <v>72</v>
      </c>
      <c r="AA64" s="909">
        <v>100000</v>
      </c>
      <c r="AB64" s="910" t="s">
        <v>257</v>
      </c>
      <c r="AC64" s="911">
        <v>25</v>
      </c>
      <c r="AD64" s="912">
        <v>25</v>
      </c>
      <c r="AE64" s="913">
        <v>50</v>
      </c>
      <c r="AF64" s="914">
        <v>7.5</v>
      </c>
      <c r="AG64" s="915">
        <v>17.5</v>
      </c>
      <c r="AH64" s="914">
        <v>7.5</v>
      </c>
      <c r="AI64" s="915">
        <v>17.5</v>
      </c>
      <c r="AJ64" s="647">
        <v>2.1044999999999991E-2</v>
      </c>
      <c r="AK64" s="648">
        <v>1.3454999999999996E-2</v>
      </c>
      <c r="AL64" s="649">
        <v>0</v>
      </c>
      <c r="AM64" s="650">
        <v>3.4499999999999989E-2</v>
      </c>
      <c r="AN64" s="651">
        <v>3.4499999999999989E-2</v>
      </c>
      <c r="AO64" s="647">
        <v>0</v>
      </c>
      <c r="AP64" s="648">
        <v>2.4878048780487803E-2</v>
      </c>
      <c r="AQ64" s="649">
        <v>0</v>
      </c>
      <c r="AR64" s="650">
        <v>2.4878048780487803E-2</v>
      </c>
      <c r="AS64" s="652">
        <v>0</v>
      </c>
      <c r="AT64" s="652">
        <v>2.5499999999999995E-2</v>
      </c>
      <c r="AU64" s="652">
        <v>0</v>
      </c>
      <c r="AV64" s="653">
        <v>2.5499999999999995E-2</v>
      </c>
      <c r="AW64" s="651">
        <v>5.9999999999999984E-2</v>
      </c>
      <c r="AX64" s="840" t="s">
        <v>431</v>
      </c>
      <c r="AY64" s="1384">
        <v>6.5000000000000002E-2</v>
      </c>
      <c r="AZ64" s="1385">
        <v>0</v>
      </c>
      <c r="BA64" s="1385">
        <v>0</v>
      </c>
      <c r="BB64" s="657"/>
      <c r="BC64" s="921">
        <v>6.5000000000000002E-2</v>
      </c>
      <c r="BD64" s="922">
        <v>1.7999999999999999E-2</v>
      </c>
      <c r="BE64" s="923">
        <v>4.7000000000000007E-2</v>
      </c>
      <c r="BF64" s="921">
        <v>6.5000000000000002E-2</v>
      </c>
    </row>
    <row r="65" spans="1:58" ht="60" customHeight="1" x14ac:dyDescent="0.3">
      <c r="A65" s="151" t="s">
        <v>375</v>
      </c>
      <c r="B65" s="672" t="s">
        <v>245</v>
      </c>
      <c r="C65" s="2289"/>
      <c r="D65" s="1386" t="s">
        <v>432</v>
      </c>
      <c r="E65" s="858" t="s">
        <v>429</v>
      </c>
      <c r="F65" s="859" t="s">
        <v>433</v>
      </c>
      <c r="G65" s="860" t="s">
        <v>262</v>
      </c>
      <c r="H65" s="861" t="s">
        <v>263</v>
      </c>
      <c r="I65" s="861" t="s">
        <v>264</v>
      </c>
      <c r="J65" s="862">
        <v>0.06</v>
      </c>
      <c r="K65" s="863">
        <v>3.984E-2</v>
      </c>
      <c r="L65" s="863">
        <v>2.0159999999999997E-2</v>
      </c>
      <c r="M65" s="864">
        <v>0</v>
      </c>
      <c r="N65" s="865">
        <v>2.5000000000000001E-2</v>
      </c>
      <c r="O65" s="863" t="s">
        <v>252</v>
      </c>
      <c r="P65" s="866">
        <v>0.44900000000000001</v>
      </c>
      <c r="Q65" s="866">
        <v>0.15</v>
      </c>
      <c r="R65" s="867" t="s">
        <v>145</v>
      </c>
      <c r="S65" s="868" t="s">
        <v>306</v>
      </c>
      <c r="T65" s="869" t="s">
        <v>254</v>
      </c>
      <c r="U65" s="870" t="s">
        <v>255</v>
      </c>
      <c r="V65" s="871" t="s">
        <v>148</v>
      </c>
      <c r="W65" s="871" t="s">
        <v>149</v>
      </c>
      <c r="X65" s="872">
        <v>18</v>
      </c>
      <c r="Y65" s="872">
        <v>65</v>
      </c>
      <c r="Z65" s="872">
        <v>72</v>
      </c>
      <c r="AA65" s="873">
        <v>100000</v>
      </c>
      <c r="AB65" s="874" t="s">
        <v>265</v>
      </c>
      <c r="AC65" s="875">
        <v>25</v>
      </c>
      <c r="AD65" s="876">
        <v>25</v>
      </c>
      <c r="AE65" s="877">
        <v>50</v>
      </c>
      <c r="AF65" s="878">
        <v>7.5</v>
      </c>
      <c r="AG65" s="879">
        <v>17.5</v>
      </c>
      <c r="AH65" s="878">
        <v>7.5</v>
      </c>
      <c r="AI65" s="879">
        <v>17.5</v>
      </c>
      <c r="AJ65" s="647">
        <v>2.3107199999999998E-2</v>
      </c>
      <c r="AK65" s="648">
        <v>1.31472E-2</v>
      </c>
      <c r="AL65" s="649">
        <v>3.5855999999999996E-3</v>
      </c>
      <c r="AM65" s="650">
        <v>3.984E-2</v>
      </c>
      <c r="AN65" s="651">
        <v>3.984E-2</v>
      </c>
      <c r="AO65" s="647">
        <v>1.966829268292683E-2</v>
      </c>
      <c r="AP65" s="648">
        <v>0</v>
      </c>
      <c r="AQ65" s="649">
        <v>0</v>
      </c>
      <c r="AR65" s="650">
        <v>1.966829268292683E-2</v>
      </c>
      <c r="AS65" s="652">
        <v>2.0159999999999997E-2</v>
      </c>
      <c r="AT65" s="652">
        <v>0</v>
      </c>
      <c r="AU65" s="652">
        <v>0</v>
      </c>
      <c r="AV65" s="653">
        <v>2.0159999999999997E-2</v>
      </c>
      <c r="AW65" s="651">
        <v>0.06</v>
      </c>
      <c r="AX65" s="880" t="s">
        <v>434</v>
      </c>
      <c r="AY65" s="1388">
        <v>6.5000000000000002E-2</v>
      </c>
      <c r="AZ65" s="1389">
        <v>0</v>
      </c>
      <c r="BA65" s="1389">
        <v>0</v>
      </c>
      <c r="BB65" s="657"/>
      <c r="BC65" s="889">
        <v>6.5000000000000002E-2</v>
      </c>
      <c r="BD65" s="890">
        <v>1.7999999999999999E-2</v>
      </c>
      <c r="BE65" s="891">
        <v>4.7000000000000007E-2</v>
      </c>
      <c r="BF65" s="889">
        <v>6.5000000000000002E-2</v>
      </c>
    </row>
    <row r="66" spans="1:58" ht="60" customHeight="1" x14ac:dyDescent="0.3">
      <c r="A66" s="151" t="s">
        <v>375</v>
      </c>
      <c r="B66" s="672" t="s">
        <v>245</v>
      </c>
      <c r="C66" s="2289"/>
      <c r="D66" s="1390" t="s">
        <v>435</v>
      </c>
      <c r="E66" s="897" t="s">
        <v>436</v>
      </c>
      <c r="F66" s="812" t="s">
        <v>437</v>
      </c>
      <c r="G66" s="813" t="s">
        <v>249</v>
      </c>
      <c r="H66" s="898" t="s">
        <v>250</v>
      </c>
      <c r="I66" s="898" t="s">
        <v>251</v>
      </c>
      <c r="J66" s="899">
        <v>0.08</v>
      </c>
      <c r="K66" s="900">
        <v>4.5999999999999999E-2</v>
      </c>
      <c r="L66" s="900">
        <v>3.4000000000000002E-2</v>
      </c>
      <c r="M66" s="901">
        <v>0</v>
      </c>
      <c r="N66" s="902">
        <v>2.5000000000000001E-2</v>
      </c>
      <c r="O66" s="900" t="s">
        <v>252</v>
      </c>
      <c r="P66" s="903">
        <v>0.44900000000000001</v>
      </c>
      <c r="Q66" s="903">
        <v>0.15</v>
      </c>
      <c r="R66" s="904" t="s">
        <v>145</v>
      </c>
      <c r="S66" s="928" t="s">
        <v>315</v>
      </c>
      <c r="T66" s="869" t="s">
        <v>254</v>
      </c>
      <c r="U66" s="906" t="s">
        <v>255</v>
      </c>
      <c r="V66" s="907" t="s">
        <v>148</v>
      </c>
      <c r="W66" s="907" t="s">
        <v>256</v>
      </c>
      <c r="X66" s="908">
        <v>18</v>
      </c>
      <c r="Y66" s="908">
        <v>65</v>
      </c>
      <c r="Z66" s="908">
        <v>72</v>
      </c>
      <c r="AA66" s="909">
        <v>100000</v>
      </c>
      <c r="AB66" s="910" t="s">
        <v>257</v>
      </c>
      <c r="AC66" s="911">
        <v>25</v>
      </c>
      <c r="AD66" s="912">
        <v>25</v>
      </c>
      <c r="AE66" s="913">
        <v>50</v>
      </c>
      <c r="AF66" s="914">
        <v>7.5</v>
      </c>
      <c r="AG66" s="915">
        <v>17.5</v>
      </c>
      <c r="AH66" s="914">
        <v>7.5</v>
      </c>
      <c r="AI66" s="915">
        <v>17.5</v>
      </c>
      <c r="AJ66" s="647">
        <v>2.8059999999999998E-2</v>
      </c>
      <c r="AK66" s="648">
        <v>1.7940000000000001E-2</v>
      </c>
      <c r="AL66" s="649">
        <v>0</v>
      </c>
      <c r="AM66" s="650">
        <v>4.5999999999999999E-2</v>
      </c>
      <c r="AN66" s="651">
        <v>4.5999999999999999E-2</v>
      </c>
      <c r="AO66" s="647">
        <v>0</v>
      </c>
      <c r="AP66" s="648">
        <v>3.3170731707317082E-2</v>
      </c>
      <c r="AQ66" s="649">
        <v>0</v>
      </c>
      <c r="AR66" s="650">
        <v>3.3170731707317082E-2</v>
      </c>
      <c r="AS66" s="652">
        <v>0</v>
      </c>
      <c r="AT66" s="652">
        <v>3.4000000000000002E-2</v>
      </c>
      <c r="AU66" s="652">
        <v>0</v>
      </c>
      <c r="AV66" s="653">
        <v>3.4000000000000002E-2</v>
      </c>
      <c r="AW66" s="651">
        <v>8.0000000000000016E-2</v>
      </c>
      <c r="AX66" s="840" t="s">
        <v>438</v>
      </c>
      <c r="AY66" s="1384">
        <v>6.5000000000000002E-2</v>
      </c>
      <c r="AZ66" s="1385">
        <v>0</v>
      </c>
      <c r="BA66" s="1385">
        <v>0</v>
      </c>
      <c r="BB66" s="657"/>
      <c r="BC66" s="921">
        <v>6.5000000000000002E-2</v>
      </c>
      <c r="BD66" s="922">
        <v>1.7999999999999999E-2</v>
      </c>
      <c r="BE66" s="923">
        <v>4.7000000000000007E-2</v>
      </c>
      <c r="BF66" s="921">
        <v>6.5000000000000002E-2</v>
      </c>
    </row>
    <row r="67" spans="1:58" ht="60" customHeight="1" thickBot="1" x14ac:dyDescent="0.35">
      <c r="A67" s="151" t="s">
        <v>375</v>
      </c>
      <c r="B67" s="672" t="s">
        <v>245</v>
      </c>
      <c r="C67" s="2290"/>
      <c r="D67" s="1391" t="s">
        <v>439</v>
      </c>
      <c r="E67" s="1392" t="s">
        <v>436</v>
      </c>
      <c r="F67" s="931" t="s">
        <v>440</v>
      </c>
      <c r="G67" s="932" t="s">
        <v>262</v>
      </c>
      <c r="H67" s="933" t="s">
        <v>263</v>
      </c>
      <c r="I67" s="934" t="s">
        <v>264</v>
      </c>
      <c r="J67" s="935">
        <v>0.08</v>
      </c>
      <c r="K67" s="936">
        <v>5.3120000000000001E-2</v>
      </c>
      <c r="L67" s="936">
        <v>2.6880000000000001E-2</v>
      </c>
      <c r="M67" s="937">
        <v>0</v>
      </c>
      <c r="N67" s="938">
        <v>2.5000000000000001E-2</v>
      </c>
      <c r="O67" s="936" t="s">
        <v>252</v>
      </c>
      <c r="P67" s="939">
        <v>0.44900000000000001</v>
      </c>
      <c r="Q67" s="939">
        <v>0.15</v>
      </c>
      <c r="R67" s="940" t="s">
        <v>145</v>
      </c>
      <c r="S67" s="941" t="s">
        <v>315</v>
      </c>
      <c r="T67" s="942" t="s">
        <v>254</v>
      </c>
      <c r="U67" s="943" t="s">
        <v>255</v>
      </c>
      <c r="V67" s="944" t="s">
        <v>148</v>
      </c>
      <c r="W67" s="944" t="s">
        <v>149</v>
      </c>
      <c r="X67" s="945">
        <v>18</v>
      </c>
      <c r="Y67" s="945">
        <v>65</v>
      </c>
      <c r="Z67" s="945">
        <v>72</v>
      </c>
      <c r="AA67" s="946">
        <v>100000</v>
      </c>
      <c r="AB67" s="943" t="s">
        <v>265</v>
      </c>
      <c r="AC67" s="947">
        <v>25</v>
      </c>
      <c r="AD67" s="948">
        <v>25</v>
      </c>
      <c r="AE67" s="949">
        <v>50</v>
      </c>
      <c r="AF67" s="950">
        <v>7.5</v>
      </c>
      <c r="AG67" s="951">
        <v>17.5</v>
      </c>
      <c r="AH67" s="950">
        <v>7.5</v>
      </c>
      <c r="AI67" s="951">
        <v>17.5</v>
      </c>
      <c r="AJ67" s="786">
        <v>3.0809599999999999E-2</v>
      </c>
      <c r="AK67" s="787">
        <v>1.7529599999999999E-2</v>
      </c>
      <c r="AL67" s="788">
        <v>4.7808E-3</v>
      </c>
      <c r="AM67" s="789">
        <v>5.3120000000000001E-2</v>
      </c>
      <c r="AN67" s="790">
        <v>5.3120000000000001E-2</v>
      </c>
      <c r="AO67" s="786">
        <v>2.622439024390244E-2</v>
      </c>
      <c r="AP67" s="787">
        <v>0</v>
      </c>
      <c r="AQ67" s="788">
        <v>0</v>
      </c>
      <c r="AR67" s="789">
        <v>2.622439024390244E-2</v>
      </c>
      <c r="AS67" s="791">
        <v>2.6880000000000001E-2</v>
      </c>
      <c r="AT67" s="791">
        <v>0</v>
      </c>
      <c r="AU67" s="791">
        <v>0</v>
      </c>
      <c r="AV67" s="792">
        <v>2.6880000000000001E-2</v>
      </c>
      <c r="AW67" s="790">
        <v>0.08</v>
      </c>
      <c r="AX67" s="952" t="s">
        <v>441</v>
      </c>
      <c r="AY67" s="1393">
        <v>6.5000000000000002E-2</v>
      </c>
      <c r="AZ67" s="1394">
        <v>0</v>
      </c>
      <c r="BA67" s="1394">
        <v>0</v>
      </c>
      <c r="BB67" s="797"/>
      <c r="BC67" s="961">
        <v>6.5000000000000002E-2</v>
      </c>
      <c r="BD67" s="962">
        <v>1.7999999999999999E-2</v>
      </c>
      <c r="BE67" s="963">
        <v>4.7000000000000007E-2</v>
      </c>
      <c r="BF67" s="961">
        <v>6.5000000000000002E-2</v>
      </c>
    </row>
    <row r="68" spans="1:58" ht="60" customHeight="1" x14ac:dyDescent="0.3">
      <c r="A68" s="151" t="s">
        <v>375</v>
      </c>
      <c r="B68" s="672" t="s">
        <v>245</v>
      </c>
      <c r="C68" s="2291" t="s">
        <v>203</v>
      </c>
      <c r="D68" s="1395" t="s">
        <v>442</v>
      </c>
      <c r="E68" s="1396" t="s">
        <v>443</v>
      </c>
      <c r="F68" s="970" t="s">
        <v>444</v>
      </c>
      <c r="G68" s="971" t="s">
        <v>249</v>
      </c>
      <c r="H68" s="972" t="s">
        <v>250</v>
      </c>
      <c r="I68" s="973" t="s">
        <v>251</v>
      </c>
      <c r="J68" s="974">
        <v>3.4999999999999996E-2</v>
      </c>
      <c r="K68" s="975">
        <v>2.0124999999999997E-2</v>
      </c>
      <c r="L68" s="975">
        <v>1.4874999999999998E-2</v>
      </c>
      <c r="M68" s="976">
        <v>0</v>
      </c>
      <c r="N68" s="974">
        <v>2.5000000000000001E-2</v>
      </c>
      <c r="O68" s="975" t="s">
        <v>252</v>
      </c>
      <c r="P68" s="977">
        <v>0.44900000000000001</v>
      </c>
      <c r="Q68" s="977">
        <v>0.15</v>
      </c>
      <c r="R68" s="978" t="s">
        <v>145</v>
      </c>
      <c r="S68" s="974" t="s">
        <v>206</v>
      </c>
      <c r="T68" s="980" t="s">
        <v>207</v>
      </c>
      <c r="U68" s="981" t="s">
        <v>255</v>
      </c>
      <c r="V68" s="982" t="s">
        <v>148</v>
      </c>
      <c r="W68" s="982" t="s">
        <v>256</v>
      </c>
      <c r="X68" s="983">
        <v>18</v>
      </c>
      <c r="Y68" s="983">
        <v>65</v>
      </c>
      <c r="Z68" s="983">
        <v>72</v>
      </c>
      <c r="AA68" s="984">
        <v>100000</v>
      </c>
      <c r="AB68" s="985" t="s">
        <v>257</v>
      </c>
      <c r="AC68" s="986">
        <v>17.5</v>
      </c>
      <c r="AD68" s="987">
        <v>17.5</v>
      </c>
      <c r="AE68" s="988">
        <v>35</v>
      </c>
      <c r="AF68" s="989">
        <v>7.5</v>
      </c>
      <c r="AG68" s="990">
        <v>10</v>
      </c>
      <c r="AH68" s="989">
        <v>7.5</v>
      </c>
      <c r="AI68" s="990">
        <v>10</v>
      </c>
      <c r="AJ68" s="835">
        <v>1.2276249999999997E-2</v>
      </c>
      <c r="AK68" s="836">
        <v>7.8487499999999998E-3</v>
      </c>
      <c r="AL68" s="837">
        <v>0</v>
      </c>
      <c r="AM68" s="838">
        <v>2.0124999999999997E-2</v>
      </c>
      <c r="AN68" s="839">
        <v>2.0124999999999997E-2</v>
      </c>
      <c r="AO68" s="835">
        <v>0</v>
      </c>
      <c r="AP68" s="836">
        <v>1.4512195121951219E-2</v>
      </c>
      <c r="AQ68" s="837">
        <v>0</v>
      </c>
      <c r="AR68" s="838">
        <v>1.4512195121951219E-2</v>
      </c>
      <c r="AS68" s="652">
        <v>0</v>
      </c>
      <c r="AT68" s="652">
        <v>1.4874999999999998E-2</v>
      </c>
      <c r="AU68" s="652">
        <v>0</v>
      </c>
      <c r="AV68" s="653">
        <v>1.4874999999999998E-2</v>
      </c>
      <c r="AW68" s="839">
        <v>3.4999999999999996E-2</v>
      </c>
      <c r="AX68" s="991" t="s">
        <v>445</v>
      </c>
      <c r="AY68" s="1397">
        <v>9.5000000000000001E-2</v>
      </c>
      <c r="AZ68" s="1398">
        <v>0</v>
      </c>
      <c r="BA68" s="1398">
        <v>0</v>
      </c>
      <c r="BB68" s="657"/>
      <c r="BC68" s="1000">
        <v>9.5000000000000001E-2</v>
      </c>
      <c r="BD68" s="1001">
        <v>1.7999999999999999E-2</v>
      </c>
      <c r="BE68" s="1002">
        <v>7.6999999999999999E-2</v>
      </c>
      <c r="BF68" s="1000">
        <v>9.5000000000000001E-2</v>
      </c>
    </row>
    <row r="69" spans="1:58" ht="60" customHeight="1" x14ac:dyDescent="0.3">
      <c r="A69" s="151" t="s">
        <v>375</v>
      </c>
      <c r="B69" s="672" t="s">
        <v>245</v>
      </c>
      <c r="C69" s="2292"/>
      <c r="D69" s="1399" t="s">
        <v>446</v>
      </c>
      <c r="E69" s="1008" t="s">
        <v>443</v>
      </c>
      <c r="F69" s="1009" t="s">
        <v>447</v>
      </c>
      <c r="G69" s="1010" t="s">
        <v>262</v>
      </c>
      <c r="H69" s="1011" t="s">
        <v>263</v>
      </c>
      <c r="I69" s="1011" t="s">
        <v>264</v>
      </c>
      <c r="J69" s="1012">
        <v>3.5000000000000003E-2</v>
      </c>
      <c r="K69" s="1013">
        <v>2.3240000000000004E-2</v>
      </c>
      <c r="L69" s="1013">
        <v>1.1760000000000001E-2</v>
      </c>
      <c r="M69" s="1014">
        <v>0</v>
      </c>
      <c r="N69" s="1015">
        <v>2.5000000000000001E-2</v>
      </c>
      <c r="O69" s="1013" t="s">
        <v>252</v>
      </c>
      <c r="P69" s="1016">
        <v>0.44900000000000001</v>
      </c>
      <c r="Q69" s="1016">
        <v>0.15</v>
      </c>
      <c r="R69" s="1017" t="s">
        <v>145</v>
      </c>
      <c r="S69" s="1015" t="s">
        <v>206</v>
      </c>
      <c r="T69" s="1019" t="s">
        <v>207</v>
      </c>
      <c r="U69" s="1020" t="s">
        <v>255</v>
      </c>
      <c r="V69" s="1021" t="s">
        <v>148</v>
      </c>
      <c r="W69" s="1021" t="s">
        <v>149</v>
      </c>
      <c r="X69" s="1022">
        <v>18</v>
      </c>
      <c r="Y69" s="1022">
        <v>65</v>
      </c>
      <c r="Z69" s="1022">
        <v>72</v>
      </c>
      <c r="AA69" s="1023">
        <v>100000</v>
      </c>
      <c r="AB69" s="1024" t="s">
        <v>265</v>
      </c>
      <c r="AC69" s="1025">
        <v>17.5</v>
      </c>
      <c r="AD69" s="1026">
        <v>17.5</v>
      </c>
      <c r="AE69" s="1027">
        <v>35</v>
      </c>
      <c r="AF69" s="1028">
        <v>7.5</v>
      </c>
      <c r="AG69" s="1029">
        <v>10</v>
      </c>
      <c r="AH69" s="1028">
        <v>7.5</v>
      </c>
      <c r="AI69" s="1029">
        <v>10</v>
      </c>
      <c r="AJ69" s="647">
        <v>1.3479200000000004E-2</v>
      </c>
      <c r="AK69" s="648">
        <v>7.669200000000001E-3</v>
      </c>
      <c r="AL69" s="649">
        <v>2.0916000000000003E-3</v>
      </c>
      <c r="AM69" s="650">
        <v>2.3240000000000004E-2</v>
      </c>
      <c r="AN69" s="651">
        <v>2.3240000000000004E-2</v>
      </c>
      <c r="AO69" s="647">
        <v>1.1473170731707321E-2</v>
      </c>
      <c r="AP69" s="648">
        <v>0</v>
      </c>
      <c r="AQ69" s="649">
        <v>0</v>
      </c>
      <c r="AR69" s="650">
        <v>1.1473170731707321E-2</v>
      </c>
      <c r="AS69" s="652">
        <v>1.1760000000000001E-2</v>
      </c>
      <c r="AT69" s="652">
        <v>0</v>
      </c>
      <c r="AU69" s="652">
        <v>0</v>
      </c>
      <c r="AV69" s="653">
        <v>1.1760000000000001E-2</v>
      </c>
      <c r="AW69" s="651">
        <v>3.5000000000000003E-2</v>
      </c>
      <c r="AX69" s="1030" t="s">
        <v>448</v>
      </c>
      <c r="AY69" s="1400">
        <v>9.5000000000000001E-2</v>
      </c>
      <c r="AZ69" s="1401">
        <v>0</v>
      </c>
      <c r="BA69" s="1401">
        <v>0</v>
      </c>
      <c r="BB69" s="657"/>
      <c r="BC69" s="1039">
        <v>9.5000000000000001E-2</v>
      </c>
      <c r="BD69" s="1040">
        <v>1.7999999999999999E-2</v>
      </c>
      <c r="BE69" s="1041">
        <v>7.6999999999999999E-2</v>
      </c>
      <c r="BF69" s="1039">
        <v>9.5000000000000001E-2</v>
      </c>
    </row>
    <row r="70" spans="1:58" ht="60" customHeight="1" x14ac:dyDescent="0.3">
      <c r="A70" s="151" t="s">
        <v>375</v>
      </c>
      <c r="B70" s="672" t="s">
        <v>245</v>
      </c>
      <c r="C70" s="2292"/>
      <c r="D70" s="1402" t="s">
        <v>449</v>
      </c>
      <c r="E70" s="1047" t="s">
        <v>450</v>
      </c>
      <c r="F70" s="970" t="s">
        <v>451</v>
      </c>
      <c r="G70" s="971" t="s">
        <v>249</v>
      </c>
      <c r="H70" s="1048" t="s">
        <v>250</v>
      </c>
      <c r="I70" s="1048" t="s">
        <v>251</v>
      </c>
      <c r="J70" s="1049">
        <v>4.5000000000000012E-2</v>
      </c>
      <c r="K70" s="1050">
        <v>2.5875000000000006E-2</v>
      </c>
      <c r="L70" s="1050">
        <v>1.9125000000000003E-2</v>
      </c>
      <c r="M70" s="1051">
        <v>0</v>
      </c>
      <c r="N70" s="1049">
        <v>2.5000000000000001E-2</v>
      </c>
      <c r="O70" s="1050" t="s">
        <v>252</v>
      </c>
      <c r="P70" s="1052">
        <v>0.44900000000000001</v>
      </c>
      <c r="Q70" s="1052">
        <v>0.15</v>
      </c>
      <c r="R70" s="1053" t="s">
        <v>145</v>
      </c>
      <c r="S70" s="1049" t="s">
        <v>332</v>
      </c>
      <c r="T70" s="1019" t="s">
        <v>207</v>
      </c>
      <c r="U70" s="1055" t="s">
        <v>255</v>
      </c>
      <c r="V70" s="1056" t="s">
        <v>148</v>
      </c>
      <c r="W70" s="1056" t="s">
        <v>256</v>
      </c>
      <c r="X70" s="1057">
        <v>18</v>
      </c>
      <c r="Y70" s="1057">
        <v>65</v>
      </c>
      <c r="Z70" s="1057">
        <v>72</v>
      </c>
      <c r="AA70" s="1058">
        <v>100000</v>
      </c>
      <c r="AB70" s="1059" t="s">
        <v>257</v>
      </c>
      <c r="AC70" s="1060">
        <v>17.5</v>
      </c>
      <c r="AD70" s="1061">
        <v>17.5</v>
      </c>
      <c r="AE70" s="1062">
        <v>35</v>
      </c>
      <c r="AF70" s="1063">
        <v>7.5</v>
      </c>
      <c r="AG70" s="1064">
        <v>10</v>
      </c>
      <c r="AH70" s="1063">
        <v>7.5</v>
      </c>
      <c r="AI70" s="1064">
        <v>10</v>
      </c>
      <c r="AJ70" s="647">
        <v>1.5783750000000003E-2</v>
      </c>
      <c r="AK70" s="648">
        <v>1.0091250000000003E-2</v>
      </c>
      <c r="AL70" s="649">
        <v>0</v>
      </c>
      <c r="AM70" s="650">
        <v>2.5875000000000006E-2</v>
      </c>
      <c r="AN70" s="651">
        <v>2.5875000000000006E-2</v>
      </c>
      <c r="AO70" s="647">
        <v>0</v>
      </c>
      <c r="AP70" s="648">
        <v>1.865853658536586E-2</v>
      </c>
      <c r="AQ70" s="649">
        <v>0</v>
      </c>
      <c r="AR70" s="650">
        <v>1.865853658536586E-2</v>
      </c>
      <c r="AS70" s="652">
        <v>0</v>
      </c>
      <c r="AT70" s="652">
        <v>1.9125000000000003E-2</v>
      </c>
      <c r="AU70" s="652">
        <v>0</v>
      </c>
      <c r="AV70" s="653">
        <v>1.9125000000000003E-2</v>
      </c>
      <c r="AW70" s="651">
        <v>4.5000000000000012E-2</v>
      </c>
      <c r="AX70" s="991" t="s">
        <v>452</v>
      </c>
      <c r="AY70" s="1397">
        <v>8.3000000000000004E-2</v>
      </c>
      <c r="AZ70" s="1398">
        <v>0</v>
      </c>
      <c r="BA70" s="1398">
        <v>0</v>
      </c>
      <c r="BB70" s="657"/>
      <c r="BC70" s="1070">
        <v>8.3000000000000004E-2</v>
      </c>
      <c r="BD70" s="1071">
        <v>1.7999999999999999E-2</v>
      </c>
      <c r="BE70" s="1072">
        <v>6.5000000000000002E-2</v>
      </c>
      <c r="BF70" s="1070">
        <v>8.3000000000000004E-2</v>
      </c>
    </row>
    <row r="71" spans="1:58" ht="60" customHeight="1" x14ac:dyDescent="0.3">
      <c r="A71" s="151" t="s">
        <v>375</v>
      </c>
      <c r="B71" s="672" t="s">
        <v>245</v>
      </c>
      <c r="C71" s="2292"/>
      <c r="D71" s="1399" t="s">
        <v>453</v>
      </c>
      <c r="E71" s="1008" t="s">
        <v>450</v>
      </c>
      <c r="F71" s="1009" t="s">
        <v>454</v>
      </c>
      <c r="G71" s="1010" t="s">
        <v>262</v>
      </c>
      <c r="H71" s="1011" t="s">
        <v>263</v>
      </c>
      <c r="I71" s="1011" t="s">
        <v>264</v>
      </c>
      <c r="J71" s="1012">
        <v>4.4999999999999991E-2</v>
      </c>
      <c r="K71" s="1013">
        <v>2.9879999999999993E-2</v>
      </c>
      <c r="L71" s="1013">
        <v>1.512E-2</v>
      </c>
      <c r="M71" s="1014">
        <v>0</v>
      </c>
      <c r="N71" s="1015">
        <v>2.5000000000000001E-2</v>
      </c>
      <c r="O71" s="1013" t="s">
        <v>252</v>
      </c>
      <c r="P71" s="1016">
        <v>0.44900000000000001</v>
      </c>
      <c r="Q71" s="1016">
        <v>0.15</v>
      </c>
      <c r="R71" s="1017" t="s">
        <v>145</v>
      </c>
      <c r="S71" s="1015" t="s">
        <v>332</v>
      </c>
      <c r="T71" s="1019" t="s">
        <v>207</v>
      </c>
      <c r="U71" s="1020" t="s">
        <v>255</v>
      </c>
      <c r="V71" s="1021" t="s">
        <v>148</v>
      </c>
      <c r="W71" s="1021" t="s">
        <v>149</v>
      </c>
      <c r="X71" s="1022">
        <v>18</v>
      </c>
      <c r="Y71" s="1022">
        <v>65</v>
      </c>
      <c r="Z71" s="1022">
        <v>72</v>
      </c>
      <c r="AA71" s="1023">
        <v>100000</v>
      </c>
      <c r="AB71" s="1024" t="s">
        <v>265</v>
      </c>
      <c r="AC71" s="1025">
        <v>17.5</v>
      </c>
      <c r="AD71" s="1026">
        <v>17.5</v>
      </c>
      <c r="AE71" s="1027">
        <v>35</v>
      </c>
      <c r="AF71" s="1028">
        <v>7.5</v>
      </c>
      <c r="AG71" s="1029">
        <v>10</v>
      </c>
      <c r="AH71" s="1028">
        <v>7.5</v>
      </c>
      <c r="AI71" s="1029">
        <v>10</v>
      </c>
      <c r="AJ71" s="647">
        <v>1.7330399999999996E-2</v>
      </c>
      <c r="AK71" s="648">
        <v>9.8604000000000001E-3</v>
      </c>
      <c r="AL71" s="649">
        <v>2.6891999999999997E-3</v>
      </c>
      <c r="AM71" s="650">
        <v>2.9879999999999993E-2</v>
      </c>
      <c r="AN71" s="651">
        <v>2.9879999999999993E-2</v>
      </c>
      <c r="AO71" s="647">
        <v>1.4751219512195123E-2</v>
      </c>
      <c r="AP71" s="648">
        <v>0</v>
      </c>
      <c r="AQ71" s="649">
        <v>0</v>
      </c>
      <c r="AR71" s="650">
        <v>1.4751219512195123E-2</v>
      </c>
      <c r="AS71" s="652">
        <v>1.512E-2</v>
      </c>
      <c r="AT71" s="652">
        <v>0</v>
      </c>
      <c r="AU71" s="652">
        <v>0</v>
      </c>
      <c r="AV71" s="653">
        <v>1.512E-2</v>
      </c>
      <c r="AW71" s="651">
        <v>4.4999999999999991E-2</v>
      </c>
      <c r="AX71" s="1030" t="s">
        <v>455</v>
      </c>
      <c r="AY71" s="1400">
        <v>8.3000000000000004E-2</v>
      </c>
      <c r="AZ71" s="1401">
        <v>0</v>
      </c>
      <c r="BA71" s="1401">
        <v>0</v>
      </c>
      <c r="BB71" s="657"/>
      <c r="BC71" s="1039">
        <v>8.3000000000000004E-2</v>
      </c>
      <c r="BD71" s="1040">
        <v>1.7999999999999999E-2</v>
      </c>
      <c r="BE71" s="1041">
        <v>6.5000000000000002E-2</v>
      </c>
      <c r="BF71" s="1039">
        <v>8.3000000000000004E-2</v>
      </c>
    </row>
    <row r="72" spans="1:58" ht="60" customHeight="1" x14ac:dyDescent="0.3">
      <c r="A72" s="151" t="s">
        <v>375</v>
      </c>
      <c r="B72" s="672" t="s">
        <v>245</v>
      </c>
      <c r="C72" s="2292"/>
      <c r="D72" s="1402" t="s">
        <v>456</v>
      </c>
      <c r="E72" s="1047" t="s">
        <v>457</v>
      </c>
      <c r="F72" s="970" t="s">
        <v>458</v>
      </c>
      <c r="G72" s="971" t="s">
        <v>249</v>
      </c>
      <c r="H72" s="1048" t="s">
        <v>250</v>
      </c>
      <c r="I72" s="1048" t="s">
        <v>251</v>
      </c>
      <c r="J72" s="1049">
        <v>5.9999999999999984E-2</v>
      </c>
      <c r="K72" s="1050">
        <v>3.4499999999999989E-2</v>
      </c>
      <c r="L72" s="1050">
        <v>2.5499999999999995E-2</v>
      </c>
      <c r="M72" s="1051">
        <v>0</v>
      </c>
      <c r="N72" s="1049">
        <v>2.5000000000000001E-2</v>
      </c>
      <c r="O72" s="1050" t="s">
        <v>252</v>
      </c>
      <c r="P72" s="1052">
        <v>0.44900000000000001</v>
      </c>
      <c r="Q72" s="1052">
        <v>0.15</v>
      </c>
      <c r="R72" s="1053" t="s">
        <v>145</v>
      </c>
      <c r="S72" s="1049" t="s">
        <v>341</v>
      </c>
      <c r="T72" s="1019" t="s">
        <v>207</v>
      </c>
      <c r="U72" s="1055" t="s">
        <v>255</v>
      </c>
      <c r="V72" s="1056" t="s">
        <v>148</v>
      </c>
      <c r="W72" s="1056" t="s">
        <v>256</v>
      </c>
      <c r="X72" s="1057">
        <v>18</v>
      </c>
      <c r="Y72" s="1057">
        <v>65</v>
      </c>
      <c r="Z72" s="1057">
        <v>72</v>
      </c>
      <c r="AA72" s="1058">
        <v>100000</v>
      </c>
      <c r="AB72" s="1059" t="s">
        <v>257</v>
      </c>
      <c r="AC72" s="1060">
        <v>17.5</v>
      </c>
      <c r="AD72" s="1061">
        <v>17.5</v>
      </c>
      <c r="AE72" s="1062">
        <v>35</v>
      </c>
      <c r="AF72" s="1063">
        <v>7.5</v>
      </c>
      <c r="AG72" s="1064">
        <v>10</v>
      </c>
      <c r="AH72" s="1063">
        <v>7.5</v>
      </c>
      <c r="AI72" s="1064">
        <v>10</v>
      </c>
      <c r="AJ72" s="647">
        <v>2.1044999999999991E-2</v>
      </c>
      <c r="AK72" s="648">
        <v>1.3454999999999996E-2</v>
      </c>
      <c r="AL72" s="649">
        <v>0</v>
      </c>
      <c r="AM72" s="650">
        <v>3.4499999999999989E-2</v>
      </c>
      <c r="AN72" s="651">
        <v>3.4499999999999989E-2</v>
      </c>
      <c r="AO72" s="647">
        <v>0</v>
      </c>
      <c r="AP72" s="648">
        <v>2.4878048780487803E-2</v>
      </c>
      <c r="AQ72" s="649">
        <v>0</v>
      </c>
      <c r="AR72" s="650">
        <v>2.4878048780487803E-2</v>
      </c>
      <c r="AS72" s="652">
        <v>0</v>
      </c>
      <c r="AT72" s="652">
        <v>2.5499999999999995E-2</v>
      </c>
      <c r="AU72" s="652">
        <v>0</v>
      </c>
      <c r="AV72" s="653">
        <v>2.5499999999999995E-2</v>
      </c>
      <c r="AW72" s="651">
        <v>5.9999999999999984E-2</v>
      </c>
      <c r="AX72" s="991" t="s">
        <v>459</v>
      </c>
      <c r="AY72" s="1397">
        <v>7.2999999999999995E-2</v>
      </c>
      <c r="AZ72" s="1398">
        <v>0</v>
      </c>
      <c r="BA72" s="1398">
        <v>0</v>
      </c>
      <c r="BB72" s="657"/>
      <c r="BC72" s="1070">
        <v>7.2999999999999995E-2</v>
      </c>
      <c r="BD72" s="1071">
        <v>1.7999999999999999E-2</v>
      </c>
      <c r="BE72" s="1072">
        <v>5.5E-2</v>
      </c>
      <c r="BF72" s="1070">
        <v>7.2999999999999995E-2</v>
      </c>
    </row>
    <row r="73" spans="1:58" ht="60" customHeight="1" thickBot="1" x14ac:dyDescent="0.35">
      <c r="A73" s="151" t="s">
        <v>375</v>
      </c>
      <c r="B73" s="672" t="s">
        <v>245</v>
      </c>
      <c r="C73" s="2293"/>
      <c r="D73" s="1403" t="s">
        <v>460</v>
      </c>
      <c r="E73" s="1078" t="s">
        <v>457</v>
      </c>
      <c r="F73" s="1079" t="s">
        <v>461</v>
      </c>
      <c r="G73" s="1080" t="s">
        <v>262</v>
      </c>
      <c r="H73" s="1081" t="s">
        <v>263</v>
      </c>
      <c r="I73" s="1082" t="s">
        <v>264</v>
      </c>
      <c r="J73" s="1083">
        <v>0.06</v>
      </c>
      <c r="K73" s="1084">
        <v>3.984E-2</v>
      </c>
      <c r="L73" s="1084">
        <v>2.0159999999999997E-2</v>
      </c>
      <c r="M73" s="1085">
        <v>0</v>
      </c>
      <c r="N73" s="1086">
        <v>2.5000000000000001E-2</v>
      </c>
      <c r="O73" s="1084" t="s">
        <v>252</v>
      </c>
      <c r="P73" s="1087">
        <v>0.44900000000000001</v>
      </c>
      <c r="Q73" s="1087">
        <v>0.15</v>
      </c>
      <c r="R73" s="1088" t="s">
        <v>145</v>
      </c>
      <c r="S73" s="1086" t="s">
        <v>341</v>
      </c>
      <c r="T73" s="1090" t="s">
        <v>207</v>
      </c>
      <c r="U73" s="1091" t="s">
        <v>255</v>
      </c>
      <c r="V73" s="1092" t="s">
        <v>148</v>
      </c>
      <c r="W73" s="1092" t="s">
        <v>149</v>
      </c>
      <c r="X73" s="1093">
        <v>18</v>
      </c>
      <c r="Y73" s="1093">
        <v>65</v>
      </c>
      <c r="Z73" s="1093">
        <v>72</v>
      </c>
      <c r="AA73" s="1094">
        <v>100000</v>
      </c>
      <c r="AB73" s="1095" t="s">
        <v>265</v>
      </c>
      <c r="AC73" s="1096">
        <v>17.5</v>
      </c>
      <c r="AD73" s="1097">
        <v>17.5</v>
      </c>
      <c r="AE73" s="1098">
        <v>35</v>
      </c>
      <c r="AF73" s="1099">
        <v>7.5</v>
      </c>
      <c r="AG73" s="1100">
        <v>10</v>
      </c>
      <c r="AH73" s="1099">
        <v>7.5</v>
      </c>
      <c r="AI73" s="1100">
        <v>10</v>
      </c>
      <c r="AJ73" s="786">
        <v>2.3107199999999998E-2</v>
      </c>
      <c r="AK73" s="787">
        <v>1.31472E-2</v>
      </c>
      <c r="AL73" s="788">
        <v>3.5855999999999996E-3</v>
      </c>
      <c r="AM73" s="789">
        <v>3.984E-2</v>
      </c>
      <c r="AN73" s="790">
        <v>3.984E-2</v>
      </c>
      <c r="AO73" s="786">
        <v>1.966829268292683E-2</v>
      </c>
      <c r="AP73" s="787">
        <v>0</v>
      </c>
      <c r="AQ73" s="788">
        <v>0</v>
      </c>
      <c r="AR73" s="789">
        <v>1.966829268292683E-2</v>
      </c>
      <c r="AS73" s="791">
        <v>2.0159999999999997E-2</v>
      </c>
      <c r="AT73" s="791">
        <v>0</v>
      </c>
      <c r="AU73" s="791">
        <v>0</v>
      </c>
      <c r="AV73" s="792">
        <v>2.0159999999999997E-2</v>
      </c>
      <c r="AW73" s="790">
        <v>0.06</v>
      </c>
      <c r="AX73" s="1101" t="s">
        <v>462</v>
      </c>
      <c r="AY73" s="1404">
        <v>7.2999999999999995E-2</v>
      </c>
      <c r="AZ73" s="1405">
        <v>0</v>
      </c>
      <c r="BA73" s="1405">
        <v>0</v>
      </c>
      <c r="BB73" s="797"/>
      <c r="BC73" s="1110">
        <v>7.2999999999999995E-2</v>
      </c>
      <c r="BD73" s="1111">
        <v>1.7999999999999999E-2</v>
      </c>
      <c r="BE73" s="1112">
        <v>5.5E-2</v>
      </c>
      <c r="BF73" s="1110">
        <v>7.2999999999999995E-2</v>
      </c>
    </row>
    <row r="74" spans="1:58" ht="60" customHeight="1" x14ac:dyDescent="0.3">
      <c r="A74" s="151" t="s">
        <v>375</v>
      </c>
      <c r="B74" s="672" t="s">
        <v>245</v>
      </c>
      <c r="C74" s="2294" t="s">
        <v>215</v>
      </c>
      <c r="D74" s="1406" t="s">
        <v>463</v>
      </c>
      <c r="E74" s="1118" t="s">
        <v>464</v>
      </c>
      <c r="F74" s="1119" t="s">
        <v>465</v>
      </c>
      <c r="G74" s="1120"/>
      <c r="H74" s="1121" t="s">
        <v>350</v>
      </c>
      <c r="I74" s="1122" t="s">
        <v>351</v>
      </c>
      <c r="J74" s="1123">
        <v>4.4999999999999998E-2</v>
      </c>
      <c r="K74" s="1124">
        <v>3.4875000000000003E-2</v>
      </c>
      <c r="L74" s="1124">
        <v>1.0124999999999999E-2</v>
      </c>
      <c r="M74" s="1125">
        <v>0</v>
      </c>
      <c r="N74" s="1126">
        <v>2.5000000000000001E-2</v>
      </c>
      <c r="O74" s="1127" t="s">
        <v>229</v>
      </c>
      <c r="P74" s="1128">
        <v>0.44900000000000001</v>
      </c>
      <c r="Q74" s="1128">
        <v>0.15</v>
      </c>
      <c r="R74" s="1129" t="s">
        <v>145</v>
      </c>
      <c r="S74" s="1130" t="s">
        <v>352</v>
      </c>
      <c r="T74" s="1131" t="s">
        <v>353</v>
      </c>
      <c r="U74" s="1132" t="s">
        <v>255</v>
      </c>
      <c r="V74" s="1133" t="s">
        <v>148</v>
      </c>
      <c r="W74" s="1133" t="s">
        <v>149</v>
      </c>
      <c r="X74" s="1134">
        <v>18</v>
      </c>
      <c r="Y74" s="1134">
        <v>65</v>
      </c>
      <c r="Z74" s="1134">
        <v>70</v>
      </c>
      <c r="AA74" s="1135">
        <v>100000</v>
      </c>
      <c r="AB74" s="1132" t="s">
        <v>354</v>
      </c>
      <c r="AC74" s="1136">
        <v>20.5</v>
      </c>
      <c r="AD74" s="1137">
        <v>20.5</v>
      </c>
      <c r="AE74" s="1138">
        <v>41</v>
      </c>
      <c r="AF74" s="1139">
        <v>7.5</v>
      </c>
      <c r="AG74" s="1140">
        <v>13</v>
      </c>
      <c r="AH74" s="1139">
        <v>7.5</v>
      </c>
      <c r="AI74" s="1140">
        <v>13</v>
      </c>
      <c r="AJ74" s="835">
        <v>2.325E-2</v>
      </c>
      <c r="AK74" s="836">
        <v>1.1625E-2</v>
      </c>
      <c r="AL74" s="837">
        <v>0</v>
      </c>
      <c r="AM74" s="838">
        <v>3.4875000000000003E-2</v>
      </c>
      <c r="AN74" s="839">
        <v>3.4875000000000003E-2</v>
      </c>
      <c r="AO74" s="835">
        <v>9.878048780487805E-3</v>
      </c>
      <c r="AP74" s="836">
        <v>0</v>
      </c>
      <c r="AQ74" s="837">
        <v>0</v>
      </c>
      <c r="AR74" s="838">
        <v>9.878048780487805E-3</v>
      </c>
      <c r="AS74" s="652">
        <v>1.0124999999999999E-2</v>
      </c>
      <c r="AT74" s="652">
        <v>0</v>
      </c>
      <c r="AU74" s="652">
        <v>0</v>
      </c>
      <c r="AV74" s="653">
        <v>1.0124999999999999E-2</v>
      </c>
      <c r="AW74" s="839">
        <v>4.4999999999999998E-2</v>
      </c>
      <c r="AX74" s="1141" t="s">
        <v>466</v>
      </c>
      <c r="AY74" s="1407">
        <v>7.2999999999999995E-2</v>
      </c>
      <c r="AZ74" s="1408">
        <v>0</v>
      </c>
      <c r="BA74" s="1408">
        <v>0</v>
      </c>
      <c r="BB74" s="657"/>
      <c r="BC74" s="1150">
        <v>7.2999999999999995E-2</v>
      </c>
      <c r="BD74" s="1151">
        <v>1.7999999999999999E-2</v>
      </c>
      <c r="BE74" s="1152">
        <v>5.5E-2</v>
      </c>
      <c r="BF74" s="1150">
        <v>7.2999999999999995E-2</v>
      </c>
    </row>
    <row r="75" spans="1:58" ht="67.5" customHeight="1" thickBot="1" x14ac:dyDescent="0.35">
      <c r="A75" s="151" t="s">
        <v>375</v>
      </c>
      <c r="B75" s="672" t="s">
        <v>245</v>
      </c>
      <c r="C75" s="2295"/>
      <c r="D75" s="1409" t="s">
        <v>467</v>
      </c>
      <c r="E75" s="1158" t="s">
        <v>464</v>
      </c>
      <c r="F75" s="1159" t="s">
        <v>468</v>
      </c>
      <c r="G75" s="1160"/>
      <c r="H75" s="1161" t="s">
        <v>350</v>
      </c>
      <c r="I75" s="1162" t="s">
        <v>351</v>
      </c>
      <c r="J75" s="1163">
        <v>4.4999999999999998E-2</v>
      </c>
      <c r="K75" s="1164">
        <v>3.4875000000000003E-2</v>
      </c>
      <c r="L75" s="1164">
        <v>1.0124999999999999E-2</v>
      </c>
      <c r="M75" s="1165">
        <v>0</v>
      </c>
      <c r="N75" s="1166">
        <v>2.5000000000000001E-2</v>
      </c>
      <c r="O75" s="1167" t="s">
        <v>229</v>
      </c>
      <c r="P75" s="1168">
        <v>0.44900000000000001</v>
      </c>
      <c r="Q75" s="1168">
        <v>0.15</v>
      </c>
      <c r="R75" s="1169" t="s">
        <v>145</v>
      </c>
      <c r="S75" s="1170" t="s">
        <v>352</v>
      </c>
      <c r="T75" s="1171" t="s">
        <v>353</v>
      </c>
      <c r="U75" s="1172" t="s">
        <v>255</v>
      </c>
      <c r="V75" s="1173" t="s">
        <v>148</v>
      </c>
      <c r="W75" s="1173" t="s">
        <v>149</v>
      </c>
      <c r="X75" s="1174">
        <v>18</v>
      </c>
      <c r="Y75" s="1174">
        <v>65</v>
      </c>
      <c r="Z75" s="1174">
        <v>70</v>
      </c>
      <c r="AA75" s="1175">
        <v>100000</v>
      </c>
      <c r="AB75" s="1172" t="s">
        <v>354</v>
      </c>
      <c r="AC75" s="1176">
        <v>20.5</v>
      </c>
      <c r="AD75" s="1177">
        <v>20.5</v>
      </c>
      <c r="AE75" s="1178">
        <v>41</v>
      </c>
      <c r="AF75" s="1179">
        <v>7.5</v>
      </c>
      <c r="AG75" s="1180">
        <v>13</v>
      </c>
      <c r="AH75" s="1179">
        <v>7.5</v>
      </c>
      <c r="AI75" s="1180">
        <v>13</v>
      </c>
      <c r="AJ75" s="786">
        <v>2.325E-2</v>
      </c>
      <c r="AK75" s="787">
        <v>1.1625E-2</v>
      </c>
      <c r="AL75" s="788">
        <v>0</v>
      </c>
      <c r="AM75" s="789">
        <v>3.4875000000000003E-2</v>
      </c>
      <c r="AN75" s="790">
        <v>3.4875000000000003E-2</v>
      </c>
      <c r="AO75" s="786">
        <v>9.878048780487805E-3</v>
      </c>
      <c r="AP75" s="787">
        <v>0</v>
      </c>
      <c r="AQ75" s="788">
        <v>0</v>
      </c>
      <c r="AR75" s="789">
        <v>9.878048780487805E-3</v>
      </c>
      <c r="AS75" s="791">
        <v>1.0124999999999999E-2</v>
      </c>
      <c r="AT75" s="791">
        <v>0</v>
      </c>
      <c r="AU75" s="791">
        <v>0</v>
      </c>
      <c r="AV75" s="792">
        <v>1.0124999999999999E-2</v>
      </c>
      <c r="AW75" s="790">
        <v>4.4999999999999998E-2</v>
      </c>
      <c r="AX75" s="1181" t="s">
        <v>466</v>
      </c>
      <c r="AY75" s="1410">
        <v>7.2999999999999995E-2</v>
      </c>
      <c r="AZ75" s="1411">
        <v>0</v>
      </c>
      <c r="BA75" s="1411">
        <v>0</v>
      </c>
      <c r="BB75" s="797"/>
      <c r="BC75" s="1190">
        <v>7.2999999999999995E-2</v>
      </c>
      <c r="BD75" s="1191">
        <v>1.7999999999999999E-2</v>
      </c>
      <c r="BE75" s="1192">
        <v>5.5E-2</v>
      </c>
      <c r="BF75" s="1190">
        <v>7.2999999999999995E-2</v>
      </c>
    </row>
    <row r="76" spans="1:58" ht="60" customHeight="1" x14ac:dyDescent="0.3">
      <c r="A76" s="151" t="s">
        <v>375</v>
      </c>
      <c r="B76" s="672" t="s">
        <v>245</v>
      </c>
      <c r="C76" s="1412" t="s">
        <v>224</v>
      </c>
      <c r="D76" s="1413" t="s">
        <v>469</v>
      </c>
      <c r="E76" s="1199" t="s">
        <v>470</v>
      </c>
      <c r="F76" s="1200" t="s">
        <v>471</v>
      </c>
      <c r="G76" s="1201"/>
      <c r="H76" s="1202" t="s">
        <v>363</v>
      </c>
      <c r="I76" s="1203" t="s">
        <v>364</v>
      </c>
      <c r="J76" s="1204">
        <v>0.08</v>
      </c>
      <c r="K76" s="1205">
        <v>7.5563405779431311E-2</v>
      </c>
      <c r="L76" s="1205">
        <v>4.4365942205686903E-3</v>
      </c>
      <c r="M76" s="1206">
        <v>0</v>
      </c>
      <c r="N76" s="1207">
        <v>2.5000000000000001E-2</v>
      </c>
      <c r="O76" s="1205" t="s">
        <v>252</v>
      </c>
      <c r="P76" s="1208">
        <v>0.26</v>
      </c>
      <c r="Q76" s="1208">
        <v>0</v>
      </c>
      <c r="R76" s="1209" t="s">
        <v>145</v>
      </c>
      <c r="S76" s="1210" t="s">
        <v>365</v>
      </c>
      <c r="T76" s="1211" t="s">
        <v>254</v>
      </c>
      <c r="U76" s="1212" t="s">
        <v>255</v>
      </c>
      <c r="V76" s="1213" t="s">
        <v>148</v>
      </c>
      <c r="W76" s="1213" t="s">
        <v>149</v>
      </c>
      <c r="X76" s="1214">
        <v>60</v>
      </c>
      <c r="Y76" s="1214">
        <v>70</v>
      </c>
      <c r="Z76" s="1214">
        <v>75</v>
      </c>
      <c r="AA76" s="1215">
        <v>100000</v>
      </c>
      <c r="AB76" s="1212" t="s">
        <v>366</v>
      </c>
      <c r="AC76" s="1216">
        <v>25</v>
      </c>
      <c r="AD76" s="1217">
        <v>25</v>
      </c>
      <c r="AE76" s="1218">
        <v>50</v>
      </c>
      <c r="AF76" s="1219">
        <v>7.5</v>
      </c>
      <c r="AG76" s="1220">
        <v>17.5</v>
      </c>
      <c r="AH76" s="1219">
        <v>7.5</v>
      </c>
      <c r="AI76" s="1220">
        <v>17.5</v>
      </c>
      <c r="AJ76" s="835">
        <v>7.5563405779431311E-2</v>
      </c>
      <c r="AK76" s="836">
        <v>0</v>
      </c>
      <c r="AL76" s="837">
        <v>0</v>
      </c>
      <c r="AM76" s="838">
        <v>7.5563405779431311E-2</v>
      </c>
      <c r="AN76" s="839">
        <v>7.5563405779431311E-2</v>
      </c>
      <c r="AO76" s="835">
        <v>0</v>
      </c>
      <c r="AP76" s="836">
        <v>0</v>
      </c>
      <c r="AQ76" s="837">
        <v>4.328384605432869E-3</v>
      </c>
      <c r="AR76" s="838">
        <v>4.328384605432869E-3</v>
      </c>
      <c r="AS76" s="1221">
        <v>0</v>
      </c>
      <c r="AT76" s="1221">
        <v>0</v>
      </c>
      <c r="AU76" s="1221">
        <v>4.4365942205686903E-3</v>
      </c>
      <c r="AV76" s="1222">
        <v>4.4365942205686903E-3</v>
      </c>
      <c r="AW76" s="839">
        <v>0.08</v>
      </c>
      <c r="AX76" s="1223" t="s">
        <v>472</v>
      </c>
      <c r="AY76" s="1414">
        <v>0.08</v>
      </c>
      <c r="AZ76" s="1415">
        <v>0</v>
      </c>
      <c r="BA76" s="1415">
        <v>0</v>
      </c>
      <c r="BB76" s="657"/>
      <c r="BC76" s="1232">
        <v>0.08</v>
      </c>
      <c r="BD76" s="1233">
        <v>1.44E-2</v>
      </c>
      <c r="BE76" s="1234">
        <v>6.5600000000000006E-2</v>
      </c>
      <c r="BF76" s="1232">
        <v>0.08</v>
      </c>
    </row>
    <row r="77" spans="1:58" ht="60" customHeight="1" thickBot="1" x14ac:dyDescent="0.35">
      <c r="A77" s="151" t="s">
        <v>375</v>
      </c>
      <c r="B77" s="672" t="s">
        <v>245</v>
      </c>
      <c r="C77" s="1416"/>
      <c r="D77" s="1417" t="s">
        <v>473</v>
      </c>
      <c r="E77" s="1242" t="s">
        <v>474</v>
      </c>
      <c r="F77" s="1243" t="s">
        <v>475</v>
      </c>
      <c r="G77" s="1244"/>
      <c r="H77" s="1245" t="s">
        <v>363</v>
      </c>
      <c r="I77" s="1245" t="s">
        <v>364</v>
      </c>
      <c r="J77" s="1246">
        <v>0.08</v>
      </c>
      <c r="K77" s="1247">
        <v>7.5563405779431311E-2</v>
      </c>
      <c r="L77" s="1247">
        <v>4.4365942205686903E-3</v>
      </c>
      <c r="M77" s="1248">
        <v>0</v>
      </c>
      <c r="N77" s="1249">
        <v>2.5000000000000001E-2</v>
      </c>
      <c r="O77" s="1247" t="s">
        <v>252</v>
      </c>
      <c r="P77" s="1250">
        <v>0.26</v>
      </c>
      <c r="Q77" s="1250">
        <v>0</v>
      </c>
      <c r="R77" s="1251" t="s">
        <v>145</v>
      </c>
      <c r="S77" s="1252" t="s">
        <v>365</v>
      </c>
      <c r="T77" s="1253" t="s">
        <v>254</v>
      </c>
      <c r="U77" s="1254" t="s">
        <v>255</v>
      </c>
      <c r="V77" s="1255" t="s">
        <v>148</v>
      </c>
      <c r="W77" s="1255" t="s">
        <v>149</v>
      </c>
      <c r="X77" s="1256">
        <v>60</v>
      </c>
      <c r="Y77" s="1256">
        <v>70</v>
      </c>
      <c r="Z77" s="1256">
        <v>75</v>
      </c>
      <c r="AA77" s="1257">
        <v>100000</v>
      </c>
      <c r="AB77" s="1254" t="s">
        <v>366</v>
      </c>
      <c r="AC77" s="1258">
        <v>25</v>
      </c>
      <c r="AD77" s="1259">
        <v>25</v>
      </c>
      <c r="AE77" s="1260">
        <v>50</v>
      </c>
      <c r="AF77" s="1261">
        <v>7.5</v>
      </c>
      <c r="AG77" s="1262">
        <v>17.5</v>
      </c>
      <c r="AH77" s="1261">
        <v>7.5</v>
      </c>
      <c r="AI77" s="1262">
        <v>17.5</v>
      </c>
      <c r="AJ77" s="786">
        <v>7.5563405779431311E-2</v>
      </c>
      <c r="AK77" s="787">
        <v>0</v>
      </c>
      <c r="AL77" s="788">
        <v>0</v>
      </c>
      <c r="AM77" s="789">
        <v>7.5563405779431311E-2</v>
      </c>
      <c r="AN77" s="790">
        <v>7.5563405779431311E-2</v>
      </c>
      <c r="AO77" s="786">
        <v>0</v>
      </c>
      <c r="AP77" s="787">
        <v>0</v>
      </c>
      <c r="AQ77" s="788">
        <v>4.328384605432869E-3</v>
      </c>
      <c r="AR77" s="789">
        <v>4.328384605432869E-3</v>
      </c>
      <c r="AS77" s="791">
        <v>0</v>
      </c>
      <c r="AT77" s="791">
        <v>0</v>
      </c>
      <c r="AU77" s="791">
        <v>4.4365942205686903E-3</v>
      </c>
      <c r="AV77" s="792">
        <v>4.4365942205686903E-3</v>
      </c>
      <c r="AW77" s="790">
        <v>0.08</v>
      </c>
      <c r="AX77" s="1263" t="s">
        <v>476</v>
      </c>
      <c r="AY77" s="1418">
        <v>0.08</v>
      </c>
      <c r="AZ77" s="1419">
        <v>0</v>
      </c>
      <c r="BA77" s="1419">
        <v>0</v>
      </c>
      <c r="BB77" s="1267"/>
      <c r="BC77" s="1420">
        <v>0.08</v>
      </c>
      <c r="BD77" s="1275">
        <v>1.44E-2</v>
      </c>
      <c r="BE77" s="1276">
        <v>6.5600000000000006E-2</v>
      </c>
      <c r="BF77" s="1274">
        <v>0.08</v>
      </c>
    </row>
    <row r="78" spans="1:58" s="94" customFormat="1" ht="108.75" customHeight="1" x14ac:dyDescent="0.3">
      <c r="A78" s="151" t="s">
        <v>375</v>
      </c>
      <c r="B78" s="179" t="s">
        <v>477</v>
      </c>
      <c r="C78" s="2299" t="s">
        <v>376</v>
      </c>
      <c r="D78" s="1421" t="s">
        <v>478</v>
      </c>
      <c r="E78" s="1422" t="s">
        <v>479</v>
      </c>
      <c r="F78" s="1423" t="s">
        <v>480</v>
      </c>
      <c r="G78" s="1299" t="s">
        <v>249</v>
      </c>
      <c r="H78" s="1300" t="s">
        <v>481</v>
      </c>
      <c r="I78" s="1300" t="s">
        <v>482</v>
      </c>
      <c r="J78" s="1301">
        <v>4.4999999999999998E-2</v>
      </c>
      <c r="K78" s="1302">
        <v>2.6999999999999996E-2</v>
      </c>
      <c r="L78" s="1302">
        <v>1.7999999999999999E-2</v>
      </c>
      <c r="M78" s="1303">
        <v>0</v>
      </c>
      <c r="N78" s="1303">
        <v>2.5000000000000001E-2</v>
      </c>
      <c r="O78" s="1302" t="s">
        <v>252</v>
      </c>
      <c r="P78" s="1304">
        <v>0.43</v>
      </c>
      <c r="Q78" s="1305">
        <v>0.12</v>
      </c>
      <c r="R78" s="1306" t="s">
        <v>382</v>
      </c>
      <c r="S78" s="1307" t="s">
        <v>365</v>
      </c>
      <c r="T78" s="2300" t="s">
        <v>254</v>
      </c>
      <c r="U78" s="1424" t="s">
        <v>255</v>
      </c>
      <c r="V78" s="1425" t="s">
        <v>148</v>
      </c>
      <c r="W78" s="1425" t="s">
        <v>383</v>
      </c>
      <c r="X78" s="1426">
        <v>18</v>
      </c>
      <c r="Y78" s="1426" t="s">
        <v>384</v>
      </c>
      <c r="Z78" s="1426" t="s">
        <v>385</v>
      </c>
      <c r="AA78" s="1427">
        <v>100000</v>
      </c>
      <c r="AB78" s="1425" t="s">
        <v>257</v>
      </c>
      <c r="AC78" s="1428">
        <v>25</v>
      </c>
      <c r="AD78" s="1428">
        <v>25</v>
      </c>
      <c r="AE78" s="1429">
        <v>50</v>
      </c>
      <c r="AF78" s="1430">
        <v>7.5</v>
      </c>
      <c r="AG78" s="1431">
        <v>17.5</v>
      </c>
      <c r="AH78" s="1432">
        <v>7.5</v>
      </c>
      <c r="AI78" s="1428">
        <v>17.5</v>
      </c>
      <c r="AJ78" s="1433">
        <v>1.6469999999999999E-2</v>
      </c>
      <c r="AK78" s="1434">
        <v>1.0529999999999999E-2</v>
      </c>
      <c r="AL78" s="1435">
        <v>0</v>
      </c>
      <c r="AM78" s="838">
        <v>2.6999999999999996E-2</v>
      </c>
      <c r="AN78" s="839">
        <v>2.6999999999999996E-2</v>
      </c>
      <c r="AO78" s="835">
        <v>0</v>
      </c>
      <c r="AP78" s="836">
        <v>1.7560975609756096E-2</v>
      </c>
      <c r="AQ78" s="837">
        <v>0</v>
      </c>
      <c r="AR78" s="838">
        <v>1.7560975609756096E-2</v>
      </c>
      <c r="AS78" s="1221">
        <v>0</v>
      </c>
      <c r="AT78" s="1221">
        <v>1.7999999999999999E-2</v>
      </c>
      <c r="AU78" s="1221">
        <v>0</v>
      </c>
      <c r="AV78" s="1222">
        <v>1.7999999999999999E-2</v>
      </c>
      <c r="AW78" s="839">
        <v>4.4999999999999991E-2</v>
      </c>
      <c r="AX78" s="1436" t="s">
        <v>483</v>
      </c>
      <c r="AY78" s="1437">
        <v>8.4999999999999992E-2</v>
      </c>
      <c r="AZ78" s="1323">
        <v>0</v>
      </c>
      <c r="BA78" s="1323">
        <v>0</v>
      </c>
      <c r="BB78" s="1324"/>
      <c r="BC78" s="1325">
        <v>8.4999999999999992E-2</v>
      </c>
      <c r="BD78" s="1326">
        <v>1.7999999999999999E-2</v>
      </c>
      <c r="BE78" s="1326">
        <v>6.699999999999999E-2</v>
      </c>
      <c r="BF78" s="1325">
        <v>8.4999999999999992E-2</v>
      </c>
    </row>
    <row r="79" spans="1:58" s="94" customFormat="1" ht="108.75" customHeight="1" thickBot="1" x14ac:dyDescent="0.35">
      <c r="A79" s="151" t="s">
        <v>375</v>
      </c>
      <c r="B79" s="179" t="s">
        <v>477</v>
      </c>
      <c r="C79" s="2297"/>
      <c r="D79" s="1438" t="s">
        <v>484</v>
      </c>
      <c r="E79" s="1439" t="s">
        <v>479</v>
      </c>
      <c r="F79" s="1329" t="s">
        <v>485</v>
      </c>
      <c r="G79" s="1330" t="s">
        <v>262</v>
      </c>
      <c r="H79" s="1331" t="s">
        <v>486</v>
      </c>
      <c r="I79" s="1331" t="s">
        <v>487</v>
      </c>
      <c r="J79" s="1332">
        <v>4.4999999999999998E-2</v>
      </c>
      <c r="K79" s="1333">
        <v>2.988E-2</v>
      </c>
      <c r="L79" s="1333">
        <v>1.5120000000000003E-2</v>
      </c>
      <c r="M79" s="1334">
        <v>0</v>
      </c>
      <c r="N79" s="1335">
        <v>2.5000000000000001E-2</v>
      </c>
      <c r="O79" s="1333" t="s">
        <v>252</v>
      </c>
      <c r="P79" s="1336">
        <v>0.43</v>
      </c>
      <c r="Q79" s="1337">
        <v>0.12</v>
      </c>
      <c r="R79" s="1338" t="s">
        <v>391</v>
      </c>
      <c r="S79" s="1339" t="s">
        <v>365</v>
      </c>
      <c r="T79" s="2301"/>
      <c r="U79" s="1340" t="s">
        <v>255</v>
      </c>
      <c r="V79" s="1341" t="s">
        <v>148</v>
      </c>
      <c r="W79" s="1341" t="s">
        <v>392</v>
      </c>
      <c r="X79" s="1342">
        <v>18</v>
      </c>
      <c r="Y79" s="1342" t="s">
        <v>384</v>
      </c>
      <c r="Z79" s="1342" t="s">
        <v>385</v>
      </c>
      <c r="AA79" s="1343">
        <v>100000</v>
      </c>
      <c r="AB79" s="1341" t="s">
        <v>265</v>
      </c>
      <c r="AC79" s="1344">
        <v>25</v>
      </c>
      <c r="AD79" s="1344">
        <v>25</v>
      </c>
      <c r="AE79" s="1345">
        <v>50</v>
      </c>
      <c r="AF79" s="1346">
        <v>7.5</v>
      </c>
      <c r="AG79" s="1347">
        <v>17.5</v>
      </c>
      <c r="AH79" s="1348">
        <v>7.5</v>
      </c>
      <c r="AI79" s="1344">
        <v>17.5</v>
      </c>
      <c r="AJ79" s="1317">
        <v>1.7330399999999999E-2</v>
      </c>
      <c r="AK79" s="1318">
        <v>9.8604000000000018E-3</v>
      </c>
      <c r="AL79" s="1319">
        <v>2.6892000000000001E-3</v>
      </c>
      <c r="AM79" s="650">
        <v>2.988E-2</v>
      </c>
      <c r="AN79" s="651">
        <v>2.988E-2</v>
      </c>
      <c r="AO79" s="647">
        <v>1.4751219512195126E-2</v>
      </c>
      <c r="AP79" s="648">
        <v>0</v>
      </c>
      <c r="AQ79" s="649">
        <v>0</v>
      </c>
      <c r="AR79" s="650">
        <v>1.4751219512195126E-2</v>
      </c>
      <c r="AS79" s="652">
        <v>1.5120000000000003E-2</v>
      </c>
      <c r="AT79" s="652">
        <v>0</v>
      </c>
      <c r="AU79" s="652">
        <v>0</v>
      </c>
      <c r="AV79" s="653">
        <v>1.5120000000000003E-2</v>
      </c>
      <c r="AW79" s="651">
        <v>4.5000000000000005E-2</v>
      </c>
      <c r="AX79" s="1353" t="s">
        <v>488</v>
      </c>
      <c r="AY79" s="1354">
        <v>8.4999999999999992E-2</v>
      </c>
      <c r="AZ79" s="1355">
        <v>0</v>
      </c>
      <c r="BA79" s="1355">
        <v>0</v>
      </c>
      <c r="BB79" s="1356"/>
      <c r="BC79" s="1357">
        <v>8.4999999999999992E-2</v>
      </c>
      <c r="BD79" s="1358">
        <v>1.7999999999999999E-2</v>
      </c>
      <c r="BE79" s="1358">
        <v>6.699999999999999E-2</v>
      </c>
      <c r="BF79" s="1357">
        <v>8.4999999999999992E-2</v>
      </c>
    </row>
    <row r="80" spans="1:58" s="1372" customFormat="1" ht="125.25" customHeight="1" x14ac:dyDescent="0.3">
      <c r="A80" s="151" t="s">
        <v>375</v>
      </c>
      <c r="B80" s="179" t="s">
        <v>477</v>
      </c>
      <c r="C80" s="2280" t="s">
        <v>489</v>
      </c>
      <c r="D80" s="1440" t="s">
        <v>490</v>
      </c>
      <c r="E80" s="1441" t="s">
        <v>491</v>
      </c>
      <c r="F80" s="629" t="s">
        <v>492</v>
      </c>
      <c r="G80" s="716" t="s">
        <v>249</v>
      </c>
      <c r="H80" s="631" t="s">
        <v>250</v>
      </c>
      <c r="I80" s="631" t="s">
        <v>251</v>
      </c>
      <c r="J80" s="632">
        <v>4.4999999999999998E-2</v>
      </c>
      <c r="K80" s="633">
        <v>2.6999999999999996E-2</v>
      </c>
      <c r="L80" s="633">
        <v>1.7999999999999999E-2</v>
      </c>
      <c r="M80" s="634">
        <v>0</v>
      </c>
      <c r="N80" s="634">
        <v>2.5000000000000001E-2</v>
      </c>
      <c r="O80" s="633" t="s">
        <v>252</v>
      </c>
      <c r="P80" s="1365">
        <v>0.43</v>
      </c>
      <c r="Q80" s="1362">
        <v>0.12</v>
      </c>
      <c r="R80" s="636" t="s">
        <v>253</v>
      </c>
      <c r="S80" s="637" t="s">
        <v>206</v>
      </c>
      <c r="T80" s="2283" t="s">
        <v>254</v>
      </c>
      <c r="U80" s="637" t="s">
        <v>255</v>
      </c>
      <c r="V80" s="639" t="s">
        <v>148</v>
      </c>
      <c r="W80" s="639" t="s">
        <v>383</v>
      </c>
      <c r="X80" s="640">
        <v>18</v>
      </c>
      <c r="Y80" s="1442" t="s">
        <v>384</v>
      </c>
      <c r="Z80" s="640" t="s">
        <v>385</v>
      </c>
      <c r="AA80" s="1443">
        <v>100000</v>
      </c>
      <c r="AB80" s="637" t="s">
        <v>257</v>
      </c>
      <c r="AC80" s="642">
        <v>25</v>
      </c>
      <c r="AD80" s="643">
        <v>25</v>
      </c>
      <c r="AE80" s="644">
        <v>50</v>
      </c>
      <c r="AF80" s="645">
        <v>7.5</v>
      </c>
      <c r="AG80" s="1369">
        <v>17.5</v>
      </c>
      <c r="AH80" s="645">
        <v>7.5</v>
      </c>
      <c r="AI80" s="646">
        <v>17.5</v>
      </c>
      <c r="AJ80" s="835">
        <v>1.6469999999999999E-2</v>
      </c>
      <c r="AK80" s="836">
        <v>1.0529999999999999E-2</v>
      </c>
      <c r="AL80" s="837">
        <v>0</v>
      </c>
      <c r="AM80" s="838">
        <v>2.6999999999999996E-2</v>
      </c>
      <c r="AN80" s="839">
        <v>2.6999999999999996E-2</v>
      </c>
      <c r="AO80" s="835">
        <v>0</v>
      </c>
      <c r="AP80" s="836">
        <v>1.7560975609756096E-2</v>
      </c>
      <c r="AQ80" s="837">
        <v>0</v>
      </c>
      <c r="AR80" s="838">
        <v>1.7560975609756096E-2</v>
      </c>
      <c r="AS80" s="652">
        <v>0</v>
      </c>
      <c r="AT80" s="652">
        <v>1.7999999999999999E-2</v>
      </c>
      <c r="AU80" s="652">
        <v>0</v>
      </c>
      <c r="AV80" s="653">
        <v>1.7999999999999999E-2</v>
      </c>
      <c r="AW80" s="839">
        <v>4.4999999999999991E-2</v>
      </c>
      <c r="AX80" s="1444" t="s">
        <v>493</v>
      </c>
      <c r="AY80" s="1445">
        <v>8.4999999999999992E-2</v>
      </c>
      <c r="AZ80" s="1446">
        <v>0</v>
      </c>
      <c r="BA80" s="1446">
        <v>0</v>
      </c>
      <c r="BB80" s="1447"/>
      <c r="BC80" s="664">
        <v>8.4999999999999992E-2</v>
      </c>
      <c r="BD80" s="665">
        <v>1.7999999999999999E-2</v>
      </c>
      <c r="BE80" s="666">
        <v>6.699999999999999E-2</v>
      </c>
      <c r="BF80" s="664">
        <v>8.4999999999999992E-2</v>
      </c>
    </row>
    <row r="81" spans="1:58" s="1372" customFormat="1" ht="106.05" customHeight="1" x14ac:dyDescent="0.3">
      <c r="A81" s="151" t="s">
        <v>375</v>
      </c>
      <c r="B81" s="179" t="s">
        <v>477</v>
      </c>
      <c r="C81" s="2281"/>
      <c r="D81" s="1448" t="s">
        <v>494</v>
      </c>
      <c r="E81" s="1449" t="s">
        <v>491</v>
      </c>
      <c r="F81" s="675" t="s">
        <v>495</v>
      </c>
      <c r="G81" s="676" t="s">
        <v>262</v>
      </c>
      <c r="H81" s="677" t="s">
        <v>263</v>
      </c>
      <c r="I81" s="677" t="s">
        <v>264</v>
      </c>
      <c r="J81" s="678">
        <v>4.4999999999999998E-2</v>
      </c>
      <c r="K81" s="679">
        <v>2.988E-2</v>
      </c>
      <c r="L81" s="679">
        <v>1.5120000000000003E-2</v>
      </c>
      <c r="M81" s="680">
        <v>0</v>
      </c>
      <c r="N81" s="681">
        <v>2.5000000000000001E-2</v>
      </c>
      <c r="O81" s="679" t="s">
        <v>252</v>
      </c>
      <c r="P81" s="682">
        <v>0.43</v>
      </c>
      <c r="Q81" s="678">
        <v>0.12</v>
      </c>
      <c r="R81" s="683" t="s">
        <v>145</v>
      </c>
      <c r="S81" s="684" t="s">
        <v>206</v>
      </c>
      <c r="T81" s="2284"/>
      <c r="U81" s="686" t="s">
        <v>255</v>
      </c>
      <c r="V81" s="687" t="s">
        <v>148</v>
      </c>
      <c r="W81" s="687" t="s">
        <v>392</v>
      </c>
      <c r="X81" s="688">
        <v>18</v>
      </c>
      <c r="Y81" s="688" t="s">
        <v>384</v>
      </c>
      <c r="Z81" s="688" t="s">
        <v>385</v>
      </c>
      <c r="AA81" s="1450">
        <v>100000</v>
      </c>
      <c r="AB81" s="686" t="s">
        <v>265</v>
      </c>
      <c r="AC81" s="690">
        <v>25</v>
      </c>
      <c r="AD81" s="691">
        <v>25</v>
      </c>
      <c r="AE81" s="692">
        <v>50</v>
      </c>
      <c r="AF81" s="693">
        <v>7.5</v>
      </c>
      <c r="AG81" s="694">
        <v>17.5</v>
      </c>
      <c r="AH81" s="693">
        <v>7.5</v>
      </c>
      <c r="AI81" s="694">
        <v>17.5</v>
      </c>
      <c r="AJ81" s="647">
        <v>1.7330399999999999E-2</v>
      </c>
      <c r="AK81" s="648">
        <v>9.8604000000000018E-3</v>
      </c>
      <c r="AL81" s="649">
        <v>2.6892000000000001E-3</v>
      </c>
      <c r="AM81" s="650">
        <v>2.988E-2</v>
      </c>
      <c r="AN81" s="651">
        <v>2.988E-2</v>
      </c>
      <c r="AO81" s="647">
        <v>1.4751219512195126E-2</v>
      </c>
      <c r="AP81" s="648">
        <v>0</v>
      </c>
      <c r="AQ81" s="649">
        <v>0</v>
      </c>
      <c r="AR81" s="650">
        <v>1.4751219512195126E-2</v>
      </c>
      <c r="AS81" s="652">
        <v>1.5120000000000003E-2</v>
      </c>
      <c r="AT81" s="652">
        <v>0</v>
      </c>
      <c r="AU81" s="652">
        <v>0</v>
      </c>
      <c r="AV81" s="653">
        <v>1.5120000000000003E-2</v>
      </c>
      <c r="AW81" s="651">
        <v>4.5000000000000005E-2</v>
      </c>
      <c r="AX81" s="1451" t="s">
        <v>496</v>
      </c>
      <c r="AY81" s="1452">
        <v>8.4999999999999992E-2</v>
      </c>
      <c r="AZ81" s="1453">
        <v>0</v>
      </c>
      <c r="BA81" s="1453">
        <v>0</v>
      </c>
      <c r="BB81" s="1447"/>
      <c r="BC81" s="705">
        <v>8.4999999999999992E-2</v>
      </c>
      <c r="BD81" s="706">
        <v>1.7999999999999999E-2</v>
      </c>
      <c r="BE81" s="707">
        <v>6.699999999999999E-2</v>
      </c>
      <c r="BF81" s="705">
        <v>8.4999999999999992E-2</v>
      </c>
    </row>
    <row r="82" spans="1:58" ht="106.05" customHeight="1" x14ac:dyDescent="0.3">
      <c r="A82" s="151" t="s">
        <v>375</v>
      </c>
      <c r="B82" s="179" t="s">
        <v>477</v>
      </c>
      <c r="C82" s="2281"/>
      <c r="D82" s="1454" t="s">
        <v>497</v>
      </c>
      <c r="E82" s="1455" t="s">
        <v>498</v>
      </c>
      <c r="F82" s="629" t="s">
        <v>499</v>
      </c>
      <c r="G82" s="716" t="s">
        <v>249</v>
      </c>
      <c r="H82" s="717" t="s">
        <v>250</v>
      </c>
      <c r="I82" s="717" t="s">
        <v>251</v>
      </c>
      <c r="J82" s="718">
        <v>0.06</v>
      </c>
      <c r="K82" s="719">
        <v>3.5999999999999997E-2</v>
      </c>
      <c r="L82" s="719">
        <v>2.3999999999999997E-2</v>
      </c>
      <c r="M82" s="720">
        <v>0</v>
      </c>
      <c r="N82" s="721">
        <v>2.5000000000000001E-2</v>
      </c>
      <c r="O82" s="719" t="s">
        <v>252</v>
      </c>
      <c r="P82" s="722">
        <v>0.43</v>
      </c>
      <c r="Q82" s="718">
        <v>0.12</v>
      </c>
      <c r="R82" s="723" t="s">
        <v>145</v>
      </c>
      <c r="S82" s="724" t="s">
        <v>270</v>
      </c>
      <c r="T82" s="2284"/>
      <c r="U82" s="725" t="s">
        <v>255</v>
      </c>
      <c r="V82" s="726" t="s">
        <v>148</v>
      </c>
      <c r="W82" s="726" t="s">
        <v>383</v>
      </c>
      <c r="X82" s="727">
        <v>18</v>
      </c>
      <c r="Y82" s="727" t="s">
        <v>384</v>
      </c>
      <c r="Z82" s="727" t="s">
        <v>385</v>
      </c>
      <c r="AA82" s="1456">
        <v>100000</v>
      </c>
      <c r="AB82" s="725" t="s">
        <v>257</v>
      </c>
      <c r="AC82" s="729">
        <v>25</v>
      </c>
      <c r="AD82" s="730">
        <v>25</v>
      </c>
      <c r="AE82" s="731">
        <v>50</v>
      </c>
      <c r="AF82" s="732">
        <v>7.5</v>
      </c>
      <c r="AG82" s="733">
        <v>17.5</v>
      </c>
      <c r="AH82" s="732">
        <v>7.5</v>
      </c>
      <c r="AI82" s="733">
        <v>17.5</v>
      </c>
      <c r="AJ82" s="647">
        <v>2.1959999999999997E-2</v>
      </c>
      <c r="AK82" s="648">
        <v>1.4039999999999999E-2</v>
      </c>
      <c r="AL82" s="649">
        <v>0</v>
      </c>
      <c r="AM82" s="650">
        <v>3.5999999999999997E-2</v>
      </c>
      <c r="AN82" s="651">
        <v>3.5999999999999997E-2</v>
      </c>
      <c r="AO82" s="647">
        <v>0</v>
      </c>
      <c r="AP82" s="648">
        <v>2.3414634146341463E-2</v>
      </c>
      <c r="AQ82" s="649">
        <v>0</v>
      </c>
      <c r="AR82" s="650">
        <v>2.3414634146341463E-2</v>
      </c>
      <c r="AS82" s="652">
        <v>0</v>
      </c>
      <c r="AT82" s="652">
        <v>2.3999999999999997E-2</v>
      </c>
      <c r="AU82" s="652">
        <v>0</v>
      </c>
      <c r="AV82" s="653">
        <v>2.3999999999999997E-2</v>
      </c>
      <c r="AW82" s="651">
        <v>0.06</v>
      </c>
      <c r="AX82" s="1444" t="s">
        <v>500</v>
      </c>
      <c r="AY82" s="1445">
        <v>7.3700000000000002E-2</v>
      </c>
      <c r="AZ82" s="1446">
        <v>0</v>
      </c>
      <c r="BA82" s="1446">
        <v>0</v>
      </c>
      <c r="BB82" s="1447"/>
      <c r="BC82" s="740">
        <v>7.3700000000000002E-2</v>
      </c>
      <c r="BD82" s="741">
        <v>1.7999999999999999E-2</v>
      </c>
      <c r="BE82" s="742">
        <v>5.5700000000000006E-2</v>
      </c>
      <c r="BF82" s="740">
        <v>7.3700000000000002E-2</v>
      </c>
    </row>
    <row r="83" spans="1:58" ht="106.05" customHeight="1" x14ac:dyDescent="0.3">
      <c r="A83" s="151" t="s">
        <v>375</v>
      </c>
      <c r="B83" s="179" t="s">
        <v>477</v>
      </c>
      <c r="C83" s="2281"/>
      <c r="D83" s="1448" t="s">
        <v>501</v>
      </c>
      <c r="E83" s="1457" t="s">
        <v>498</v>
      </c>
      <c r="F83" s="675" t="s">
        <v>502</v>
      </c>
      <c r="G83" s="749" t="s">
        <v>262</v>
      </c>
      <c r="H83" s="677" t="s">
        <v>263</v>
      </c>
      <c r="I83" s="677" t="s">
        <v>264</v>
      </c>
      <c r="J83" s="750">
        <v>0.06</v>
      </c>
      <c r="K83" s="751">
        <v>3.984E-2</v>
      </c>
      <c r="L83" s="751">
        <v>2.0160000000000001E-2</v>
      </c>
      <c r="M83" s="752">
        <v>0</v>
      </c>
      <c r="N83" s="753">
        <v>2.5000000000000001E-2</v>
      </c>
      <c r="O83" s="751" t="s">
        <v>252</v>
      </c>
      <c r="P83" s="754">
        <v>0.43</v>
      </c>
      <c r="Q83" s="750">
        <v>0.12</v>
      </c>
      <c r="R83" s="755" t="s">
        <v>145</v>
      </c>
      <c r="S83" s="756" t="s">
        <v>270</v>
      </c>
      <c r="T83" s="2284"/>
      <c r="U83" s="686" t="s">
        <v>255</v>
      </c>
      <c r="V83" s="687" t="s">
        <v>148</v>
      </c>
      <c r="W83" s="687" t="s">
        <v>392</v>
      </c>
      <c r="X83" s="688">
        <v>18</v>
      </c>
      <c r="Y83" s="688" t="s">
        <v>384</v>
      </c>
      <c r="Z83" s="688" t="s">
        <v>385</v>
      </c>
      <c r="AA83" s="1450">
        <v>100000</v>
      </c>
      <c r="AB83" s="686" t="s">
        <v>265</v>
      </c>
      <c r="AC83" s="690">
        <v>25</v>
      </c>
      <c r="AD83" s="691">
        <v>25</v>
      </c>
      <c r="AE83" s="692">
        <v>50</v>
      </c>
      <c r="AF83" s="693">
        <v>7.5</v>
      </c>
      <c r="AG83" s="694">
        <v>17.5</v>
      </c>
      <c r="AH83" s="693">
        <v>7.5</v>
      </c>
      <c r="AI83" s="694">
        <v>17.5</v>
      </c>
      <c r="AJ83" s="647">
        <v>2.3107199999999998E-2</v>
      </c>
      <c r="AK83" s="648">
        <v>1.3147200000000001E-2</v>
      </c>
      <c r="AL83" s="649">
        <v>3.5856E-3</v>
      </c>
      <c r="AM83" s="650">
        <v>3.984E-2</v>
      </c>
      <c r="AN83" s="651">
        <v>3.984E-2</v>
      </c>
      <c r="AO83" s="647">
        <v>1.966829268292683E-2</v>
      </c>
      <c r="AP83" s="648">
        <v>0</v>
      </c>
      <c r="AQ83" s="649">
        <v>0</v>
      </c>
      <c r="AR83" s="650">
        <v>1.966829268292683E-2</v>
      </c>
      <c r="AS83" s="652">
        <v>2.0160000000000001E-2</v>
      </c>
      <c r="AT83" s="652">
        <v>0</v>
      </c>
      <c r="AU83" s="652">
        <v>0</v>
      </c>
      <c r="AV83" s="653">
        <v>2.0160000000000001E-2</v>
      </c>
      <c r="AW83" s="651">
        <v>0.06</v>
      </c>
      <c r="AX83" s="1451" t="s">
        <v>503</v>
      </c>
      <c r="AY83" s="1452">
        <v>7.3700000000000002E-2</v>
      </c>
      <c r="AZ83" s="1453">
        <v>0</v>
      </c>
      <c r="BA83" s="1453">
        <v>0</v>
      </c>
      <c r="BB83" s="1447"/>
      <c r="BC83" s="705">
        <v>7.3700000000000002E-2</v>
      </c>
      <c r="BD83" s="706">
        <v>1.7999999999999999E-2</v>
      </c>
      <c r="BE83" s="707">
        <v>5.5700000000000006E-2</v>
      </c>
      <c r="BF83" s="705">
        <v>7.3700000000000002E-2</v>
      </c>
    </row>
    <row r="84" spans="1:58" ht="106.05" customHeight="1" x14ac:dyDescent="0.3">
      <c r="A84" s="151" t="s">
        <v>375</v>
      </c>
      <c r="B84" s="179" t="s">
        <v>477</v>
      </c>
      <c r="C84" s="2281"/>
      <c r="D84" s="1454" t="s">
        <v>504</v>
      </c>
      <c r="E84" s="1458" t="s">
        <v>505</v>
      </c>
      <c r="F84" s="629" t="s">
        <v>506</v>
      </c>
      <c r="G84" s="716" t="s">
        <v>249</v>
      </c>
      <c r="H84" s="717" t="s">
        <v>250</v>
      </c>
      <c r="I84" s="717" t="s">
        <v>251</v>
      </c>
      <c r="J84" s="718">
        <v>0.08</v>
      </c>
      <c r="K84" s="719">
        <v>4.8000000000000001E-2</v>
      </c>
      <c r="L84" s="719">
        <v>3.2000000000000001E-2</v>
      </c>
      <c r="M84" s="720">
        <v>0</v>
      </c>
      <c r="N84" s="721">
        <v>2.5000000000000001E-2</v>
      </c>
      <c r="O84" s="719" t="s">
        <v>252</v>
      </c>
      <c r="P84" s="722">
        <v>0.43</v>
      </c>
      <c r="Q84" s="718">
        <v>0.12</v>
      </c>
      <c r="R84" s="723" t="s">
        <v>145</v>
      </c>
      <c r="S84" s="724" t="s">
        <v>279</v>
      </c>
      <c r="T84" s="2284"/>
      <c r="U84" s="725" t="s">
        <v>255</v>
      </c>
      <c r="V84" s="726" t="s">
        <v>148</v>
      </c>
      <c r="W84" s="726" t="s">
        <v>383</v>
      </c>
      <c r="X84" s="727">
        <v>18</v>
      </c>
      <c r="Y84" s="727" t="s">
        <v>384</v>
      </c>
      <c r="Z84" s="727" t="s">
        <v>385</v>
      </c>
      <c r="AA84" s="1456">
        <v>100000</v>
      </c>
      <c r="AB84" s="725" t="s">
        <v>257</v>
      </c>
      <c r="AC84" s="729">
        <v>25</v>
      </c>
      <c r="AD84" s="730">
        <v>25</v>
      </c>
      <c r="AE84" s="731">
        <v>50</v>
      </c>
      <c r="AF84" s="732">
        <v>7.5</v>
      </c>
      <c r="AG84" s="733">
        <v>17.5</v>
      </c>
      <c r="AH84" s="732">
        <v>7.5</v>
      </c>
      <c r="AI84" s="733">
        <v>17.5</v>
      </c>
      <c r="AJ84" s="647">
        <v>2.9279999999999997E-2</v>
      </c>
      <c r="AK84" s="648">
        <v>1.8720000000000001E-2</v>
      </c>
      <c r="AL84" s="649">
        <v>0</v>
      </c>
      <c r="AM84" s="650">
        <v>4.8000000000000001E-2</v>
      </c>
      <c r="AN84" s="651">
        <v>4.8000000000000001E-2</v>
      </c>
      <c r="AO84" s="647">
        <v>0</v>
      </c>
      <c r="AP84" s="648">
        <v>3.1219512195121958E-2</v>
      </c>
      <c r="AQ84" s="649">
        <v>0</v>
      </c>
      <c r="AR84" s="650">
        <v>3.1219512195121958E-2</v>
      </c>
      <c r="AS84" s="652">
        <v>0</v>
      </c>
      <c r="AT84" s="652">
        <v>3.2000000000000001E-2</v>
      </c>
      <c r="AU84" s="652">
        <v>0</v>
      </c>
      <c r="AV84" s="653">
        <v>3.2000000000000001E-2</v>
      </c>
      <c r="AW84" s="651">
        <v>8.0000000000000016E-2</v>
      </c>
      <c r="AX84" s="1444" t="s">
        <v>507</v>
      </c>
      <c r="AY84" s="1445">
        <v>6.6000000000000003E-2</v>
      </c>
      <c r="AZ84" s="1446">
        <v>0</v>
      </c>
      <c r="BA84" s="1446">
        <v>0</v>
      </c>
      <c r="BB84" s="1447"/>
      <c r="BC84" s="740">
        <v>6.6000000000000003E-2</v>
      </c>
      <c r="BD84" s="741">
        <v>1.7999999999999999E-2</v>
      </c>
      <c r="BE84" s="742">
        <v>4.8000000000000001E-2</v>
      </c>
      <c r="BF84" s="740">
        <v>6.6000000000000003E-2</v>
      </c>
    </row>
    <row r="85" spans="1:58" ht="106.05" customHeight="1" x14ac:dyDescent="0.3">
      <c r="A85" s="151" t="s">
        <v>375</v>
      </c>
      <c r="B85" s="179" t="s">
        <v>477</v>
      </c>
      <c r="C85" s="2281"/>
      <c r="D85" s="1448" t="s">
        <v>508</v>
      </c>
      <c r="E85" s="1457" t="s">
        <v>505</v>
      </c>
      <c r="F85" s="675" t="s">
        <v>509</v>
      </c>
      <c r="G85" s="749" t="s">
        <v>262</v>
      </c>
      <c r="H85" s="677" t="s">
        <v>263</v>
      </c>
      <c r="I85" s="677" t="s">
        <v>264</v>
      </c>
      <c r="J85" s="750">
        <v>0.08</v>
      </c>
      <c r="K85" s="751">
        <v>5.3120000000000001E-2</v>
      </c>
      <c r="L85" s="751">
        <v>2.6880000000000001E-2</v>
      </c>
      <c r="M85" s="752">
        <v>0</v>
      </c>
      <c r="N85" s="753">
        <v>2.5000000000000001E-2</v>
      </c>
      <c r="O85" s="751" t="s">
        <v>252</v>
      </c>
      <c r="P85" s="754">
        <v>0.43</v>
      </c>
      <c r="Q85" s="750">
        <v>0.12</v>
      </c>
      <c r="R85" s="755" t="s">
        <v>145</v>
      </c>
      <c r="S85" s="756" t="s">
        <v>279</v>
      </c>
      <c r="T85" s="2284"/>
      <c r="U85" s="686" t="s">
        <v>255</v>
      </c>
      <c r="V85" s="687" t="s">
        <v>148</v>
      </c>
      <c r="W85" s="687" t="s">
        <v>392</v>
      </c>
      <c r="X85" s="688">
        <v>18</v>
      </c>
      <c r="Y85" s="688" t="s">
        <v>384</v>
      </c>
      <c r="Z85" s="688" t="s">
        <v>385</v>
      </c>
      <c r="AA85" s="1450">
        <v>100000</v>
      </c>
      <c r="AB85" s="686" t="s">
        <v>265</v>
      </c>
      <c r="AC85" s="690">
        <v>25</v>
      </c>
      <c r="AD85" s="691">
        <v>25</v>
      </c>
      <c r="AE85" s="692">
        <v>50</v>
      </c>
      <c r="AF85" s="693">
        <v>7.5</v>
      </c>
      <c r="AG85" s="694">
        <v>17.5</v>
      </c>
      <c r="AH85" s="693">
        <v>7.5</v>
      </c>
      <c r="AI85" s="694">
        <v>17.5</v>
      </c>
      <c r="AJ85" s="647">
        <v>3.0809599999999999E-2</v>
      </c>
      <c r="AK85" s="648">
        <v>1.7529599999999999E-2</v>
      </c>
      <c r="AL85" s="649">
        <v>4.7808E-3</v>
      </c>
      <c r="AM85" s="650">
        <v>5.3120000000000001E-2</v>
      </c>
      <c r="AN85" s="651">
        <v>5.3120000000000001E-2</v>
      </c>
      <c r="AO85" s="647">
        <v>2.6224390243902444E-2</v>
      </c>
      <c r="AP85" s="648">
        <v>0</v>
      </c>
      <c r="AQ85" s="649">
        <v>0</v>
      </c>
      <c r="AR85" s="650">
        <v>2.6224390243902444E-2</v>
      </c>
      <c r="AS85" s="652">
        <v>2.6880000000000001E-2</v>
      </c>
      <c r="AT85" s="652">
        <v>0</v>
      </c>
      <c r="AU85" s="652">
        <v>0</v>
      </c>
      <c r="AV85" s="653">
        <v>2.6880000000000001E-2</v>
      </c>
      <c r="AW85" s="651">
        <v>0.08</v>
      </c>
      <c r="AX85" s="1451" t="s">
        <v>510</v>
      </c>
      <c r="AY85" s="1452">
        <v>6.6000000000000003E-2</v>
      </c>
      <c r="AZ85" s="1453">
        <v>0</v>
      </c>
      <c r="BA85" s="1453">
        <v>0</v>
      </c>
      <c r="BB85" s="1447"/>
      <c r="BC85" s="705">
        <v>6.6000000000000003E-2</v>
      </c>
      <c r="BD85" s="706">
        <v>1.7999999999999999E-2</v>
      </c>
      <c r="BE85" s="707">
        <v>4.8000000000000001E-2</v>
      </c>
      <c r="BF85" s="705">
        <v>6.6000000000000003E-2</v>
      </c>
    </row>
    <row r="86" spans="1:58" ht="106.05" customHeight="1" x14ac:dyDescent="0.3">
      <c r="A86" s="151" t="s">
        <v>375</v>
      </c>
      <c r="B86" s="179" t="s">
        <v>477</v>
      </c>
      <c r="C86" s="2281"/>
      <c r="D86" s="1454" t="s">
        <v>511</v>
      </c>
      <c r="E86" s="1455" t="s">
        <v>512</v>
      </c>
      <c r="F86" s="629" t="s">
        <v>513</v>
      </c>
      <c r="G86" s="716" t="s">
        <v>249</v>
      </c>
      <c r="H86" s="717" t="s">
        <v>250</v>
      </c>
      <c r="I86" s="717" t="s">
        <v>251</v>
      </c>
      <c r="J86" s="718">
        <v>0.1</v>
      </c>
      <c r="K86" s="719">
        <v>6.0000000000000012E-2</v>
      </c>
      <c r="L86" s="719">
        <v>4.0000000000000008E-2</v>
      </c>
      <c r="M86" s="720">
        <v>0</v>
      </c>
      <c r="N86" s="721">
        <v>2.5000000000000001E-2</v>
      </c>
      <c r="O86" s="719" t="s">
        <v>252</v>
      </c>
      <c r="P86" s="722">
        <v>0.43</v>
      </c>
      <c r="Q86" s="718">
        <v>0.12</v>
      </c>
      <c r="R86" s="723" t="s">
        <v>145</v>
      </c>
      <c r="S86" s="724" t="s">
        <v>288</v>
      </c>
      <c r="T86" s="2284"/>
      <c r="U86" s="725" t="s">
        <v>255</v>
      </c>
      <c r="V86" s="726" t="s">
        <v>148</v>
      </c>
      <c r="W86" s="726" t="s">
        <v>383</v>
      </c>
      <c r="X86" s="727">
        <v>18</v>
      </c>
      <c r="Y86" s="727" t="s">
        <v>384</v>
      </c>
      <c r="Z86" s="727" t="s">
        <v>385</v>
      </c>
      <c r="AA86" s="1456">
        <v>100000</v>
      </c>
      <c r="AB86" s="725" t="s">
        <v>257</v>
      </c>
      <c r="AC86" s="729">
        <v>25</v>
      </c>
      <c r="AD86" s="730">
        <v>25</v>
      </c>
      <c r="AE86" s="731">
        <v>50</v>
      </c>
      <c r="AF86" s="732">
        <v>7.5</v>
      </c>
      <c r="AG86" s="733">
        <v>17.5</v>
      </c>
      <c r="AH86" s="732">
        <v>7.5</v>
      </c>
      <c r="AI86" s="733">
        <v>17.5</v>
      </c>
      <c r="AJ86" s="647">
        <v>3.6600000000000008E-2</v>
      </c>
      <c r="AK86" s="648">
        <v>2.3400000000000008E-2</v>
      </c>
      <c r="AL86" s="649">
        <v>0</v>
      </c>
      <c r="AM86" s="650">
        <v>6.0000000000000012E-2</v>
      </c>
      <c r="AN86" s="651">
        <v>6.0000000000000012E-2</v>
      </c>
      <c r="AO86" s="647">
        <v>0</v>
      </c>
      <c r="AP86" s="648">
        <v>3.9024390243902453E-2</v>
      </c>
      <c r="AQ86" s="649">
        <v>0</v>
      </c>
      <c r="AR86" s="650">
        <v>3.9024390243902453E-2</v>
      </c>
      <c r="AS86" s="652">
        <v>0</v>
      </c>
      <c r="AT86" s="652">
        <v>4.0000000000000008E-2</v>
      </c>
      <c r="AU86" s="652">
        <v>0</v>
      </c>
      <c r="AV86" s="653">
        <v>4.0000000000000008E-2</v>
      </c>
      <c r="AW86" s="651">
        <v>0.10000000000000002</v>
      </c>
      <c r="AX86" s="1444" t="s">
        <v>514</v>
      </c>
      <c r="AY86" s="1445">
        <v>6.6000000000000003E-2</v>
      </c>
      <c r="AZ86" s="1446">
        <v>0</v>
      </c>
      <c r="BA86" s="1446">
        <v>0</v>
      </c>
      <c r="BB86" s="1447"/>
      <c r="BC86" s="740">
        <v>6.6000000000000003E-2</v>
      </c>
      <c r="BD86" s="741">
        <v>1.7999999999999999E-2</v>
      </c>
      <c r="BE86" s="742">
        <v>4.8000000000000001E-2</v>
      </c>
      <c r="BF86" s="740">
        <v>6.6000000000000003E-2</v>
      </c>
    </row>
    <row r="87" spans="1:58" ht="106.05" customHeight="1" thickBot="1" x14ac:dyDescent="0.35">
      <c r="A87" s="151" t="s">
        <v>375</v>
      </c>
      <c r="B87" s="179" t="s">
        <v>477</v>
      </c>
      <c r="C87" s="2282"/>
      <c r="D87" s="1459" t="s">
        <v>515</v>
      </c>
      <c r="E87" s="1460" t="s">
        <v>512</v>
      </c>
      <c r="F87" s="1461" t="s">
        <v>516</v>
      </c>
      <c r="G87" s="766" t="s">
        <v>262</v>
      </c>
      <c r="H87" s="768" t="s">
        <v>263</v>
      </c>
      <c r="I87" s="768" t="s">
        <v>264</v>
      </c>
      <c r="J87" s="769">
        <v>0.1</v>
      </c>
      <c r="K87" s="770">
        <v>6.6400000000000001E-2</v>
      </c>
      <c r="L87" s="770">
        <v>3.3599999999999998E-2</v>
      </c>
      <c r="M87" s="771">
        <v>0</v>
      </c>
      <c r="N87" s="772">
        <v>2.5000000000000001E-2</v>
      </c>
      <c r="O87" s="770" t="s">
        <v>252</v>
      </c>
      <c r="P87" s="773">
        <v>0.43</v>
      </c>
      <c r="Q87" s="769">
        <v>0.12</v>
      </c>
      <c r="R87" s="774" t="s">
        <v>145</v>
      </c>
      <c r="S87" s="775" t="s">
        <v>288</v>
      </c>
      <c r="T87" s="2285"/>
      <c r="U87" s="777" t="s">
        <v>255</v>
      </c>
      <c r="V87" s="778" t="s">
        <v>148</v>
      </c>
      <c r="W87" s="778" t="s">
        <v>392</v>
      </c>
      <c r="X87" s="779">
        <v>18</v>
      </c>
      <c r="Y87" s="779" t="s">
        <v>384</v>
      </c>
      <c r="Z87" s="779" t="s">
        <v>385</v>
      </c>
      <c r="AA87" s="1462">
        <v>100000</v>
      </c>
      <c r="AB87" s="777" t="s">
        <v>265</v>
      </c>
      <c r="AC87" s="781">
        <v>25</v>
      </c>
      <c r="AD87" s="782">
        <v>25</v>
      </c>
      <c r="AE87" s="783">
        <v>50</v>
      </c>
      <c r="AF87" s="784">
        <v>7.5</v>
      </c>
      <c r="AG87" s="785">
        <v>17.5</v>
      </c>
      <c r="AH87" s="784">
        <v>7.5</v>
      </c>
      <c r="AI87" s="785">
        <v>17.5</v>
      </c>
      <c r="AJ87" s="786">
        <v>3.8511999999999998E-2</v>
      </c>
      <c r="AK87" s="787">
        <v>2.1912000000000001E-2</v>
      </c>
      <c r="AL87" s="788">
        <v>5.9759999999999995E-3</v>
      </c>
      <c r="AM87" s="789">
        <v>6.6400000000000001E-2</v>
      </c>
      <c r="AN87" s="790">
        <v>6.6400000000000001E-2</v>
      </c>
      <c r="AO87" s="786">
        <v>3.278048780487805E-2</v>
      </c>
      <c r="AP87" s="787">
        <v>0</v>
      </c>
      <c r="AQ87" s="788">
        <v>0</v>
      </c>
      <c r="AR87" s="789">
        <v>3.278048780487805E-2</v>
      </c>
      <c r="AS87" s="791">
        <v>3.3599999999999998E-2</v>
      </c>
      <c r="AT87" s="791">
        <v>0</v>
      </c>
      <c r="AU87" s="791">
        <v>0</v>
      </c>
      <c r="AV87" s="792">
        <v>3.3599999999999998E-2</v>
      </c>
      <c r="AW87" s="790">
        <v>0.1</v>
      </c>
      <c r="AX87" s="1463" t="s">
        <v>517</v>
      </c>
      <c r="AY87" s="1464">
        <v>6.6000000000000003E-2</v>
      </c>
      <c r="AZ87" s="1465">
        <v>0</v>
      </c>
      <c r="BA87" s="1465">
        <v>0</v>
      </c>
      <c r="BB87" s="1466"/>
      <c r="BC87" s="803">
        <v>6.6000000000000003E-2</v>
      </c>
      <c r="BD87" s="804">
        <v>1.7999999999999999E-2</v>
      </c>
      <c r="BE87" s="805">
        <v>4.8000000000000001E-2</v>
      </c>
      <c r="BF87" s="803">
        <v>6.6000000000000003E-2</v>
      </c>
    </row>
    <row r="88" spans="1:58" ht="106.05" customHeight="1" x14ac:dyDescent="0.3">
      <c r="A88" s="151" t="s">
        <v>375</v>
      </c>
      <c r="B88" s="179" t="s">
        <v>477</v>
      </c>
      <c r="C88" s="2302" t="s">
        <v>518</v>
      </c>
      <c r="D88" s="1467" t="s">
        <v>519</v>
      </c>
      <c r="E88" s="1468" t="s">
        <v>520</v>
      </c>
      <c r="F88" s="1469" t="s">
        <v>521</v>
      </c>
      <c r="G88" s="813" t="s">
        <v>249</v>
      </c>
      <c r="H88" s="815" t="s">
        <v>250</v>
      </c>
      <c r="I88" s="815" t="s">
        <v>251</v>
      </c>
      <c r="J88" s="816">
        <v>4.4999999999999998E-2</v>
      </c>
      <c r="K88" s="817">
        <v>2.5874999999999995E-2</v>
      </c>
      <c r="L88" s="817">
        <v>1.9124999999999996E-2</v>
      </c>
      <c r="M88" s="818">
        <v>0</v>
      </c>
      <c r="N88" s="819">
        <v>2.5000000000000001E-2</v>
      </c>
      <c r="O88" s="817" t="s">
        <v>252</v>
      </c>
      <c r="P88" s="820">
        <v>0.44900000000000001</v>
      </c>
      <c r="Q88" s="820">
        <v>0.1</v>
      </c>
      <c r="R88" s="821" t="s">
        <v>145</v>
      </c>
      <c r="S88" s="1470" t="s">
        <v>297</v>
      </c>
      <c r="T88" s="2305" t="s">
        <v>254</v>
      </c>
      <c r="U88" s="828" t="s">
        <v>255</v>
      </c>
      <c r="V88" s="825" t="s">
        <v>148</v>
      </c>
      <c r="W88" s="825" t="s">
        <v>383</v>
      </c>
      <c r="X88" s="826">
        <v>18</v>
      </c>
      <c r="Y88" s="826" t="s">
        <v>384</v>
      </c>
      <c r="Z88" s="826" t="s">
        <v>522</v>
      </c>
      <c r="AA88" s="1471">
        <v>100000</v>
      </c>
      <c r="AB88" s="828" t="s">
        <v>257</v>
      </c>
      <c r="AC88" s="829">
        <v>25</v>
      </c>
      <c r="AD88" s="830">
        <v>25</v>
      </c>
      <c r="AE88" s="831">
        <v>50</v>
      </c>
      <c r="AF88" s="832">
        <v>7.5</v>
      </c>
      <c r="AG88" s="833">
        <v>17.5</v>
      </c>
      <c r="AH88" s="832">
        <v>7.5</v>
      </c>
      <c r="AI88" s="834">
        <v>17.5</v>
      </c>
      <c r="AJ88" s="835">
        <v>1.5783749999999996E-2</v>
      </c>
      <c r="AK88" s="836">
        <v>1.0091249999999998E-2</v>
      </c>
      <c r="AL88" s="837">
        <v>0</v>
      </c>
      <c r="AM88" s="838">
        <v>2.5874999999999995E-2</v>
      </c>
      <c r="AN88" s="839">
        <v>2.5874999999999995E-2</v>
      </c>
      <c r="AO88" s="835">
        <v>0</v>
      </c>
      <c r="AP88" s="836">
        <v>1.8658536585365853E-2</v>
      </c>
      <c r="AQ88" s="837">
        <v>0</v>
      </c>
      <c r="AR88" s="838">
        <v>1.8658536585365853E-2</v>
      </c>
      <c r="AS88" s="652">
        <v>0</v>
      </c>
      <c r="AT88" s="652">
        <v>1.9124999999999996E-2</v>
      </c>
      <c r="AU88" s="652">
        <v>0</v>
      </c>
      <c r="AV88" s="653">
        <v>1.9124999999999996E-2</v>
      </c>
      <c r="AW88" s="839">
        <v>4.4999999999999991E-2</v>
      </c>
      <c r="AX88" s="1472" t="s">
        <v>523</v>
      </c>
      <c r="AY88" s="1473">
        <v>7.2999999999999995E-2</v>
      </c>
      <c r="AZ88" s="1474">
        <v>0</v>
      </c>
      <c r="BA88" s="1474">
        <v>0</v>
      </c>
      <c r="BB88" s="1447"/>
      <c r="BC88" s="850">
        <v>7.2999999999999995E-2</v>
      </c>
      <c r="BD88" s="851">
        <v>1.7999999999999999E-2</v>
      </c>
      <c r="BE88" s="852">
        <v>5.5E-2</v>
      </c>
      <c r="BF88" s="850">
        <v>7.2999999999999995E-2</v>
      </c>
    </row>
    <row r="89" spans="1:58" ht="106.05" customHeight="1" x14ac:dyDescent="0.3">
      <c r="A89" s="151" t="s">
        <v>375</v>
      </c>
      <c r="B89" s="179" t="s">
        <v>477</v>
      </c>
      <c r="C89" s="2303"/>
      <c r="D89" s="1475" t="s">
        <v>524</v>
      </c>
      <c r="E89" s="1476" t="s">
        <v>520</v>
      </c>
      <c r="F89" s="1477" t="s">
        <v>525</v>
      </c>
      <c r="G89" s="860" t="s">
        <v>262</v>
      </c>
      <c r="H89" s="861" t="s">
        <v>263</v>
      </c>
      <c r="I89" s="861" t="s">
        <v>264</v>
      </c>
      <c r="J89" s="862">
        <v>4.4999999999999998E-2</v>
      </c>
      <c r="K89" s="863">
        <v>2.9879999999999993E-2</v>
      </c>
      <c r="L89" s="863">
        <v>1.512E-2</v>
      </c>
      <c r="M89" s="864">
        <v>0</v>
      </c>
      <c r="N89" s="865">
        <v>2.5000000000000001E-2</v>
      </c>
      <c r="O89" s="863" t="s">
        <v>252</v>
      </c>
      <c r="P89" s="866">
        <v>0.44900000000000001</v>
      </c>
      <c r="Q89" s="866">
        <v>0.1</v>
      </c>
      <c r="R89" s="867" t="s">
        <v>145</v>
      </c>
      <c r="S89" s="1478" t="s">
        <v>297</v>
      </c>
      <c r="T89" s="2305"/>
      <c r="U89" s="874" t="s">
        <v>255</v>
      </c>
      <c r="V89" s="871" t="s">
        <v>148</v>
      </c>
      <c r="W89" s="871" t="s">
        <v>392</v>
      </c>
      <c r="X89" s="872">
        <v>18</v>
      </c>
      <c r="Y89" s="872" t="s">
        <v>384</v>
      </c>
      <c r="Z89" s="872" t="s">
        <v>522</v>
      </c>
      <c r="AA89" s="1479">
        <v>100000</v>
      </c>
      <c r="AB89" s="874" t="s">
        <v>265</v>
      </c>
      <c r="AC89" s="875">
        <v>25</v>
      </c>
      <c r="AD89" s="876">
        <v>25</v>
      </c>
      <c r="AE89" s="877">
        <v>50</v>
      </c>
      <c r="AF89" s="878">
        <v>7.5</v>
      </c>
      <c r="AG89" s="879">
        <v>17.5</v>
      </c>
      <c r="AH89" s="878">
        <v>7.5</v>
      </c>
      <c r="AI89" s="879">
        <v>17.5</v>
      </c>
      <c r="AJ89" s="647">
        <v>1.7330399999999996E-2</v>
      </c>
      <c r="AK89" s="648">
        <v>9.8604000000000001E-3</v>
      </c>
      <c r="AL89" s="649">
        <v>2.6891999999999997E-3</v>
      </c>
      <c r="AM89" s="650">
        <v>2.9879999999999993E-2</v>
      </c>
      <c r="AN89" s="651">
        <v>2.9879999999999993E-2</v>
      </c>
      <c r="AO89" s="647">
        <v>1.4751219512195123E-2</v>
      </c>
      <c r="AP89" s="648">
        <v>0</v>
      </c>
      <c r="AQ89" s="649">
        <v>0</v>
      </c>
      <c r="AR89" s="650">
        <v>1.4751219512195123E-2</v>
      </c>
      <c r="AS89" s="652">
        <v>1.512E-2</v>
      </c>
      <c r="AT89" s="652">
        <v>0</v>
      </c>
      <c r="AU89" s="652">
        <v>0</v>
      </c>
      <c r="AV89" s="653">
        <v>1.512E-2</v>
      </c>
      <c r="AW89" s="651">
        <v>4.4999999999999991E-2</v>
      </c>
      <c r="AX89" s="1480" t="s">
        <v>526</v>
      </c>
      <c r="AY89" s="1481">
        <v>7.2999999999999995E-2</v>
      </c>
      <c r="AZ89" s="1482">
        <v>0</v>
      </c>
      <c r="BA89" s="1482">
        <v>0</v>
      </c>
      <c r="BB89" s="1447"/>
      <c r="BC89" s="889">
        <v>7.2999999999999995E-2</v>
      </c>
      <c r="BD89" s="890">
        <v>1.7999999999999999E-2</v>
      </c>
      <c r="BE89" s="891">
        <v>5.5E-2</v>
      </c>
      <c r="BF89" s="889">
        <v>7.2999999999999995E-2</v>
      </c>
    </row>
    <row r="90" spans="1:58" ht="106.05" customHeight="1" x14ac:dyDescent="0.3">
      <c r="A90" s="151" t="s">
        <v>375</v>
      </c>
      <c r="B90" s="179" t="s">
        <v>477</v>
      </c>
      <c r="C90" s="2303"/>
      <c r="D90" s="1467" t="s">
        <v>527</v>
      </c>
      <c r="E90" s="1468" t="s">
        <v>528</v>
      </c>
      <c r="F90" s="1469" t="s">
        <v>529</v>
      </c>
      <c r="G90" s="813" t="s">
        <v>249</v>
      </c>
      <c r="H90" s="898" t="s">
        <v>250</v>
      </c>
      <c r="I90" s="898" t="s">
        <v>251</v>
      </c>
      <c r="J90" s="899">
        <v>0.06</v>
      </c>
      <c r="K90" s="900">
        <v>3.4499999999999989E-2</v>
      </c>
      <c r="L90" s="900">
        <v>2.5499999999999995E-2</v>
      </c>
      <c r="M90" s="901">
        <v>0</v>
      </c>
      <c r="N90" s="902">
        <v>2.5000000000000001E-2</v>
      </c>
      <c r="O90" s="900" t="s">
        <v>252</v>
      </c>
      <c r="P90" s="903">
        <v>0.44900000000000001</v>
      </c>
      <c r="Q90" s="903">
        <v>0.1</v>
      </c>
      <c r="R90" s="904" t="s">
        <v>145</v>
      </c>
      <c r="S90" s="928" t="s">
        <v>306</v>
      </c>
      <c r="T90" s="2305"/>
      <c r="U90" s="910" t="s">
        <v>255</v>
      </c>
      <c r="V90" s="907" t="s">
        <v>148</v>
      </c>
      <c r="W90" s="907" t="s">
        <v>383</v>
      </c>
      <c r="X90" s="908">
        <v>18</v>
      </c>
      <c r="Y90" s="908" t="s">
        <v>384</v>
      </c>
      <c r="Z90" s="908" t="s">
        <v>522</v>
      </c>
      <c r="AA90" s="1483">
        <v>100000</v>
      </c>
      <c r="AB90" s="910" t="s">
        <v>257</v>
      </c>
      <c r="AC90" s="911">
        <v>25</v>
      </c>
      <c r="AD90" s="912">
        <v>25</v>
      </c>
      <c r="AE90" s="913">
        <v>50</v>
      </c>
      <c r="AF90" s="914">
        <v>7.5</v>
      </c>
      <c r="AG90" s="915">
        <v>17.5</v>
      </c>
      <c r="AH90" s="914">
        <v>7.5</v>
      </c>
      <c r="AI90" s="915">
        <v>17.5</v>
      </c>
      <c r="AJ90" s="647">
        <v>2.1044999999999991E-2</v>
      </c>
      <c r="AK90" s="648">
        <v>1.3454999999999996E-2</v>
      </c>
      <c r="AL90" s="649">
        <v>0</v>
      </c>
      <c r="AM90" s="650">
        <v>3.4499999999999989E-2</v>
      </c>
      <c r="AN90" s="651">
        <v>3.4499999999999989E-2</v>
      </c>
      <c r="AO90" s="647">
        <v>0</v>
      </c>
      <c r="AP90" s="648">
        <v>2.4878048780487803E-2</v>
      </c>
      <c r="AQ90" s="649">
        <v>0</v>
      </c>
      <c r="AR90" s="650">
        <v>2.4878048780487803E-2</v>
      </c>
      <c r="AS90" s="652">
        <v>0</v>
      </c>
      <c r="AT90" s="652">
        <v>2.5499999999999995E-2</v>
      </c>
      <c r="AU90" s="652">
        <v>0</v>
      </c>
      <c r="AV90" s="653">
        <v>2.5499999999999995E-2</v>
      </c>
      <c r="AW90" s="651">
        <v>5.9999999999999984E-2</v>
      </c>
      <c r="AX90" s="1472" t="s">
        <v>530</v>
      </c>
      <c r="AY90" s="1473">
        <v>6.5000000000000002E-2</v>
      </c>
      <c r="AZ90" s="1474">
        <v>0</v>
      </c>
      <c r="BA90" s="1474">
        <v>0</v>
      </c>
      <c r="BB90" s="1447"/>
      <c r="BC90" s="921">
        <v>6.5000000000000002E-2</v>
      </c>
      <c r="BD90" s="922">
        <v>1.7999999999999999E-2</v>
      </c>
      <c r="BE90" s="923">
        <v>4.7000000000000007E-2</v>
      </c>
      <c r="BF90" s="921">
        <v>6.5000000000000002E-2</v>
      </c>
    </row>
    <row r="91" spans="1:58" ht="106.05" customHeight="1" x14ac:dyDescent="0.3">
      <c r="A91" s="151" t="s">
        <v>375</v>
      </c>
      <c r="B91" s="179" t="s">
        <v>477</v>
      </c>
      <c r="C91" s="2303"/>
      <c r="D91" s="1475" t="s">
        <v>531</v>
      </c>
      <c r="E91" s="1476" t="s">
        <v>528</v>
      </c>
      <c r="F91" s="1477" t="s">
        <v>532</v>
      </c>
      <c r="G91" s="860" t="s">
        <v>262</v>
      </c>
      <c r="H91" s="861" t="s">
        <v>263</v>
      </c>
      <c r="I91" s="861" t="s">
        <v>264</v>
      </c>
      <c r="J91" s="862">
        <v>0.06</v>
      </c>
      <c r="K91" s="863">
        <v>3.984E-2</v>
      </c>
      <c r="L91" s="863">
        <v>2.0159999999999997E-2</v>
      </c>
      <c r="M91" s="864">
        <v>0</v>
      </c>
      <c r="N91" s="865">
        <v>2.5000000000000001E-2</v>
      </c>
      <c r="O91" s="863" t="s">
        <v>252</v>
      </c>
      <c r="P91" s="866">
        <v>0.44900000000000001</v>
      </c>
      <c r="Q91" s="866">
        <v>0.1</v>
      </c>
      <c r="R91" s="867" t="s">
        <v>145</v>
      </c>
      <c r="S91" s="1478" t="s">
        <v>306</v>
      </c>
      <c r="T91" s="2305"/>
      <c r="U91" s="874" t="s">
        <v>255</v>
      </c>
      <c r="V91" s="871" t="s">
        <v>148</v>
      </c>
      <c r="W91" s="871" t="s">
        <v>392</v>
      </c>
      <c r="X91" s="872">
        <v>18</v>
      </c>
      <c r="Y91" s="872" t="s">
        <v>384</v>
      </c>
      <c r="Z91" s="872" t="s">
        <v>522</v>
      </c>
      <c r="AA91" s="1479">
        <v>100000</v>
      </c>
      <c r="AB91" s="874" t="s">
        <v>265</v>
      </c>
      <c r="AC91" s="875">
        <v>25</v>
      </c>
      <c r="AD91" s="876">
        <v>25</v>
      </c>
      <c r="AE91" s="877">
        <v>50</v>
      </c>
      <c r="AF91" s="878">
        <v>7.5</v>
      </c>
      <c r="AG91" s="879">
        <v>17.5</v>
      </c>
      <c r="AH91" s="878">
        <v>7.5</v>
      </c>
      <c r="AI91" s="879">
        <v>17.5</v>
      </c>
      <c r="AJ91" s="647">
        <v>2.3107199999999998E-2</v>
      </c>
      <c r="AK91" s="648">
        <v>1.31472E-2</v>
      </c>
      <c r="AL91" s="649">
        <v>3.5855999999999996E-3</v>
      </c>
      <c r="AM91" s="650">
        <v>3.984E-2</v>
      </c>
      <c r="AN91" s="651">
        <v>3.984E-2</v>
      </c>
      <c r="AO91" s="647">
        <v>1.966829268292683E-2</v>
      </c>
      <c r="AP91" s="648">
        <v>0</v>
      </c>
      <c r="AQ91" s="649">
        <v>0</v>
      </c>
      <c r="AR91" s="650">
        <v>1.966829268292683E-2</v>
      </c>
      <c r="AS91" s="652">
        <v>2.0159999999999997E-2</v>
      </c>
      <c r="AT91" s="652">
        <v>0</v>
      </c>
      <c r="AU91" s="652">
        <v>0</v>
      </c>
      <c r="AV91" s="653">
        <v>2.0159999999999997E-2</v>
      </c>
      <c r="AW91" s="651">
        <v>0.06</v>
      </c>
      <c r="AX91" s="1480" t="s">
        <v>533</v>
      </c>
      <c r="AY91" s="1481">
        <v>6.5000000000000002E-2</v>
      </c>
      <c r="AZ91" s="1482">
        <v>0</v>
      </c>
      <c r="BA91" s="1482">
        <v>0</v>
      </c>
      <c r="BB91" s="1447"/>
      <c r="BC91" s="889">
        <v>6.5000000000000002E-2</v>
      </c>
      <c r="BD91" s="890">
        <v>1.7999999999999999E-2</v>
      </c>
      <c r="BE91" s="891">
        <v>4.7000000000000007E-2</v>
      </c>
      <c r="BF91" s="889">
        <v>6.5000000000000002E-2</v>
      </c>
    </row>
    <row r="92" spans="1:58" ht="106.05" customHeight="1" x14ac:dyDescent="0.3">
      <c r="A92" s="151" t="s">
        <v>375</v>
      </c>
      <c r="B92" s="179" t="s">
        <v>477</v>
      </c>
      <c r="C92" s="2303"/>
      <c r="D92" s="1467" t="s">
        <v>534</v>
      </c>
      <c r="E92" s="1484" t="s">
        <v>535</v>
      </c>
      <c r="F92" s="1469" t="s">
        <v>536</v>
      </c>
      <c r="G92" s="813" t="s">
        <v>249</v>
      </c>
      <c r="H92" s="898" t="s">
        <v>250</v>
      </c>
      <c r="I92" s="898" t="s">
        <v>251</v>
      </c>
      <c r="J92" s="899">
        <v>0.08</v>
      </c>
      <c r="K92" s="900">
        <v>4.5999999999999999E-2</v>
      </c>
      <c r="L92" s="900">
        <v>3.4000000000000002E-2</v>
      </c>
      <c r="M92" s="901">
        <v>0</v>
      </c>
      <c r="N92" s="902">
        <v>2.5000000000000001E-2</v>
      </c>
      <c r="O92" s="900" t="s">
        <v>252</v>
      </c>
      <c r="P92" s="903">
        <v>0.44900000000000001</v>
      </c>
      <c r="Q92" s="903">
        <v>0.1</v>
      </c>
      <c r="R92" s="904" t="s">
        <v>145</v>
      </c>
      <c r="S92" s="928" t="s">
        <v>315</v>
      </c>
      <c r="T92" s="2305"/>
      <c r="U92" s="910" t="s">
        <v>255</v>
      </c>
      <c r="V92" s="907" t="s">
        <v>148</v>
      </c>
      <c r="W92" s="907" t="s">
        <v>383</v>
      </c>
      <c r="X92" s="908">
        <v>18</v>
      </c>
      <c r="Y92" s="908" t="s">
        <v>384</v>
      </c>
      <c r="Z92" s="908" t="s">
        <v>522</v>
      </c>
      <c r="AA92" s="1483">
        <v>100000</v>
      </c>
      <c r="AB92" s="910" t="s">
        <v>257</v>
      </c>
      <c r="AC92" s="911">
        <v>25</v>
      </c>
      <c r="AD92" s="912">
        <v>25</v>
      </c>
      <c r="AE92" s="913">
        <v>50</v>
      </c>
      <c r="AF92" s="914">
        <v>7.5</v>
      </c>
      <c r="AG92" s="915">
        <v>17.5</v>
      </c>
      <c r="AH92" s="914">
        <v>7.5</v>
      </c>
      <c r="AI92" s="915">
        <v>17.5</v>
      </c>
      <c r="AJ92" s="647">
        <v>2.8059999999999998E-2</v>
      </c>
      <c r="AK92" s="648">
        <v>1.7940000000000001E-2</v>
      </c>
      <c r="AL92" s="649">
        <v>0</v>
      </c>
      <c r="AM92" s="650">
        <v>4.5999999999999999E-2</v>
      </c>
      <c r="AN92" s="651">
        <v>4.5999999999999999E-2</v>
      </c>
      <c r="AO92" s="647">
        <v>0</v>
      </c>
      <c r="AP92" s="648">
        <v>3.3170731707317082E-2</v>
      </c>
      <c r="AQ92" s="649">
        <v>0</v>
      </c>
      <c r="AR92" s="650">
        <v>3.3170731707317082E-2</v>
      </c>
      <c r="AS92" s="652">
        <v>0</v>
      </c>
      <c r="AT92" s="652">
        <v>3.4000000000000002E-2</v>
      </c>
      <c r="AU92" s="652">
        <v>0</v>
      </c>
      <c r="AV92" s="653">
        <v>3.4000000000000002E-2</v>
      </c>
      <c r="AW92" s="651">
        <v>8.0000000000000016E-2</v>
      </c>
      <c r="AX92" s="1472" t="s">
        <v>537</v>
      </c>
      <c r="AY92" s="1473">
        <v>6.5000000000000002E-2</v>
      </c>
      <c r="AZ92" s="1474">
        <v>0</v>
      </c>
      <c r="BA92" s="1474">
        <v>0</v>
      </c>
      <c r="BB92" s="1447"/>
      <c r="BC92" s="921">
        <v>6.5000000000000002E-2</v>
      </c>
      <c r="BD92" s="922">
        <v>1.7999999999999999E-2</v>
      </c>
      <c r="BE92" s="923">
        <v>4.7000000000000007E-2</v>
      </c>
      <c r="BF92" s="921">
        <v>6.5000000000000002E-2</v>
      </c>
    </row>
    <row r="93" spans="1:58" ht="106.05" customHeight="1" thickBot="1" x14ac:dyDescent="0.35">
      <c r="A93" s="151" t="s">
        <v>375</v>
      </c>
      <c r="B93" s="179" t="s">
        <v>477</v>
      </c>
      <c r="C93" s="2304"/>
      <c r="D93" s="1485" t="s">
        <v>538</v>
      </c>
      <c r="E93" s="1486" t="s">
        <v>535</v>
      </c>
      <c r="F93" s="1487" t="s">
        <v>539</v>
      </c>
      <c r="G93" s="932" t="s">
        <v>262</v>
      </c>
      <c r="H93" s="934" t="s">
        <v>263</v>
      </c>
      <c r="I93" s="934" t="s">
        <v>264</v>
      </c>
      <c r="J93" s="935">
        <v>0.08</v>
      </c>
      <c r="K93" s="936">
        <v>5.3120000000000001E-2</v>
      </c>
      <c r="L93" s="936">
        <v>2.6880000000000001E-2</v>
      </c>
      <c r="M93" s="937">
        <v>0</v>
      </c>
      <c r="N93" s="938">
        <v>2.5000000000000001E-2</v>
      </c>
      <c r="O93" s="936" t="s">
        <v>252</v>
      </c>
      <c r="P93" s="939">
        <v>0.44900000000000001</v>
      </c>
      <c r="Q93" s="939">
        <v>0.1</v>
      </c>
      <c r="R93" s="940" t="s">
        <v>145</v>
      </c>
      <c r="S93" s="941" t="s">
        <v>315</v>
      </c>
      <c r="T93" s="2306"/>
      <c r="U93" s="943" t="s">
        <v>255</v>
      </c>
      <c r="V93" s="944" t="s">
        <v>148</v>
      </c>
      <c r="W93" s="944" t="s">
        <v>392</v>
      </c>
      <c r="X93" s="945">
        <v>18</v>
      </c>
      <c r="Y93" s="945" t="s">
        <v>384</v>
      </c>
      <c r="Z93" s="945" t="s">
        <v>522</v>
      </c>
      <c r="AA93" s="1488">
        <v>100000</v>
      </c>
      <c r="AB93" s="943" t="s">
        <v>265</v>
      </c>
      <c r="AC93" s="947">
        <v>25</v>
      </c>
      <c r="AD93" s="948">
        <v>25</v>
      </c>
      <c r="AE93" s="949">
        <v>50</v>
      </c>
      <c r="AF93" s="950">
        <v>7.5</v>
      </c>
      <c r="AG93" s="951">
        <v>17.5</v>
      </c>
      <c r="AH93" s="950">
        <v>7.5</v>
      </c>
      <c r="AI93" s="951">
        <v>17.5</v>
      </c>
      <c r="AJ93" s="786">
        <v>3.0809599999999999E-2</v>
      </c>
      <c r="AK93" s="787">
        <v>1.7529599999999999E-2</v>
      </c>
      <c r="AL93" s="788">
        <v>4.7808E-3</v>
      </c>
      <c r="AM93" s="789">
        <v>5.3120000000000001E-2</v>
      </c>
      <c r="AN93" s="790">
        <v>5.3120000000000001E-2</v>
      </c>
      <c r="AO93" s="786">
        <v>2.622439024390244E-2</v>
      </c>
      <c r="AP93" s="787">
        <v>0</v>
      </c>
      <c r="AQ93" s="788">
        <v>0</v>
      </c>
      <c r="AR93" s="789">
        <v>2.622439024390244E-2</v>
      </c>
      <c r="AS93" s="791">
        <v>2.6880000000000001E-2</v>
      </c>
      <c r="AT93" s="791">
        <v>0</v>
      </c>
      <c r="AU93" s="791">
        <v>0</v>
      </c>
      <c r="AV93" s="792">
        <v>2.6880000000000001E-2</v>
      </c>
      <c r="AW93" s="790">
        <v>0.08</v>
      </c>
      <c r="AX93" s="1489" t="s">
        <v>540</v>
      </c>
      <c r="AY93" s="1490">
        <v>6.5000000000000002E-2</v>
      </c>
      <c r="AZ93" s="1491">
        <v>0</v>
      </c>
      <c r="BA93" s="1491">
        <v>0</v>
      </c>
      <c r="BB93" s="1466"/>
      <c r="BC93" s="961">
        <v>6.5000000000000002E-2</v>
      </c>
      <c r="BD93" s="962">
        <v>1.7999999999999999E-2</v>
      </c>
      <c r="BE93" s="963">
        <v>4.7000000000000007E-2</v>
      </c>
      <c r="BF93" s="961">
        <v>6.5000000000000002E-2</v>
      </c>
    </row>
    <row r="94" spans="1:58" ht="106.05" customHeight="1" x14ac:dyDescent="0.3">
      <c r="A94" s="151" t="s">
        <v>375</v>
      </c>
      <c r="B94" s="179" t="s">
        <v>477</v>
      </c>
      <c r="C94" s="2307" t="s">
        <v>203</v>
      </c>
      <c r="D94" s="1492" t="s">
        <v>541</v>
      </c>
      <c r="E94" s="1493" t="s">
        <v>542</v>
      </c>
      <c r="F94" s="1494" t="s">
        <v>543</v>
      </c>
      <c r="G94" s="971" t="s">
        <v>249</v>
      </c>
      <c r="H94" s="973" t="s">
        <v>250</v>
      </c>
      <c r="I94" s="973" t="s">
        <v>251</v>
      </c>
      <c r="J94" s="974">
        <v>3.4999999999999996E-2</v>
      </c>
      <c r="K94" s="975">
        <v>2.0124999999999997E-2</v>
      </c>
      <c r="L94" s="975">
        <v>1.4874999999999998E-2</v>
      </c>
      <c r="M94" s="976">
        <v>0</v>
      </c>
      <c r="N94" s="974">
        <v>2.5000000000000001E-2</v>
      </c>
      <c r="O94" s="975" t="s">
        <v>252</v>
      </c>
      <c r="P94" s="977">
        <v>0.44900000000000001</v>
      </c>
      <c r="Q94" s="977">
        <v>0.1</v>
      </c>
      <c r="R94" s="978" t="s">
        <v>145</v>
      </c>
      <c r="S94" s="974" t="s">
        <v>206</v>
      </c>
      <c r="T94" s="2310" t="s">
        <v>544</v>
      </c>
      <c r="U94" s="981" t="s">
        <v>255</v>
      </c>
      <c r="V94" s="982" t="s">
        <v>148</v>
      </c>
      <c r="W94" s="982" t="s">
        <v>383</v>
      </c>
      <c r="X94" s="983">
        <v>18</v>
      </c>
      <c r="Y94" s="983" t="s">
        <v>384</v>
      </c>
      <c r="Z94" s="983" t="s">
        <v>522</v>
      </c>
      <c r="AA94" s="984">
        <v>100000</v>
      </c>
      <c r="AB94" s="985" t="s">
        <v>257</v>
      </c>
      <c r="AC94" s="986">
        <v>17.5</v>
      </c>
      <c r="AD94" s="987">
        <v>17.5</v>
      </c>
      <c r="AE94" s="988">
        <v>35</v>
      </c>
      <c r="AF94" s="989">
        <v>7.5</v>
      </c>
      <c r="AG94" s="990">
        <v>10</v>
      </c>
      <c r="AH94" s="989">
        <v>7.5</v>
      </c>
      <c r="AI94" s="990">
        <v>10</v>
      </c>
      <c r="AJ94" s="835">
        <v>1.2276249999999997E-2</v>
      </c>
      <c r="AK94" s="836">
        <v>7.8487499999999998E-3</v>
      </c>
      <c r="AL94" s="837">
        <v>0</v>
      </c>
      <c r="AM94" s="838">
        <v>2.0124999999999997E-2</v>
      </c>
      <c r="AN94" s="839">
        <v>2.0124999999999997E-2</v>
      </c>
      <c r="AO94" s="835">
        <v>0</v>
      </c>
      <c r="AP94" s="836">
        <v>1.4512195121951219E-2</v>
      </c>
      <c r="AQ94" s="837">
        <v>0</v>
      </c>
      <c r="AR94" s="838">
        <v>1.4512195121951219E-2</v>
      </c>
      <c r="AS94" s="652">
        <v>0</v>
      </c>
      <c r="AT94" s="652">
        <v>1.4874999999999998E-2</v>
      </c>
      <c r="AU94" s="652">
        <v>0</v>
      </c>
      <c r="AV94" s="653">
        <v>1.4874999999999998E-2</v>
      </c>
      <c r="AW94" s="839">
        <v>3.4999999999999996E-2</v>
      </c>
      <c r="AX94" s="1495" t="s">
        <v>545</v>
      </c>
      <c r="AY94" s="1496">
        <v>9.5000000000000001E-2</v>
      </c>
      <c r="AZ94" s="1497">
        <v>0</v>
      </c>
      <c r="BA94" s="1497">
        <v>0</v>
      </c>
      <c r="BB94" s="1447"/>
      <c r="BC94" s="1000">
        <v>9.5000000000000001E-2</v>
      </c>
      <c r="BD94" s="1001">
        <v>1.7999999999999999E-2</v>
      </c>
      <c r="BE94" s="1002">
        <v>7.6999999999999999E-2</v>
      </c>
      <c r="BF94" s="1000">
        <v>9.5000000000000001E-2</v>
      </c>
    </row>
    <row r="95" spans="1:58" ht="106.05" customHeight="1" x14ac:dyDescent="0.3">
      <c r="A95" s="151" t="s">
        <v>375</v>
      </c>
      <c r="B95" s="179" t="s">
        <v>477</v>
      </c>
      <c r="C95" s="2308"/>
      <c r="D95" s="1498" t="s">
        <v>546</v>
      </c>
      <c r="E95" s="1499" t="s">
        <v>542</v>
      </c>
      <c r="F95" s="1500" t="s">
        <v>547</v>
      </c>
      <c r="G95" s="1010" t="s">
        <v>262</v>
      </c>
      <c r="H95" s="1011" t="s">
        <v>263</v>
      </c>
      <c r="I95" s="1011" t="s">
        <v>264</v>
      </c>
      <c r="J95" s="1012">
        <v>3.5000000000000003E-2</v>
      </c>
      <c r="K95" s="1013">
        <v>2.3240000000000004E-2</v>
      </c>
      <c r="L95" s="1013">
        <v>1.1760000000000001E-2</v>
      </c>
      <c r="M95" s="1014">
        <v>0</v>
      </c>
      <c r="N95" s="1015">
        <v>2.5000000000000001E-2</v>
      </c>
      <c r="O95" s="1013" t="s">
        <v>252</v>
      </c>
      <c r="P95" s="1016">
        <v>0.44900000000000001</v>
      </c>
      <c r="Q95" s="1016">
        <v>0.1</v>
      </c>
      <c r="R95" s="1017" t="s">
        <v>145</v>
      </c>
      <c r="S95" s="1015" t="s">
        <v>206</v>
      </c>
      <c r="T95" s="2311"/>
      <c r="U95" s="1020" t="s">
        <v>255</v>
      </c>
      <c r="V95" s="1021" t="s">
        <v>148</v>
      </c>
      <c r="W95" s="1021" t="s">
        <v>392</v>
      </c>
      <c r="X95" s="1022">
        <v>18</v>
      </c>
      <c r="Y95" s="1022" t="s">
        <v>384</v>
      </c>
      <c r="Z95" s="1022" t="s">
        <v>522</v>
      </c>
      <c r="AA95" s="1023">
        <v>100000</v>
      </c>
      <c r="AB95" s="1024" t="s">
        <v>265</v>
      </c>
      <c r="AC95" s="1025">
        <v>17.5</v>
      </c>
      <c r="AD95" s="1026">
        <v>17.5</v>
      </c>
      <c r="AE95" s="1027">
        <v>35</v>
      </c>
      <c r="AF95" s="1028">
        <v>7.5</v>
      </c>
      <c r="AG95" s="1029">
        <v>10</v>
      </c>
      <c r="AH95" s="1028">
        <v>7.5</v>
      </c>
      <c r="AI95" s="1029">
        <v>10</v>
      </c>
      <c r="AJ95" s="647">
        <v>1.3479200000000004E-2</v>
      </c>
      <c r="AK95" s="648">
        <v>7.669200000000001E-3</v>
      </c>
      <c r="AL95" s="649">
        <v>2.0916000000000003E-3</v>
      </c>
      <c r="AM95" s="650">
        <v>2.3240000000000004E-2</v>
      </c>
      <c r="AN95" s="651">
        <v>2.3240000000000004E-2</v>
      </c>
      <c r="AO95" s="647">
        <v>1.1473170731707321E-2</v>
      </c>
      <c r="AP95" s="648">
        <v>0</v>
      </c>
      <c r="AQ95" s="649">
        <v>0</v>
      </c>
      <c r="AR95" s="650">
        <v>1.1473170731707321E-2</v>
      </c>
      <c r="AS95" s="652">
        <v>1.1760000000000001E-2</v>
      </c>
      <c r="AT95" s="652">
        <v>0</v>
      </c>
      <c r="AU95" s="652">
        <v>0</v>
      </c>
      <c r="AV95" s="653">
        <v>1.1760000000000001E-2</v>
      </c>
      <c r="AW95" s="651">
        <v>3.5000000000000003E-2</v>
      </c>
      <c r="AX95" s="1501" t="s">
        <v>548</v>
      </c>
      <c r="AY95" s="1502">
        <v>9.5000000000000001E-2</v>
      </c>
      <c r="AZ95" s="1503">
        <v>0</v>
      </c>
      <c r="BA95" s="1503">
        <v>0</v>
      </c>
      <c r="BB95" s="1447"/>
      <c r="BC95" s="1039">
        <v>9.5000000000000001E-2</v>
      </c>
      <c r="BD95" s="1040">
        <v>1.7999999999999999E-2</v>
      </c>
      <c r="BE95" s="1041">
        <v>7.6999999999999999E-2</v>
      </c>
      <c r="BF95" s="1039">
        <v>9.5000000000000001E-2</v>
      </c>
    </row>
    <row r="96" spans="1:58" ht="106.05" customHeight="1" x14ac:dyDescent="0.3">
      <c r="A96" s="151" t="s">
        <v>375</v>
      </c>
      <c r="B96" s="179" t="s">
        <v>477</v>
      </c>
      <c r="C96" s="2308"/>
      <c r="D96" s="1504" t="s">
        <v>549</v>
      </c>
      <c r="E96" s="1505" t="s">
        <v>550</v>
      </c>
      <c r="F96" s="1494" t="s">
        <v>551</v>
      </c>
      <c r="G96" s="971" t="s">
        <v>249</v>
      </c>
      <c r="H96" s="1048" t="s">
        <v>250</v>
      </c>
      <c r="I96" s="1048" t="s">
        <v>251</v>
      </c>
      <c r="J96" s="1049">
        <v>4.5000000000000012E-2</v>
      </c>
      <c r="K96" s="1050">
        <v>2.5875000000000006E-2</v>
      </c>
      <c r="L96" s="1050">
        <v>1.9125000000000003E-2</v>
      </c>
      <c r="M96" s="1051">
        <v>0</v>
      </c>
      <c r="N96" s="1049">
        <v>2.5000000000000001E-2</v>
      </c>
      <c r="O96" s="1050" t="s">
        <v>252</v>
      </c>
      <c r="P96" s="1052">
        <v>0.44900000000000001</v>
      </c>
      <c r="Q96" s="1052">
        <v>0.1</v>
      </c>
      <c r="R96" s="1053" t="s">
        <v>145</v>
      </c>
      <c r="S96" s="1049" t="s">
        <v>332</v>
      </c>
      <c r="T96" s="2311"/>
      <c r="U96" s="1055" t="s">
        <v>255</v>
      </c>
      <c r="V96" s="1056" t="s">
        <v>148</v>
      </c>
      <c r="W96" s="1056" t="s">
        <v>383</v>
      </c>
      <c r="X96" s="1057">
        <v>18</v>
      </c>
      <c r="Y96" s="1057" t="s">
        <v>384</v>
      </c>
      <c r="Z96" s="1057" t="s">
        <v>522</v>
      </c>
      <c r="AA96" s="1058">
        <v>100000</v>
      </c>
      <c r="AB96" s="1059" t="s">
        <v>257</v>
      </c>
      <c r="AC96" s="1060">
        <v>17.5</v>
      </c>
      <c r="AD96" s="1061">
        <v>17.5</v>
      </c>
      <c r="AE96" s="1062">
        <v>35</v>
      </c>
      <c r="AF96" s="1063">
        <v>7.5</v>
      </c>
      <c r="AG96" s="1064">
        <v>10</v>
      </c>
      <c r="AH96" s="1063">
        <v>7.5</v>
      </c>
      <c r="AI96" s="1064">
        <v>10</v>
      </c>
      <c r="AJ96" s="647">
        <v>1.5783750000000003E-2</v>
      </c>
      <c r="AK96" s="648">
        <v>1.0091250000000003E-2</v>
      </c>
      <c r="AL96" s="649">
        <v>0</v>
      </c>
      <c r="AM96" s="650">
        <v>2.5875000000000006E-2</v>
      </c>
      <c r="AN96" s="651">
        <v>2.5875000000000006E-2</v>
      </c>
      <c r="AO96" s="647">
        <v>0</v>
      </c>
      <c r="AP96" s="648">
        <v>1.865853658536586E-2</v>
      </c>
      <c r="AQ96" s="649">
        <v>0</v>
      </c>
      <c r="AR96" s="650">
        <v>1.865853658536586E-2</v>
      </c>
      <c r="AS96" s="652">
        <v>0</v>
      </c>
      <c r="AT96" s="652">
        <v>1.9125000000000003E-2</v>
      </c>
      <c r="AU96" s="652">
        <v>0</v>
      </c>
      <c r="AV96" s="653">
        <v>1.9125000000000003E-2</v>
      </c>
      <c r="AW96" s="651">
        <v>4.5000000000000012E-2</v>
      </c>
      <c r="AX96" s="1495" t="s">
        <v>552</v>
      </c>
      <c r="AY96" s="1496">
        <v>8.3000000000000004E-2</v>
      </c>
      <c r="AZ96" s="1497">
        <v>0</v>
      </c>
      <c r="BA96" s="1497">
        <v>0</v>
      </c>
      <c r="BB96" s="1447"/>
      <c r="BC96" s="1070">
        <v>8.3000000000000004E-2</v>
      </c>
      <c r="BD96" s="1071">
        <v>1.7999999999999999E-2</v>
      </c>
      <c r="BE96" s="1072">
        <v>6.5000000000000002E-2</v>
      </c>
      <c r="BF96" s="1070">
        <v>8.3000000000000004E-2</v>
      </c>
    </row>
    <row r="97" spans="1:64" ht="106.05" customHeight="1" x14ac:dyDescent="0.3">
      <c r="A97" s="151" t="s">
        <v>375</v>
      </c>
      <c r="B97" s="179" t="s">
        <v>477</v>
      </c>
      <c r="C97" s="2308"/>
      <c r="D97" s="1498" t="s">
        <v>553</v>
      </c>
      <c r="E97" s="1506" t="s">
        <v>550</v>
      </c>
      <c r="F97" s="1500" t="s">
        <v>554</v>
      </c>
      <c r="G97" s="1507" t="s">
        <v>262</v>
      </c>
      <c r="H97" s="1011" t="s">
        <v>263</v>
      </c>
      <c r="I97" s="1011" t="s">
        <v>264</v>
      </c>
      <c r="J97" s="1012">
        <v>4.4999999999999991E-2</v>
      </c>
      <c r="K97" s="1013">
        <v>2.9879999999999993E-2</v>
      </c>
      <c r="L97" s="1013">
        <v>1.512E-2</v>
      </c>
      <c r="M97" s="1014">
        <v>0</v>
      </c>
      <c r="N97" s="1015">
        <v>2.5000000000000001E-2</v>
      </c>
      <c r="O97" s="1013" t="s">
        <v>252</v>
      </c>
      <c r="P97" s="1016">
        <v>0.44900000000000001</v>
      </c>
      <c r="Q97" s="1016">
        <v>0.1</v>
      </c>
      <c r="R97" s="1017" t="s">
        <v>145</v>
      </c>
      <c r="S97" s="1015" t="s">
        <v>332</v>
      </c>
      <c r="T97" s="2311"/>
      <c r="U97" s="1020" t="s">
        <v>255</v>
      </c>
      <c r="V97" s="1021" t="s">
        <v>148</v>
      </c>
      <c r="W97" s="1021" t="s">
        <v>392</v>
      </c>
      <c r="X97" s="1022">
        <v>18</v>
      </c>
      <c r="Y97" s="1022" t="s">
        <v>384</v>
      </c>
      <c r="Z97" s="1022" t="s">
        <v>522</v>
      </c>
      <c r="AA97" s="1023">
        <v>100000</v>
      </c>
      <c r="AB97" s="1024" t="s">
        <v>265</v>
      </c>
      <c r="AC97" s="1025">
        <v>17.5</v>
      </c>
      <c r="AD97" s="1026">
        <v>17.5</v>
      </c>
      <c r="AE97" s="1027">
        <v>35</v>
      </c>
      <c r="AF97" s="1028">
        <v>7.5</v>
      </c>
      <c r="AG97" s="1029">
        <v>10</v>
      </c>
      <c r="AH97" s="1028">
        <v>7.5</v>
      </c>
      <c r="AI97" s="1029">
        <v>10</v>
      </c>
      <c r="AJ97" s="647">
        <v>1.7330399999999996E-2</v>
      </c>
      <c r="AK97" s="648">
        <v>9.8604000000000001E-3</v>
      </c>
      <c r="AL97" s="649">
        <v>2.6891999999999997E-3</v>
      </c>
      <c r="AM97" s="650">
        <v>2.9879999999999993E-2</v>
      </c>
      <c r="AN97" s="651">
        <v>2.9879999999999993E-2</v>
      </c>
      <c r="AO97" s="647">
        <v>1.4751219512195123E-2</v>
      </c>
      <c r="AP97" s="648">
        <v>0</v>
      </c>
      <c r="AQ97" s="649">
        <v>0</v>
      </c>
      <c r="AR97" s="650">
        <v>1.4751219512195123E-2</v>
      </c>
      <c r="AS97" s="652">
        <v>1.512E-2</v>
      </c>
      <c r="AT97" s="652">
        <v>0</v>
      </c>
      <c r="AU97" s="652">
        <v>0</v>
      </c>
      <c r="AV97" s="653">
        <v>1.512E-2</v>
      </c>
      <c r="AW97" s="651">
        <v>4.4999999999999991E-2</v>
      </c>
      <c r="AX97" s="1501" t="s">
        <v>555</v>
      </c>
      <c r="AY97" s="1502">
        <v>8.3000000000000004E-2</v>
      </c>
      <c r="AZ97" s="1503">
        <v>0</v>
      </c>
      <c r="BA97" s="1503">
        <v>0</v>
      </c>
      <c r="BB97" s="1447"/>
      <c r="BC97" s="1039">
        <v>8.3000000000000004E-2</v>
      </c>
      <c r="BD97" s="1040">
        <v>1.7999999999999999E-2</v>
      </c>
      <c r="BE97" s="1041">
        <v>6.5000000000000002E-2</v>
      </c>
      <c r="BF97" s="1039">
        <v>8.3000000000000004E-2</v>
      </c>
    </row>
    <row r="98" spans="1:64" ht="106.05" customHeight="1" x14ac:dyDescent="0.3">
      <c r="A98" s="151" t="s">
        <v>375</v>
      </c>
      <c r="B98" s="179" t="s">
        <v>477</v>
      </c>
      <c r="C98" s="2308"/>
      <c r="D98" s="1504" t="s">
        <v>556</v>
      </c>
      <c r="E98" s="1505" t="s">
        <v>557</v>
      </c>
      <c r="F98" s="1494" t="s">
        <v>558</v>
      </c>
      <c r="G98" s="971" t="s">
        <v>249</v>
      </c>
      <c r="H98" s="1048" t="s">
        <v>250</v>
      </c>
      <c r="I98" s="1048" t="s">
        <v>251</v>
      </c>
      <c r="J98" s="1049">
        <v>5.9999999999999984E-2</v>
      </c>
      <c r="K98" s="1050">
        <v>3.4499999999999989E-2</v>
      </c>
      <c r="L98" s="1050">
        <v>2.5499999999999995E-2</v>
      </c>
      <c r="M98" s="1051">
        <v>0</v>
      </c>
      <c r="N98" s="1049">
        <v>2.5000000000000001E-2</v>
      </c>
      <c r="O98" s="1050" t="s">
        <v>252</v>
      </c>
      <c r="P98" s="1052">
        <v>0.44900000000000001</v>
      </c>
      <c r="Q98" s="1052">
        <v>0.1</v>
      </c>
      <c r="R98" s="1053" t="s">
        <v>145</v>
      </c>
      <c r="S98" s="1049" t="s">
        <v>341</v>
      </c>
      <c r="T98" s="2311"/>
      <c r="U98" s="1055" t="s">
        <v>255</v>
      </c>
      <c r="V98" s="1056" t="s">
        <v>148</v>
      </c>
      <c r="W98" s="1056" t="s">
        <v>383</v>
      </c>
      <c r="X98" s="1057">
        <v>18</v>
      </c>
      <c r="Y98" s="1057" t="s">
        <v>384</v>
      </c>
      <c r="Z98" s="1057" t="s">
        <v>522</v>
      </c>
      <c r="AA98" s="1058">
        <v>100000</v>
      </c>
      <c r="AB98" s="1059" t="s">
        <v>257</v>
      </c>
      <c r="AC98" s="1060">
        <v>17.5</v>
      </c>
      <c r="AD98" s="1061">
        <v>17.5</v>
      </c>
      <c r="AE98" s="1062">
        <v>35</v>
      </c>
      <c r="AF98" s="1063">
        <v>7.5</v>
      </c>
      <c r="AG98" s="1064">
        <v>10</v>
      </c>
      <c r="AH98" s="1063">
        <v>7.5</v>
      </c>
      <c r="AI98" s="1064">
        <v>10</v>
      </c>
      <c r="AJ98" s="647">
        <v>2.1044999999999991E-2</v>
      </c>
      <c r="AK98" s="648">
        <v>1.3454999999999996E-2</v>
      </c>
      <c r="AL98" s="649">
        <v>0</v>
      </c>
      <c r="AM98" s="650">
        <v>3.4499999999999989E-2</v>
      </c>
      <c r="AN98" s="651">
        <v>3.4499999999999989E-2</v>
      </c>
      <c r="AO98" s="647">
        <v>0</v>
      </c>
      <c r="AP98" s="648">
        <v>2.4878048780487803E-2</v>
      </c>
      <c r="AQ98" s="649">
        <v>0</v>
      </c>
      <c r="AR98" s="650">
        <v>2.4878048780487803E-2</v>
      </c>
      <c r="AS98" s="652">
        <v>0</v>
      </c>
      <c r="AT98" s="652">
        <v>2.5499999999999995E-2</v>
      </c>
      <c r="AU98" s="652">
        <v>0</v>
      </c>
      <c r="AV98" s="653">
        <v>2.5499999999999995E-2</v>
      </c>
      <c r="AW98" s="651">
        <v>5.9999999999999984E-2</v>
      </c>
      <c r="AX98" s="1495" t="s">
        <v>559</v>
      </c>
      <c r="AY98" s="1496">
        <v>7.2999999999999995E-2</v>
      </c>
      <c r="AZ98" s="1497">
        <v>0</v>
      </c>
      <c r="BA98" s="1497">
        <v>0</v>
      </c>
      <c r="BB98" s="1447"/>
      <c r="BC98" s="1070">
        <v>7.2999999999999995E-2</v>
      </c>
      <c r="BD98" s="1071">
        <v>1.7999999999999999E-2</v>
      </c>
      <c r="BE98" s="1072">
        <v>5.5E-2</v>
      </c>
      <c r="BF98" s="1070">
        <v>7.2999999999999995E-2</v>
      </c>
    </row>
    <row r="99" spans="1:64" ht="106.05" customHeight="1" thickBot="1" x14ac:dyDescent="0.35">
      <c r="A99" s="151" t="s">
        <v>375</v>
      </c>
      <c r="B99" s="179" t="s">
        <v>477</v>
      </c>
      <c r="C99" s="2309"/>
      <c r="D99" s="1508" t="s">
        <v>560</v>
      </c>
      <c r="E99" s="1509" t="s">
        <v>557</v>
      </c>
      <c r="F99" s="1510" t="s">
        <v>561</v>
      </c>
      <c r="G99" s="1080" t="s">
        <v>262</v>
      </c>
      <c r="H99" s="1082" t="s">
        <v>263</v>
      </c>
      <c r="I99" s="1082" t="s">
        <v>264</v>
      </c>
      <c r="J99" s="1083">
        <v>0.06</v>
      </c>
      <c r="K99" s="1084">
        <v>3.984E-2</v>
      </c>
      <c r="L99" s="1084">
        <v>2.0159999999999997E-2</v>
      </c>
      <c r="M99" s="1085">
        <v>0</v>
      </c>
      <c r="N99" s="1086">
        <v>2.5000000000000001E-2</v>
      </c>
      <c r="O99" s="1084" t="s">
        <v>252</v>
      </c>
      <c r="P99" s="1087">
        <v>0.44900000000000001</v>
      </c>
      <c r="Q99" s="1087">
        <v>0.1</v>
      </c>
      <c r="R99" s="1088" t="s">
        <v>145</v>
      </c>
      <c r="S99" s="1086" t="s">
        <v>341</v>
      </c>
      <c r="T99" s="2312"/>
      <c r="U99" s="1091" t="s">
        <v>255</v>
      </c>
      <c r="V99" s="1092" t="s">
        <v>148</v>
      </c>
      <c r="W99" s="1092" t="s">
        <v>392</v>
      </c>
      <c r="X99" s="1093">
        <v>18</v>
      </c>
      <c r="Y99" s="1093" t="s">
        <v>384</v>
      </c>
      <c r="Z99" s="1093" t="s">
        <v>522</v>
      </c>
      <c r="AA99" s="1094">
        <v>100000</v>
      </c>
      <c r="AB99" s="1095" t="s">
        <v>265</v>
      </c>
      <c r="AC99" s="1096">
        <v>17.5</v>
      </c>
      <c r="AD99" s="1097">
        <v>17.5</v>
      </c>
      <c r="AE99" s="1098">
        <v>35</v>
      </c>
      <c r="AF99" s="1099">
        <v>7.5</v>
      </c>
      <c r="AG99" s="1100">
        <v>10</v>
      </c>
      <c r="AH99" s="1099">
        <v>7.5</v>
      </c>
      <c r="AI99" s="1100">
        <v>10</v>
      </c>
      <c r="AJ99" s="786">
        <v>2.3107199999999998E-2</v>
      </c>
      <c r="AK99" s="787">
        <v>1.31472E-2</v>
      </c>
      <c r="AL99" s="788">
        <v>3.5855999999999996E-3</v>
      </c>
      <c r="AM99" s="789">
        <v>3.984E-2</v>
      </c>
      <c r="AN99" s="790">
        <v>3.984E-2</v>
      </c>
      <c r="AO99" s="786">
        <v>1.966829268292683E-2</v>
      </c>
      <c r="AP99" s="787">
        <v>0</v>
      </c>
      <c r="AQ99" s="788">
        <v>0</v>
      </c>
      <c r="AR99" s="789">
        <v>1.966829268292683E-2</v>
      </c>
      <c r="AS99" s="791">
        <v>2.0159999999999997E-2</v>
      </c>
      <c r="AT99" s="791">
        <v>0</v>
      </c>
      <c r="AU99" s="791">
        <v>0</v>
      </c>
      <c r="AV99" s="792">
        <v>2.0159999999999997E-2</v>
      </c>
      <c r="AW99" s="790">
        <v>0.06</v>
      </c>
      <c r="AX99" s="1511" t="s">
        <v>562</v>
      </c>
      <c r="AY99" s="1512">
        <v>7.2999999999999995E-2</v>
      </c>
      <c r="AZ99" s="1513">
        <v>0</v>
      </c>
      <c r="BA99" s="1513">
        <v>0</v>
      </c>
      <c r="BB99" s="1466"/>
      <c r="BC99" s="1110">
        <v>7.2999999999999995E-2</v>
      </c>
      <c r="BD99" s="1111">
        <v>1.7999999999999999E-2</v>
      </c>
      <c r="BE99" s="1112">
        <v>5.5E-2</v>
      </c>
      <c r="BF99" s="1110">
        <v>7.2999999999999995E-2</v>
      </c>
    </row>
    <row r="100" spans="1:64" ht="106.05" customHeight="1" x14ac:dyDescent="0.3">
      <c r="A100" s="151" t="s">
        <v>375</v>
      </c>
      <c r="B100" s="179" t="s">
        <v>477</v>
      </c>
      <c r="C100" s="2313" t="s">
        <v>215</v>
      </c>
      <c r="D100" s="1514" t="s">
        <v>563</v>
      </c>
      <c r="E100" s="1515" t="s">
        <v>564</v>
      </c>
      <c r="F100" s="1516" t="s">
        <v>565</v>
      </c>
      <c r="G100" s="1517" t="s">
        <v>566</v>
      </c>
      <c r="H100" s="1122" t="s">
        <v>350</v>
      </c>
      <c r="I100" s="1122" t="s">
        <v>351</v>
      </c>
      <c r="J100" s="1123">
        <v>4.4999999999999998E-2</v>
      </c>
      <c r="K100" s="1124">
        <v>3.4875000000000003E-2</v>
      </c>
      <c r="L100" s="1124">
        <v>1.0124999999999999E-2</v>
      </c>
      <c r="M100" s="1125">
        <v>0</v>
      </c>
      <c r="N100" s="1126">
        <v>2.5000000000000001E-2</v>
      </c>
      <c r="O100" s="1127" t="s">
        <v>567</v>
      </c>
      <c r="P100" s="1128">
        <v>0.44900000000000001</v>
      </c>
      <c r="Q100" s="1128">
        <v>0.1</v>
      </c>
      <c r="R100" s="1129" t="s">
        <v>145</v>
      </c>
      <c r="S100" s="1130" t="s">
        <v>352</v>
      </c>
      <c r="T100" s="2315" t="s">
        <v>353</v>
      </c>
      <c r="U100" s="1132" t="s">
        <v>255</v>
      </c>
      <c r="V100" s="1133" t="s">
        <v>148</v>
      </c>
      <c r="W100" s="1133" t="s">
        <v>392</v>
      </c>
      <c r="X100" s="1134">
        <v>18</v>
      </c>
      <c r="Y100" s="1134" t="s">
        <v>384</v>
      </c>
      <c r="Z100" s="1134" t="s">
        <v>385</v>
      </c>
      <c r="AA100" s="1135">
        <v>100000</v>
      </c>
      <c r="AB100" s="1132" t="s">
        <v>354</v>
      </c>
      <c r="AC100" s="1136">
        <v>20.5</v>
      </c>
      <c r="AD100" s="1137">
        <v>20.5</v>
      </c>
      <c r="AE100" s="1138">
        <v>41</v>
      </c>
      <c r="AF100" s="1139">
        <v>7.5</v>
      </c>
      <c r="AG100" s="1140">
        <v>13</v>
      </c>
      <c r="AH100" s="1139">
        <v>7.5</v>
      </c>
      <c r="AI100" s="1140">
        <v>13</v>
      </c>
      <c r="AJ100" s="835">
        <v>2.325E-2</v>
      </c>
      <c r="AK100" s="836">
        <v>1.1625E-2</v>
      </c>
      <c r="AL100" s="837">
        <v>0</v>
      </c>
      <c r="AM100" s="838">
        <v>3.4875000000000003E-2</v>
      </c>
      <c r="AN100" s="839">
        <v>3.4875000000000003E-2</v>
      </c>
      <c r="AO100" s="835">
        <v>9.878048780487805E-3</v>
      </c>
      <c r="AP100" s="836">
        <v>0</v>
      </c>
      <c r="AQ100" s="837">
        <v>0</v>
      </c>
      <c r="AR100" s="838">
        <v>9.878048780487805E-3</v>
      </c>
      <c r="AS100" s="652">
        <v>1.0124999999999999E-2</v>
      </c>
      <c r="AT100" s="652">
        <v>0</v>
      </c>
      <c r="AU100" s="652">
        <v>0</v>
      </c>
      <c r="AV100" s="653">
        <v>1.0124999999999999E-2</v>
      </c>
      <c r="AW100" s="839">
        <v>4.4999999999999998E-2</v>
      </c>
      <c r="AX100" s="1518" t="s">
        <v>568</v>
      </c>
      <c r="AY100" s="1519">
        <v>7.2999999999999995E-2</v>
      </c>
      <c r="AZ100" s="1520">
        <v>0</v>
      </c>
      <c r="BA100" s="1520">
        <v>0</v>
      </c>
      <c r="BB100" s="1447"/>
      <c r="BC100" s="1150">
        <v>7.2999999999999995E-2</v>
      </c>
      <c r="BD100" s="1151">
        <v>1.7999999999999999E-2</v>
      </c>
      <c r="BE100" s="1152">
        <v>5.5E-2</v>
      </c>
      <c r="BF100" s="1150">
        <v>7.2999999999999995E-2</v>
      </c>
    </row>
    <row r="101" spans="1:64" ht="106.05" customHeight="1" thickBot="1" x14ac:dyDescent="0.35">
      <c r="A101" s="151" t="s">
        <v>375</v>
      </c>
      <c r="B101" s="179" t="s">
        <v>477</v>
      </c>
      <c r="C101" s="2314"/>
      <c r="D101" s="1521" t="s">
        <v>569</v>
      </c>
      <c r="E101" s="1522" t="s">
        <v>564</v>
      </c>
      <c r="F101" s="1523" t="s">
        <v>570</v>
      </c>
      <c r="G101" s="1524" t="s">
        <v>566</v>
      </c>
      <c r="H101" s="1162" t="s">
        <v>350</v>
      </c>
      <c r="I101" s="1162" t="s">
        <v>351</v>
      </c>
      <c r="J101" s="1163">
        <v>4.4999999999999998E-2</v>
      </c>
      <c r="K101" s="1164">
        <v>3.4875000000000003E-2</v>
      </c>
      <c r="L101" s="1164">
        <v>1.0124999999999999E-2</v>
      </c>
      <c r="M101" s="1165">
        <v>0</v>
      </c>
      <c r="N101" s="1166">
        <v>2.5000000000000001E-2</v>
      </c>
      <c r="O101" s="1167" t="s">
        <v>571</v>
      </c>
      <c r="P101" s="1168">
        <v>0.44900000000000001</v>
      </c>
      <c r="Q101" s="1168">
        <v>0.1</v>
      </c>
      <c r="R101" s="1169" t="s">
        <v>145</v>
      </c>
      <c r="S101" s="1170" t="s">
        <v>352</v>
      </c>
      <c r="T101" s="2316"/>
      <c r="U101" s="1172" t="s">
        <v>255</v>
      </c>
      <c r="V101" s="1173" t="s">
        <v>148</v>
      </c>
      <c r="W101" s="1173" t="s">
        <v>392</v>
      </c>
      <c r="X101" s="1174">
        <v>18</v>
      </c>
      <c r="Y101" s="1174" t="s">
        <v>384</v>
      </c>
      <c r="Z101" s="1174" t="s">
        <v>385</v>
      </c>
      <c r="AA101" s="1175">
        <v>100000</v>
      </c>
      <c r="AB101" s="1172" t="s">
        <v>354</v>
      </c>
      <c r="AC101" s="1176">
        <v>20.5</v>
      </c>
      <c r="AD101" s="1177">
        <v>20.5</v>
      </c>
      <c r="AE101" s="1178">
        <v>41</v>
      </c>
      <c r="AF101" s="1179">
        <v>7.5</v>
      </c>
      <c r="AG101" s="1180">
        <v>13</v>
      </c>
      <c r="AH101" s="1179">
        <v>7.5</v>
      </c>
      <c r="AI101" s="1180">
        <v>13</v>
      </c>
      <c r="AJ101" s="786">
        <v>2.325E-2</v>
      </c>
      <c r="AK101" s="787">
        <v>1.1625E-2</v>
      </c>
      <c r="AL101" s="788">
        <v>0</v>
      </c>
      <c r="AM101" s="789">
        <v>3.4875000000000003E-2</v>
      </c>
      <c r="AN101" s="790">
        <v>3.4875000000000003E-2</v>
      </c>
      <c r="AO101" s="786">
        <v>9.878048780487805E-3</v>
      </c>
      <c r="AP101" s="787">
        <v>0</v>
      </c>
      <c r="AQ101" s="788">
        <v>0</v>
      </c>
      <c r="AR101" s="789">
        <v>9.878048780487805E-3</v>
      </c>
      <c r="AS101" s="791">
        <v>1.0124999999999999E-2</v>
      </c>
      <c r="AT101" s="791">
        <v>0</v>
      </c>
      <c r="AU101" s="791">
        <v>0</v>
      </c>
      <c r="AV101" s="792">
        <v>1.0124999999999999E-2</v>
      </c>
      <c r="AW101" s="790">
        <v>4.4999999999999998E-2</v>
      </c>
      <c r="AX101" s="1525" t="s">
        <v>568</v>
      </c>
      <c r="AY101" s="1526">
        <v>7.2999999999999995E-2</v>
      </c>
      <c r="AZ101" s="1527">
        <v>0</v>
      </c>
      <c r="BA101" s="1527">
        <v>0</v>
      </c>
      <c r="BB101" s="1466"/>
      <c r="BC101" s="1190">
        <v>7.2999999999999995E-2</v>
      </c>
      <c r="BD101" s="1191">
        <v>1.7999999999999999E-2</v>
      </c>
      <c r="BE101" s="1192">
        <v>5.5E-2</v>
      </c>
      <c r="BF101" s="1190">
        <v>7.2999999999999995E-2</v>
      </c>
    </row>
    <row r="102" spans="1:64" ht="106.05" customHeight="1" x14ac:dyDescent="0.3">
      <c r="A102" s="151" t="s">
        <v>375</v>
      </c>
      <c r="B102" s="179" t="s">
        <v>477</v>
      </c>
      <c r="C102" s="2322" t="s">
        <v>224</v>
      </c>
      <c r="D102" s="1528" t="s">
        <v>572</v>
      </c>
      <c r="E102" s="1529" t="s">
        <v>573</v>
      </c>
      <c r="F102" s="1530" t="s">
        <v>574</v>
      </c>
      <c r="G102" s="1531" t="s">
        <v>566</v>
      </c>
      <c r="H102" s="1203" t="s">
        <v>363</v>
      </c>
      <c r="I102" s="1203" t="s">
        <v>364</v>
      </c>
      <c r="J102" s="1204">
        <v>0.08</v>
      </c>
      <c r="K102" s="1205">
        <v>7.5563405779431311E-2</v>
      </c>
      <c r="L102" s="1205">
        <v>4.4365942205686903E-3</v>
      </c>
      <c r="M102" s="1206">
        <v>0</v>
      </c>
      <c r="N102" s="1207">
        <v>2.5000000000000001E-2</v>
      </c>
      <c r="O102" s="1205" t="s">
        <v>252</v>
      </c>
      <c r="P102" s="1208">
        <v>0.26</v>
      </c>
      <c r="Q102" s="1208" t="s">
        <v>575</v>
      </c>
      <c r="R102" s="1209" t="s">
        <v>145</v>
      </c>
      <c r="S102" s="1210" t="s">
        <v>365</v>
      </c>
      <c r="T102" s="2324" t="s">
        <v>254</v>
      </c>
      <c r="U102" s="1212" t="s">
        <v>255</v>
      </c>
      <c r="V102" s="1213" t="s">
        <v>148</v>
      </c>
      <c r="W102" s="1213" t="s">
        <v>392</v>
      </c>
      <c r="X102" s="1214">
        <v>60</v>
      </c>
      <c r="Y102" s="1214" t="s">
        <v>385</v>
      </c>
      <c r="Z102" s="1214" t="s">
        <v>576</v>
      </c>
      <c r="AA102" s="1215">
        <v>100000</v>
      </c>
      <c r="AB102" s="1212" t="s">
        <v>366</v>
      </c>
      <c r="AC102" s="1216">
        <v>25</v>
      </c>
      <c r="AD102" s="1217">
        <v>25</v>
      </c>
      <c r="AE102" s="1218">
        <v>50</v>
      </c>
      <c r="AF102" s="1219">
        <v>7.5</v>
      </c>
      <c r="AG102" s="1220">
        <v>17.5</v>
      </c>
      <c r="AH102" s="1219">
        <v>7.5</v>
      </c>
      <c r="AI102" s="1220">
        <v>17.5</v>
      </c>
      <c r="AJ102" s="835">
        <v>7.5563405779431311E-2</v>
      </c>
      <c r="AK102" s="836">
        <v>0</v>
      </c>
      <c r="AL102" s="837">
        <v>0</v>
      </c>
      <c r="AM102" s="838">
        <v>7.5563405779431311E-2</v>
      </c>
      <c r="AN102" s="839">
        <v>7.5563405779431311E-2</v>
      </c>
      <c r="AO102" s="835">
        <v>0</v>
      </c>
      <c r="AP102" s="836">
        <v>0</v>
      </c>
      <c r="AQ102" s="837">
        <v>4.328384605432869E-3</v>
      </c>
      <c r="AR102" s="838">
        <v>4.328384605432869E-3</v>
      </c>
      <c r="AS102" s="1221">
        <v>0</v>
      </c>
      <c r="AT102" s="1221">
        <v>0</v>
      </c>
      <c r="AU102" s="1221">
        <v>4.4365942205686903E-3</v>
      </c>
      <c r="AV102" s="1222">
        <v>4.4365942205686903E-3</v>
      </c>
      <c r="AW102" s="839">
        <v>0.08</v>
      </c>
      <c r="AX102" s="1532" t="s">
        <v>577</v>
      </c>
      <c r="AY102" s="1533">
        <v>0.08</v>
      </c>
      <c r="AZ102" s="1534">
        <v>0</v>
      </c>
      <c r="BA102" s="1534">
        <v>0</v>
      </c>
      <c r="BB102" s="1447"/>
      <c r="BC102" s="1232">
        <v>0.08</v>
      </c>
      <c r="BD102" s="1233">
        <v>1.44E-2</v>
      </c>
      <c r="BE102" s="1234">
        <v>6.5600000000000006E-2</v>
      </c>
      <c r="BF102" s="1232">
        <v>0.08</v>
      </c>
    </row>
    <row r="103" spans="1:64" ht="106.05" customHeight="1" thickBot="1" x14ac:dyDescent="0.35">
      <c r="A103" s="570" t="s">
        <v>375</v>
      </c>
      <c r="B103" s="1535" t="s">
        <v>477</v>
      </c>
      <c r="C103" s="2323"/>
      <c r="D103" s="1536" t="s">
        <v>578</v>
      </c>
      <c r="E103" s="1537" t="s">
        <v>579</v>
      </c>
      <c r="F103" s="1538" t="s">
        <v>580</v>
      </c>
      <c r="G103" s="1539" t="s">
        <v>566</v>
      </c>
      <c r="H103" s="1245" t="s">
        <v>363</v>
      </c>
      <c r="I103" s="1245" t="s">
        <v>364</v>
      </c>
      <c r="J103" s="1246">
        <v>0.08</v>
      </c>
      <c r="K103" s="1247">
        <v>7.5563405779431311E-2</v>
      </c>
      <c r="L103" s="1247">
        <v>4.4365942205686903E-3</v>
      </c>
      <c r="M103" s="1248">
        <v>0</v>
      </c>
      <c r="N103" s="1249">
        <v>2.5000000000000001E-2</v>
      </c>
      <c r="O103" s="1247" t="s">
        <v>252</v>
      </c>
      <c r="P103" s="1250">
        <v>0.26</v>
      </c>
      <c r="Q103" s="1250" t="s">
        <v>575</v>
      </c>
      <c r="R103" s="1251" t="s">
        <v>145</v>
      </c>
      <c r="S103" s="1252" t="s">
        <v>365</v>
      </c>
      <c r="T103" s="2325"/>
      <c r="U103" s="1254" t="s">
        <v>255</v>
      </c>
      <c r="V103" s="1255" t="s">
        <v>148</v>
      </c>
      <c r="W103" s="1255" t="s">
        <v>392</v>
      </c>
      <c r="X103" s="1256">
        <v>60</v>
      </c>
      <c r="Y103" s="1256" t="s">
        <v>385</v>
      </c>
      <c r="Z103" s="1256" t="s">
        <v>576</v>
      </c>
      <c r="AA103" s="1257">
        <v>100000</v>
      </c>
      <c r="AB103" s="1254" t="s">
        <v>366</v>
      </c>
      <c r="AC103" s="1258">
        <v>25</v>
      </c>
      <c r="AD103" s="1259">
        <v>25</v>
      </c>
      <c r="AE103" s="1260">
        <v>50</v>
      </c>
      <c r="AF103" s="1261">
        <v>7.5</v>
      </c>
      <c r="AG103" s="1262">
        <v>17.5</v>
      </c>
      <c r="AH103" s="1261">
        <v>7.5</v>
      </c>
      <c r="AI103" s="1262">
        <v>17.5</v>
      </c>
      <c r="AJ103" s="786">
        <v>7.5563405779431311E-2</v>
      </c>
      <c r="AK103" s="787">
        <v>0</v>
      </c>
      <c r="AL103" s="788">
        <v>0</v>
      </c>
      <c r="AM103" s="789">
        <v>7.5563405779431311E-2</v>
      </c>
      <c r="AN103" s="790">
        <v>7.5563405779431311E-2</v>
      </c>
      <c r="AO103" s="786">
        <v>0</v>
      </c>
      <c r="AP103" s="787">
        <v>0</v>
      </c>
      <c r="AQ103" s="788">
        <v>4.328384605432869E-3</v>
      </c>
      <c r="AR103" s="789">
        <v>4.328384605432869E-3</v>
      </c>
      <c r="AS103" s="791">
        <v>0</v>
      </c>
      <c r="AT103" s="791">
        <v>0</v>
      </c>
      <c r="AU103" s="791">
        <v>4.4365942205686903E-3</v>
      </c>
      <c r="AV103" s="792">
        <v>4.4365942205686903E-3</v>
      </c>
      <c r="AW103" s="790">
        <v>0.08</v>
      </c>
      <c r="AX103" s="1540" t="s">
        <v>581</v>
      </c>
      <c r="AY103" s="1541">
        <v>0.08</v>
      </c>
      <c r="AZ103" s="1542">
        <v>0</v>
      </c>
      <c r="BA103" s="1542">
        <v>0</v>
      </c>
      <c r="BB103" s="1543"/>
      <c r="BC103" s="1274">
        <v>0.08</v>
      </c>
      <c r="BD103" s="1275">
        <v>1.44E-2</v>
      </c>
      <c r="BE103" s="1276">
        <v>6.5600000000000006E-2</v>
      </c>
      <c r="BF103" s="1274">
        <v>0.08</v>
      </c>
      <c r="BG103" s="1544"/>
    </row>
    <row r="104" spans="1:64" ht="57.6" x14ac:dyDescent="0.3">
      <c r="A104" s="151" t="s">
        <v>375</v>
      </c>
      <c r="B104" s="179" t="s">
        <v>582</v>
      </c>
      <c r="C104" s="2326" t="s">
        <v>583</v>
      </c>
      <c r="D104" s="1545" t="s">
        <v>584</v>
      </c>
      <c r="E104" s="1546" t="s">
        <v>585</v>
      </c>
      <c r="F104" s="1547" t="s">
        <v>586</v>
      </c>
      <c r="G104" s="1548" t="s">
        <v>262</v>
      </c>
      <c r="H104" s="120" t="s">
        <v>587</v>
      </c>
      <c r="I104" s="120" t="s">
        <v>588</v>
      </c>
      <c r="J104" s="1549">
        <v>4.4999999999999998E-2</v>
      </c>
      <c r="K104" s="1550">
        <v>2.988E-2</v>
      </c>
      <c r="L104" s="1550">
        <v>1.5120000000000003E-2</v>
      </c>
      <c r="M104" s="1551">
        <v>0</v>
      </c>
      <c r="N104" s="1552">
        <v>2.5000000000000001E-2</v>
      </c>
      <c r="O104" s="1550" t="s">
        <v>252</v>
      </c>
      <c r="P104" s="1553">
        <v>0.43</v>
      </c>
      <c r="Q104" s="1553">
        <v>0.12</v>
      </c>
      <c r="R104" s="1554">
        <v>0</v>
      </c>
      <c r="S104" s="1555" t="s">
        <v>589</v>
      </c>
      <c r="T104" s="1556" t="s">
        <v>590</v>
      </c>
      <c r="U104" s="1557" t="s">
        <v>255</v>
      </c>
      <c r="V104" s="127" t="s">
        <v>148</v>
      </c>
      <c r="W104" s="127" t="s">
        <v>591</v>
      </c>
      <c r="X104" s="1556">
        <v>18</v>
      </c>
      <c r="Y104" s="1556" t="s">
        <v>384</v>
      </c>
      <c r="Z104" s="1556" t="s">
        <v>385</v>
      </c>
      <c r="AA104" s="1558">
        <v>100000</v>
      </c>
      <c r="AB104" s="1559" t="s">
        <v>265</v>
      </c>
      <c r="AC104" s="1560">
        <v>25</v>
      </c>
      <c r="AD104" s="1561">
        <v>25</v>
      </c>
      <c r="AE104" s="1562">
        <v>50</v>
      </c>
      <c r="AF104" s="1563">
        <v>7.5</v>
      </c>
      <c r="AG104" s="1564">
        <v>17.5</v>
      </c>
      <c r="AH104" s="1563">
        <v>7.5</v>
      </c>
      <c r="AI104" s="1565">
        <v>17.5</v>
      </c>
      <c r="AJ104" s="1566">
        <v>1.7330399999999999E-2</v>
      </c>
      <c r="AK104" s="1567">
        <v>9.8604000000000018E-3</v>
      </c>
      <c r="AL104" s="1567">
        <v>2.6892000000000001E-3</v>
      </c>
      <c r="AM104" s="1568">
        <v>2.988E-2</v>
      </c>
      <c r="AN104" s="1569">
        <v>2.988E-2</v>
      </c>
      <c r="AO104" s="1570">
        <v>1.4751219512195126E-2</v>
      </c>
      <c r="AP104" s="1567">
        <v>0</v>
      </c>
      <c r="AQ104" s="1567">
        <v>0</v>
      </c>
      <c r="AR104" s="1571">
        <f>SUM(AO104:AQ104)</f>
        <v>1.4751219512195126E-2</v>
      </c>
      <c r="AS104" s="1572">
        <v>1.5120000000000003E-2</v>
      </c>
      <c r="AT104" s="1573">
        <v>0</v>
      </c>
      <c r="AU104" s="1574">
        <v>0</v>
      </c>
      <c r="AV104" s="1575">
        <v>1.5120000000000003E-2</v>
      </c>
      <c r="AW104" s="1569">
        <v>4.4999999999999998E-2</v>
      </c>
      <c r="AX104" s="1576" t="s">
        <v>592</v>
      </c>
      <c r="AY104" s="1577">
        <v>8.4999999999999992E-2</v>
      </c>
      <c r="AZ104" s="1578">
        <v>0</v>
      </c>
      <c r="BA104" s="1578">
        <v>0</v>
      </c>
      <c r="BB104" s="1579"/>
      <c r="BC104" s="1580"/>
      <c r="BD104" s="1581"/>
      <c r="BE104" s="1582"/>
      <c r="BF104" s="1580"/>
      <c r="BG104" s="1583" t="s">
        <v>593</v>
      </c>
    </row>
    <row r="105" spans="1:64" ht="58.2" thickBot="1" x14ac:dyDescent="0.35">
      <c r="A105" s="151" t="s">
        <v>375</v>
      </c>
      <c r="B105" s="179" t="s">
        <v>582</v>
      </c>
      <c r="C105" s="2327"/>
      <c r="D105" s="1584" t="s">
        <v>594</v>
      </c>
      <c r="E105" s="1585" t="s">
        <v>595</v>
      </c>
      <c r="F105" s="1586" t="s">
        <v>596</v>
      </c>
      <c r="G105" s="1587" t="s">
        <v>262</v>
      </c>
      <c r="H105" s="1588" t="s">
        <v>597</v>
      </c>
      <c r="I105" s="1588" t="s">
        <v>598</v>
      </c>
      <c r="J105" s="1589">
        <v>0.06</v>
      </c>
      <c r="K105" s="1590">
        <v>3.984E-2</v>
      </c>
      <c r="L105" s="1590">
        <v>2.0160000000000001E-2</v>
      </c>
      <c r="M105" s="1591">
        <v>0</v>
      </c>
      <c r="N105" s="1592">
        <v>2.5000000000000001E-2</v>
      </c>
      <c r="O105" s="1590" t="s">
        <v>252</v>
      </c>
      <c r="P105" s="1593">
        <v>0.43</v>
      </c>
      <c r="Q105" s="1593">
        <v>0.12</v>
      </c>
      <c r="R105" s="1594">
        <v>0</v>
      </c>
      <c r="S105" s="1595" t="s">
        <v>599</v>
      </c>
      <c r="T105" s="1596" t="s">
        <v>590</v>
      </c>
      <c r="U105" s="1597" t="s">
        <v>255</v>
      </c>
      <c r="V105" s="1598" t="s">
        <v>148</v>
      </c>
      <c r="W105" s="1598" t="s">
        <v>591</v>
      </c>
      <c r="X105" s="1596">
        <v>18</v>
      </c>
      <c r="Y105" s="1596" t="s">
        <v>384</v>
      </c>
      <c r="Z105" s="1596" t="s">
        <v>385</v>
      </c>
      <c r="AA105" s="1599">
        <v>100000</v>
      </c>
      <c r="AB105" s="1600" t="s">
        <v>265</v>
      </c>
      <c r="AC105" s="1601">
        <v>25</v>
      </c>
      <c r="AD105" s="1602">
        <v>25</v>
      </c>
      <c r="AE105" s="1603">
        <v>50</v>
      </c>
      <c r="AF105" s="1604">
        <v>7.5</v>
      </c>
      <c r="AG105" s="1605">
        <v>17.5</v>
      </c>
      <c r="AH105" s="1604">
        <v>7.5</v>
      </c>
      <c r="AI105" s="1606">
        <v>17.5</v>
      </c>
      <c r="AJ105" s="1607">
        <v>2.3107199999999998E-2</v>
      </c>
      <c r="AK105" s="1608">
        <v>1.3147200000000001E-2</v>
      </c>
      <c r="AL105" s="1608">
        <v>3.5856E-3</v>
      </c>
      <c r="AM105" s="1609">
        <v>3.984E-2</v>
      </c>
      <c r="AN105" s="1610">
        <v>3.984E-2</v>
      </c>
      <c r="AO105" s="1611">
        <v>1.966829268292683E-2</v>
      </c>
      <c r="AP105" s="1608">
        <v>0</v>
      </c>
      <c r="AQ105" s="1608">
        <v>0</v>
      </c>
      <c r="AR105" s="1612">
        <f>SUM(AO105:AQ105)</f>
        <v>1.966829268292683E-2</v>
      </c>
      <c r="AS105" s="1613">
        <v>2.0160000000000001E-2</v>
      </c>
      <c r="AT105" s="1614">
        <v>0</v>
      </c>
      <c r="AU105" s="1615">
        <v>0</v>
      </c>
      <c r="AV105" s="1616">
        <v>2.0160000000000001E-2</v>
      </c>
      <c r="AW105" s="1610">
        <v>0.06</v>
      </c>
      <c r="AX105" s="1617" t="s">
        <v>600</v>
      </c>
      <c r="AY105" s="1618">
        <v>7.3700000000000002E-2</v>
      </c>
      <c r="AZ105" s="1619">
        <v>0</v>
      </c>
      <c r="BA105" s="1619">
        <v>0</v>
      </c>
      <c r="BB105" s="1579"/>
      <c r="BC105" s="1580"/>
      <c r="BD105" s="1581"/>
      <c r="BE105" s="1582"/>
      <c r="BF105" s="1580"/>
      <c r="BG105" s="1620" t="s">
        <v>601</v>
      </c>
    </row>
    <row r="106" spans="1:64" ht="58.2" thickBot="1" x14ac:dyDescent="0.35">
      <c r="A106" s="570" t="s">
        <v>375</v>
      </c>
      <c r="B106" s="1535" t="s">
        <v>582</v>
      </c>
      <c r="C106" s="2328"/>
      <c r="D106" s="1621" t="s">
        <v>602</v>
      </c>
      <c r="E106" s="1622" t="s">
        <v>603</v>
      </c>
      <c r="F106" s="1623" t="s">
        <v>604</v>
      </c>
      <c r="G106" s="1624" t="s">
        <v>262</v>
      </c>
      <c r="H106" s="198" t="s">
        <v>605</v>
      </c>
      <c r="I106" s="198" t="s">
        <v>606</v>
      </c>
      <c r="J106" s="1625">
        <v>0.08</v>
      </c>
      <c r="K106" s="1626">
        <v>5.3120000000000001E-2</v>
      </c>
      <c r="L106" s="1626">
        <v>2.6880000000000001E-2</v>
      </c>
      <c r="M106" s="1627">
        <v>0</v>
      </c>
      <c r="N106" s="1628">
        <v>2.5000000000000001E-2</v>
      </c>
      <c r="O106" s="1626" t="s">
        <v>252</v>
      </c>
      <c r="P106" s="1629">
        <v>0.43</v>
      </c>
      <c r="Q106" s="1629">
        <v>0.12</v>
      </c>
      <c r="R106" s="1630">
        <v>0</v>
      </c>
      <c r="S106" s="1631" t="s">
        <v>607</v>
      </c>
      <c r="T106" s="1632" t="s">
        <v>590</v>
      </c>
      <c r="U106" s="1633" t="s">
        <v>255</v>
      </c>
      <c r="V106" s="204" t="s">
        <v>148</v>
      </c>
      <c r="W106" s="204" t="s">
        <v>591</v>
      </c>
      <c r="X106" s="1632">
        <v>18</v>
      </c>
      <c r="Y106" s="1632" t="s">
        <v>384</v>
      </c>
      <c r="Z106" s="1632" t="s">
        <v>385</v>
      </c>
      <c r="AA106" s="1634">
        <v>100000</v>
      </c>
      <c r="AB106" s="1635" t="s">
        <v>265</v>
      </c>
      <c r="AC106" s="1636">
        <v>25</v>
      </c>
      <c r="AD106" s="1637">
        <v>25</v>
      </c>
      <c r="AE106" s="1638">
        <v>50</v>
      </c>
      <c r="AF106" s="1639">
        <v>7.5</v>
      </c>
      <c r="AG106" s="1640">
        <v>17.5</v>
      </c>
      <c r="AH106" s="1639">
        <v>7.5</v>
      </c>
      <c r="AI106" s="1641">
        <v>17.5</v>
      </c>
      <c r="AJ106" s="1642">
        <v>3.0809599999999999E-2</v>
      </c>
      <c r="AK106" s="1643">
        <v>1.7529599999999999E-2</v>
      </c>
      <c r="AL106" s="1643">
        <v>4.7808E-3</v>
      </c>
      <c r="AM106" s="1644">
        <v>5.3120000000000001E-2</v>
      </c>
      <c r="AN106" s="1645">
        <v>5.3120000000000001E-2</v>
      </c>
      <c r="AO106" s="1646">
        <v>2.6224390243902444E-2</v>
      </c>
      <c r="AP106" s="1643">
        <v>0</v>
      </c>
      <c r="AQ106" s="1643">
        <v>0</v>
      </c>
      <c r="AR106" s="1647">
        <f>SUM(AO106:AQ106)</f>
        <v>2.6224390243902444E-2</v>
      </c>
      <c r="AS106" s="1648">
        <v>2.6880000000000001E-2</v>
      </c>
      <c r="AT106" s="1649">
        <v>0</v>
      </c>
      <c r="AU106" s="1650">
        <v>0</v>
      </c>
      <c r="AV106" s="1651">
        <v>2.6880000000000001E-2</v>
      </c>
      <c r="AW106" s="1645">
        <v>0.08</v>
      </c>
      <c r="AX106" s="1652" t="s">
        <v>608</v>
      </c>
      <c r="AY106" s="1653">
        <v>6.6000000000000003E-2</v>
      </c>
      <c r="AZ106" s="1654">
        <v>0</v>
      </c>
      <c r="BA106" s="1654">
        <v>0</v>
      </c>
      <c r="BB106" s="1579"/>
      <c r="BC106" s="1655"/>
      <c r="BD106" s="1656"/>
      <c r="BE106" s="1657"/>
      <c r="BF106" s="1658"/>
      <c r="BG106" s="1659" t="s">
        <v>609</v>
      </c>
      <c r="BI106" s="1660" t="s">
        <v>610</v>
      </c>
      <c r="BJ106" s="1660" t="s">
        <v>611</v>
      </c>
      <c r="BK106" s="1661" t="s">
        <v>612</v>
      </c>
      <c r="BL106" s="1662" t="s">
        <v>613</v>
      </c>
    </row>
    <row r="107" spans="1:64" ht="30" customHeight="1" x14ac:dyDescent="0.3">
      <c r="A107" s="1663" t="s">
        <v>375</v>
      </c>
      <c r="B107" s="626" t="s">
        <v>614</v>
      </c>
      <c r="C107" s="2329" t="s">
        <v>615</v>
      </c>
      <c r="D107" s="1664" t="s">
        <v>616</v>
      </c>
      <c r="E107" s="1665" t="s">
        <v>617</v>
      </c>
      <c r="F107" s="1666" t="s">
        <v>618</v>
      </c>
      <c r="G107" s="1667" t="s">
        <v>249</v>
      </c>
      <c r="H107" s="1668" t="s">
        <v>619</v>
      </c>
      <c r="I107" s="1668" t="s">
        <v>620</v>
      </c>
      <c r="J107" s="1669">
        <v>4.9000000000000002E-2</v>
      </c>
      <c r="K107" s="1669">
        <v>2.4500000000000001E-2</v>
      </c>
      <c r="L107" s="1669">
        <v>2.4500000000000001E-2</v>
      </c>
      <c r="M107" s="1670">
        <v>0</v>
      </c>
      <c r="N107" s="1670">
        <v>2.5000000000000001E-2</v>
      </c>
      <c r="O107" s="1671" t="s">
        <v>252</v>
      </c>
      <c r="P107" s="1672">
        <v>0.44900000000000001</v>
      </c>
      <c r="Q107" s="1673">
        <v>0.1</v>
      </c>
      <c r="R107" s="1674">
        <v>0</v>
      </c>
      <c r="S107" s="1671" t="s">
        <v>621</v>
      </c>
      <c r="T107" s="1663" t="s">
        <v>590</v>
      </c>
      <c r="U107" s="1671" t="s">
        <v>255</v>
      </c>
      <c r="V107" s="1675" t="s">
        <v>148</v>
      </c>
      <c r="W107" s="1675" t="s">
        <v>622</v>
      </c>
      <c r="X107" s="1671" t="s">
        <v>623</v>
      </c>
      <c r="Y107" s="1671" t="s">
        <v>624</v>
      </c>
      <c r="Z107" s="1671" t="s">
        <v>522</v>
      </c>
      <c r="AA107" s="1676">
        <v>100000</v>
      </c>
      <c r="AB107" s="1671" t="s">
        <v>257</v>
      </c>
      <c r="AC107" s="1677">
        <v>25</v>
      </c>
      <c r="AD107" s="1677">
        <v>25</v>
      </c>
      <c r="AE107" s="1678">
        <v>50</v>
      </c>
      <c r="AF107" s="1679">
        <v>7.5</v>
      </c>
      <c r="AG107" s="1678">
        <v>17.5</v>
      </c>
      <c r="AH107" s="1679">
        <v>7.5</v>
      </c>
      <c r="AI107" s="1680">
        <v>17.5</v>
      </c>
      <c r="AJ107" s="1681">
        <v>1.4945E-2</v>
      </c>
      <c r="AK107" s="1673">
        <v>9.555000000000001E-3</v>
      </c>
      <c r="AL107" s="1673">
        <v>0</v>
      </c>
      <c r="AM107" s="1682">
        <f>SUM(AJ107:AL107)</f>
        <v>2.4500000000000001E-2</v>
      </c>
      <c r="AN107" s="1683">
        <v>2.4500000000000001E-2</v>
      </c>
      <c r="AO107" s="1684">
        <v>0</v>
      </c>
      <c r="AP107" s="1673">
        <v>2.3902439024390248E-2</v>
      </c>
      <c r="AQ107" s="1673">
        <v>0</v>
      </c>
      <c r="AR107" s="1685">
        <f>SUM(AO107:AQ107)</f>
        <v>2.3902439024390248E-2</v>
      </c>
      <c r="AS107" s="1684">
        <v>0</v>
      </c>
      <c r="AT107" s="1673">
        <v>2.4500000000000001E-2</v>
      </c>
      <c r="AU107" s="1686">
        <v>0</v>
      </c>
      <c r="AV107" s="1687">
        <f>SUM(AS107:AU107)</f>
        <v>2.4500000000000001E-2</v>
      </c>
      <c r="AW107" s="1688">
        <f>SUM(AN107,AV107)</f>
        <v>4.9000000000000002E-2</v>
      </c>
      <c r="AX107" s="1664" t="s">
        <v>625</v>
      </c>
      <c r="AY107" s="1689">
        <v>7.2999999999999995E-2</v>
      </c>
      <c r="AZ107" s="1690">
        <v>0</v>
      </c>
      <c r="BA107" s="1691">
        <v>0</v>
      </c>
      <c r="BB107" s="56"/>
      <c r="BC107" s="1691"/>
      <c r="BD107" s="1691"/>
      <c r="BE107" s="1691"/>
      <c r="BF107" s="1692"/>
      <c r="BI107" s="1693" t="s">
        <v>249</v>
      </c>
      <c r="BJ107" s="1694">
        <v>4.9000000000000002E-2</v>
      </c>
      <c r="BK107" s="1694">
        <v>4.8402439024390245E-2</v>
      </c>
      <c r="BL107" s="1695">
        <v>2.6572939024390247E-2</v>
      </c>
    </row>
    <row r="108" spans="1:64" ht="30" customHeight="1" x14ac:dyDescent="0.3">
      <c r="A108" s="1696" t="s">
        <v>375</v>
      </c>
      <c r="B108" s="672" t="s">
        <v>614</v>
      </c>
      <c r="C108" s="2329"/>
      <c r="D108" s="1697" t="s">
        <v>626</v>
      </c>
      <c r="E108" s="1698" t="s">
        <v>617</v>
      </c>
      <c r="F108" s="1699" t="s">
        <v>627</v>
      </c>
      <c r="G108" s="1700" t="s">
        <v>262</v>
      </c>
      <c r="H108" s="1701" t="s">
        <v>628</v>
      </c>
      <c r="I108" s="1701" t="s">
        <v>629</v>
      </c>
      <c r="J108" s="1702">
        <v>4.9000000000000002E-2</v>
      </c>
      <c r="K108" s="1702">
        <v>2.4500000000000001E-2</v>
      </c>
      <c r="L108" s="1702">
        <v>2.4500000000000001E-2</v>
      </c>
      <c r="M108" s="1703">
        <v>0</v>
      </c>
      <c r="N108" s="1703">
        <v>2.5000000000000001E-2</v>
      </c>
      <c r="O108" s="1704" t="s">
        <v>252</v>
      </c>
      <c r="P108" s="1705">
        <v>0.44900000000000001</v>
      </c>
      <c r="Q108" s="1673">
        <v>0.1</v>
      </c>
      <c r="R108" s="1706">
        <v>0</v>
      </c>
      <c r="S108" s="1704" t="s">
        <v>621</v>
      </c>
      <c r="T108" s="1696" t="s">
        <v>590</v>
      </c>
      <c r="U108" s="1704" t="s">
        <v>255</v>
      </c>
      <c r="V108" s="1707" t="s">
        <v>148</v>
      </c>
      <c r="W108" s="1675" t="s">
        <v>622</v>
      </c>
      <c r="X108" s="1671" t="s">
        <v>623</v>
      </c>
      <c r="Y108" s="1704" t="s">
        <v>624</v>
      </c>
      <c r="Z108" s="1704" t="s">
        <v>522</v>
      </c>
      <c r="AA108" s="1708">
        <v>100000</v>
      </c>
      <c r="AB108" s="1704" t="s">
        <v>630</v>
      </c>
      <c r="AC108" s="1709">
        <v>25</v>
      </c>
      <c r="AD108" s="1709">
        <v>25</v>
      </c>
      <c r="AE108" s="1710">
        <v>50</v>
      </c>
      <c r="AF108" s="1711">
        <v>7.5</v>
      </c>
      <c r="AG108" s="1710">
        <v>17.5</v>
      </c>
      <c r="AH108" s="1711">
        <v>7.5</v>
      </c>
      <c r="AI108" s="1712">
        <v>17.5</v>
      </c>
      <c r="AJ108" s="1713">
        <v>1.420382029237614E-2</v>
      </c>
      <c r="AK108" s="1714">
        <v>8.0921386277723901E-3</v>
      </c>
      <c r="AL108" s="1714">
        <v>2.2040410798514708E-3</v>
      </c>
      <c r="AM108" s="1715">
        <f t="shared" ref="AM108:AM133" si="4">SUM(AJ108:AL108)</f>
        <v>2.4500000000000001E-2</v>
      </c>
      <c r="AN108" s="1716">
        <v>2.4500000000000001E-2</v>
      </c>
      <c r="AO108" s="1713">
        <v>2.3902439024390248E-2</v>
      </c>
      <c r="AP108" s="1714">
        <v>0</v>
      </c>
      <c r="AQ108" s="1714">
        <v>0</v>
      </c>
      <c r="AR108" s="1717">
        <f t="shared" ref="AR108:AR133" si="5">SUM(AO108:AQ108)</f>
        <v>2.3902439024390248E-2</v>
      </c>
      <c r="AS108" s="1713">
        <v>2.4500000000000001E-2</v>
      </c>
      <c r="AT108" s="1714">
        <v>0</v>
      </c>
      <c r="AU108" s="1718">
        <v>0</v>
      </c>
      <c r="AV108" s="1719">
        <f t="shared" ref="AV108:AV133" si="6">SUM(AS108:AU108)</f>
        <v>2.4500000000000001E-2</v>
      </c>
      <c r="AW108" s="1720">
        <f t="shared" ref="AW108:AW133" si="7">SUM(AN108,AV108)</f>
        <v>4.9000000000000002E-2</v>
      </c>
      <c r="AX108" s="1697" t="s">
        <v>625</v>
      </c>
      <c r="AY108" s="1721">
        <v>7.2999999999999995E-2</v>
      </c>
      <c r="AZ108" s="1722">
        <v>0</v>
      </c>
      <c r="BA108" s="1691">
        <v>0</v>
      </c>
      <c r="BB108" s="56"/>
      <c r="BC108" s="1691"/>
      <c r="BD108" s="1691"/>
      <c r="BE108" s="1691"/>
      <c r="BF108" s="1723"/>
      <c r="BI108" s="1724" t="s">
        <v>262</v>
      </c>
      <c r="BJ108" s="1725">
        <v>4.9000000000000002E-2</v>
      </c>
      <c r="BK108" s="1725">
        <v>4.8402439024390245E-2</v>
      </c>
      <c r="BL108" s="1726">
        <v>2.6572939024390247E-2</v>
      </c>
    </row>
    <row r="109" spans="1:64" ht="30" customHeight="1" x14ac:dyDescent="0.3">
      <c r="A109" s="1696" t="s">
        <v>375</v>
      </c>
      <c r="B109" s="672" t="s">
        <v>614</v>
      </c>
      <c r="C109" s="2329"/>
      <c r="D109" s="1697" t="s">
        <v>631</v>
      </c>
      <c r="E109" s="1698" t="s">
        <v>632</v>
      </c>
      <c r="F109" s="1699" t="s">
        <v>633</v>
      </c>
      <c r="G109" s="1700" t="s">
        <v>249</v>
      </c>
      <c r="H109" s="1701" t="s">
        <v>619</v>
      </c>
      <c r="I109" s="1701" t="s">
        <v>620</v>
      </c>
      <c r="J109" s="1702">
        <v>7.2493369248731537E-2</v>
      </c>
      <c r="K109" s="1702">
        <v>3.6246684624365769E-2</v>
      </c>
      <c r="L109" s="1702">
        <v>3.6246684624365769E-2</v>
      </c>
      <c r="M109" s="1703">
        <v>0</v>
      </c>
      <c r="N109" s="1703">
        <v>2.5000000000000001E-2</v>
      </c>
      <c r="O109" s="1704" t="s">
        <v>252</v>
      </c>
      <c r="P109" s="1705">
        <v>0.44900000000000001</v>
      </c>
      <c r="Q109" s="1673">
        <v>0.1</v>
      </c>
      <c r="R109" s="1706">
        <v>0</v>
      </c>
      <c r="S109" s="1704" t="s">
        <v>634</v>
      </c>
      <c r="T109" s="1696" t="s">
        <v>590</v>
      </c>
      <c r="U109" s="1704" t="s">
        <v>255</v>
      </c>
      <c r="V109" s="1707" t="s">
        <v>148</v>
      </c>
      <c r="W109" s="1675" t="s">
        <v>622</v>
      </c>
      <c r="X109" s="1671" t="s">
        <v>623</v>
      </c>
      <c r="Y109" s="1704" t="s">
        <v>624</v>
      </c>
      <c r="Z109" s="1704" t="s">
        <v>522</v>
      </c>
      <c r="AA109" s="1708">
        <v>100000</v>
      </c>
      <c r="AB109" s="1704" t="s">
        <v>257</v>
      </c>
      <c r="AC109" s="1709">
        <v>25</v>
      </c>
      <c r="AD109" s="1709">
        <v>25</v>
      </c>
      <c r="AE109" s="1710">
        <v>50</v>
      </c>
      <c r="AF109" s="1711">
        <v>7.5</v>
      </c>
      <c r="AG109" s="1710">
        <v>17.5</v>
      </c>
      <c r="AH109" s="1711">
        <v>7.5</v>
      </c>
      <c r="AI109" s="1712">
        <v>17.5</v>
      </c>
      <c r="AJ109" s="1713">
        <v>2.2086511830079755E-2</v>
      </c>
      <c r="AK109" s="1714">
        <v>1.4160172794286012E-2</v>
      </c>
      <c r="AL109" s="1714">
        <v>0</v>
      </c>
      <c r="AM109" s="1715">
        <f t="shared" si="4"/>
        <v>3.6246684624365769E-2</v>
      </c>
      <c r="AN109" s="1716">
        <v>3.6246684624365769E-2</v>
      </c>
      <c r="AO109" s="1713">
        <v>0</v>
      </c>
      <c r="AP109" s="1714">
        <v>3.5362619145722703E-2</v>
      </c>
      <c r="AQ109" s="1714">
        <v>0</v>
      </c>
      <c r="AR109" s="1717">
        <f t="shared" si="5"/>
        <v>3.5362619145722703E-2</v>
      </c>
      <c r="AS109" s="1713">
        <v>0</v>
      </c>
      <c r="AT109" s="1714">
        <v>3.6246684624365769E-2</v>
      </c>
      <c r="AU109" s="1718">
        <v>0</v>
      </c>
      <c r="AV109" s="1719">
        <f t="shared" si="6"/>
        <v>3.6246684624365769E-2</v>
      </c>
      <c r="AW109" s="1720">
        <f t="shared" si="7"/>
        <v>7.2493369248731537E-2</v>
      </c>
      <c r="AX109" s="1697" t="s">
        <v>635</v>
      </c>
      <c r="AY109" s="1721">
        <v>6.5000000000000002E-2</v>
      </c>
      <c r="AZ109" s="1722">
        <v>0</v>
      </c>
      <c r="BA109" s="1691">
        <v>0</v>
      </c>
      <c r="BB109" s="56"/>
      <c r="BC109" s="1691"/>
      <c r="BD109" s="1691"/>
      <c r="BE109" s="1691"/>
      <c r="BF109" s="1723"/>
      <c r="BI109" s="1724" t="s">
        <v>249</v>
      </c>
      <c r="BJ109" s="1725">
        <v>7.2493369248731537E-2</v>
      </c>
      <c r="BK109" s="1725">
        <v>7.1609303770088478E-2</v>
      </c>
      <c r="BL109" s="1727">
        <v>3.9313507769778579E-2</v>
      </c>
    </row>
    <row r="110" spans="1:64" ht="30" customHeight="1" x14ac:dyDescent="0.3">
      <c r="A110" s="1696" t="s">
        <v>375</v>
      </c>
      <c r="B110" s="672" t="s">
        <v>614</v>
      </c>
      <c r="C110" s="2329"/>
      <c r="D110" s="1697" t="s">
        <v>636</v>
      </c>
      <c r="E110" s="1698" t="s">
        <v>632</v>
      </c>
      <c r="F110" s="1699" t="s">
        <v>637</v>
      </c>
      <c r="G110" s="1700" t="s">
        <v>262</v>
      </c>
      <c r="H110" s="1701" t="s">
        <v>628</v>
      </c>
      <c r="I110" s="1701" t="s">
        <v>629</v>
      </c>
      <c r="J110" s="1702">
        <v>7.2493369248731537E-2</v>
      </c>
      <c r="K110" s="1702">
        <v>3.6246684624365769E-2</v>
      </c>
      <c r="L110" s="1702">
        <v>3.6246684624365769E-2</v>
      </c>
      <c r="M110" s="1703">
        <v>0</v>
      </c>
      <c r="N110" s="1703">
        <v>2.5000000000000001E-2</v>
      </c>
      <c r="O110" s="1704" t="s">
        <v>252</v>
      </c>
      <c r="P110" s="1705">
        <v>0.44900000000000001</v>
      </c>
      <c r="Q110" s="1673">
        <v>0.1</v>
      </c>
      <c r="R110" s="1706">
        <v>0</v>
      </c>
      <c r="S110" s="1704" t="s">
        <v>634</v>
      </c>
      <c r="T110" s="1696" t="s">
        <v>590</v>
      </c>
      <c r="U110" s="1704" t="s">
        <v>255</v>
      </c>
      <c r="V110" s="1707" t="s">
        <v>148</v>
      </c>
      <c r="W110" s="1675" t="s">
        <v>622</v>
      </c>
      <c r="X110" s="1671" t="s">
        <v>623</v>
      </c>
      <c r="Y110" s="1704" t="s">
        <v>624</v>
      </c>
      <c r="Z110" s="1704" t="s">
        <v>522</v>
      </c>
      <c r="AA110" s="1708">
        <v>100000</v>
      </c>
      <c r="AB110" s="1704" t="s">
        <v>630</v>
      </c>
      <c r="AC110" s="1709">
        <v>25</v>
      </c>
      <c r="AD110" s="1709">
        <v>25</v>
      </c>
      <c r="AE110" s="1710">
        <v>50</v>
      </c>
      <c r="AF110" s="1711">
        <v>7.5</v>
      </c>
      <c r="AG110" s="1710">
        <v>17.5</v>
      </c>
      <c r="AH110" s="1711">
        <v>7.5</v>
      </c>
      <c r="AI110" s="1712">
        <v>17.5</v>
      </c>
      <c r="AJ110" s="1713">
        <v>2.0762503494103732E-2</v>
      </c>
      <c r="AK110" s="1714">
        <v>1.1813148539748681E-2</v>
      </c>
      <c r="AL110" s="1714">
        <v>3.6710325905133568E-3</v>
      </c>
      <c r="AM110" s="1715">
        <f t="shared" si="4"/>
        <v>3.6246684624365769E-2</v>
      </c>
      <c r="AN110" s="1716">
        <v>3.6246684624365769E-2</v>
      </c>
      <c r="AO110" s="1713">
        <v>3.5362619145722703E-2</v>
      </c>
      <c r="AP110" s="1714">
        <v>0</v>
      </c>
      <c r="AQ110" s="1714">
        <v>0</v>
      </c>
      <c r="AR110" s="1717">
        <f t="shared" si="5"/>
        <v>3.5362619145722703E-2</v>
      </c>
      <c r="AS110" s="1713">
        <v>3.6246684624365769E-2</v>
      </c>
      <c r="AT110" s="1714">
        <v>0</v>
      </c>
      <c r="AU110" s="1718">
        <v>0</v>
      </c>
      <c r="AV110" s="1719">
        <f t="shared" si="6"/>
        <v>3.6246684624365769E-2</v>
      </c>
      <c r="AW110" s="1720">
        <f t="shared" si="7"/>
        <v>7.2493369248731537E-2</v>
      </c>
      <c r="AX110" s="1697" t="s">
        <v>635</v>
      </c>
      <c r="AY110" s="1721">
        <v>6.5000000000000002E-2</v>
      </c>
      <c r="AZ110" s="1722">
        <v>0</v>
      </c>
      <c r="BA110" s="1691">
        <v>0</v>
      </c>
      <c r="BB110" s="56"/>
      <c r="BC110" s="1691"/>
      <c r="BD110" s="1691"/>
      <c r="BE110" s="1691"/>
      <c r="BF110" s="1723"/>
      <c r="BI110" s="1724" t="s">
        <v>262</v>
      </c>
      <c r="BJ110" s="1725">
        <v>7.2493369248731537E-2</v>
      </c>
      <c r="BK110" s="1725">
        <v>7.1609303770088478E-2</v>
      </c>
      <c r="BL110" s="1727">
        <v>3.9313507769778579E-2</v>
      </c>
    </row>
    <row r="111" spans="1:64" ht="30" customHeight="1" x14ac:dyDescent="0.3">
      <c r="A111" s="1696" t="s">
        <v>375</v>
      </c>
      <c r="B111" s="672" t="s">
        <v>614</v>
      </c>
      <c r="C111" s="2329"/>
      <c r="D111" s="1697" t="s">
        <v>638</v>
      </c>
      <c r="E111" s="1698" t="s">
        <v>639</v>
      </c>
      <c r="F111" s="1699" t="s">
        <v>640</v>
      </c>
      <c r="G111" s="1700" t="s">
        <v>249</v>
      </c>
      <c r="H111" s="1701" t="s">
        <v>619</v>
      </c>
      <c r="I111" s="1701" t="s">
        <v>620</v>
      </c>
      <c r="J111" s="1702">
        <v>0.09</v>
      </c>
      <c r="K111" s="1702">
        <v>4.4999999999999998E-2</v>
      </c>
      <c r="L111" s="1702">
        <v>4.4999999999999998E-2</v>
      </c>
      <c r="M111" s="1703">
        <v>0</v>
      </c>
      <c r="N111" s="1703">
        <v>2.5000000000000001E-2</v>
      </c>
      <c r="O111" s="1704" t="s">
        <v>252</v>
      </c>
      <c r="P111" s="1705">
        <v>0.44900000000000001</v>
      </c>
      <c r="Q111" s="1673">
        <v>0.1</v>
      </c>
      <c r="R111" s="1706">
        <v>0</v>
      </c>
      <c r="S111" s="1704" t="s">
        <v>641</v>
      </c>
      <c r="T111" s="1696" t="s">
        <v>590</v>
      </c>
      <c r="U111" s="1704" t="s">
        <v>255</v>
      </c>
      <c r="V111" s="1707" t="s">
        <v>148</v>
      </c>
      <c r="W111" s="1675" t="s">
        <v>622</v>
      </c>
      <c r="X111" s="1671" t="s">
        <v>623</v>
      </c>
      <c r="Y111" s="1704" t="s">
        <v>624</v>
      </c>
      <c r="Z111" s="1704" t="s">
        <v>522</v>
      </c>
      <c r="AA111" s="1708">
        <v>100000</v>
      </c>
      <c r="AB111" s="1704" t="s">
        <v>257</v>
      </c>
      <c r="AC111" s="1709">
        <v>25</v>
      </c>
      <c r="AD111" s="1709">
        <v>25</v>
      </c>
      <c r="AE111" s="1710">
        <v>50</v>
      </c>
      <c r="AF111" s="1711">
        <v>7.5</v>
      </c>
      <c r="AG111" s="1710">
        <v>17.5</v>
      </c>
      <c r="AH111" s="1711">
        <v>7.5</v>
      </c>
      <c r="AI111" s="1712">
        <v>17.5</v>
      </c>
      <c r="AJ111" s="1713">
        <v>2.7823404255319144E-2</v>
      </c>
      <c r="AK111" s="1714">
        <v>1.7176595744680851E-2</v>
      </c>
      <c r="AL111" s="1714">
        <v>0</v>
      </c>
      <c r="AM111" s="1715">
        <f t="shared" si="4"/>
        <v>4.4999999999999998E-2</v>
      </c>
      <c r="AN111" s="1716">
        <v>4.4999999999999998E-2</v>
      </c>
      <c r="AO111" s="1713">
        <v>0</v>
      </c>
      <c r="AP111" s="1714">
        <v>4.3902439024390248E-2</v>
      </c>
      <c r="AQ111" s="1714">
        <v>0</v>
      </c>
      <c r="AR111" s="1717">
        <f t="shared" si="5"/>
        <v>4.3902439024390248E-2</v>
      </c>
      <c r="AS111" s="1713">
        <v>0</v>
      </c>
      <c r="AT111" s="1714">
        <v>4.4999999999999998E-2</v>
      </c>
      <c r="AU111" s="1718">
        <v>0</v>
      </c>
      <c r="AV111" s="1719">
        <f t="shared" si="6"/>
        <v>4.4999999999999998E-2</v>
      </c>
      <c r="AW111" s="1720">
        <f t="shared" si="7"/>
        <v>0.09</v>
      </c>
      <c r="AX111" s="1697" t="s">
        <v>642</v>
      </c>
      <c r="AY111" s="1721">
        <v>6.5000000000000002E-2</v>
      </c>
      <c r="AZ111" s="1722">
        <v>0</v>
      </c>
      <c r="BA111" s="1691">
        <v>0</v>
      </c>
      <c r="BB111" s="56"/>
      <c r="BC111" s="1691"/>
      <c r="BD111" s="1691"/>
      <c r="BE111" s="1691"/>
      <c r="BF111" s="1723"/>
      <c r="BI111" s="1724" t="s">
        <v>249</v>
      </c>
      <c r="BJ111" s="1725">
        <v>0.09</v>
      </c>
      <c r="BK111" s="1725">
        <v>8.890243902439024E-2</v>
      </c>
      <c r="BL111" s="1728">
        <v>4.8807439024390248E-2</v>
      </c>
    </row>
    <row r="112" spans="1:64" ht="30" customHeight="1" x14ac:dyDescent="0.3">
      <c r="A112" s="1696" t="s">
        <v>375</v>
      </c>
      <c r="B112" s="672" t="s">
        <v>614</v>
      </c>
      <c r="C112" s="2329"/>
      <c r="D112" s="1697" t="s">
        <v>643</v>
      </c>
      <c r="E112" s="1698" t="s">
        <v>639</v>
      </c>
      <c r="F112" s="1699" t="s">
        <v>644</v>
      </c>
      <c r="G112" s="1729" t="s">
        <v>262</v>
      </c>
      <c r="H112" s="1701" t="s">
        <v>628</v>
      </c>
      <c r="I112" s="1701" t="s">
        <v>629</v>
      </c>
      <c r="J112" s="1702">
        <v>0.09</v>
      </c>
      <c r="K112" s="1702">
        <v>4.4999999999999998E-2</v>
      </c>
      <c r="L112" s="1702">
        <v>4.4999999999999998E-2</v>
      </c>
      <c r="M112" s="1703">
        <v>0</v>
      </c>
      <c r="N112" s="1703">
        <v>2.5000000000000001E-2</v>
      </c>
      <c r="O112" s="1704" t="s">
        <v>252</v>
      </c>
      <c r="P112" s="1705">
        <v>0.44900000000000001</v>
      </c>
      <c r="Q112" s="1673">
        <v>0.1</v>
      </c>
      <c r="R112" s="1706">
        <v>0</v>
      </c>
      <c r="S112" s="1704" t="s">
        <v>641</v>
      </c>
      <c r="T112" s="1696" t="s">
        <v>590</v>
      </c>
      <c r="U112" s="1704" t="s">
        <v>255</v>
      </c>
      <c r="V112" s="1707" t="s">
        <v>148</v>
      </c>
      <c r="W112" s="1675" t="s">
        <v>622</v>
      </c>
      <c r="X112" s="1671" t="s">
        <v>623</v>
      </c>
      <c r="Y112" s="1704" t="s">
        <v>624</v>
      </c>
      <c r="Z112" s="1704" t="s">
        <v>522</v>
      </c>
      <c r="AA112" s="1708">
        <v>100000</v>
      </c>
      <c r="AB112" s="1704" t="s">
        <v>630</v>
      </c>
      <c r="AC112" s="1709">
        <v>25</v>
      </c>
      <c r="AD112" s="1709">
        <v>25</v>
      </c>
      <c r="AE112" s="1710">
        <v>50</v>
      </c>
      <c r="AF112" s="1711">
        <v>7.5</v>
      </c>
      <c r="AG112" s="1710">
        <v>17.5</v>
      </c>
      <c r="AH112" s="1711">
        <v>7.5</v>
      </c>
      <c r="AI112" s="1712">
        <v>17.5</v>
      </c>
      <c r="AJ112" s="1713">
        <v>2.6130603043396584E-2</v>
      </c>
      <c r="AK112" s="1714">
        <v>1.4819312417809502E-2</v>
      </c>
      <c r="AL112" s="1714">
        <v>4.0500845387939121E-3</v>
      </c>
      <c r="AM112" s="1715">
        <f t="shared" si="4"/>
        <v>4.4999999999999998E-2</v>
      </c>
      <c r="AN112" s="1716">
        <v>4.4999999999999998E-2</v>
      </c>
      <c r="AO112" s="1713">
        <v>4.3902439024390248E-2</v>
      </c>
      <c r="AP112" s="1714">
        <v>0</v>
      </c>
      <c r="AQ112" s="1714">
        <v>0</v>
      </c>
      <c r="AR112" s="1717">
        <f t="shared" si="5"/>
        <v>4.3902439024390248E-2</v>
      </c>
      <c r="AS112" s="1713">
        <v>4.4999999999999998E-2</v>
      </c>
      <c r="AT112" s="1714">
        <v>0</v>
      </c>
      <c r="AU112" s="1718">
        <v>0</v>
      </c>
      <c r="AV112" s="1719">
        <f t="shared" si="6"/>
        <v>4.4999999999999998E-2</v>
      </c>
      <c r="AW112" s="1720">
        <f t="shared" si="7"/>
        <v>0.09</v>
      </c>
      <c r="AX112" s="1697" t="s">
        <v>645</v>
      </c>
      <c r="AY112" s="1721">
        <v>6.5000000000000002E-2</v>
      </c>
      <c r="AZ112" s="1722">
        <v>0</v>
      </c>
      <c r="BA112" s="1730">
        <v>0</v>
      </c>
      <c r="BB112" s="56"/>
      <c r="BC112" s="1691"/>
      <c r="BD112" s="1691"/>
      <c r="BE112" s="1691"/>
      <c r="BF112" s="1723"/>
      <c r="BI112" s="1731" t="s">
        <v>262</v>
      </c>
      <c r="BJ112" s="1725">
        <v>0.09</v>
      </c>
      <c r="BK112" s="1725">
        <v>8.890243902439024E-2</v>
      </c>
      <c r="BL112" s="1727">
        <v>4.8807439024390248E-2</v>
      </c>
    </row>
    <row r="113" spans="1:64" ht="30" customHeight="1" thickBot="1" x14ac:dyDescent="0.35">
      <c r="A113" s="1732" t="s">
        <v>375</v>
      </c>
      <c r="B113" s="1239" t="s">
        <v>614</v>
      </c>
      <c r="C113" s="2330"/>
      <c r="D113" s="1733" t="s">
        <v>646</v>
      </c>
      <c r="E113" s="1734" t="s">
        <v>647</v>
      </c>
      <c r="F113" s="1735" t="s">
        <v>648</v>
      </c>
      <c r="G113" s="1736" t="s">
        <v>141</v>
      </c>
      <c r="H113" s="1737" t="s">
        <v>649</v>
      </c>
      <c r="I113" s="1737" t="s">
        <v>650</v>
      </c>
      <c r="J113" s="1738">
        <v>8.7499999999999994E-2</v>
      </c>
      <c r="K113" s="1738">
        <v>4.3749999999999997E-2</v>
      </c>
      <c r="L113" s="1738">
        <v>4.3749999999999997E-2</v>
      </c>
      <c r="M113" s="1739">
        <v>0</v>
      </c>
      <c r="N113" s="1739">
        <v>2.5000000000000001E-2</v>
      </c>
      <c r="O113" s="1740" t="s">
        <v>252</v>
      </c>
      <c r="P113" s="1741">
        <v>0.26</v>
      </c>
      <c r="Q113" s="1742">
        <v>0</v>
      </c>
      <c r="R113" s="1743">
        <v>0</v>
      </c>
      <c r="S113" s="1740" t="s">
        <v>651</v>
      </c>
      <c r="T113" s="1744" t="s">
        <v>590</v>
      </c>
      <c r="U113" s="1740" t="s">
        <v>255</v>
      </c>
      <c r="V113" s="1745" t="s">
        <v>148</v>
      </c>
      <c r="W113" s="1745" t="s">
        <v>622</v>
      </c>
      <c r="X113" s="1740" t="s">
        <v>652</v>
      </c>
      <c r="Y113" s="1740" t="s">
        <v>385</v>
      </c>
      <c r="Z113" s="1740" t="s">
        <v>576</v>
      </c>
      <c r="AA113" s="1746">
        <v>100000</v>
      </c>
      <c r="AB113" s="1740" t="s">
        <v>366</v>
      </c>
      <c r="AC113" s="1747">
        <v>25</v>
      </c>
      <c r="AD113" s="1747">
        <v>25</v>
      </c>
      <c r="AE113" s="1748">
        <v>50</v>
      </c>
      <c r="AF113" s="1749">
        <v>7.5</v>
      </c>
      <c r="AG113" s="1748">
        <v>17.5</v>
      </c>
      <c r="AH113" s="1749">
        <v>7.5</v>
      </c>
      <c r="AI113" s="1750">
        <v>17.5</v>
      </c>
      <c r="AJ113" s="1751">
        <v>4.3749999999999997E-2</v>
      </c>
      <c r="AK113" s="1742">
        <v>0</v>
      </c>
      <c r="AL113" s="1742">
        <v>0</v>
      </c>
      <c r="AM113" s="1752">
        <f t="shared" si="4"/>
        <v>4.3749999999999997E-2</v>
      </c>
      <c r="AN113" s="1753">
        <v>4.3749999999999997E-2</v>
      </c>
      <c r="AO113" s="1751">
        <v>0</v>
      </c>
      <c r="AP113" s="1742">
        <v>0</v>
      </c>
      <c r="AQ113" s="1742">
        <v>4.2682926829268296E-2</v>
      </c>
      <c r="AR113" s="1754">
        <f t="shared" si="5"/>
        <v>4.2682926829268296E-2</v>
      </c>
      <c r="AS113" s="1751">
        <v>0</v>
      </c>
      <c r="AT113" s="1742">
        <v>0</v>
      </c>
      <c r="AU113" s="1755">
        <v>4.3749999999999997E-2</v>
      </c>
      <c r="AV113" s="1756">
        <f t="shared" si="6"/>
        <v>4.3749999999999997E-2</v>
      </c>
      <c r="AW113" s="1757">
        <f t="shared" si="7"/>
        <v>8.7499999999999994E-2</v>
      </c>
      <c r="AX113" s="1733" t="s">
        <v>653</v>
      </c>
      <c r="AY113" s="1758">
        <v>0.08</v>
      </c>
      <c r="AZ113" s="1759">
        <v>0</v>
      </c>
      <c r="BA113" s="1760">
        <v>0</v>
      </c>
      <c r="BB113" s="56"/>
      <c r="BC113" s="1691"/>
      <c r="BD113" s="1691"/>
      <c r="BE113" s="1691"/>
      <c r="BF113" s="1723"/>
      <c r="BI113" s="1761" t="s">
        <v>141</v>
      </c>
      <c r="BJ113" s="1738">
        <v>8.7499999999999994E-2</v>
      </c>
      <c r="BK113" s="1738">
        <v>8.6432926829268286E-2</v>
      </c>
      <c r="BL113" s="1762">
        <v>2.2472560975609755E-2</v>
      </c>
    </row>
    <row r="114" spans="1:64" ht="30" customHeight="1" x14ac:dyDescent="0.3">
      <c r="A114" s="1763" t="s">
        <v>375</v>
      </c>
      <c r="B114" s="1764" t="s">
        <v>614</v>
      </c>
      <c r="C114" s="2331" t="s">
        <v>654</v>
      </c>
      <c r="D114" s="1765" t="s">
        <v>655</v>
      </c>
      <c r="E114" s="1766" t="s">
        <v>656</v>
      </c>
      <c r="F114" s="1767" t="s">
        <v>657</v>
      </c>
      <c r="G114" s="1768" t="s">
        <v>249</v>
      </c>
      <c r="H114" s="1769" t="s">
        <v>619</v>
      </c>
      <c r="I114" s="1769" t="s">
        <v>620</v>
      </c>
      <c r="J114" s="1770">
        <v>4.9000000000000002E-2</v>
      </c>
      <c r="K114" s="1770">
        <v>2.4500000000000001E-2</v>
      </c>
      <c r="L114" s="1770">
        <v>2.4500000000000001E-2</v>
      </c>
      <c r="M114" s="1771">
        <v>0</v>
      </c>
      <c r="N114" s="1771">
        <v>2.5000000000000001E-2</v>
      </c>
      <c r="O114" s="1772" t="s">
        <v>252</v>
      </c>
      <c r="P114" s="1773">
        <v>0.43</v>
      </c>
      <c r="Q114" s="1774">
        <v>0.12</v>
      </c>
      <c r="R114" s="1775">
        <v>0</v>
      </c>
      <c r="S114" s="1772" t="s">
        <v>658</v>
      </c>
      <c r="T114" s="1763" t="s">
        <v>590</v>
      </c>
      <c r="U114" s="1772" t="s">
        <v>255</v>
      </c>
      <c r="V114" s="1776" t="s">
        <v>148</v>
      </c>
      <c r="W114" s="1675" t="s">
        <v>622</v>
      </c>
      <c r="X114" s="1671" t="s">
        <v>623</v>
      </c>
      <c r="Y114" s="1772" t="s">
        <v>624</v>
      </c>
      <c r="Z114" s="1772" t="s">
        <v>385</v>
      </c>
      <c r="AA114" s="1777">
        <v>100000</v>
      </c>
      <c r="AB114" s="1772" t="s">
        <v>257</v>
      </c>
      <c r="AC114" s="1778">
        <v>25</v>
      </c>
      <c r="AD114" s="1778">
        <v>25</v>
      </c>
      <c r="AE114" s="1678">
        <v>50</v>
      </c>
      <c r="AF114" s="1779">
        <v>7.5</v>
      </c>
      <c r="AG114" s="1678">
        <v>17.5</v>
      </c>
      <c r="AH114" s="1779">
        <v>7.5</v>
      </c>
      <c r="AI114" s="1780">
        <v>17.5</v>
      </c>
      <c r="AJ114" s="1781">
        <v>1.4945E-2</v>
      </c>
      <c r="AK114" s="1774">
        <v>9.5549999999999993E-3</v>
      </c>
      <c r="AL114" s="1774">
        <v>0</v>
      </c>
      <c r="AM114" s="1782">
        <f t="shared" si="4"/>
        <v>2.4500000000000001E-2</v>
      </c>
      <c r="AN114" s="1783">
        <v>2.4500000000000001E-2</v>
      </c>
      <c r="AO114" s="1781">
        <v>0</v>
      </c>
      <c r="AP114" s="1774">
        <v>2.3902439024390248E-2</v>
      </c>
      <c r="AQ114" s="1774">
        <v>0</v>
      </c>
      <c r="AR114" s="1784">
        <f t="shared" si="5"/>
        <v>2.3902439024390248E-2</v>
      </c>
      <c r="AS114" s="1781">
        <v>0</v>
      </c>
      <c r="AT114" s="1774">
        <v>2.4500000000000001E-2</v>
      </c>
      <c r="AU114" s="1785">
        <v>0</v>
      </c>
      <c r="AV114" s="1786">
        <f t="shared" si="6"/>
        <v>2.4500000000000001E-2</v>
      </c>
      <c r="AW114" s="1787">
        <f t="shared" si="7"/>
        <v>4.9000000000000002E-2</v>
      </c>
      <c r="AX114" s="1765" t="s">
        <v>659</v>
      </c>
      <c r="AY114" s="1689">
        <v>8.4999999999999992E-2</v>
      </c>
      <c r="AZ114" s="1690">
        <v>0</v>
      </c>
      <c r="BA114" s="1788">
        <v>0</v>
      </c>
      <c r="BB114" s="56"/>
      <c r="BC114" s="1691"/>
      <c r="BD114" s="1691"/>
      <c r="BE114" s="1691"/>
      <c r="BF114" s="1723"/>
      <c r="BI114" s="1789" t="s">
        <v>249</v>
      </c>
      <c r="BJ114" s="1790">
        <v>4.9000000000000002E-2</v>
      </c>
      <c r="BK114" s="1790">
        <v>4.8402439024390245E-2</v>
      </c>
      <c r="BL114" s="1791">
        <v>2.6621341463414636E-2</v>
      </c>
    </row>
    <row r="115" spans="1:64" ht="30" customHeight="1" x14ac:dyDescent="0.3">
      <c r="A115" s="1696" t="s">
        <v>375</v>
      </c>
      <c r="B115" s="672" t="s">
        <v>614</v>
      </c>
      <c r="C115" s="2332"/>
      <c r="D115" s="1697" t="s">
        <v>660</v>
      </c>
      <c r="E115" s="1698" t="s">
        <v>656</v>
      </c>
      <c r="F115" s="1699" t="s">
        <v>661</v>
      </c>
      <c r="G115" s="1792" t="s">
        <v>262</v>
      </c>
      <c r="H115" s="1701" t="s">
        <v>628</v>
      </c>
      <c r="I115" s="1701" t="s">
        <v>629</v>
      </c>
      <c r="J115" s="1793">
        <v>4.9000000000000002E-2</v>
      </c>
      <c r="K115" s="1793">
        <v>2.4500000000000001E-2</v>
      </c>
      <c r="L115" s="1793">
        <v>2.4500000000000001E-2</v>
      </c>
      <c r="M115" s="1794">
        <v>0</v>
      </c>
      <c r="N115" s="1794">
        <v>2.5000000000000001E-2</v>
      </c>
      <c r="O115" s="1704" t="s">
        <v>252</v>
      </c>
      <c r="P115" s="1795">
        <v>0.43</v>
      </c>
      <c r="Q115" s="1714">
        <v>0.12</v>
      </c>
      <c r="R115" s="1706">
        <v>0</v>
      </c>
      <c r="S115" s="1704" t="s">
        <v>658</v>
      </c>
      <c r="T115" s="1696" t="s">
        <v>590</v>
      </c>
      <c r="U115" s="1704" t="s">
        <v>255</v>
      </c>
      <c r="V115" s="1707" t="s">
        <v>148</v>
      </c>
      <c r="W115" s="1675" t="s">
        <v>622</v>
      </c>
      <c r="X115" s="1671" t="s">
        <v>623</v>
      </c>
      <c r="Y115" s="1704" t="s">
        <v>624</v>
      </c>
      <c r="Z115" s="1704" t="s">
        <v>385</v>
      </c>
      <c r="AA115" s="1708">
        <v>100000</v>
      </c>
      <c r="AB115" s="1704" t="s">
        <v>662</v>
      </c>
      <c r="AC115" s="1709">
        <v>25</v>
      </c>
      <c r="AD115" s="1709">
        <v>25</v>
      </c>
      <c r="AE115" s="1710">
        <v>50</v>
      </c>
      <c r="AF115" s="1711">
        <v>7.5</v>
      </c>
      <c r="AG115" s="1710">
        <v>17.5</v>
      </c>
      <c r="AH115" s="1711">
        <v>7.5</v>
      </c>
      <c r="AI115" s="1712">
        <v>17.5</v>
      </c>
      <c r="AJ115" s="1713">
        <v>1.4203820292376143E-2</v>
      </c>
      <c r="AK115" s="1714">
        <v>8.0921386277723883E-3</v>
      </c>
      <c r="AL115" s="1714">
        <v>2.2040410798514704E-3</v>
      </c>
      <c r="AM115" s="1715">
        <f t="shared" si="4"/>
        <v>2.4500000000000001E-2</v>
      </c>
      <c r="AN115" s="1716">
        <v>2.4500000000000001E-2</v>
      </c>
      <c r="AO115" s="1713">
        <v>2.3902439024390248E-2</v>
      </c>
      <c r="AP115" s="1714">
        <v>0</v>
      </c>
      <c r="AQ115" s="1714">
        <v>0</v>
      </c>
      <c r="AR115" s="1717">
        <f t="shared" si="5"/>
        <v>2.3902439024390248E-2</v>
      </c>
      <c r="AS115" s="1713">
        <v>2.4500000000000001E-2</v>
      </c>
      <c r="AT115" s="1714">
        <v>0</v>
      </c>
      <c r="AU115" s="1718">
        <v>0</v>
      </c>
      <c r="AV115" s="1719">
        <f t="shared" si="6"/>
        <v>2.4500000000000001E-2</v>
      </c>
      <c r="AW115" s="1720">
        <f t="shared" si="7"/>
        <v>4.9000000000000002E-2</v>
      </c>
      <c r="AX115" s="1697" t="s">
        <v>659</v>
      </c>
      <c r="AY115" s="1721">
        <v>8.4999999999999992E-2</v>
      </c>
      <c r="AZ115" s="1722">
        <v>0</v>
      </c>
      <c r="BA115" s="1730">
        <v>0</v>
      </c>
      <c r="BB115" s="56"/>
      <c r="BC115" s="1691"/>
      <c r="BD115" s="1691"/>
      <c r="BE115" s="1691"/>
      <c r="BF115" s="1723"/>
      <c r="BI115" s="1789" t="s">
        <v>262</v>
      </c>
      <c r="BJ115" s="1793">
        <v>4.9000000000000002E-2</v>
      </c>
      <c r="BK115" s="1790">
        <v>4.8402439024390245E-2</v>
      </c>
      <c r="BL115" s="1791">
        <v>2.6621341463414636E-2</v>
      </c>
    </row>
    <row r="116" spans="1:64" ht="30" customHeight="1" x14ac:dyDescent="0.3">
      <c r="A116" s="1696" t="s">
        <v>375</v>
      </c>
      <c r="B116" s="672" t="s">
        <v>614</v>
      </c>
      <c r="C116" s="2332"/>
      <c r="D116" s="1697" t="s">
        <v>663</v>
      </c>
      <c r="E116" s="1698" t="s">
        <v>664</v>
      </c>
      <c r="F116" s="1699" t="s">
        <v>665</v>
      </c>
      <c r="G116" s="1796" t="s">
        <v>249</v>
      </c>
      <c r="H116" s="1701" t="s">
        <v>619</v>
      </c>
      <c r="I116" s="1701" t="s">
        <v>620</v>
      </c>
      <c r="J116" s="1793">
        <v>7.2499999999999995E-2</v>
      </c>
      <c r="K116" s="1793">
        <v>3.6249999999999998E-2</v>
      </c>
      <c r="L116" s="1793">
        <v>3.6249999999999998E-2</v>
      </c>
      <c r="M116" s="1794">
        <v>0</v>
      </c>
      <c r="N116" s="1794">
        <v>2.5000000000000001E-2</v>
      </c>
      <c r="O116" s="1704" t="s">
        <v>252</v>
      </c>
      <c r="P116" s="1795">
        <v>0.43</v>
      </c>
      <c r="Q116" s="1714">
        <v>0.12</v>
      </c>
      <c r="R116" s="1706">
        <v>0</v>
      </c>
      <c r="S116" s="1704" t="s">
        <v>666</v>
      </c>
      <c r="T116" s="1696" t="s">
        <v>590</v>
      </c>
      <c r="U116" s="1704" t="s">
        <v>255</v>
      </c>
      <c r="V116" s="1707" t="s">
        <v>148</v>
      </c>
      <c r="W116" s="1675" t="s">
        <v>622</v>
      </c>
      <c r="X116" s="1671" t="s">
        <v>623</v>
      </c>
      <c r="Y116" s="1704" t="s">
        <v>624</v>
      </c>
      <c r="Z116" s="1704" t="s">
        <v>385</v>
      </c>
      <c r="AA116" s="1708">
        <v>100000</v>
      </c>
      <c r="AB116" s="1704" t="s">
        <v>667</v>
      </c>
      <c r="AC116" s="1709">
        <v>25</v>
      </c>
      <c r="AD116" s="1709">
        <v>25</v>
      </c>
      <c r="AE116" s="1710">
        <v>50</v>
      </c>
      <c r="AF116" s="1711">
        <v>7.5</v>
      </c>
      <c r="AG116" s="1710">
        <v>17.5</v>
      </c>
      <c r="AH116" s="1711">
        <v>7.5</v>
      </c>
      <c r="AI116" s="1712">
        <v>17.5</v>
      </c>
      <c r="AJ116" s="1713">
        <v>2.2112499999999997E-2</v>
      </c>
      <c r="AK116" s="1714">
        <v>1.4137499999999999E-2</v>
      </c>
      <c r="AL116" s="1714">
        <v>0</v>
      </c>
      <c r="AM116" s="1715">
        <f t="shared" si="4"/>
        <v>3.6249999999999998E-2</v>
      </c>
      <c r="AN116" s="1716">
        <v>3.6249999999999998E-2</v>
      </c>
      <c r="AO116" s="1713">
        <v>0</v>
      </c>
      <c r="AP116" s="1714">
        <v>3.5365853658536589E-2</v>
      </c>
      <c r="AQ116" s="1714">
        <v>0</v>
      </c>
      <c r="AR116" s="1717">
        <f t="shared" si="5"/>
        <v>3.5365853658536589E-2</v>
      </c>
      <c r="AS116" s="1713">
        <v>0</v>
      </c>
      <c r="AT116" s="1714">
        <v>3.6249999999999998E-2</v>
      </c>
      <c r="AU116" s="1718">
        <v>0</v>
      </c>
      <c r="AV116" s="1719">
        <f t="shared" si="6"/>
        <v>3.6249999999999998E-2</v>
      </c>
      <c r="AW116" s="1720">
        <f t="shared" si="7"/>
        <v>7.2499999999999995E-2</v>
      </c>
      <c r="AX116" s="1697" t="s">
        <v>668</v>
      </c>
      <c r="AY116" s="1721">
        <v>7.3700000000000002E-2</v>
      </c>
      <c r="AZ116" s="1722">
        <v>0</v>
      </c>
      <c r="BA116" s="1730">
        <v>0</v>
      </c>
      <c r="BB116" s="56"/>
      <c r="BC116" s="1691"/>
      <c r="BD116" s="1691"/>
      <c r="BE116" s="1691"/>
      <c r="BF116" s="1723"/>
      <c r="BI116" s="1797" t="s">
        <v>249</v>
      </c>
      <c r="BJ116" s="1793">
        <v>7.2499999999999995E-2</v>
      </c>
      <c r="BK116" s="1793">
        <v>7.1615853658536593E-2</v>
      </c>
      <c r="BL116" s="1798">
        <v>3.9388719512195129E-2</v>
      </c>
    </row>
    <row r="117" spans="1:64" ht="30" customHeight="1" x14ac:dyDescent="0.3">
      <c r="A117" s="1696" t="s">
        <v>375</v>
      </c>
      <c r="B117" s="672" t="s">
        <v>614</v>
      </c>
      <c r="C117" s="2332"/>
      <c r="D117" s="1697" t="s">
        <v>669</v>
      </c>
      <c r="E117" s="1698" t="s">
        <v>664</v>
      </c>
      <c r="F117" s="1699" t="s">
        <v>670</v>
      </c>
      <c r="G117" s="1796" t="s">
        <v>262</v>
      </c>
      <c r="H117" s="1701" t="s">
        <v>628</v>
      </c>
      <c r="I117" s="1701" t="s">
        <v>629</v>
      </c>
      <c r="J117" s="1793">
        <v>7.2499999999999995E-2</v>
      </c>
      <c r="K117" s="1793">
        <v>3.6249999999999998E-2</v>
      </c>
      <c r="L117" s="1793">
        <v>3.6249999999999998E-2</v>
      </c>
      <c r="M117" s="1794">
        <v>0</v>
      </c>
      <c r="N117" s="1794">
        <v>2.5000000000000001E-2</v>
      </c>
      <c r="O117" s="1704" t="s">
        <v>252</v>
      </c>
      <c r="P117" s="1795">
        <v>0.43</v>
      </c>
      <c r="Q117" s="1714">
        <v>0.12</v>
      </c>
      <c r="R117" s="1706">
        <v>0</v>
      </c>
      <c r="S117" s="1704" t="s">
        <v>666</v>
      </c>
      <c r="T117" s="1696" t="s">
        <v>590</v>
      </c>
      <c r="U117" s="1704" t="s">
        <v>255</v>
      </c>
      <c r="V117" s="1707" t="s">
        <v>148</v>
      </c>
      <c r="W117" s="1675" t="s">
        <v>622</v>
      </c>
      <c r="X117" s="1671" t="s">
        <v>623</v>
      </c>
      <c r="Y117" s="1704" t="s">
        <v>624</v>
      </c>
      <c r="Z117" s="1704" t="s">
        <v>385</v>
      </c>
      <c r="AA117" s="1708">
        <v>100000</v>
      </c>
      <c r="AB117" s="1704" t="s">
        <v>662</v>
      </c>
      <c r="AC117" s="1709">
        <v>25</v>
      </c>
      <c r="AD117" s="1709">
        <v>25</v>
      </c>
      <c r="AE117" s="1710">
        <v>50</v>
      </c>
      <c r="AF117" s="1711">
        <v>7.5</v>
      </c>
      <c r="AG117" s="1710">
        <v>17.5</v>
      </c>
      <c r="AH117" s="1711">
        <v>7.5</v>
      </c>
      <c r="AI117" s="1712">
        <v>17.5</v>
      </c>
      <c r="AJ117" s="1713">
        <v>2.0764402578086261E-2</v>
      </c>
      <c r="AK117" s="1714">
        <v>1.1814229053049085E-2</v>
      </c>
      <c r="AL117" s="1714">
        <v>3.6713683688646506E-3</v>
      </c>
      <c r="AM117" s="1715">
        <f t="shared" si="4"/>
        <v>3.6249999999999998E-2</v>
      </c>
      <c r="AN117" s="1716">
        <v>3.6249999999999998E-2</v>
      </c>
      <c r="AO117" s="1713">
        <v>3.5365853658536589E-2</v>
      </c>
      <c r="AP117" s="1714">
        <v>0</v>
      </c>
      <c r="AQ117" s="1714">
        <v>0</v>
      </c>
      <c r="AR117" s="1717">
        <f t="shared" si="5"/>
        <v>3.5365853658536589E-2</v>
      </c>
      <c r="AS117" s="1713">
        <v>3.6249999999999998E-2</v>
      </c>
      <c r="AT117" s="1714">
        <v>0</v>
      </c>
      <c r="AU117" s="1718">
        <v>0</v>
      </c>
      <c r="AV117" s="1719">
        <f t="shared" si="6"/>
        <v>3.6249999999999998E-2</v>
      </c>
      <c r="AW117" s="1720">
        <f t="shared" si="7"/>
        <v>7.2499999999999995E-2</v>
      </c>
      <c r="AX117" s="1697" t="s">
        <v>671</v>
      </c>
      <c r="AY117" s="1721">
        <v>7.3700000000000002E-2</v>
      </c>
      <c r="AZ117" s="1722">
        <v>0</v>
      </c>
      <c r="BA117" s="1730">
        <v>0</v>
      </c>
      <c r="BB117" s="56"/>
      <c r="BC117" s="1691"/>
      <c r="BD117" s="1691"/>
      <c r="BE117" s="1691"/>
      <c r="BF117" s="1723"/>
      <c r="BI117" s="1797" t="s">
        <v>262</v>
      </c>
      <c r="BJ117" s="1793">
        <v>7.2499999999999995E-2</v>
      </c>
      <c r="BK117" s="1793">
        <v>7.1615853658536593E-2</v>
      </c>
      <c r="BL117" s="1798">
        <v>3.9388719512195129E-2</v>
      </c>
    </row>
    <row r="118" spans="1:64" ht="30" customHeight="1" x14ac:dyDescent="0.3">
      <c r="A118" s="1696" t="s">
        <v>375</v>
      </c>
      <c r="B118" s="672" t="s">
        <v>614</v>
      </c>
      <c r="C118" s="2332"/>
      <c r="D118" s="1697" t="s">
        <v>672</v>
      </c>
      <c r="E118" s="1698" t="s">
        <v>673</v>
      </c>
      <c r="F118" s="1699" t="s">
        <v>674</v>
      </c>
      <c r="G118" s="1796" t="s">
        <v>249</v>
      </c>
      <c r="H118" s="1701" t="s">
        <v>619</v>
      </c>
      <c r="I118" s="1701" t="s">
        <v>620</v>
      </c>
      <c r="J118" s="1793">
        <v>0.09</v>
      </c>
      <c r="K118" s="1793">
        <v>4.4999999999999991E-2</v>
      </c>
      <c r="L118" s="1793">
        <v>4.4999999999999998E-2</v>
      </c>
      <c r="M118" s="1794">
        <v>0</v>
      </c>
      <c r="N118" s="1794">
        <v>2.5000000000000001E-2</v>
      </c>
      <c r="O118" s="1704" t="s">
        <v>252</v>
      </c>
      <c r="P118" s="1795">
        <v>0.43</v>
      </c>
      <c r="Q118" s="1714">
        <v>0.12</v>
      </c>
      <c r="R118" s="1706">
        <v>0</v>
      </c>
      <c r="S118" s="1704" t="s">
        <v>675</v>
      </c>
      <c r="T118" s="1696" t="s">
        <v>590</v>
      </c>
      <c r="U118" s="1704" t="s">
        <v>255</v>
      </c>
      <c r="V118" s="1707" t="s">
        <v>148</v>
      </c>
      <c r="W118" s="1675" t="s">
        <v>622</v>
      </c>
      <c r="X118" s="1671" t="s">
        <v>623</v>
      </c>
      <c r="Y118" s="1704" t="s">
        <v>624</v>
      </c>
      <c r="Z118" s="1704" t="s">
        <v>385</v>
      </c>
      <c r="AA118" s="1708">
        <v>100000</v>
      </c>
      <c r="AB118" s="1704" t="s">
        <v>667</v>
      </c>
      <c r="AC118" s="1709">
        <v>25</v>
      </c>
      <c r="AD118" s="1709">
        <v>25</v>
      </c>
      <c r="AE118" s="1710">
        <v>50</v>
      </c>
      <c r="AF118" s="1711">
        <v>7.5</v>
      </c>
      <c r="AG118" s="1710">
        <v>17.5</v>
      </c>
      <c r="AH118" s="1711">
        <v>7.5</v>
      </c>
      <c r="AI118" s="1712">
        <v>17.5</v>
      </c>
      <c r="AJ118" s="1713">
        <v>2.7449999999999992E-2</v>
      </c>
      <c r="AK118" s="1714">
        <v>1.755E-2</v>
      </c>
      <c r="AL118" s="1714">
        <v>0</v>
      </c>
      <c r="AM118" s="1715">
        <f t="shared" si="4"/>
        <v>4.4999999999999991E-2</v>
      </c>
      <c r="AN118" s="1716">
        <v>4.4999999999999991E-2</v>
      </c>
      <c r="AO118" s="1713">
        <v>0</v>
      </c>
      <c r="AP118" s="1714">
        <v>4.3902439024390248E-2</v>
      </c>
      <c r="AQ118" s="1714">
        <v>0</v>
      </c>
      <c r="AR118" s="1717">
        <f t="shared" si="5"/>
        <v>4.3902439024390248E-2</v>
      </c>
      <c r="AS118" s="1713">
        <v>0</v>
      </c>
      <c r="AT118" s="1714">
        <v>4.4999999999999998E-2</v>
      </c>
      <c r="AU118" s="1718">
        <v>0</v>
      </c>
      <c r="AV118" s="1719">
        <f t="shared" si="6"/>
        <v>4.4999999999999998E-2</v>
      </c>
      <c r="AW118" s="1720">
        <f t="shared" si="7"/>
        <v>0.09</v>
      </c>
      <c r="AX118" s="1697" t="s">
        <v>676</v>
      </c>
      <c r="AY118" s="1721">
        <v>6.6000000000000003E-2</v>
      </c>
      <c r="AZ118" s="1722">
        <v>0</v>
      </c>
      <c r="BA118" s="1730">
        <v>0</v>
      </c>
      <c r="BB118" s="56"/>
      <c r="BC118" s="1691"/>
      <c r="BD118" s="1691"/>
      <c r="BE118" s="1691"/>
      <c r="BF118" s="1723"/>
      <c r="BI118" s="1797" t="s">
        <v>249</v>
      </c>
      <c r="BJ118" s="1793">
        <v>0.09</v>
      </c>
      <c r="BK118" s="1793">
        <v>8.890243902439024E-2</v>
      </c>
      <c r="BL118" s="1798">
        <v>4.8896341463414636E-2</v>
      </c>
    </row>
    <row r="119" spans="1:64" ht="30" customHeight="1" x14ac:dyDescent="0.3">
      <c r="A119" s="1696" t="s">
        <v>375</v>
      </c>
      <c r="B119" s="672" t="s">
        <v>614</v>
      </c>
      <c r="C119" s="2332"/>
      <c r="D119" s="1697" t="s">
        <v>677</v>
      </c>
      <c r="E119" s="1698" t="s">
        <v>678</v>
      </c>
      <c r="F119" s="1699" t="s">
        <v>679</v>
      </c>
      <c r="G119" s="1796" t="s">
        <v>262</v>
      </c>
      <c r="H119" s="1701" t="s">
        <v>628</v>
      </c>
      <c r="I119" s="1701" t="s">
        <v>629</v>
      </c>
      <c r="J119" s="1793">
        <v>0.09</v>
      </c>
      <c r="K119" s="1793">
        <v>4.4999999999999998E-2</v>
      </c>
      <c r="L119" s="1793">
        <v>4.4999999999999998E-2</v>
      </c>
      <c r="M119" s="1794">
        <v>0</v>
      </c>
      <c r="N119" s="1794">
        <v>2.5000000000000001E-2</v>
      </c>
      <c r="O119" s="1704" t="s">
        <v>252</v>
      </c>
      <c r="P119" s="1795">
        <v>0.43</v>
      </c>
      <c r="Q119" s="1714">
        <v>0.12</v>
      </c>
      <c r="R119" s="1706">
        <v>0</v>
      </c>
      <c r="S119" s="1704" t="s">
        <v>675</v>
      </c>
      <c r="T119" s="1696" t="s">
        <v>590</v>
      </c>
      <c r="U119" s="1704" t="s">
        <v>255</v>
      </c>
      <c r="V119" s="1707" t="s">
        <v>148</v>
      </c>
      <c r="W119" s="1675" t="s">
        <v>622</v>
      </c>
      <c r="X119" s="1671" t="s">
        <v>623</v>
      </c>
      <c r="Y119" s="1704" t="s">
        <v>624</v>
      </c>
      <c r="Z119" s="1704" t="s">
        <v>385</v>
      </c>
      <c r="AA119" s="1708">
        <v>100000</v>
      </c>
      <c r="AB119" s="1704" t="s">
        <v>662</v>
      </c>
      <c r="AC119" s="1709">
        <v>25</v>
      </c>
      <c r="AD119" s="1709">
        <v>25</v>
      </c>
      <c r="AE119" s="1710">
        <v>50</v>
      </c>
      <c r="AF119" s="1711">
        <v>7.5</v>
      </c>
      <c r="AG119" s="1710">
        <v>17.5</v>
      </c>
      <c r="AH119" s="1711">
        <v>7.5</v>
      </c>
      <c r="AI119" s="1712">
        <v>17.5</v>
      </c>
      <c r="AJ119" s="1713">
        <v>2.6130603043396584E-2</v>
      </c>
      <c r="AK119" s="1714">
        <v>1.4819312417809502E-2</v>
      </c>
      <c r="AL119" s="1714">
        <v>4.0500845387939121E-3</v>
      </c>
      <c r="AM119" s="1715">
        <f t="shared" si="4"/>
        <v>4.4999999999999998E-2</v>
      </c>
      <c r="AN119" s="1716">
        <v>4.4999999999999998E-2</v>
      </c>
      <c r="AO119" s="1713">
        <v>4.3902439024390248E-2</v>
      </c>
      <c r="AP119" s="1714">
        <v>0</v>
      </c>
      <c r="AQ119" s="1714">
        <v>0</v>
      </c>
      <c r="AR119" s="1717">
        <f t="shared" si="5"/>
        <v>4.3902439024390248E-2</v>
      </c>
      <c r="AS119" s="1713">
        <v>4.4999999999999998E-2</v>
      </c>
      <c r="AT119" s="1714">
        <v>0</v>
      </c>
      <c r="AU119" s="1718">
        <v>0</v>
      </c>
      <c r="AV119" s="1719">
        <f t="shared" si="6"/>
        <v>4.4999999999999998E-2</v>
      </c>
      <c r="AW119" s="1720">
        <f t="shared" si="7"/>
        <v>0.09</v>
      </c>
      <c r="AX119" s="1697" t="s">
        <v>680</v>
      </c>
      <c r="AY119" s="1721">
        <v>6.6000000000000003E-2</v>
      </c>
      <c r="AZ119" s="1722">
        <v>0</v>
      </c>
      <c r="BA119" s="1730">
        <v>0</v>
      </c>
      <c r="BB119" s="56"/>
      <c r="BC119" s="1691"/>
      <c r="BD119" s="1691"/>
      <c r="BE119" s="1691"/>
      <c r="BF119" s="1723"/>
      <c r="BI119" s="1797" t="s">
        <v>262</v>
      </c>
      <c r="BJ119" s="1793">
        <v>0.09</v>
      </c>
      <c r="BK119" s="1793">
        <v>8.890243902439024E-2</v>
      </c>
      <c r="BL119" s="1798">
        <v>4.8896341463414636E-2</v>
      </c>
    </row>
    <row r="120" spans="1:64" ht="30" customHeight="1" x14ac:dyDescent="0.3">
      <c r="A120" s="1696" t="s">
        <v>375</v>
      </c>
      <c r="B120" s="672" t="s">
        <v>614</v>
      </c>
      <c r="C120" s="2332"/>
      <c r="D120" s="1697" t="s">
        <v>681</v>
      </c>
      <c r="E120" s="1698" t="s">
        <v>682</v>
      </c>
      <c r="F120" s="1699" t="s">
        <v>683</v>
      </c>
      <c r="G120" s="1796" t="s">
        <v>249</v>
      </c>
      <c r="H120" s="1701" t="s">
        <v>619</v>
      </c>
      <c r="I120" s="1701" t="s">
        <v>620</v>
      </c>
      <c r="J120" s="1793">
        <v>0.11</v>
      </c>
      <c r="K120" s="1793">
        <v>5.5E-2</v>
      </c>
      <c r="L120" s="1793">
        <v>5.5E-2</v>
      </c>
      <c r="M120" s="1794">
        <v>0</v>
      </c>
      <c r="N120" s="1794">
        <v>2.5000000000000001E-2</v>
      </c>
      <c r="O120" s="1704" t="s">
        <v>252</v>
      </c>
      <c r="P120" s="1795">
        <v>0.43</v>
      </c>
      <c r="Q120" s="1714">
        <v>0.12</v>
      </c>
      <c r="R120" s="1706">
        <v>0</v>
      </c>
      <c r="S120" s="1704" t="s">
        <v>684</v>
      </c>
      <c r="T120" s="1696" t="s">
        <v>590</v>
      </c>
      <c r="U120" s="1704" t="s">
        <v>255</v>
      </c>
      <c r="V120" s="1707" t="s">
        <v>148</v>
      </c>
      <c r="W120" s="1675" t="s">
        <v>622</v>
      </c>
      <c r="X120" s="1671" t="s">
        <v>623</v>
      </c>
      <c r="Y120" s="1704" t="s">
        <v>624</v>
      </c>
      <c r="Z120" s="1704" t="s">
        <v>385</v>
      </c>
      <c r="AA120" s="1708">
        <v>100000</v>
      </c>
      <c r="AB120" s="1704" t="s">
        <v>667</v>
      </c>
      <c r="AC120" s="1709">
        <v>25</v>
      </c>
      <c r="AD120" s="1709">
        <v>25</v>
      </c>
      <c r="AE120" s="1710">
        <v>50</v>
      </c>
      <c r="AF120" s="1711">
        <v>7.5</v>
      </c>
      <c r="AG120" s="1710">
        <v>17.5</v>
      </c>
      <c r="AH120" s="1711">
        <v>7.5</v>
      </c>
      <c r="AI120" s="1712">
        <v>17.5</v>
      </c>
      <c r="AJ120" s="1713">
        <v>3.3549999999999996E-2</v>
      </c>
      <c r="AK120" s="1714">
        <v>2.1450000000000004E-2</v>
      </c>
      <c r="AL120" s="1714">
        <v>0</v>
      </c>
      <c r="AM120" s="1715">
        <f t="shared" si="4"/>
        <v>5.5E-2</v>
      </c>
      <c r="AN120" s="1716">
        <v>5.5E-2</v>
      </c>
      <c r="AO120" s="1713">
        <v>0</v>
      </c>
      <c r="AP120" s="1714">
        <v>5.365853658536586E-2</v>
      </c>
      <c r="AQ120" s="1714">
        <v>0</v>
      </c>
      <c r="AR120" s="1717">
        <f t="shared" si="5"/>
        <v>5.365853658536586E-2</v>
      </c>
      <c r="AS120" s="1713">
        <v>0</v>
      </c>
      <c r="AT120" s="1714">
        <v>5.5E-2</v>
      </c>
      <c r="AU120" s="1718">
        <v>0</v>
      </c>
      <c r="AV120" s="1719">
        <f t="shared" si="6"/>
        <v>5.5E-2</v>
      </c>
      <c r="AW120" s="1720">
        <f t="shared" si="7"/>
        <v>0.11</v>
      </c>
      <c r="AX120" s="1697" t="s">
        <v>685</v>
      </c>
      <c r="AY120" s="1721">
        <v>6.6000000000000003E-2</v>
      </c>
      <c r="AZ120" s="1722">
        <v>0</v>
      </c>
      <c r="BA120" s="1730">
        <v>0</v>
      </c>
      <c r="BB120" s="56"/>
      <c r="BC120" s="1691"/>
      <c r="BD120" s="1691"/>
      <c r="BE120" s="1691"/>
      <c r="BF120" s="1723"/>
      <c r="BI120" s="1797" t="s">
        <v>249</v>
      </c>
      <c r="BJ120" s="1793">
        <v>0.11</v>
      </c>
      <c r="BK120" s="1793">
        <v>0.10865853658536587</v>
      </c>
      <c r="BL120" s="1798">
        <v>5.9762195121951231E-2</v>
      </c>
    </row>
    <row r="121" spans="1:64" ht="30" customHeight="1" x14ac:dyDescent="0.3">
      <c r="A121" s="1696" t="s">
        <v>375</v>
      </c>
      <c r="B121" s="672" t="s">
        <v>614</v>
      </c>
      <c r="C121" s="2332"/>
      <c r="D121" s="1697" t="s">
        <v>686</v>
      </c>
      <c r="E121" s="1698" t="s">
        <v>687</v>
      </c>
      <c r="F121" s="1699" t="s">
        <v>688</v>
      </c>
      <c r="G121" s="1796" t="s">
        <v>262</v>
      </c>
      <c r="H121" s="1701" t="s">
        <v>628</v>
      </c>
      <c r="I121" s="1701" t="s">
        <v>629</v>
      </c>
      <c r="J121" s="1793">
        <v>0.11</v>
      </c>
      <c r="K121" s="1793">
        <v>5.5000000000000007E-2</v>
      </c>
      <c r="L121" s="1793">
        <v>5.5E-2</v>
      </c>
      <c r="M121" s="1794">
        <v>0</v>
      </c>
      <c r="N121" s="1794">
        <v>2.5000000000000001E-2</v>
      </c>
      <c r="O121" s="1704" t="s">
        <v>252</v>
      </c>
      <c r="P121" s="1795">
        <v>0.43</v>
      </c>
      <c r="Q121" s="1714">
        <v>0.12</v>
      </c>
      <c r="R121" s="1706">
        <v>0</v>
      </c>
      <c r="S121" s="1704" t="s">
        <v>684</v>
      </c>
      <c r="T121" s="1696" t="s">
        <v>590</v>
      </c>
      <c r="U121" s="1704" t="s">
        <v>255</v>
      </c>
      <c r="V121" s="1707" t="s">
        <v>148</v>
      </c>
      <c r="W121" s="1675" t="s">
        <v>622</v>
      </c>
      <c r="X121" s="1671" t="s">
        <v>623</v>
      </c>
      <c r="Y121" s="1704" t="s">
        <v>624</v>
      </c>
      <c r="Z121" s="1704" t="s">
        <v>385</v>
      </c>
      <c r="AA121" s="1708">
        <v>100000</v>
      </c>
      <c r="AB121" s="1704" t="s">
        <v>662</v>
      </c>
      <c r="AC121" s="1709">
        <v>25</v>
      </c>
      <c r="AD121" s="1709">
        <v>25</v>
      </c>
      <c r="AE121" s="1710">
        <v>50</v>
      </c>
      <c r="AF121" s="1711">
        <v>7.5</v>
      </c>
      <c r="AG121" s="1710">
        <v>17.5</v>
      </c>
      <c r="AH121" s="1711">
        <v>7.5</v>
      </c>
      <c r="AI121" s="1712">
        <v>17.5</v>
      </c>
      <c r="AJ121" s="1713">
        <v>3.1899999999999998E-2</v>
      </c>
      <c r="AK121" s="1714">
        <v>1.8150000000000003E-2</v>
      </c>
      <c r="AL121" s="1714">
        <v>4.9500000000000004E-3</v>
      </c>
      <c r="AM121" s="1715">
        <f t="shared" si="4"/>
        <v>5.5E-2</v>
      </c>
      <c r="AN121" s="1716">
        <v>5.5E-2</v>
      </c>
      <c r="AO121" s="1713">
        <v>5.365853658536586E-2</v>
      </c>
      <c r="AP121" s="1714">
        <v>0</v>
      </c>
      <c r="AQ121" s="1714">
        <v>0</v>
      </c>
      <c r="AR121" s="1717">
        <f t="shared" si="5"/>
        <v>5.365853658536586E-2</v>
      </c>
      <c r="AS121" s="1713">
        <v>5.5E-2</v>
      </c>
      <c r="AT121" s="1714">
        <v>0</v>
      </c>
      <c r="AU121" s="1718">
        <v>0</v>
      </c>
      <c r="AV121" s="1719">
        <f t="shared" si="6"/>
        <v>5.5E-2</v>
      </c>
      <c r="AW121" s="1720">
        <f t="shared" si="7"/>
        <v>0.11</v>
      </c>
      <c r="AX121" s="1697" t="s">
        <v>685</v>
      </c>
      <c r="AY121" s="1721">
        <v>6.6000000000000003E-2</v>
      </c>
      <c r="AZ121" s="1722">
        <v>0</v>
      </c>
      <c r="BA121" s="1730">
        <v>0</v>
      </c>
      <c r="BB121" s="56"/>
      <c r="BC121" s="1691"/>
      <c r="BD121" s="1691"/>
      <c r="BE121" s="1691"/>
      <c r="BF121" s="1723"/>
      <c r="BI121" s="1797" t="s">
        <v>262</v>
      </c>
      <c r="BJ121" s="1793">
        <v>0.11</v>
      </c>
      <c r="BK121" s="1799">
        <v>0.10865853658536587</v>
      </c>
      <c r="BL121" s="1800">
        <v>5.9762195121951231E-2</v>
      </c>
    </row>
    <row r="122" spans="1:64" ht="30" customHeight="1" thickBot="1" x14ac:dyDescent="0.35">
      <c r="A122" s="1732" t="s">
        <v>375</v>
      </c>
      <c r="B122" s="1239" t="s">
        <v>614</v>
      </c>
      <c r="C122" s="2333"/>
      <c r="D122" s="1801" t="s">
        <v>689</v>
      </c>
      <c r="E122" s="1802" t="s">
        <v>690</v>
      </c>
      <c r="F122" s="1803" t="s">
        <v>691</v>
      </c>
      <c r="G122" s="1804" t="s">
        <v>141</v>
      </c>
      <c r="H122" s="1805" t="s">
        <v>649</v>
      </c>
      <c r="I122" s="1805" t="s">
        <v>650</v>
      </c>
      <c r="J122" s="1806">
        <v>8.7499999999999994E-2</v>
      </c>
      <c r="K122" s="1806">
        <v>4.3749999999999997E-2</v>
      </c>
      <c r="L122" s="1806">
        <v>4.3749999999999997E-2</v>
      </c>
      <c r="M122" s="1807">
        <v>0</v>
      </c>
      <c r="N122" s="1807">
        <v>2.5000000000000001E-2</v>
      </c>
      <c r="O122" s="1808" t="s">
        <v>252</v>
      </c>
      <c r="P122" s="1809">
        <v>0.26</v>
      </c>
      <c r="Q122" s="1810">
        <v>0</v>
      </c>
      <c r="R122" s="1811">
        <v>0</v>
      </c>
      <c r="S122" s="1808" t="s">
        <v>692</v>
      </c>
      <c r="T122" s="1812" t="s">
        <v>590</v>
      </c>
      <c r="U122" s="1808" t="s">
        <v>255</v>
      </c>
      <c r="V122" s="1813" t="s">
        <v>148</v>
      </c>
      <c r="W122" s="1813" t="s">
        <v>622</v>
      </c>
      <c r="X122" s="1808" t="s">
        <v>652</v>
      </c>
      <c r="Y122" s="1808" t="s">
        <v>385</v>
      </c>
      <c r="Z122" s="1808" t="s">
        <v>576</v>
      </c>
      <c r="AA122" s="1814">
        <v>100000</v>
      </c>
      <c r="AB122" s="1808" t="s">
        <v>366</v>
      </c>
      <c r="AC122" s="1815">
        <v>25</v>
      </c>
      <c r="AD122" s="1815">
        <v>25</v>
      </c>
      <c r="AE122" s="1816">
        <v>50</v>
      </c>
      <c r="AF122" s="1817">
        <v>7.5</v>
      </c>
      <c r="AG122" s="1816">
        <v>17.5</v>
      </c>
      <c r="AH122" s="1817">
        <v>7.5</v>
      </c>
      <c r="AI122" s="1818">
        <v>17.5</v>
      </c>
      <c r="AJ122" s="1819">
        <v>4.3749999999999997E-2</v>
      </c>
      <c r="AK122" s="1810">
        <v>0</v>
      </c>
      <c r="AL122" s="1810">
        <v>0</v>
      </c>
      <c r="AM122" s="1752">
        <f t="shared" si="4"/>
        <v>4.3749999999999997E-2</v>
      </c>
      <c r="AN122" s="1753">
        <v>4.3749999999999997E-2</v>
      </c>
      <c r="AO122" s="1819">
        <v>0</v>
      </c>
      <c r="AP122" s="1810">
        <v>0</v>
      </c>
      <c r="AQ122" s="1810">
        <v>4.2682926829268296E-2</v>
      </c>
      <c r="AR122" s="1754">
        <f t="shared" si="5"/>
        <v>4.2682926829268296E-2</v>
      </c>
      <c r="AS122" s="1819">
        <v>0</v>
      </c>
      <c r="AT122" s="1810">
        <v>0</v>
      </c>
      <c r="AU122" s="1820">
        <v>4.3749999999999997E-2</v>
      </c>
      <c r="AV122" s="1756">
        <f t="shared" si="6"/>
        <v>4.3749999999999997E-2</v>
      </c>
      <c r="AW122" s="1757">
        <f t="shared" si="7"/>
        <v>8.7499999999999994E-2</v>
      </c>
      <c r="AX122" s="1801" t="s">
        <v>693</v>
      </c>
      <c r="AY122" s="1758">
        <v>0.08</v>
      </c>
      <c r="AZ122" s="1759">
        <v>0</v>
      </c>
      <c r="BA122" s="1760">
        <v>0</v>
      </c>
      <c r="BB122" s="56"/>
      <c r="BC122" s="1691"/>
      <c r="BD122" s="1691"/>
      <c r="BE122" s="1691"/>
      <c r="BF122" s="1723"/>
      <c r="BI122" s="1821" t="s">
        <v>141</v>
      </c>
      <c r="BJ122" s="1806">
        <v>8.7499999999999994E-2</v>
      </c>
      <c r="BK122" s="1806">
        <v>8.6432926829268286E-2</v>
      </c>
      <c r="BL122" s="1822">
        <v>2.2472560975609755E-2</v>
      </c>
    </row>
    <row r="123" spans="1:64" ht="30" customHeight="1" x14ac:dyDescent="0.3">
      <c r="A123" s="1763" t="s">
        <v>375</v>
      </c>
      <c r="B123" s="1764" t="s">
        <v>614</v>
      </c>
      <c r="C123" s="2334" t="s">
        <v>694</v>
      </c>
      <c r="D123" s="1765" t="s">
        <v>695</v>
      </c>
      <c r="E123" s="1766" t="s">
        <v>696</v>
      </c>
      <c r="F123" s="1767" t="s">
        <v>697</v>
      </c>
      <c r="G123" s="1823" t="s">
        <v>249</v>
      </c>
      <c r="H123" s="1701" t="s">
        <v>619</v>
      </c>
      <c r="I123" s="1701" t="s">
        <v>620</v>
      </c>
      <c r="J123" s="1824">
        <v>0.04</v>
      </c>
      <c r="K123" s="1824">
        <v>2.0000000000000004E-2</v>
      </c>
      <c r="L123" s="1824">
        <v>0.02</v>
      </c>
      <c r="M123" s="1825">
        <v>0</v>
      </c>
      <c r="N123" s="1825">
        <v>2.5000000000000001E-2</v>
      </c>
      <c r="O123" s="1772" t="s">
        <v>252</v>
      </c>
      <c r="P123" s="1826">
        <v>0.44900000000000001</v>
      </c>
      <c r="Q123" s="1774">
        <v>0.1</v>
      </c>
      <c r="R123" s="1775">
        <v>0</v>
      </c>
      <c r="S123" s="1772" t="s">
        <v>698</v>
      </c>
      <c r="T123" s="1763" t="s">
        <v>699</v>
      </c>
      <c r="U123" s="1772" t="s">
        <v>255</v>
      </c>
      <c r="V123" s="1776" t="s">
        <v>148</v>
      </c>
      <c r="W123" s="1675" t="s">
        <v>622</v>
      </c>
      <c r="X123" s="1772" t="s">
        <v>623</v>
      </c>
      <c r="Y123" s="1772" t="s">
        <v>624</v>
      </c>
      <c r="Z123" s="1772" t="s">
        <v>522</v>
      </c>
      <c r="AA123" s="1777">
        <v>100000</v>
      </c>
      <c r="AB123" s="1772" t="s">
        <v>257</v>
      </c>
      <c r="AC123" s="1778">
        <v>17.5</v>
      </c>
      <c r="AD123" s="1778">
        <v>17.5</v>
      </c>
      <c r="AE123" s="1678">
        <v>35</v>
      </c>
      <c r="AF123" s="1779">
        <v>7.5</v>
      </c>
      <c r="AG123" s="1678">
        <v>10</v>
      </c>
      <c r="AH123" s="1779">
        <v>7.5</v>
      </c>
      <c r="AI123" s="1780">
        <v>10</v>
      </c>
      <c r="AJ123" s="1781">
        <v>1.2200000000000001E-2</v>
      </c>
      <c r="AK123" s="1774">
        <v>7.8000000000000014E-3</v>
      </c>
      <c r="AL123" s="1774">
        <v>0</v>
      </c>
      <c r="AM123" s="1782">
        <f t="shared" si="4"/>
        <v>2.0000000000000004E-2</v>
      </c>
      <c r="AN123" s="1783">
        <v>2.0000000000000004E-2</v>
      </c>
      <c r="AO123" s="1781">
        <v>0</v>
      </c>
      <c r="AP123" s="1774">
        <v>1.9512195121951223E-2</v>
      </c>
      <c r="AQ123" s="1774">
        <v>0</v>
      </c>
      <c r="AR123" s="1784">
        <f t="shared" si="5"/>
        <v>1.9512195121951223E-2</v>
      </c>
      <c r="AS123" s="1781">
        <v>0</v>
      </c>
      <c r="AT123" s="1774">
        <v>0.02</v>
      </c>
      <c r="AU123" s="1785">
        <v>0</v>
      </c>
      <c r="AV123" s="1786">
        <f t="shared" si="6"/>
        <v>0.02</v>
      </c>
      <c r="AW123" s="1787">
        <f t="shared" si="7"/>
        <v>4.0000000000000008E-2</v>
      </c>
      <c r="AX123" s="1765" t="s">
        <v>700</v>
      </c>
      <c r="AY123" s="1689">
        <v>9.5000000000000001E-2</v>
      </c>
      <c r="AZ123" s="1690">
        <v>0</v>
      </c>
      <c r="BA123" s="1788">
        <v>0</v>
      </c>
      <c r="BB123" s="56"/>
      <c r="BC123" s="1691"/>
      <c r="BD123" s="1691"/>
      <c r="BE123" s="1691"/>
      <c r="BF123" s="1723"/>
      <c r="BI123" s="1827" t="s">
        <v>249</v>
      </c>
      <c r="BJ123" s="1828">
        <v>0.04</v>
      </c>
      <c r="BK123" s="1828">
        <v>3.9512195121951227E-2</v>
      </c>
      <c r="BL123" s="1829">
        <v>2.1692195121951224E-2</v>
      </c>
    </row>
    <row r="124" spans="1:64" ht="30" customHeight="1" x14ac:dyDescent="0.3">
      <c r="A124" s="1696" t="s">
        <v>375</v>
      </c>
      <c r="B124" s="672" t="s">
        <v>614</v>
      </c>
      <c r="C124" s="2335"/>
      <c r="D124" s="1697" t="s">
        <v>701</v>
      </c>
      <c r="E124" s="1698" t="s">
        <v>696</v>
      </c>
      <c r="F124" s="1699" t="s">
        <v>702</v>
      </c>
      <c r="G124" s="1830" t="s">
        <v>262</v>
      </c>
      <c r="H124" s="1701" t="s">
        <v>628</v>
      </c>
      <c r="I124" s="1701" t="s">
        <v>629</v>
      </c>
      <c r="J124" s="1831">
        <v>0.04</v>
      </c>
      <c r="K124" s="1831">
        <v>1.9999999999999997E-2</v>
      </c>
      <c r="L124" s="1831">
        <v>0.02</v>
      </c>
      <c r="M124" s="1832">
        <v>0</v>
      </c>
      <c r="N124" s="1832">
        <v>2.5000000000000001E-2</v>
      </c>
      <c r="O124" s="1704" t="s">
        <v>252</v>
      </c>
      <c r="P124" s="1833">
        <v>0.44900000000000001</v>
      </c>
      <c r="Q124" s="1714">
        <v>0.1</v>
      </c>
      <c r="R124" s="1706">
        <v>0</v>
      </c>
      <c r="S124" s="1704" t="s">
        <v>698</v>
      </c>
      <c r="T124" s="1696" t="s">
        <v>699</v>
      </c>
      <c r="U124" s="1704" t="s">
        <v>255</v>
      </c>
      <c r="V124" s="1707" t="s">
        <v>148</v>
      </c>
      <c r="W124" s="1675" t="s">
        <v>622</v>
      </c>
      <c r="X124" s="1704" t="s">
        <v>623</v>
      </c>
      <c r="Y124" s="1704" t="s">
        <v>624</v>
      </c>
      <c r="Z124" s="1704" t="s">
        <v>522</v>
      </c>
      <c r="AA124" s="1708">
        <v>100000</v>
      </c>
      <c r="AB124" s="1704" t="s">
        <v>630</v>
      </c>
      <c r="AC124" s="1709">
        <v>17.5</v>
      </c>
      <c r="AD124" s="1709">
        <v>17.5</v>
      </c>
      <c r="AE124" s="1710">
        <v>35</v>
      </c>
      <c r="AF124" s="1711">
        <v>7.5</v>
      </c>
      <c r="AG124" s="1710">
        <v>10</v>
      </c>
      <c r="AH124" s="1711">
        <v>7.5</v>
      </c>
      <c r="AI124" s="1712">
        <v>10</v>
      </c>
      <c r="AJ124" s="1713">
        <v>1.1599999999999999E-2</v>
      </c>
      <c r="AK124" s="1714">
        <v>6.5999999999999991E-3</v>
      </c>
      <c r="AL124" s="1714">
        <v>1.7999999999999995E-3</v>
      </c>
      <c r="AM124" s="1715">
        <f t="shared" si="4"/>
        <v>1.9999999999999997E-2</v>
      </c>
      <c r="AN124" s="1716">
        <v>1.9999999999999997E-2</v>
      </c>
      <c r="AO124" s="1713">
        <v>1.9512195121951223E-2</v>
      </c>
      <c r="AP124" s="1714">
        <v>0</v>
      </c>
      <c r="AQ124" s="1714">
        <v>0</v>
      </c>
      <c r="AR124" s="1717">
        <f t="shared" si="5"/>
        <v>1.9512195121951223E-2</v>
      </c>
      <c r="AS124" s="1713">
        <v>0.02</v>
      </c>
      <c r="AT124" s="1714">
        <v>0</v>
      </c>
      <c r="AU124" s="1718">
        <v>0</v>
      </c>
      <c r="AV124" s="1719">
        <f t="shared" si="6"/>
        <v>0.02</v>
      </c>
      <c r="AW124" s="1720">
        <f t="shared" si="7"/>
        <v>3.9999999999999994E-2</v>
      </c>
      <c r="AX124" s="1697" t="s">
        <v>700</v>
      </c>
      <c r="AY124" s="1721">
        <v>9.5000000000000001E-2</v>
      </c>
      <c r="AZ124" s="1722">
        <v>0</v>
      </c>
      <c r="BA124" s="1730">
        <v>0</v>
      </c>
      <c r="BB124" s="56"/>
      <c r="BC124" s="1691"/>
      <c r="BD124" s="1691"/>
      <c r="BE124" s="1691"/>
      <c r="BF124" s="1723"/>
      <c r="BI124" s="1827" t="s">
        <v>262</v>
      </c>
      <c r="BJ124" s="1834">
        <v>0.04</v>
      </c>
      <c r="BK124" s="1828">
        <v>3.951219512195122E-2</v>
      </c>
      <c r="BL124" s="1829">
        <v>2.1692195121951221E-2</v>
      </c>
    </row>
    <row r="125" spans="1:64" ht="30" customHeight="1" x14ac:dyDescent="0.3">
      <c r="A125" s="1696" t="s">
        <v>375</v>
      </c>
      <c r="B125" s="672" t="s">
        <v>614</v>
      </c>
      <c r="C125" s="2335"/>
      <c r="D125" s="1697" t="s">
        <v>703</v>
      </c>
      <c r="E125" s="1698" t="s">
        <v>704</v>
      </c>
      <c r="F125" s="1699" t="s">
        <v>705</v>
      </c>
      <c r="G125" s="1835" t="s">
        <v>249</v>
      </c>
      <c r="H125" s="1701" t="s">
        <v>619</v>
      </c>
      <c r="I125" s="1701" t="s">
        <v>620</v>
      </c>
      <c r="J125" s="1831">
        <v>4.9000000000000002E-2</v>
      </c>
      <c r="K125" s="1831">
        <v>2.4500000000000001E-2</v>
      </c>
      <c r="L125" s="1831">
        <v>2.4500000000000001E-2</v>
      </c>
      <c r="M125" s="1832">
        <v>0</v>
      </c>
      <c r="N125" s="1832">
        <v>2.5000000000000001E-2</v>
      </c>
      <c r="O125" s="1704" t="s">
        <v>252</v>
      </c>
      <c r="P125" s="1833">
        <v>0.44900000000000001</v>
      </c>
      <c r="Q125" s="1714">
        <v>0.1</v>
      </c>
      <c r="R125" s="1706">
        <v>0</v>
      </c>
      <c r="S125" s="1704" t="s">
        <v>706</v>
      </c>
      <c r="T125" s="1696" t="s">
        <v>699</v>
      </c>
      <c r="U125" s="1704" t="s">
        <v>255</v>
      </c>
      <c r="V125" s="1707" t="s">
        <v>148</v>
      </c>
      <c r="W125" s="1675" t="s">
        <v>622</v>
      </c>
      <c r="X125" s="1704" t="s">
        <v>623</v>
      </c>
      <c r="Y125" s="1704" t="s">
        <v>624</v>
      </c>
      <c r="Z125" s="1704" t="s">
        <v>522</v>
      </c>
      <c r="AA125" s="1708">
        <v>100000</v>
      </c>
      <c r="AB125" s="1704" t="s">
        <v>257</v>
      </c>
      <c r="AC125" s="1709">
        <v>17.5</v>
      </c>
      <c r="AD125" s="1709">
        <v>17.5</v>
      </c>
      <c r="AE125" s="1710">
        <v>35</v>
      </c>
      <c r="AF125" s="1711">
        <v>7.5</v>
      </c>
      <c r="AG125" s="1710">
        <v>10</v>
      </c>
      <c r="AH125" s="1711">
        <v>7.5</v>
      </c>
      <c r="AI125" s="1712">
        <v>10</v>
      </c>
      <c r="AJ125" s="1713">
        <v>1.4945E-2</v>
      </c>
      <c r="AK125" s="1714">
        <v>9.5550000000000027E-3</v>
      </c>
      <c r="AL125" s="1714">
        <v>0</v>
      </c>
      <c r="AM125" s="1715">
        <f t="shared" si="4"/>
        <v>2.4500000000000001E-2</v>
      </c>
      <c r="AN125" s="1716">
        <v>2.4500000000000001E-2</v>
      </c>
      <c r="AO125" s="1713">
        <v>0</v>
      </c>
      <c r="AP125" s="1714">
        <v>2.3902439024390248E-2</v>
      </c>
      <c r="AQ125" s="1714">
        <v>0</v>
      </c>
      <c r="AR125" s="1717">
        <f t="shared" si="5"/>
        <v>2.3902439024390248E-2</v>
      </c>
      <c r="AS125" s="1713">
        <v>0</v>
      </c>
      <c r="AT125" s="1714">
        <v>2.4500000000000001E-2</v>
      </c>
      <c r="AU125" s="1718">
        <v>0</v>
      </c>
      <c r="AV125" s="1719">
        <f t="shared" si="6"/>
        <v>2.4500000000000001E-2</v>
      </c>
      <c r="AW125" s="1720">
        <f t="shared" si="7"/>
        <v>4.9000000000000002E-2</v>
      </c>
      <c r="AX125" s="1697" t="s">
        <v>707</v>
      </c>
      <c r="AY125" s="1721">
        <v>8.3000000000000004E-2</v>
      </c>
      <c r="AZ125" s="1722">
        <v>0</v>
      </c>
      <c r="BA125" s="1730">
        <v>0</v>
      </c>
      <c r="BB125" s="56"/>
      <c r="BC125" s="1691"/>
      <c r="BD125" s="1691"/>
      <c r="BE125" s="1691"/>
      <c r="BF125" s="1723"/>
      <c r="BI125" s="1836" t="s">
        <v>249</v>
      </c>
      <c r="BJ125" s="1834">
        <v>4.9000000000000002E-2</v>
      </c>
      <c r="BK125" s="1834">
        <v>4.8402439024390245E-2</v>
      </c>
      <c r="BL125" s="1837">
        <v>2.6572939024390247E-2</v>
      </c>
    </row>
    <row r="126" spans="1:64" ht="30" customHeight="1" x14ac:dyDescent="0.3">
      <c r="A126" s="1696" t="s">
        <v>375</v>
      </c>
      <c r="B126" s="672" t="s">
        <v>614</v>
      </c>
      <c r="C126" s="2335"/>
      <c r="D126" s="1697" t="s">
        <v>708</v>
      </c>
      <c r="E126" s="1698" t="s">
        <v>704</v>
      </c>
      <c r="F126" s="1699" t="s">
        <v>709</v>
      </c>
      <c r="G126" s="1838" t="s">
        <v>262</v>
      </c>
      <c r="H126" s="1701" t="s">
        <v>628</v>
      </c>
      <c r="I126" s="1701" t="s">
        <v>629</v>
      </c>
      <c r="J126" s="1831">
        <v>4.9000000000000002E-2</v>
      </c>
      <c r="K126" s="1831">
        <v>2.4500000000000001E-2</v>
      </c>
      <c r="L126" s="1831">
        <v>2.4500000000000001E-2</v>
      </c>
      <c r="M126" s="1832">
        <v>0</v>
      </c>
      <c r="N126" s="1832">
        <v>2.5000000000000001E-2</v>
      </c>
      <c r="O126" s="1704" t="s">
        <v>252</v>
      </c>
      <c r="P126" s="1833">
        <v>0.44900000000000001</v>
      </c>
      <c r="Q126" s="1714">
        <v>0.1</v>
      </c>
      <c r="R126" s="1706">
        <v>0</v>
      </c>
      <c r="S126" s="1704" t="s">
        <v>706</v>
      </c>
      <c r="T126" s="1696" t="s">
        <v>699</v>
      </c>
      <c r="U126" s="1704" t="s">
        <v>255</v>
      </c>
      <c r="V126" s="1707" t="s">
        <v>148</v>
      </c>
      <c r="W126" s="1675" t="s">
        <v>622</v>
      </c>
      <c r="X126" s="1704" t="s">
        <v>623</v>
      </c>
      <c r="Y126" s="1704" t="s">
        <v>624</v>
      </c>
      <c r="Z126" s="1704" t="s">
        <v>522</v>
      </c>
      <c r="AA126" s="1708">
        <v>100000</v>
      </c>
      <c r="AB126" s="1704" t="s">
        <v>630</v>
      </c>
      <c r="AC126" s="1709">
        <v>17.5</v>
      </c>
      <c r="AD126" s="1709">
        <v>17.5</v>
      </c>
      <c r="AE126" s="1710">
        <v>35</v>
      </c>
      <c r="AF126" s="1711">
        <v>7.5</v>
      </c>
      <c r="AG126" s="1710">
        <v>10</v>
      </c>
      <c r="AH126" s="1711">
        <v>7.5</v>
      </c>
      <c r="AI126" s="1712">
        <v>10</v>
      </c>
      <c r="AJ126" s="1713">
        <v>1.420382029237614E-2</v>
      </c>
      <c r="AK126" s="1714">
        <v>8.0921386277723901E-3</v>
      </c>
      <c r="AL126" s="1714">
        <v>2.2040410798514708E-3</v>
      </c>
      <c r="AM126" s="1715">
        <f t="shared" si="4"/>
        <v>2.4500000000000001E-2</v>
      </c>
      <c r="AN126" s="1716">
        <v>2.4500000000000001E-2</v>
      </c>
      <c r="AO126" s="1713">
        <v>2.3902439024390248E-2</v>
      </c>
      <c r="AP126" s="1714">
        <v>0</v>
      </c>
      <c r="AQ126" s="1714">
        <v>0</v>
      </c>
      <c r="AR126" s="1717">
        <f t="shared" si="5"/>
        <v>2.3902439024390248E-2</v>
      </c>
      <c r="AS126" s="1713">
        <v>2.4500000000000001E-2</v>
      </c>
      <c r="AT126" s="1714">
        <v>0</v>
      </c>
      <c r="AU126" s="1718">
        <v>0</v>
      </c>
      <c r="AV126" s="1719">
        <f t="shared" si="6"/>
        <v>2.4500000000000001E-2</v>
      </c>
      <c r="AW126" s="1720">
        <f t="shared" si="7"/>
        <v>4.9000000000000002E-2</v>
      </c>
      <c r="AX126" s="1697" t="s">
        <v>707</v>
      </c>
      <c r="AY126" s="1721">
        <v>8.3000000000000004E-2</v>
      </c>
      <c r="AZ126" s="1722">
        <v>0</v>
      </c>
      <c r="BA126" s="1730">
        <v>0</v>
      </c>
      <c r="BB126" s="56"/>
      <c r="BC126" s="1691"/>
      <c r="BD126" s="1691"/>
      <c r="BE126" s="1691"/>
      <c r="BF126" s="1723"/>
      <c r="BI126" s="1839" t="s">
        <v>262</v>
      </c>
      <c r="BJ126" s="1834">
        <v>4.9000000000000002E-2</v>
      </c>
      <c r="BK126" s="1840">
        <v>4.8402439024390245E-2</v>
      </c>
      <c r="BL126" s="1841">
        <v>2.6572939024390247E-2</v>
      </c>
    </row>
    <row r="127" spans="1:64" ht="30" customHeight="1" x14ac:dyDescent="0.3">
      <c r="A127" s="1696" t="s">
        <v>375</v>
      </c>
      <c r="B127" s="672" t="s">
        <v>614</v>
      </c>
      <c r="C127" s="2335"/>
      <c r="D127" s="1697" t="s">
        <v>710</v>
      </c>
      <c r="E127" s="1698" t="s">
        <v>711</v>
      </c>
      <c r="F127" s="1699" t="s">
        <v>712</v>
      </c>
      <c r="G127" s="1838" t="s">
        <v>249</v>
      </c>
      <c r="H127" s="1701" t="s">
        <v>619</v>
      </c>
      <c r="I127" s="1701" t="s">
        <v>620</v>
      </c>
      <c r="J127" s="1842">
        <v>7.2499999999999995E-2</v>
      </c>
      <c r="K127" s="1842">
        <v>3.6250000000000004E-2</v>
      </c>
      <c r="L127" s="1842">
        <v>3.6249999999999998E-2</v>
      </c>
      <c r="M127" s="1843">
        <v>0</v>
      </c>
      <c r="N127" s="1843">
        <v>2.5000000000000001E-2</v>
      </c>
      <c r="O127" s="1704" t="s">
        <v>252</v>
      </c>
      <c r="P127" s="1844">
        <v>0.44900000000000001</v>
      </c>
      <c r="Q127" s="1714">
        <v>0.1</v>
      </c>
      <c r="R127" s="1706">
        <v>0</v>
      </c>
      <c r="S127" s="1704" t="s">
        <v>713</v>
      </c>
      <c r="T127" s="1696" t="s">
        <v>699</v>
      </c>
      <c r="U127" s="1704" t="s">
        <v>255</v>
      </c>
      <c r="V127" s="1707" t="s">
        <v>148</v>
      </c>
      <c r="W127" s="1675" t="s">
        <v>622</v>
      </c>
      <c r="X127" s="1704" t="s">
        <v>623</v>
      </c>
      <c r="Y127" s="1704" t="s">
        <v>624</v>
      </c>
      <c r="Z127" s="1704" t="s">
        <v>522</v>
      </c>
      <c r="AA127" s="1708">
        <v>100000</v>
      </c>
      <c r="AB127" s="1704" t="s">
        <v>257</v>
      </c>
      <c r="AC127" s="1709">
        <v>17.5</v>
      </c>
      <c r="AD127" s="1709">
        <v>17.5</v>
      </c>
      <c r="AE127" s="1710">
        <v>35</v>
      </c>
      <c r="AF127" s="1711">
        <v>7.5</v>
      </c>
      <c r="AG127" s="1710">
        <v>10</v>
      </c>
      <c r="AH127" s="1711">
        <v>7.5</v>
      </c>
      <c r="AI127" s="1712">
        <v>10</v>
      </c>
      <c r="AJ127" s="1713">
        <v>2.2088532017137563E-2</v>
      </c>
      <c r="AK127" s="1714">
        <v>1.4161467982862438E-2</v>
      </c>
      <c r="AL127" s="1714">
        <v>0</v>
      </c>
      <c r="AM127" s="1715">
        <f t="shared" si="4"/>
        <v>3.6250000000000004E-2</v>
      </c>
      <c r="AN127" s="1716">
        <v>3.6250000000000004E-2</v>
      </c>
      <c r="AO127" s="1713">
        <v>0</v>
      </c>
      <c r="AP127" s="1714">
        <v>3.5365853658536589E-2</v>
      </c>
      <c r="AQ127" s="1714">
        <v>0</v>
      </c>
      <c r="AR127" s="1717">
        <f t="shared" si="5"/>
        <v>3.5365853658536589E-2</v>
      </c>
      <c r="AS127" s="1713">
        <v>0</v>
      </c>
      <c r="AT127" s="1714">
        <v>3.6249999999999998E-2</v>
      </c>
      <c r="AU127" s="1718">
        <v>0</v>
      </c>
      <c r="AV127" s="1719">
        <f t="shared" si="6"/>
        <v>3.6249999999999998E-2</v>
      </c>
      <c r="AW127" s="1720">
        <f t="shared" si="7"/>
        <v>7.2500000000000009E-2</v>
      </c>
      <c r="AX127" s="1697" t="s">
        <v>714</v>
      </c>
      <c r="AY127" s="1721">
        <v>7.2999999999999995E-2</v>
      </c>
      <c r="AZ127" s="1722">
        <v>0</v>
      </c>
      <c r="BA127" s="1730">
        <v>0</v>
      </c>
      <c r="BB127" s="56"/>
      <c r="BC127" s="1691"/>
      <c r="BD127" s="1691"/>
      <c r="BE127" s="1691"/>
      <c r="BF127" s="1723"/>
      <c r="BI127" s="1839" t="s">
        <v>249</v>
      </c>
      <c r="BJ127" s="1840">
        <v>7.2499999999999995E-2</v>
      </c>
      <c r="BK127" s="1840">
        <v>7.1615853658536593E-2</v>
      </c>
      <c r="BL127" s="1841">
        <v>3.9317103658536592E-2</v>
      </c>
    </row>
    <row r="128" spans="1:64" ht="30" customHeight="1" thickBot="1" x14ac:dyDescent="0.35">
      <c r="A128" s="1732" t="s">
        <v>375</v>
      </c>
      <c r="B128" s="1239" t="s">
        <v>614</v>
      </c>
      <c r="C128" s="2336"/>
      <c r="D128" s="1845" t="s">
        <v>715</v>
      </c>
      <c r="E128" s="1846" t="s">
        <v>711</v>
      </c>
      <c r="F128" s="1847" t="s">
        <v>716</v>
      </c>
      <c r="G128" s="1848" t="s">
        <v>262</v>
      </c>
      <c r="H128" s="1701" t="s">
        <v>628</v>
      </c>
      <c r="I128" s="1701" t="s">
        <v>629</v>
      </c>
      <c r="J128" s="1849">
        <v>7.2499999999999995E-2</v>
      </c>
      <c r="K128" s="1849">
        <v>3.6249999999999998E-2</v>
      </c>
      <c r="L128" s="1849">
        <v>3.6249999999999998E-2</v>
      </c>
      <c r="M128" s="1850">
        <v>0</v>
      </c>
      <c r="N128" s="1850">
        <v>2.5000000000000001E-2</v>
      </c>
      <c r="O128" s="1851" t="s">
        <v>252</v>
      </c>
      <c r="P128" s="1852">
        <v>0.44900000000000001</v>
      </c>
      <c r="Q128" s="1853">
        <v>0.1</v>
      </c>
      <c r="R128" s="1854">
        <v>0</v>
      </c>
      <c r="S128" s="1851" t="s">
        <v>713</v>
      </c>
      <c r="T128" s="1732" t="s">
        <v>699</v>
      </c>
      <c r="U128" s="1851" t="s">
        <v>255</v>
      </c>
      <c r="V128" s="1855" t="s">
        <v>148</v>
      </c>
      <c r="W128" s="1675" t="s">
        <v>622</v>
      </c>
      <c r="X128" s="1851" t="s">
        <v>623</v>
      </c>
      <c r="Y128" s="1851" t="s">
        <v>624</v>
      </c>
      <c r="Z128" s="1851" t="s">
        <v>522</v>
      </c>
      <c r="AA128" s="1856">
        <v>100000</v>
      </c>
      <c r="AB128" s="1851" t="s">
        <v>630</v>
      </c>
      <c r="AC128" s="1857">
        <v>17.5</v>
      </c>
      <c r="AD128" s="1857">
        <v>17.5</v>
      </c>
      <c r="AE128" s="1858">
        <v>35</v>
      </c>
      <c r="AF128" s="1859">
        <v>7.5</v>
      </c>
      <c r="AG128" s="1858">
        <v>10</v>
      </c>
      <c r="AH128" s="1859">
        <v>7.5</v>
      </c>
      <c r="AI128" s="1860">
        <v>10</v>
      </c>
      <c r="AJ128" s="1861">
        <v>2.0764402578086261E-2</v>
      </c>
      <c r="AK128" s="1853">
        <v>1.1814229053049083E-2</v>
      </c>
      <c r="AL128" s="1853">
        <v>3.6713683688646506E-3</v>
      </c>
      <c r="AM128" s="1752">
        <f t="shared" si="4"/>
        <v>3.6249999999999991E-2</v>
      </c>
      <c r="AN128" s="1753">
        <v>3.6249999999999991E-2</v>
      </c>
      <c r="AO128" s="1861">
        <v>3.5365853658536589E-2</v>
      </c>
      <c r="AP128" s="1853">
        <v>0</v>
      </c>
      <c r="AQ128" s="1853">
        <v>0</v>
      </c>
      <c r="AR128" s="1754">
        <f t="shared" si="5"/>
        <v>3.5365853658536589E-2</v>
      </c>
      <c r="AS128" s="1861">
        <v>3.6249999999999998E-2</v>
      </c>
      <c r="AT128" s="1853">
        <v>0</v>
      </c>
      <c r="AU128" s="1862">
        <v>0</v>
      </c>
      <c r="AV128" s="1756">
        <f t="shared" si="6"/>
        <v>3.6249999999999998E-2</v>
      </c>
      <c r="AW128" s="1757">
        <f t="shared" si="7"/>
        <v>7.2499999999999981E-2</v>
      </c>
      <c r="AX128" s="1845" t="s">
        <v>714</v>
      </c>
      <c r="AY128" s="1758">
        <v>7.2999999999999995E-2</v>
      </c>
      <c r="AZ128" s="1759">
        <v>0</v>
      </c>
      <c r="BA128" s="1760">
        <v>0</v>
      </c>
      <c r="BB128" s="56"/>
      <c r="BC128" s="1691"/>
      <c r="BD128" s="1691"/>
      <c r="BE128" s="1691"/>
      <c r="BF128" s="1723"/>
      <c r="BI128" s="1863" t="s">
        <v>262</v>
      </c>
      <c r="BJ128" s="1864">
        <v>7.2499999999999995E-2</v>
      </c>
      <c r="BK128" s="1864">
        <v>7.1615853658536593E-2</v>
      </c>
      <c r="BL128" s="1865">
        <v>3.9317103658536592E-2</v>
      </c>
    </row>
    <row r="129" spans="1:64" ht="30" customHeight="1" x14ac:dyDescent="0.3">
      <c r="A129" s="1763" t="s">
        <v>375</v>
      </c>
      <c r="B129" s="1764" t="s">
        <v>614</v>
      </c>
      <c r="C129" s="2317" t="s">
        <v>717</v>
      </c>
      <c r="D129" s="1765" t="s">
        <v>718</v>
      </c>
      <c r="E129" s="1766" t="s">
        <v>719</v>
      </c>
      <c r="F129" s="1767" t="s">
        <v>720</v>
      </c>
      <c r="G129" s="1866" t="s">
        <v>141</v>
      </c>
      <c r="H129" s="1769" t="s">
        <v>721</v>
      </c>
      <c r="I129" s="1769" t="s">
        <v>722</v>
      </c>
      <c r="J129" s="1867">
        <v>4.9000000000000002E-2</v>
      </c>
      <c r="K129" s="1867">
        <v>2.4499999999999997E-2</v>
      </c>
      <c r="L129" s="1867">
        <v>2.4500000000000001E-2</v>
      </c>
      <c r="M129" s="1868">
        <v>0</v>
      </c>
      <c r="N129" s="1868">
        <v>2.5000000000000001E-2</v>
      </c>
      <c r="O129" s="1869" t="s">
        <v>571</v>
      </c>
      <c r="P129" s="1870">
        <v>0.44900000000000001</v>
      </c>
      <c r="Q129" s="1774">
        <v>0.1</v>
      </c>
      <c r="R129" s="1775">
        <v>0</v>
      </c>
      <c r="S129" s="1772" t="s">
        <v>723</v>
      </c>
      <c r="T129" s="1763" t="s">
        <v>724</v>
      </c>
      <c r="U129" s="1772" t="s">
        <v>255</v>
      </c>
      <c r="V129" s="1776" t="s">
        <v>148</v>
      </c>
      <c r="W129" s="1776" t="s">
        <v>725</v>
      </c>
      <c r="X129" s="1772" t="s">
        <v>623</v>
      </c>
      <c r="Y129" s="1772" t="s">
        <v>624</v>
      </c>
      <c r="Z129" s="1772" t="s">
        <v>385</v>
      </c>
      <c r="AA129" s="1777">
        <v>100000</v>
      </c>
      <c r="AB129" s="1772" t="s">
        <v>354</v>
      </c>
      <c r="AC129" s="1778">
        <v>20.5</v>
      </c>
      <c r="AD129" s="1778">
        <v>20.5</v>
      </c>
      <c r="AE129" s="1678">
        <v>41</v>
      </c>
      <c r="AF129" s="1779">
        <v>7.5</v>
      </c>
      <c r="AG129" s="1678">
        <v>13</v>
      </c>
      <c r="AH129" s="1779">
        <v>7.5</v>
      </c>
      <c r="AI129" s="1780">
        <v>13</v>
      </c>
      <c r="AJ129" s="1781">
        <v>1.6333333333333332E-2</v>
      </c>
      <c r="AK129" s="1774">
        <v>8.1666666666666658E-3</v>
      </c>
      <c r="AL129" s="1774">
        <v>0</v>
      </c>
      <c r="AM129" s="1782">
        <f t="shared" si="4"/>
        <v>2.4499999999999997E-2</v>
      </c>
      <c r="AN129" s="1783">
        <v>2.4499999999999997E-2</v>
      </c>
      <c r="AO129" s="1781">
        <v>2.3902439024390248E-2</v>
      </c>
      <c r="AP129" s="1774">
        <v>0</v>
      </c>
      <c r="AQ129" s="1774">
        <v>0</v>
      </c>
      <c r="AR129" s="1784">
        <f t="shared" si="5"/>
        <v>2.3902439024390248E-2</v>
      </c>
      <c r="AS129" s="1781">
        <v>2.4500000000000001E-2</v>
      </c>
      <c r="AT129" s="1774">
        <v>0</v>
      </c>
      <c r="AU129" s="1785">
        <v>0</v>
      </c>
      <c r="AV129" s="1786">
        <f t="shared" si="6"/>
        <v>2.4500000000000001E-2</v>
      </c>
      <c r="AW129" s="1787">
        <f t="shared" si="7"/>
        <v>4.9000000000000002E-2</v>
      </c>
      <c r="AX129" s="1765" t="s">
        <v>726</v>
      </c>
      <c r="AY129" s="1689">
        <v>7.2999999999999995E-2</v>
      </c>
      <c r="AZ129" s="1690">
        <v>0</v>
      </c>
      <c r="BA129" s="1788">
        <v>0</v>
      </c>
      <c r="BB129" s="56"/>
      <c r="BC129" s="1691"/>
      <c r="BD129" s="1691"/>
      <c r="BE129" s="1691"/>
      <c r="BF129" s="1723"/>
      <c r="BI129" s="1871" t="s">
        <v>141</v>
      </c>
      <c r="BJ129" s="1872">
        <v>4.9000000000000002E-2</v>
      </c>
      <c r="BK129" s="1872">
        <v>4.8402439024390245E-2</v>
      </c>
      <c r="BL129" s="1873">
        <v>2.6572939024390247E-2</v>
      </c>
    </row>
    <row r="130" spans="1:64" ht="30" customHeight="1" thickBot="1" x14ac:dyDescent="0.35">
      <c r="A130" s="1732" t="s">
        <v>375</v>
      </c>
      <c r="B130" s="1239" t="s">
        <v>614</v>
      </c>
      <c r="C130" s="2318"/>
      <c r="D130" s="1845" t="s">
        <v>727</v>
      </c>
      <c r="E130" s="1846" t="s">
        <v>719</v>
      </c>
      <c r="F130" s="1847" t="s">
        <v>728</v>
      </c>
      <c r="G130" s="1874" t="s">
        <v>141</v>
      </c>
      <c r="H130" s="1875" t="s">
        <v>721</v>
      </c>
      <c r="I130" s="1875" t="s">
        <v>722</v>
      </c>
      <c r="J130" s="1876">
        <v>4.9000000000000002E-2</v>
      </c>
      <c r="K130" s="1876">
        <v>2.4499999999999997E-2</v>
      </c>
      <c r="L130" s="1876">
        <v>2.4500000000000001E-2</v>
      </c>
      <c r="M130" s="1877">
        <v>0</v>
      </c>
      <c r="N130" s="1877">
        <v>2.5000000000000001E-2</v>
      </c>
      <c r="O130" s="1855" t="s">
        <v>571</v>
      </c>
      <c r="P130" s="1878">
        <v>0.44900000000000001</v>
      </c>
      <c r="Q130" s="1853">
        <v>0.1</v>
      </c>
      <c r="R130" s="1854">
        <v>0</v>
      </c>
      <c r="S130" s="1851" t="s">
        <v>723</v>
      </c>
      <c r="T130" s="1732" t="s">
        <v>724</v>
      </c>
      <c r="U130" s="1851" t="s">
        <v>255</v>
      </c>
      <c r="V130" s="1855" t="s">
        <v>148</v>
      </c>
      <c r="W130" s="1855" t="s">
        <v>725</v>
      </c>
      <c r="X130" s="1851" t="s">
        <v>623</v>
      </c>
      <c r="Y130" s="1851" t="s">
        <v>624</v>
      </c>
      <c r="Z130" s="1851" t="s">
        <v>385</v>
      </c>
      <c r="AA130" s="1856">
        <v>100000</v>
      </c>
      <c r="AB130" s="1851" t="s">
        <v>354</v>
      </c>
      <c r="AC130" s="1857">
        <v>20.5</v>
      </c>
      <c r="AD130" s="1857">
        <v>20.5</v>
      </c>
      <c r="AE130" s="1858">
        <v>41</v>
      </c>
      <c r="AF130" s="1859">
        <v>7.5</v>
      </c>
      <c r="AG130" s="1858">
        <v>13</v>
      </c>
      <c r="AH130" s="1859">
        <v>7.5</v>
      </c>
      <c r="AI130" s="1860">
        <v>13</v>
      </c>
      <c r="AJ130" s="1861">
        <v>1.6333333333333332E-2</v>
      </c>
      <c r="AK130" s="1853">
        <v>8.1666666666666658E-3</v>
      </c>
      <c r="AL130" s="1853">
        <v>0</v>
      </c>
      <c r="AM130" s="1752">
        <f t="shared" si="4"/>
        <v>2.4499999999999997E-2</v>
      </c>
      <c r="AN130" s="1753">
        <v>2.4499999999999997E-2</v>
      </c>
      <c r="AO130" s="1861">
        <v>2.3902439024390248E-2</v>
      </c>
      <c r="AP130" s="1853">
        <v>0</v>
      </c>
      <c r="AQ130" s="1853">
        <v>0</v>
      </c>
      <c r="AR130" s="1754">
        <f t="shared" si="5"/>
        <v>2.3902439024390248E-2</v>
      </c>
      <c r="AS130" s="1861">
        <v>2.4500000000000001E-2</v>
      </c>
      <c r="AT130" s="1853">
        <v>0</v>
      </c>
      <c r="AU130" s="1862">
        <v>0</v>
      </c>
      <c r="AV130" s="1756">
        <f t="shared" si="6"/>
        <v>2.4500000000000001E-2</v>
      </c>
      <c r="AW130" s="1757">
        <f t="shared" si="7"/>
        <v>4.9000000000000002E-2</v>
      </c>
      <c r="AX130" s="1845" t="s">
        <v>726</v>
      </c>
      <c r="AY130" s="1758">
        <v>7.2999999999999995E-2</v>
      </c>
      <c r="AZ130" s="1759">
        <v>0</v>
      </c>
      <c r="BA130" s="1760">
        <v>0</v>
      </c>
      <c r="BB130" s="56"/>
      <c r="BC130" s="1691"/>
      <c r="BD130" s="1691"/>
      <c r="BE130" s="1691"/>
      <c r="BF130" s="1723"/>
      <c r="BI130" s="1871" t="s">
        <v>141</v>
      </c>
      <c r="BJ130" s="1872">
        <v>4.9000000000000002E-2</v>
      </c>
      <c r="BK130" s="1872">
        <v>4.8402439024390245E-2</v>
      </c>
      <c r="BL130" s="1873">
        <v>2.6572939024390247E-2</v>
      </c>
    </row>
    <row r="131" spans="1:64" ht="30" customHeight="1" x14ac:dyDescent="0.3">
      <c r="A131" s="1763" t="s">
        <v>375</v>
      </c>
      <c r="B131" s="1764" t="s">
        <v>614</v>
      </c>
      <c r="C131" s="2319" t="s">
        <v>729</v>
      </c>
      <c r="D131" s="1765" t="s">
        <v>730</v>
      </c>
      <c r="E131" s="1766" t="s">
        <v>731</v>
      </c>
      <c r="F131" s="1767" t="s">
        <v>732</v>
      </c>
      <c r="G131" s="1879" t="s">
        <v>262</v>
      </c>
      <c r="H131" s="1769" t="s">
        <v>628</v>
      </c>
      <c r="I131" s="1769" t="s">
        <v>629</v>
      </c>
      <c r="J131" s="1880">
        <v>4.9000000000000002E-2</v>
      </c>
      <c r="K131" s="1880">
        <v>2.4500000000000001E-2</v>
      </c>
      <c r="L131" s="1880">
        <v>2.4500000000000001E-2</v>
      </c>
      <c r="M131" s="1881">
        <v>0</v>
      </c>
      <c r="N131" s="1881">
        <v>2.5000000000000001E-2</v>
      </c>
      <c r="O131" s="1772" t="s">
        <v>252</v>
      </c>
      <c r="P131" s="1882">
        <v>0.43</v>
      </c>
      <c r="Q131" s="1774">
        <v>0.12</v>
      </c>
      <c r="R131" s="1775">
        <v>0</v>
      </c>
      <c r="S131" s="1772" t="s">
        <v>733</v>
      </c>
      <c r="T131" s="1763" t="s">
        <v>590</v>
      </c>
      <c r="U131" s="1772" t="s">
        <v>255</v>
      </c>
      <c r="V131" s="1776" t="s">
        <v>148</v>
      </c>
      <c r="W131" s="1776" t="s">
        <v>725</v>
      </c>
      <c r="X131" s="1772" t="s">
        <v>623</v>
      </c>
      <c r="Y131" s="1772" t="s">
        <v>624</v>
      </c>
      <c r="Z131" s="1772" t="s">
        <v>385</v>
      </c>
      <c r="AA131" s="1777">
        <v>100000</v>
      </c>
      <c r="AB131" s="1772" t="s">
        <v>662</v>
      </c>
      <c r="AC131" s="1778">
        <v>25</v>
      </c>
      <c r="AD131" s="1778">
        <v>25</v>
      </c>
      <c r="AE131" s="1678">
        <v>50</v>
      </c>
      <c r="AF131" s="1779">
        <v>7.5</v>
      </c>
      <c r="AG131" s="1678">
        <v>17.5</v>
      </c>
      <c r="AH131" s="1779">
        <v>7.5</v>
      </c>
      <c r="AI131" s="1780">
        <v>17.5</v>
      </c>
      <c r="AJ131" s="1781">
        <v>1.4203820292376143E-2</v>
      </c>
      <c r="AK131" s="1774">
        <v>8.0921386277723883E-3</v>
      </c>
      <c r="AL131" s="1774">
        <v>2.2040410798514704E-3</v>
      </c>
      <c r="AM131" s="1782">
        <f t="shared" si="4"/>
        <v>2.4500000000000001E-2</v>
      </c>
      <c r="AN131" s="1783">
        <v>2.4500000000000001E-2</v>
      </c>
      <c r="AO131" s="1781">
        <v>2.3902439024390248E-2</v>
      </c>
      <c r="AP131" s="1774">
        <v>0</v>
      </c>
      <c r="AQ131" s="1774">
        <v>0</v>
      </c>
      <c r="AR131" s="1784">
        <f t="shared" si="5"/>
        <v>2.3902439024390248E-2</v>
      </c>
      <c r="AS131" s="1781">
        <v>2.4500000000000001E-2</v>
      </c>
      <c r="AT131" s="1774">
        <v>0</v>
      </c>
      <c r="AU131" s="1785">
        <v>0</v>
      </c>
      <c r="AV131" s="1786">
        <f t="shared" si="6"/>
        <v>2.4500000000000001E-2</v>
      </c>
      <c r="AW131" s="1787">
        <f t="shared" si="7"/>
        <v>4.9000000000000002E-2</v>
      </c>
      <c r="AX131" s="1765" t="s">
        <v>734</v>
      </c>
      <c r="AY131" s="1689">
        <v>8.4999999999999992E-2</v>
      </c>
      <c r="AZ131" s="1690">
        <v>0</v>
      </c>
      <c r="BA131" s="1788">
        <v>0</v>
      </c>
      <c r="BB131" s="56"/>
      <c r="BC131" s="1691"/>
      <c r="BD131" s="1691"/>
      <c r="BE131" s="1691"/>
      <c r="BF131" s="1723"/>
      <c r="BI131" s="1883" t="s">
        <v>262</v>
      </c>
      <c r="BJ131" s="1884">
        <v>4.9000000000000002E-2</v>
      </c>
      <c r="BK131" s="1884">
        <v>4.8402439024390245E-2</v>
      </c>
      <c r="BL131" s="1885">
        <v>2.6621341463414636E-2</v>
      </c>
    </row>
    <row r="132" spans="1:64" ht="30" customHeight="1" x14ac:dyDescent="0.3">
      <c r="A132" s="1696" t="s">
        <v>375</v>
      </c>
      <c r="B132" s="672" t="s">
        <v>614</v>
      </c>
      <c r="C132" s="2320"/>
      <c r="D132" s="1697" t="s">
        <v>735</v>
      </c>
      <c r="E132" s="1698" t="s">
        <v>736</v>
      </c>
      <c r="F132" s="1699" t="s">
        <v>737</v>
      </c>
      <c r="G132" s="1886" t="s">
        <v>262</v>
      </c>
      <c r="H132" s="1701" t="s">
        <v>628</v>
      </c>
      <c r="I132" s="1701" t="s">
        <v>629</v>
      </c>
      <c r="J132" s="1887">
        <v>7.2499999999999995E-2</v>
      </c>
      <c r="K132" s="1887">
        <v>3.6249999999999998E-2</v>
      </c>
      <c r="L132" s="1887">
        <v>3.6249999999999998E-2</v>
      </c>
      <c r="M132" s="1888">
        <v>0</v>
      </c>
      <c r="N132" s="1888">
        <v>2.5000000000000001E-2</v>
      </c>
      <c r="O132" s="1704" t="s">
        <v>252</v>
      </c>
      <c r="P132" s="1889">
        <v>0.43</v>
      </c>
      <c r="Q132" s="1714">
        <v>0.12</v>
      </c>
      <c r="R132" s="1706">
        <v>0</v>
      </c>
      <c r="S132" s="1704" t="s">
        <v>634</v>
      </c>
      <c r="T132" s="1696" t="s">
        <v>590</v>
      </c>
      <c r="U132" s="1704" t="s">
        <v>255</v>
      </c>
      <c r="V132" s="1707" t="s">
        <v>148</v>
      </c>
      <c r="W132" s="1707" t="s">
        <v>725</v>
      </c>
      <c r="X132" s="1704" t="s">
        <v>623</v>
      </c>
      <c r="Y132" s="1704" t="s">
        <v>624</v>
      </c>
      <c r="Z132" s="1704" t="s">
        <v>385</v>
      </c>
      <c r="AA132" s="1708">
        <v>100000</v>
      </c>
      <c r="AB132" s="1704" t="s">
        <v>662</v>
      </c>
      <c r="AC132" s="1709">
        <v>25</v>
      </c>
      <c r="AD132" s="1709">
        <v>25</v>
      </c>
      <c r="AE132" s="1710">
        <v>50</v>
      </c>
      <c r="AF132" s="1711">
        <v>7.5</v>
      </c>
      <c r="AG132" s="1710">
        <v>17.5</v>
      </c>
      <c r="AH132" s="1711">
        <v>7.5</v>
      </c>
      <c r="AI132" s="1712">
        <v>17.5</v>
      </c>
      <c r="AJ132" s="1713">
        <v>2.0764402578086261E-2</v>
      </c>
      <c r="AK132" s="1714">
        <v>1.1814229053049085E-2</v>
      </c>
      <c r="AL132" s="1714">
        <v>3.6713683688646506E-3</v>
      </c>
      <c r="AM132" s="1715">
        <f t="shared" si="4"/>
        <v>3.6249999999999998E-2</v>
      </c>
      <c r="AN132" s="1716">
        <v>3.6249999999999998E-2</v>
      </c>
      <c r="AO132" s="1713">
        <v>3.5365853658536589E-2</v>
      </c>
      <c r="AP132" s="1714">
        <v>0</v>
      </c>
      <c r="AQ132" s="1714">
        <v>0</v>
      </c>
      <c r="AR132" s="1717">
        <f t="shared" si="5"/>
        <v>3.5365853658536589E-2</v>
      </c>
      <c r="AS132" s="1713">
        <v>3.6249999999999998E-2</v>
      </c>
      <c r="AT132" s="1714">
        <v>0</v>
      </c>
      <c r="AU132" s="1718">
        <v>0</v>
      </c>
      <c r="AV132" s="1719">
        <f t="shared" si="6"/>
        <v>3.6249999999999998E-2</v>
      </c>
      <c r="AW132" s="1720">
        <f t="shared" si="7"/>
        <v>7.2499999999999995E-2</v>
      </c>
      <c r="AX132" s="1697" t="s">
        <v>738</v>
      </c>
      <c r="AY132" s="1721">
        <v>7.3700000000000002E-2</v>
      </c>
      <c r="AZ132" s="1722">
        <v>0</v>
      </c>
      <c r="BA132" s="1730">
        <v>0</v>
      </c>
      <c r="BB132" s="56"/>
      <c r="BC132" s="1691"/>
      <c r="BD132" s="1691"/>
      <c r="BE132" s="1691"/>
      <c r="BF132" s="1723"/>
      <c r="BI132" s="1883" t="s">
        <v>262</v>
      </c>
      <c r="BJ132" s="1887">
        <v>7.2499999999999995E-2</v>
      </c>
      <c r="BK132" s="1884">
        <v>7.1615853658536593E-2</v>
      </c>
      <c r="BL132" s="1885">
        <v>3.9388719512195129E-2</v>
      </c>
    </row>
    <row r="133" spans="1:64" ht="30" customHeight="1" thickBot="1" x14ac:dyDescent="0.35">
      <c r="A133" s="1732" t="s">
        <v>375</v>
      </c>
      <c r="B133" s="1239" t="s">
        <v>614</v>
      </c>
      <c r="C133" s="2321"/>
      <c r="D133" s="1845" t="s">
        <v>739</v>
      </c>
      <c r="E133" s="1846" t="s">
        <v>740</v>
      </c>
      <c r="F133" s="1847" t="s">
        <v>741</v>
      </c>
      <c r="G133" s="1890" t="s">
        <v>262</v>
      </c>
      <c r="H133" s="1875" t="s">
        <v>742</v>
      </c>
      <c r="I133" s="1875" t="s">
        <v>629</v>
      </c>
      <c r="J133" s="1891">
        <v>0.09</v>
      </c>
      <c r="K133" s="1891">
        <v>4.4999999999999998E-2</v>
      </c>
      <c r="L133" s="1891">
        <v>4.4999999999999998E-2</v>
      </c>
      <c r="M133" s="1892">
        <v>0</v>
      </c>
      <c r="N133" s="1892">
        <v>2.5000000000000001E-2</v>
      </c>
      <c r="O133" s="1851" t="s">
        <v>252</v>
      </c>
      <c r="P133" s="1893">
        <v>0.43</v>
      </c>
      <c r="Q133" s="1853">
        <v>0.12</v>
      </c>
      <c r="R133" s="1854">
        <v>0</v>
      </c>
      <c r="S133" s="1851" t="s">
        <v>641</v>
      </c>
      <c r="T133" s="1732" t="s">
        <v>590</v>
      </c>
      <c r="U133" s="1851" t="s">
        <v>255</v>
      </c>
      <c r="V133" s="1855" t="s">
        <v>148</v>
      </c>
      <c r="W133" s="1855" t="s">
        <v>725</v>
      </c>
      <c r="X133" s="1851" t="s">
        <v>623</v>
      </c>
      <c r="Y133" s="1851" t="s">
        <v>624</v>
      </c>
      <c r="Z133" s="1851" t="s">
        <v>385</v>
      </c>
      <c r="AA133" s="1856">
        <v>100000</v>
      </c>
      <c r="AB133" s="1851" t="s">
        <v>662</v>
      </c>
      <c r="AC133" s="1857">
        <v>25</v>
      </c>
      <c r="AD133" s="1857">
        <v>25</v>
      </c>
      <c r="AE133" s="1858">
        <v>50</v>
      </c>
      <c r="AF133" s="1859">
        <v>7.5</v>
      </c>
      <c r="AG133" s="1858">
        <v>17.5</v>
      </c>
      <c r="AH133" s="1859">
        <v>7.5</v>
      </c>
      <c r="AI133" s="1860">
        <v>17.5</v>
      </c>
      <c r="AJ133" s="1861">
        <v>2.6130603043396584E-2</v>
      </c>
      <c r="AK133" s="1853">
        <v>1.4819312417809502E-2</v>
      </c>
      <c r="AL133" s="1853">
        <v>4.0500845387939121E-3</v>
      </c>
      <c r="AM133" s="1752">
        <f t="shared" si="4"/>
        <v>4.4999999999999998E-2</v>
      </c>
      <c r="AN133" s="1753">
        <v>4.4999999999999998E-2</v>
      </c>
      <c r="AO133" s="1861">
        <v>4.3902439024390248E-2</v>
      </c>
      <c r="AP133" s="1853">
        <v>0</v>
      </c>
      <c r="AQ133" s="1853">
        <v>0</v>
      </c>
      <c r="AR133" s="1754">
        <f t="shared" si="5"/>
        <v>4.3902439024390248E-2</v>
      </c>
      <c r="AS133" s="1861">
        <v>4.4999999999999998E-2</v>
      </c>
      <c r="AT133" s="1853">
        <v>0</v>
      </c>
      <c r="AU133" s="1862">
        <v>0</v>
      </c>
      <c r="AV133" s="1756">
        <f t="shared" si="6"/>
        <v>4.4999999999999998E-2</v>
      </c>
      <c r="AW133" s="1757">
        <f t="shared" si="7"/>
        <v>0.09</v>
      </c>
      <c r="AX133" s="1845" t="s">
        <v>743</v>
      </c>
      <c r="AY133" s="1758">
        <v>6.6000000000000003E-2</v>
      </c>
      <c r="AZ133" s="1759">
        <v>0</v>
      </c>
      <c r="BA133" s="1760">
        <v>0</v>
      </c>
      <c r="BB133" s="56"/>
      <c r="BC133" s="1894"/>
      <c r="BD133" s="1894"/>
      <c r="BE133" s="1894"/>
      <c r="BF133" s="1895"/>
      <c r="BI133" s="1896" t="s">
        <v>262</v>
      </c>
      <c r="BJ133" s="1891">
        <v>0.09</v>
      </c>
      <c r="BK133" s="1891">
        <v>8.890243902439024E-2</v>
      </c>
      <c r="BL133" s="1897">
        <v>4.8896341463414636E-2</v>
      </c>
    </row>
    <row r="134" spans="1:64" ht="30" customHeight="1" thickBot="1" x14ac:dyDescent="0.35">
      <c r="A134" s="1732" t="s">
        <v>375</v>
      </c>
      <c r="B134" s="1239" t="s">
        <v>614</v>
      </c>
      <c r="C134" s="1898" t="s">
        <v>744</v>
      </c>
      <c r="D134" s="1899" t="s">
        <v>745</v>
      </c>
      <c r="E134" s="1846" t="s">
        <v>746</v>
      </c>
      <c r="F134" s="1847" t="s">
        <v>747</v>
      </c>
      <c r="G134" s="1900" t="s">
        <v>141</v>
      </c>
      <c r="H134" s="1901" t="s">
        <v>748</v>
      </c>
      <c r="I134" s="1901" t="s">
        <v>748</v>
      </c>
      <c r="J134" s="1902" t="s">
        <v>747</v>
      </c>
      <c r="K134" s="1902" t="s">
        <v>747</v>
      </c>
      <c r="L134" s="1902" t="s">
        <v>747</v>
      </c>
      <c r="M134" s="1903" t="s">
        <v>141</v>
      </c>
      <c r="N134" s="1903">
        <v>0.1101</v>
      </c>
      <c r="O134" s="1851" t="s">
        <v>252</v>
      </c>
      <c r="P134" s="1903">
        <v>0.5</v>
      </c>
      <c r="Q134" s="1853">
        <v>0</v>
      </c>
      <c r="R134" s="1854">
        <v>0</v>
      </c>
      <c r="S134" s="1851" t="s">
        <v>749</v>
      </c>
      <c r="T134" s="1732" t="s">
        <v>750</v>
      </c>
      <c r="U134" s="1851" t="s">
        <v>255</v>
      </c>
      <c r="V134" s="1855" t="s">
        <v>148</v>
      </c>
      <c r="W134" s="1855" t="s">
        <v>751</v>
      </c>
      <c r="X134" s="1851" t="s">
        <v>141</v>
      </c>
      <c r="Y134" s="1851" t="s">
        <v>141</v>
      </c>
      <c r="Z134" s="1851" t="s">
        <v>141</v>
      </c>
      <c r="AA134" s="1856" t="s">
        <v>141</v>
      </c>
      <c r="AB134" s="1851" t="s">
        <v>744</v>
      </c>
      <c r="AC134" s="1857">
        <v>0</v>
      </c>
      <c r="AD134" s="1857">
        <v>0</v>
      </c>
      <c r="AE134" s="1858">
        <v>0</v>
      </c>
      <c r="AF134" s="1859">
        <v>0</v>
      </c>
      <c r="AG134" s="1858">
        <v>0</v>
      </c>
      <c r="AH134" s="1859">
        <v>0</v>
      </c>
      <c r="AI134" s="1860">
        <v>0</v>
      </c>
      <c r="AJ134" s="1904" t="s">
        <v>747</v>
      </c>
      <c r="AK134" s="1905" t="s">
        <v>747</v>
      </c>
      <c r="AL134" s="1905" t="s">
        <v>747</v>
      </c>
      <c r="AM134" s="1906" t="s">
        <v>747</v>
      </c>
      <c r="AN134" s="1907" t="s">
        <v>747</v>
      </c>
      <c r="AO134" s="1904" t="s">
        <v>747</v>
      </c>
      <c r="AP134" s="1905" t="s">
        <v>747</v>
      </c>
      <c r="AQ134" s="1905" t="s">
        <v>747</v>
      </c>
      <c r="AR134" s="1908" t="s">
        <v>747</v>
      </c>
      <c r="AS134" s="1904" t="s">
        <v>747</v>
      </c>
      <c r="AT134" s="1905" t="s">
        <v>747</v>
      </c>
      <c r="AU134" s="1909" t="s">
        <v>747</v>
      </c>
      <c r="AV134" s="1910" t="s">
        <v>747</v>
      </c>
      <c r="AW134" s="1910" t="s">
        <v>747</v>
      </c>
      <c r="AX134" s="1845" t="s">
        <v>746</v>
      </c>
      <c r="AY134" s="1758">
        <v>0</v>
      </c>
      <c r="AZ134" s="1759">
        <v>0</v>
      </c>
      <c r="BA134" s="1760">
        <v>0</v>
      </c>
      <c r="BB134" s="56"/>
      <c r="BC134" s="1894"/>
      <c r="BD134" s="1894"/>
      <c r="BE134" s="1894"/>
      <c r="BF134" s="1895"/>
      <c r="BI134" s="1911" t="s">
        <v>141</v>
      </c>
      <c r="BJ134" s="1911" t="s">
        <v>141</v>
      </c>
      <c r="BK134" s="1911" t="s">
        <v>141</v>
      </c>
      <c r="BL134" s="1912" t="s">
        <v>141</v>
      </c>
    </row>
    <row r="135" spans="1:64" ht="15" customHeight="1" x14ac:dyDescent="0.3">
      <c r="C135" s="51"/>
    </row>
    <row r="348" spans="3:6" x14ac:dyDescent="0.3">
      <c r="C348" s="1913" t="s">
        <v>752</v>
      </c>
      <c r="D348" s="1914"/>
      <c r="E348" s="1914"/>
      <c r="F348" s="1914"/>
    </row>
    <row r="349" spans="3:6" x14ac:dyDescent="0.3">
      <c r="C349" s="1915" t="s">
        <v>753</v>
      </c>
      <c r="D349" s="57"/>
      <c r="E349" s="57"/>
      <c r="F349" s="57"/>
    </row>
    <row r="350" spans="3:6" x14ac:dyDescent="0.3">
      <c r="C350" s="1916" t="s">
        <v>250</v>
      </c>
    </row>
    <row r="351" spans="3:6" x14ac:dyDescent="0.3">
      <c r="C351" s="1916" t="s">
        <v>263</v>
      </c>
    </row>
    <row r="352" spans="3:6" x14ac:dyDescent="0.3">
      <c r="C352" s="1916" t="s">
        <v>350</v>
      </c>
    </row>
    <row r="353" spans="3:3" x14ac:dyDescent="0.3">
      <c r="C353" s="1916" t="s">
        <v>363</v>
      </c>
    </row>
  </sheetData>
  <mergeCells count="42">
    <mergeCell ref="C129:C130"/>
    <mergeCell ref="C131:C133"/>
    <mergeCell ref="C102:C103"/>
    <mergeCell ref="T102:T103"/>
    <mergeCell ref="C104:C106"/>
    <mergeCell ref="C107:C113"/>
    <mergeCell ref="C114:C122"/>
    <mergeCell ref="C123:C128"/>
    <mergeCell ref="C88:C93"/>
    <mergeCell ref="T88:T93"/>
    <mergeCell ref="C94:C99"/>
    <mergeCell ref="T94:T99"/>
    <mergeCell ref="C100:C101"/>
    <mergeCell ref="T100:T101"/>
    <mergeCell ref="C80:C87"/>
    <mergeCell ref="T80:T87"/>
    <mergeCell ref="C27:C34"/>
    <mergeCell ref="C35:C40"/>
    <mergeCell ref="C41:C46"/>
    <mergeCell ref="C47:C48"/>
    <mergeCell ref="C52:C53"/>
    <mergeCell ref="C54:C61"/>
    <mergeCell ref="C62:C67"/>
    <mergeCell ref="C68:C73"/>
    <mergeCell ref="C74:C75"/>
    <mergeCell ref="C78:C79"/>
    <mergeCell ref="T78:T79"/>
    <mergeCell ref="C24:C25"/>
    <mergeCell ref="BC2:BN2"/>
    <mergeCell ref="BO2:BR2"/>
    <mergeCell ref="BS2:BV2"/>
    <mergeCell ref="AJ3:AW3"/>
    <mergeCell ref="BC3:BF3"/>
    <mergeCell ref="BG3:BJ3"/>
    <mergeCell ref="BK3:BN3"/>
    <mergeCell ref="BO3:BR3"/>
    <mergeCell ref="BS3:BV3"/>
    <mergeCell ref="C6:C11"/>
    <mergeCell ref="C12:C15"/>
    <mergeCell ref="C16:C18"/>
    <mergeCell ref="C19:C21"/>
    <mergeCell ref="C22:C23"/>
  </mergeCells>
  <pageMargins left="0.7" right="0.7" top="0.75" bottom="0.75" header="0.3" footer="0.3"/>
  <pageSetup paperSize="9" orientation="portrait" r:id="rId1"/>
  <headerFooter>
    <oddHeader>&amp;L&amp;"Calibri"&amp;10&amp;K000000Classified as Confidential&amp;1#</oddHead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103F9-5C07-4FE4-8751-EEF02C215EEB}">
  <dimension ref="A1:N149"/>
  <sheetViews>
    <sheetView showGridLines="0" zoomScale="70" zoomScaleNormal="70" workbookViewId="0">
      <selection activeCell="B27" sqref="B27"/>
    </sheetView>
  </sheetViews>
  <sheetFormatPr defaultColWidth="9.21875" defaultRowHeight="14.4" x14ac:dyDescent="0.3"/>
  <cols>
    <col min="1" max="1" width="6.44140625" style="1917" customWidth="1"/>
    <col min="2" max="2" width="77.21875" style="1917" customWidth="1"/>
    <col min="3" max="3" width="15.21875" style="1917" customWidth="1"/>
    <col min="4" max="4" width="32.33203125" style="1917" bestFit="1" customWidth="1"/>
    <col min="5" max="5" width="27.77734375" style="1917" bestFit="1" customWidth="1"/>
    <col min="6" max="6" width="10.33203125" style="1917" bestFit="1" customWidth="1"/>
    <col min="7" max="7" width="13.5546875" style="1917" customWidth="1"/>
    <col min="8" max="8" width="59.77734375" style="1917" customWidth="1"/>
    <col min="9" max="9" width="51.77734375" style="1917" customWidth="1"/>
    <col min="10" max="10" width="17.5546875" style="1917" bestFit="1" customWidth="1"/>
    <col min="11" max="11" width="12.5546875" style="1917" customWidth="1"/>
    <col min="12" max="12" width="17.5546875" style="1917" bestFit="1" customWidth="1"/>
    <col min="13" max="256" width="9.21875" style="1917"/>
    <col min="257" max="257" width="6.44140625" style="1917" customWidth="1"/>
    <col min="258" max="258" width="77.21875" style="1917" customWidth="1"/>
    <col min="259" max="259" width="15.21875" style="1917" customWidth="1"/>
    <col min="260" max="260" width="20.21875" style="1917" customWidth="1"/>
    <col min="261" max="261" width="16.5546875" style="1917" customWidth="1"/>
    <col min="262" max="262" width="9.5546875" style="1917" customWidth="1"/>
    <col min="263" max="263" width="13.5546875" style="1917" customWidth="1"/>
    <col min="264" max="264" width="59.77734375" style="1917" customWidth="1"/>
    <col min="265" max="265" width="51.77734375" style="1917" customWidth="1"/>
    <col min="266" max="266" width="17.5546875" style="1917" bestFit="1" customWidth="1"/>
    <col min="267" max="267" width="12.5546875" style="1917" customWidth="1"/>
    <col min="268" max="268" width="17.5546875" style="1917" bestFit="1" customWidth="1"/>
    <col min="269" max="512" width="9.21875" style="1917"/>
    <col min="513" max="513" width="6.44140625" style="1917" customWidth="1"/>
    <col min="514" max="514" width="77.21875" style="1917" customWidth="1"/>
    <col min="515" max="515" width="15.21875" style="1917" customWidth="1"/>
    <col min="516" max="516" width="20.21875" style="1917" customWidth="1"/>
    <col min="517" max="517" width="16.5546875" style="1917" customWidth="1"/>
    <col min="518" max="518" width="9.5546875" style="1917" customWidth="1"/>
    <col min="519" max="519" width="13.5546875" style="1917" customWidth="1"/>
    <col min="520" max="520" width="59.77734375" style="1917" customWidth="1"/>
    <col min="521" max="521" width="51.77734375" style="1917" customWidth="1"/>
    <col min="522" max="522" width="17.5546875" style="1917" bestFit="1" customWidth="1"/>
    <col min="523" max="523" width="12.5546875" style="1917" customWidth="1"/>
    <col min="524" max="524" width="17.5546875" style="1917" bestFit="1" customWidth="1"/>
    <col min="525" max="768" width="9.21875" style="1917"/>
    <col min="769" max="769" width="6.44140625" style="1917" customWidth="1"/>
    <col min="770" max="770" width="77.21875" style="1917" customWidth="1"/>
    <col min="771" max="771" width="15.21875" style="1917" customWidth="1"/>
    <col min="772" max="772" width="20.21875" style="1917" customWidth="1"/>
    <col min="773" max="773" width="16.5546875" style="1917" customWidth="1"/>
    <col min="774" max="774" width="9.5546875" style="1917" customWidth="1"/>
    <col min="775" max="775" width="13.5546875" style="1917" customWidth="1"/>
    <col min="776" max="776" width="59.77734375" style="1917" customWidth="1"/>
    <col min="777" max="777" width="51.77734375" style="1917" customWidth="1"/>
    <col min="778" max="778" width="17.5546875" style="1917" bestFit="1" customWidth="1"/>
    <col min="779" max="779" width="12.5546875" style="1917" customWidth="1"/>
    <col min="780" max="780" width="17.5546875" style="1917" bestFit="1" customWidth="1"/>
    <col min="781" max="1024" width="9.21875" style="1917"/>
    <col min="1025" max="1025" width="6.44140625" style="1917" customWidth="1"/>
    <col min="1026" max="1026" width="77.21875" style="1917" customWidth="1"/>
    <col min="1027" max="1027" width="15.21875" style="1917" customWidth="1"/>
    <col min="1028" max="1028" width="20.21875" style="1917" customWidth="1"/>
    <col min="1029" max="1029" width="16.5546875" style="1917" customWidth="1"/>
    <col min="1030" max="1030" width="9.5546875" style="1917" customWidth="1"/>
    <col min="1031" max="1031" width="13.5546875" style="1917" customWidth="1"/>
    <col min="1032" max="1032" width="59.77734375" style="1917" customWidth="1"/>
    <col min="1033" max="1033" width="51.77734375" style="1917" customWidth="1"/>
    <col min="1034" max="1034" width="17.5546875" style="1917" bestFit="1" customWidth="1"/>
    <col min="1035" max="1035" width="12.5546875" style="1917" customWidth="1"/>
    <col min="1036" max="1036" width="17.5546875" style="1917" bestFit="1" customWidth="1"/>
    <col min="1037" max="1280" width="9.21875" style="1917"/>
    <col min="1281" max="1281" width="6.44140625" style="1917" customWidth="1"/>
    <col min="1282" max="1282" width="77.21875" style="1917" customWidth="1"/>
    <col min="1283" max="1283" width="15.21875" style="1917" customWidth="1"/>
    <col min="1284" max="1284" width="20.21875" style="1917" customWidth="1"/>
    <col min="1285" max="1285" width="16.5546875" style="1917" customWidth="1"/>
    <col min="1286" max="1286" width="9.5546875" style="1917" customWidth="1"/>
    <col min="1287" max="1287" width="13.5546875" style="1917" customWidth="1"/>
    <col min="1288" max="1288" width="59.77734375" style="1917" customWidth="1"/>
    <col min="1289" max="1289" width="51.77734375" style="1917" customWidth="1"/>
    <col min="1290" max="1290" width="17.5546875" style="1917" bestFit="1" customWidth="1"/>
    <col min="1291" max="1291" width="12.5546875" style="1917" customWidth="1"/>
    <col min="1292" max="1292" width="17.5546875" style="1917" bestFit="1" customWidth="1"/>
    <col min="1293" max="1536" width="9.21875" style="1917"/>
    <col min="1537" max="1537" width="6.44140625" style="1917" customWidth="1"/>
    <col min="1538" max="1538" width="77.21875" style="1917" customWidth="1"/>
    <col min="1539" max="1539" width="15.21875" style="1917" customWidth="1"/>
    <col min="1540" max="1540" width="20.21875" style="1917" customWidth="1"/>
    <col min="1541" max="1541" width="16.5546875" style="1917" customWidth="1"/>
    <col min="1542" max="1542" width="9.5546875" style="1917" customWidth="1"/>
    <col min="1543" max="1543" width="13.5546875" style="1917" customWidth="1"/>
    <col min="1544" max="1544" width="59.77734375" style="1917" customWidth="1"/>
    <col min="1545" max="1545" width="51.77734375" style="1917" customWidth="1"/>
    <col min="1546" max="1546" width="17.5546875" style="1917" bestFit="1" customWidth="1"/>
    <col min="1547" max="1547" width="12.5546875" style="1917" customWidth="1"/>
    <col min="1548" max="1548" width="17.5546875" style="1917" bestFit="1" customWidth="1"/>
    <col min="1549" max="1792" width="9.21875" style="1917"/>
    <col min="1793" max="1793" width="6.44140625" style="1917" customWidth="1"/>
    <col min="1794" max="1794" width="77.21875" style="1917" customWidth="1"/>
    <col min="1795" max="1795" width="15.21875" style="1917" customWidth="1"/>
    <col min="1796" max="1796" width="20.21875" style="1917" customWidth="1"/>
    <col min="1797" max="1797" width="16.5546875" style="1917" customWidth="1"/>
    <col min="1798" max="1798" width="9.5546875" style="1917" customWidth="1"/>
    <col min="1799" max="1799" width="13.5546875" style="1917" customWidth="1"/>
    <col min="1800" max="1800" width="59.77734375" style="1917" customWidth="1"/>
    <col min="1801" max="1801" width="51.77734375" style="1917" customWidth="1"/>
    <col min="1802" max="1802" width="17.5546875" style="1917" bestFit="1" customWidth="1"/>
    <col min="1803" max="1803" width="12.5546875" style="1917" customWidth="1"/>
    <col min="1804" max="1804" width="17.5546875" style="1917" bestFit="1" customWidth="1"/>
    <col min="1805" max="2048" width="9.21875" style="1917"/>
    <col min="2049" max="2049" width="6.44140625" style="1917" customWidth="1"/>
    <col min="2050" max="2050" width="77.21875" style="1917" customWidth="1"/>
    <col min="2051" max="2051" width="15.21875" style="1917" customWidth="1"/>
    <col min="2052" max="2052" width="20.21875" style="1917" customWidth="1"/>
    <col min="2053" max="2053" width="16.5546875" style="1917" customWidth="1"/>
    <col min="2054" max="2054" width="9.5546875" style="1917" customWidth="1"/>
    <col min="2055" max="2055" width="13.5546875" style="1917" customWidth="1"/>
    <col min="2056" max="2056" width="59.77734375" style="1917" customWidth="1"/>
    <col min="2057" max="2057" width="51.77734375" style="1917" customWidth="1"/>
    <col min="2058" max="2058" width="17.5546875" style="1917" bestFit="1" customWidth="1"/>
    <col min="2059" max="2059" width="12.5546875" style="1917" customWidth="1"/>
    <col min="2060" max="2060" width="17.5546875" style="1917" bestFit="1" customWidth="1"/>
    <col min="2061" max="2304" width="9.21875" style="1917"/>
    <col min="2305" max="2305" width="6.44140625" style="1917" customWidth="1"/>
    <col min="2306" max="2306" width="77.21875" style="1917" customWidth="1"/>
    <col min="2307" max="2307" width="15.21875" style="1917" customWidth="1"/>
    <col min="2308" max="2308" width="20.21875" style="1917" customWidth="1"/>
    <col min="2309" max="2309" width="16.5546875" style="1917" customWidth="1"/>
    <col min="2310" max="2310" width="9.5546875" style="1917" customWidth="1"/>
    <col min="2311" max="2311" width="13.5546875" style="1917" customWidth="1"/>
    <col min="2312" max="2312" width="59.77734375" style="1917" customWidth="1"/>
    <col min="2313" max="2313" width="51.77734375" style="1917" customWidth="1"/>
    <col min="2314" max="2314" width="17.5546875" style="1917" bestFit="1" customWidth="1"/>
    <col min="2315" max="2315" width="12.5546875" style="1917" customWidth="1"/>
    <col min="2316" max="2316" width="17.5546875" style="1917" bestFit="1" customWidth="1"/>
    <col min="2317" max="2560" width="9.21875" style="1917"/>
    <col min="2561" max="2561" width="6.44140625" style="1917" customWidth="1"/>
    <col min="2562" max="2562" width="77.21875" style="1917" customWidth="1"/>
    <col min="2563" max="2563" width="15.21875" style="1917" customWidth="1"/>
    <col min="2564" max="2564" width="20.21875" style="1917" customWidth="1"/>
    <col min="2565" max="2565" width="16.5546875" style="1917" customWidth="1"/>
    <col min="2566" max="2566" width="9.5546875" style="1917" customWidth="1"/>
    <col min="2567" max="2567" width="13.5546875" style="1917" customWidth="1"/>
    <col min="2568" max="2568" width="59.77734375" style="1917" customWidth="1"/>
    <col min="2569" max="2569" width="51.77734375" style="1917" customWidth="1"/>
    <col min="2570" max="2570" width="17.5546875" style="1917" bestFit="1" customWidth="1"/>
    <col min="2571" max="2571" width="12.5546875" style="1917" customWidth="1"/>
    <col min="2572" max="2572" width="17.5546875" style="1917" bestFit="1" customWidth="1"/>
    <col min="2573" max="2816" width="9.21875" style="1917"/>
    <col min="2817" max="2817" width="6.44140625" style="1917" customWidth="1"/>
    <col min="2818" max="2818" width="77.21875" style="1917" customWidth="1"/>
    <col min="2819" max="2819" width="15.21875" style="1917" customWidth="1"/>
    <col min="2820" max="2820" width="20.21875" style="1917" customWidth="1"/>
    <col min="2821" max="2821" width="16.5546875" style="1917" customWidth="1"/>
    <col min="2822" max="2822" width="9.5546875" style="1917" customWidth="1"/>
    <col min="2823" max="2823" width="13.5546875" style="1917" customWidth="1"/>
    <col min="2824" max="2824" width="59.77734375" style="1917" customWidth="1"/>
    <col min="2825" max="2825" width="51.77734375" style="1917" customWidth="1"/>
    <col min="2826" max="2826" width="17.5546875" style="1917" bestFit="1" customWidth="1"/>
    <col min="2827" max="2827" width="12.5546875" style="1917" customWidth="1"/>
    <col min="2828" max="2828" width="17.5546875" style="1917" bestFit="1" customWidth="1"/>
    <col min="2829" max="3072" width="9.21875" style="1917"/>
    <col min="3073" max="3073" width="6.44140625" style="1917" customWidth="1"/>
    <col min="3074" max="3074" width="77.21875" style="1917" customWidth="1"/>
    <col min="3075" max="3075" width="15.21875" style="1917" customWidth="1"/>
    <col min="3076" max="3076" width="20.21875" style="1917" customWidth="1"/>
    <col min="3077" max="3077" width="16.5546875" style="1917" customWidth="1"/>
    <col min="3078" max="3078" width="9.5546875" style="1917" customWidth="1"/>
    <col min="3079" max="3079" width="13.5546875" style="1917" customWidth="1"/>
    <col min="3080" max="3080" width="59.77734375" style="1917" customWidth="1"/>
    <col min="3081" max="3081" width="51.77734375" style="1917" customWidth="1"/>
    <col min="3082" max="3082" width="17.5546875" style="1917" bestFit="1" customWidth="1"/>
    <col min="3083" max="3083" width="12.5546875" style="1917" customWidth="1"/>
    <col min="3084" max="3084" width="17.5546875" style="1917" bestFit="1" customWidth="1"/>
    <col min="3085" max="3328" width="9.21875" style="1917"/>
    <col min="3329" max="3329" width="6.44140625" style="1917" customWidth="1"/>
    <col min="3330" max="3330" width="77.21875" style="1917" customWidth="1"/>
    <col min="3331" max="3331" width="15.21875" style="1917" customWidth="1"/>
    <col min="3332" max="3332" width="20.21875" style="1917" customWidth="1"/>
    <col min="3333" max="3333" width="16.5546875" style="1917" customWidth="1"/>
    <col min="3334" max="3334" width="9.5546875" style="1917" customWidth="1"/>
    <col min="3335" max="3335" width="13.5546875" style="1917" customWidth="1"/>
    <col min="3336" max="3336" width="59.77734375" style="1917" customWidth="1"/>
    <col min="3337" max="3337" width="51.77734375" style="1917" customWidth="1"/>
    <col min="3338" max="3338" width="17.5546875" style="1917" bestFit="1" customWidth="1"/>
    <col min="3339" max="3339" width="12.5546875" style="1917" customWidth="1"/>
    <col min="3340" max="3340" width="17.5546875" style="1917" bestFit="1" customWidth="1"/>
    <col min="3341" max="3584" width="9.21875" style="1917"/>
    <col min="3585" max="3585" width="6.44140625" style="1917" customWidth="1"/>
    <col min="3586" max="3586" width="77.21875" style="1917" customWidth="1"/>
    <col min="3587" max="3587" width="15.21875" style="1917" customWidth="1"/>
    <col min="3588" max="3588" width="20.21875" style="1917" customWidth="1"/>
    <col min="3589" max="3589" width="16.5546875" style="1917" customWidth="1"/>
    <col min="3590" max="3590" width="9.5546875" style="1917" customWidth="1"/>
    <col min="3591" max="3591" width="13.5546875" style="1917" customWidth="1"/>
    <col min="3592" max="3592" width="59.77734375" style="1917" customWidth="1"/>
    <col min="3593" max="3593" width="51.77734375" style="1917" customWidth="1"/>
    <col min="3594" max="3594" width="17.5546875" style="1917" bestFit="1" customWidth="1"/>
    <col min="3595" max="3595" width="12.5546875" style="1917" customWidth="1"/>
    <col min="3596" max="3596" width="17.5546875" style="1917" bestFit="1" customWidth="1"/>
    <col min="3597" max="3840" width="9.21875" style="1917"/>
    <col min="3841" max="3841" width="6.44140625" style="1917" customWidth="1"/>
    <col min="3842" max="3842" width="77.21875" style="1917" customWidth="1"/>
    <col min="3843" max="3843" width="15.21875" style="1917" customWidth="1"/>
    <col min="3844" max="3844" width="20.21875" style="1917" customWidth="1"/>
    <col min="3845" max="3845" width="16.5546875" style="1917" customWidth="1"/>
    <col min="3846" max="3846" width="9.5546875" style="1917" customWidth="1"/>
    <col min="3847" max="3847" width="13.5546875" style="1917" customWidth="1"/>
    <col min="3848" max="3848" width="59.77734375" style="1917" customWidth="1"/>
    <col min="3849" max="3849" width="51.77734375" style="1917" customWidth="1"/>
    <col min="3850" max="3850" width="17.5546875" style="1917" bestFit="1" customWidth="1"/>
    <col min="3851" max="3851" width="12.5546875" style="1917" customWidth="1"/>
    <col min="3852" max="3852" width="17.5546875" style="1917" bestFit="1" customWidth="1"/>
    <col min="3853" max="4096" width="9.21875" style="1917"/>
    <col min="4097" max="4097" width="6.44140625" style="1917" customWidth="1"/>
    <col min="4098" max="4098" width="77.21875" style="1917" customWidth="1"/>
    <col min="4099" max="4099" width="15.21875" style="1917" customWidth="1"/>
    <col min="4100" max="4100" width="20.21875" style="1917" customWidth="1"/>
    <col min="4101" max="4101" width="16.5546875" style="1917" customWidth="1"/>
    <col min="4102" max="4102" width="9.5546875" style="1917" customWidth="1"/>
    <col min="4103" max="4103" width="13.5546875" style="1917" customWidth="1"/>
    <col min="4104" max="4104" width="59.77734375" style="1917" customWidth="1"/>
    <col min="4105" max="4105" width="51.77734375" style="1917" customWidth="1"/>
    <col min="4106" max="4106" width="17.5546875" style="1917" bestFit="1" customWidth="1"/>
    <col min="4107" max="4107" width="12.5546875" style="1917" customWidth="1"/>
    <col min="4108" max="4108" width="17.5546875" style="1917" bestFit="1" customWidth="1"/>
    <col min="4109" max="4352" width="9.21875" style="1917"/>
    <col min="4353" max="4353" width="6.44140625" style="1917" customWidth="1"/>
    <col min="4354" max="4354" width="77.21875" style="1917" customWidth="1"/>
    <col min="4355" max="4355" width="15.21875" style="1917" customWidth="1"/>
    <col min="4356" max="4356" width="20.21875" style="1917" customWidth="1"/>
    <col min="4357" max="4357" width="16.5546875" style="1917" customWidth="1"/>
    <col min="4358" max="4358" width="9.5546875" style="1917" customWidth="1"/>
    <col min="4359" max="4359" width="13.5546875" style="1917" customWidth="1"/>
    <col min="4360" max="4360" width="59.77734375" style="1917" customWidth="1"/>
    <col min="4361" max="4361" width="51.77734375" style="1917" customWidth="1"/>
    <col min="4362" max="4362" width="17.5546875" style="1917" bestFit="1" customWidth="1"/>
    <col min="4363" max="4363" width="12.5546875" style="1917" customWidth="1"/>
    <col min="4364" max="4364" width="17.5546875" style="1917" bestFit="1" customWidth="1"/>
    <col min="4365" max="4608" width="9.21875" style="1917"/>
    <col min="4609" max="4609" width="6.44140625" style="1917" customWidth="1"/>
    <col min="4610" max="4610" width="77.21875" style="1917" customWidth="1"/>
    <col min="4611" max="4611" width="15.21875" style="1917" customWidth="1"/>
    <col min="4612" max="4612" width="20.21875" style="1917" customWidth="1"/>
    <col min="4613" max="4613" width="16.5546875" style="1917" customWidth="1"/>
    <col min="4614" max="4614" width="9.5546875" style="1917" customWidth="1"/>
    <col min="4615" max="4615" width="13.5546875" style="1917" customWidth="1"/>
    <col min="4616" max="4616" width="59.77734375" style="1917" customWidth="1"/>
    <col min="4617" max="4617" width="51.77734375" style="1917" customWidth="1"/>
    <col min="4618" max="4618" width="17.5546875" style="1917" bestFit="1" customWidth="1"/>
    <col min="4619" max="4619" width="12.5546875" style="1917" customWidth="1"/>
    <col min="4620" max="4620" width="17.5546875" style="1917" bestFit="1" customWidth="1"/>
    <col min="4621" max="4864" width="9.21875" style="1917"/>
    <col min="4865" max="4865" width="6.44140625" style="1917" customWidth="1"/>
    <col min="4866" max="4866" width="77.21875" style="1917" customWidth="1"/>
    <col min="4867" max="4867" width="15.21875" style="1917" customWidth="1"/>
    <col min="4868" max="4868" width="20.21875" style="1917" customWidth="1"/>
    <col min="4869" max="4869" width="16.5546875" style="1917" customWidth="1"/>
    <col min="4870" max="4870" width="9.5546875" style="1917" customWidth="1"/>
    <col min="4871" max="4871" width="13.5546875" style="1917" customWidth="1"/>
    <col min="4872" max="4872" width="59.77734375" style="1917" customWidth="1"/>
    <col min="4873" max="4873" width="51.77734375" style="1917" customWidth="1"/>
    <col min="4874" max="4874" width="17.5546875" style="1917" bestFit="1" customWidth="1"/>
    <col min="4875" max="4875" width="12.5546875" style="1917" customWidth="1"/>
    <col min="4876" max="4876" width="17.5546875" style="1917" bestFit="1" customWidth="1"/>
    <col min="4877" max="5120" width="9.21875" style="1917"/>
    <col min="5121" max="5121" width="6.44140625" style="1917" customWidth="1"/>
    <col min="5122" max="5122" width="77.21875" style="1917" customWidth="1"/>
    <col min="5123" max="5123" width="15.21875" style="1917" customWidth="1"/>
    <col min="5124" max="5124" width="20.21875" style="1917" customWidth="1"/>
    <col min="5125" max="5125" width="16.5546875" style="1917" customWidth="1"/>
    <col min="5126" max="5126" width="9.5546875" style="1917" customWidth="1"/>
    <col min="5127" max="5127" width="13.5546875" style="1917" customWidth="1"/>
    <col min="5128" max="5128" width="59.77734375" style="1917" customWidth="1"/>
    <col min="5129" max="5129" width="51.77734375" style="1917" customWidth="1"/>
    <col min="5130" max="5130" width="17.5546875" style="1917" bestFit="1" customWidth="1"/>
    <col min="5131" max="5131" width="12.5546875" style="1917" customWidth="1"/>
    <col min="5132" max="5132" width="17.5546875" style="1917" bestFit="1" customWidth="1"/>
    <col min="5133" max="5376" width="9.21875" style="1917"/>
    <col min="5377" max="5377" width="6.44140625" style="1917" customWidth="1"/>
    <col min="5378" max="5378" width="77.21875" style="1917" customWidth="1"/>
    <col min="5379" max="5379" width="15.21875" style="1917" customWidth="1"/>
    <col min="5380" max="5380" width="20.21875" style="1917" customWidth="1"/>
    <col min="5381" max="5381" width="16.5546875" style="1917" customWidth="1"/>
    <col min="5382" max="5382" width="9.5546875" style="1917" customWidth="1"/>
    <col min="5383" max="5383" width="13.5546875" style="1917" customWidth="1"/>
    <col min="5384" max="5384" width="59.77734375" style="1917" customWidth="1"/>
    <col min="5385" max="5385" width="51.77734375" style="1917" customWidth="1"/>
    <col min="5386" max="5386" width="17.5546875" style="1917" bestFit="1" customWidth="1"/>
    <col min="5387" max="5387" width="12.5546875" style="1917" customWidth="1"/>
    <col min="5388" max="5388" width="17.5546875" style="1917" bestFit="1" customWidth="1"/>
    <col min="5389" max="5632" width="9.21875" style="1917"/>
    <col min="5633" max="5633" width="6.44140625" style="1917" customWidth="1"/>
    <col min="5634" max="5634" width="77.21875" style="1917" customWidth="1"/>
    <col min="5635" max="5635" width="15.21875" style="1917" customWidth="1"/>
    <col min="5636" max="5636" width="20.21875" style="1917" customWidth="1"/>
    <col min="5637" max="5637" width="16.5546875" style="1917" customWidth="1"/>
    <col min="5638" max="5638" width="9.5546875" style="1917" customWidth="1"/>
    <col min="5639" max="5639" width="13.5546875" style="1917" customWidth="1"/>
    <col min="5640" max="5640" width="59.77734375" style="1917" customWidth="1"/>
    <col min="5641" max="5641" width="51.77734375" style="1917" customWidth="1"/>
    <col min="5642" max="5642" width="17.5546875" style="1917" bestFit="1" customWidth="1"/>
    <col min="5643" max="5643" width="12.5546875" style="1917" customWidth="1"/>
    <col min="5644" max="5644" width="17.5546875" style="1917" bestFit="1" customWidth="1"/>
    <col min="5645" max="5888" width="9.21875" style="1917"/>
    <col min="5889" max="5889" width="6.44140625" style="1917" customWidth="1"/>
    <col min="5890" max="5890" width="77.21875" style="1917" customWidth="1"/>
    <col min="5891" max="5891" width="15.21875" style="1917" customWidth="1"/>
    <col min="5892" max="5892" width="20.21875" style="1917" customWidth="1"/>
    <col min="5893" max="5893" width="16.5546875" style="1917" customWidth="1"/>
    <col min="5894" max="5894" width="9.5546875" style="1917" customWidth="1"/>
    <col min="5895" max="5895" width="13.5546875" style="1917" customWidth="1"/>
    <col min="5896" max="5896" width="59.77734375" style="1917" customWidth="1"/>
    <col min="5897" max="5897" width="51.77734375" style="1917" customWidth="1"/>
    <col min="5898" max="5898" width="17.5546875" style="1917" bestFit="1" customWidth="1"/>
    <col min="5899" max="5899" width="12.5546875" style="1917" customWidth="1"/>
    <col min="5900" max="5900" width="17.5546875" style="1917" bestFit="1" customWidth="1"/>
    <col min="5901" max="6144" width="9.21875" style="1917"/>
    <col min="6145" max="6145" width="6.44140625" style="1917" customWidth="1"/>
    <col min="6146" max="6146" width="77.21875" style="1917" customWidth="1"/>
    <col min="6147" max="6147" width="15.21875" style="1917" customWidth="1"/>
    <col min="6148" max="6148" width="20.21875" style="1917" customWidth="1"/>
    <col min="6149" max="6149" width="16.5546875" style="1917" customWidth="1"/>
    <col min="6150" max="6150" width="9.5546875" style="1917" customWidth="1"/>
    <col min="6151" max="6151" width="13.5546875" style="1917" customWidth="1"/>
    <col min="6152" max="6152" width="59.77734375" style="1917" customWidth="1"/>
    <col min="6153" max="6153" width="51.77734375" style="1917" customWidth="1"/>
    <col min="6154" max="6154" width="17.5546875" style="1917" bestFit="1" customWidth="1"/>
    <col min="6155" max="6155" width="12.5546875" style="1917" customWidth="1"/>
    <col min="6156" max="6156" width="17.5546875" style="1917" bestFit="1" customWidth="1"/>
    <col min="6157" max="6400" width="9.21875" style="1917"/>
    <col min="6401" max="6401" width="6.44140625" style="1917" customWidth="1"/>
    <col min="6402" max="6402" width="77.21875" style="1917" customWidth="1"/>
    <col min="6403" max="6403" width="15.21875" style="1917" customWidth="1"/>
    <col min="6404" max="6404" width="20.21875" style="1917" customWidth="1"/>
    <col min="6405" max="6405" width="16.5546875" style="1917" customWidth="1"/>
    <col min="6406" max="6406" width="9.5546875" style="1917" customWidth="1"/>
    <col min="6407" max="6407" width="13.5546875" style="1917" customWidth="1"/>
    <col min="6408" max="6408" width="59.77734375" style="1917" customWidth="1"/>
    <col min="6409" max="6409" width="51.77734375" style="1917" customWidth="1"/>
    <col min="6410" max="6410" width="17.5546875" style="1917" bestFit="1" customWidth="1"/>
    <col min="6411" max="6411" width="12.5546875" style="1917" customWidth="1"/>
    <col min="6412" max="6412" width="17.5546875" style="1917" bestFit="1" customWidth="1"/>
    <col min="6413" max="6656" width="9.21875" style="1917"/>
    <col min="6657" max="6657" width="6.44140625" style="1917" customWidth="1"/>
    <col min="6658" max="6658" width="77.21875" style="1917" customWidth="1"/>
    <col min="6659" max="6659" width="15.21875" style="1917" customWidth="1"/>
    <col min="6660" max="6660" width="20.21875" style="1917" customWidth="1"/>
    <col min="6661" max="6661" width="16.5546875" style="1917" customWidth="1"/>
    <col min="6662" max="6662" width="9.5546875" style="1917" customWidth="1"/>
    <col min="6663" max="6663" width="13.5546875" style="1917" customWidth="1"/>
    <col min="6664" max="6664" width="59.77734375" style="1917" customWidth="1"/>
    <col min="6665" max="6665" width="51.77734375" style="1917" customWidth="1"/>
    <col min="6666" max="6666" width="17.5546875" style="1917" bestFit="1" customWidth="1"/>
    <col min="6667" max="6667" width="12.5546875" style="1917" customWidth="1"/>
    <col min="6668" max="6668" width="17.5546875" style="1917" bestFit="1" customWidth="1"/>
    <col min="6669" max="6912" width="9.21875" style="1917"/>
    <col min="6913" max="6913" width="6.44140625" style="1917" customWidth="1"/>
    <col min="6914" max="6914" width="77.21875" style="1917" customWidth="1"/>
    <col min="6915" max="6915" width="15.21875" style="1917" customWidth="1"/>
    <col min="6916" max="6916" width="20.21875" style="1917" customWidth="1"/>
    <col min="6917" max="6917" width="16.5546875" style="1917" customWidth="1"/>
    <col min="6918" max="6918" width="9.5546875" style="1917" customWidth="1"/>
    <col min="6919" max="6919" width="13.5546875" style="1917" customWidth="1"/>
    <col min="6920" max="6920" width="59.77734375" style="1917" customWidth="1"/>
    <col min="6921" max="6921" width="51.77734375" style="1917" customWidth="1"/>
    <col min="6922" max="6922" width="17.5546875" style="1917" bestFit="1" customWidth="1"/>
    <col min="6923" max="6923" width="12.5546875" style="1917" customWidth="1"/>
    <col min="6924" max="6924" width="17.5546875" style="1917" bestFit="1" customWidth="1"/>
    <col min="6925" max="7168" width="9.21875" style="1917"/>
    <col min="7169" max="7169" width="6.44140625" style="1917" customWidth="1"/>
    <col min="7170" max="7170" width="77.21875" style="1917" customWidth="1"/>
    <col min="7171" max="7171" width="15.21875" style="1917" customWidth="1"/>
    <col min="7172" max="7172" width="20.21875" style="1917" customWidth="1"/>
    <col min="7173" max="7173" width="16.5546875" style="1917" customWidth="1"/>
    <col min="7174" max="7174" width="9.5546875" style="1917" customWidth="1"/>
    <col min="7175" max="7175" width="13.5546875" style="1917" customWidth="1"/>
    <col min="7176" max="7176" width="59.77734375" style="1917" customWidth="1"/>
    <col min="7177" max="7177" width="51.77734375" style="1917" customWidth="1"/>
    <col min="7178" max="7178" width="17.5546875" style="1917" bestFit="1" customWidth="1"/>
    <col min="7179" max="7179" width="12.5546875" style="1917" customWidth="1"/>
    <col min="7180" max="7180" width="17.5546875" style="1917" bestFit="1" customWidth="1"/>
    <col min="7181" max="7424" width="9.21875" style="1917"/>
    <col min="7425" max="7425" width="6.44140625" style="1917" customWidth="1"/>
    <col min="7426" max="7426" width="77.21875" style="1917" customWidth="1"/>
    <col min="7427" max="7427" width="15.21875" style="1917" customWidth="1"/>
    <col min="7428" max="7428" width="20.21875" style="1917" customWidth="1"/>
    <col min="7429" max="7429" width="16.5546875" style="1917" customWidth="1"/>
    <col min="7430" max="7430" width="9.5546875" style="1917" customWidth="1"/>
    <col min="7431" max="7431" width="13.5546875" style="1917" customWidth="1"/>
    <col min="7432" max="7432" width="59.77734375" style="1917" customWidth="1"/>
    <col min="7433" max="7433" width="51.77734375" style="1917" customWidth="1"/>
    <col min="7434" max="7434" width="17.5546875" style="1917" bestFit="1" customWidth="1"/>
    <col min="7435" max="7435" width="12.5546875" style="1917" customWidth="1"/>
    <col min="7436" max="7436" width="17.5546875" style="1917" bestFit="1" customWidth="1"/>
    <col min="7437" max="7680" width="9.21875" style="1917"/>
    <col min="7681" max="7681" width="6.44140625" style="1917" customWidth="1"/>
    <col min="7682" max="7682" width="77.21875" style="1917" customWidth="1"/>
    <col min="7683" max="7683" width="15.21875" style="1917" customWidth="1"/>
    <col min="7684" max="7684" width="20.21875" style="1917" customWidth="1"/>
    <col min="7685" max="7685" width="16.5546875" style="1917" customWidth="1"/>
    <col min="7686" max="7686" width="9.5546875" style="1917" customWidth="1"/>
    <col min="7687" max="7687" width="13.5546875" style="1917" customWidth="1"/>
    <col min="7688" max="7688" width="59.77734375" style="1917" customWidth="1"/>
    <col min="7689" max="7689" width="51.77734375" style="1917" customWidth="1"/>
    <col min="7690" max="7690" width="17.5546875" style="1917" bestFit="1" customWidth="1"/>
    <col min="7691" max="7691" width="12.5546875" style="1917" customWidth="1"/>
    <col min="7692" max="7692" width="17.5546875" style="1917" bestFit="1" customWidth="1"/>
    <col min="7693" max="7936" width="9.21875" style="1917"/>
    <col min="7937" max="7937" width="6.44140625" style="1917" customWidth="1"/>
    <col min="7938" max="7938" width="77.21875" style="1917" customWidth="1"/>
    <col min="7939" max="7939" width="15.21875" style="1917" customWidth="1"/>
    <col min="7940" max="7940" width="20.21875" style="1917" customWidth="1"/>
    <col min="7941" max="7941" width="16.5546875" style="1917" customWidth="1"/>
    <col min="7942" max="7942" width="9.5546875" style="1917" customWidth="1"/>
    <col min="7943" max="7943" width="13.5546875" style="1917" customWidth="1"/>
    <col min="7944" max="7944" width="59.77734375" style="1917" customWidth="1"/>
    <col min="7945" max="7945" width="51.77734375" style="1917" customWidth="1"/>
    <col min="7946" max="7946" width="17.5546875" style="1917" bestFit="1" customWidth="1"/>
    <col min="7947" max="7947" width="12.5546875" style="1917" customWidth="1"/>
    <col min="7948" max="7948" width="17.5546875" style="1917" bestFit="1" customWidth="1"/>
    <col min="7949" max="8192" width="9.21875" style="1917"/>
    <col min="8193" max="8193" width="6.44140625" style="1917" customWidth="1"/>
    <col min="8194" max="8194" width="77.21875" style="1917" customWidth="1"/>
    <col min="8195" max="8195" width="15.21875" style="1917" customWidth="1"/>
    <col min="8196" max="8196" width="20.21875" style="1917" customWidth="1"/>
    <col min="8197" max="8197" width="16.5546875" style="1917" customWidth="1"/>
    <col min="8198" max="8198" width="9.5546875" style="1917" customWidth="1"/>
    <col min="8199" max="8199" width="13.5546875" style="1917" customWidth="1"/>
    <col min="8200" max="8200" width="59.77734375" style="1917" customWidth="1"/>
    <col min="8201" max="8201" width="51.77734375" style="1917" customWidth="1"/>
    <col min="8202" max="8202" width="17.5546875" style="1917" bestFit="1" customWidth="1"/>
    <col min="8203" max="8203" width="12.5546875" style="1917" customWidth="1"/>
    <col min="8204" max="8204" width="17.5546875" style="1917" bestFit="1" customWidth="1"/>
    <col min="8205" max="8448" width="9.21875" style="1917"/>
    <col min="8449" max="8449" width="6.44140625" style="1917" customWidth="1"/>
    <col min="8450" max="8450" width="77.21875" style="1917" customWidth="1"/>
    <col min="8451" max="8451" width="15.21875" style="1917" customWidth="1"/>
    <col min="8452" max="8452" width="20.21875" style="1917" customWidth="1"/>
    <col min="8453" max="8453" width="16.5546875" style="1917" customWidth="1"/>
    <col min="8454" max="8454" width="9.5546875" style="1917" customWidth="1"/>
    <col min="8455" max="8455" width="13.5546875" style="1917" customWidth="1"/>
    <col min="8456" max="8456" width="59.77734375" style="1917" customWidth="1"/>
    <col min="8457" max="8457" width="51.77734375" style="1917" customWidth="1"/>
    <col min="8458" max="8458" width="17.5546875" style="1917" bestFit="1" customWidth="1"/>
    <col min="8459" max="8459" width="12.5546875" style="1917" customWidth="1"/>
    <col min="8460" max="8460" width="17.5546875" style="1917" bestFit="1" customWidth="1"/>
    <col min="8461" max="8704" width="9.21875" style="1917"/>
    <col min="8705" max="8705" width="6.44140625" style="1917" customWidth="1"/>
    <col min="8706" max="8706" width="77.21875" style="1917" customWidth="1"/>
    <col min="8707" max="8707" width="15.21875" style="1917" customWidth="1"/>
    <col min="8708" max="8708" width="20.21875" style="1917" customWidth="1"/>
    <col min="8709" max="8709" width="16.5546875" style="1917" customWidth="1"/>
    <col min="8710" max="8710" width="9.5546875" style="1917" customWidth="1"/>
    <col min="8711" max="8711" width="13.5546875" style="1917" customWidth="1"/>
    <col min="8712" max="8712" width="59.77734375" style="1917" customWidth="1"/>
    <col min="8713" max="8713" width="51.77734375" style="1917" customWidth="1"/>
    <col min="8714" max="8714" width="17.5546875" style="1917" bestFit="1" customWidth="1"/>
    <col min="8715" max="8715" width="12.5546875" style="1917" customWidth="1"/>
    <col min="8716" max="8716" width="17.5546875" style="1917" bestFit="1" customWidth="1"/>
    <col min="8717" max="8960" width="9.21875" style="1917"/>
    <col min="8961" max="8961" width="6.44140625" style="1917" customWidth="1"/>
    <col min="8962" max="8962" width="77.21875" style="1917" customWidth="1"/>
    <col min="8963" max="8963" width="15.21875" style="1917" customWidth="1"/>
    <col min="8964" max="8964" width="20.21875" style="1917" customWidth="1"/>
    <col min="8965" max="8965" width="16.5546875" style="1917" customWidth="1"/>
    <col min="8966" max="8966" width="9.5546875" style="1917" customWidth="1"/>
    <col min="8967" max="8967" width="13.5546875" style="1917" customWidth="1"/>
    <col min="8968" max="8968" width="59.77734375" style="1917" customWidth="1"/>
    <col min="8969" max="8969" width="51.77734375" style="1917" customWidth="1"/>
    <col min="8970" max="8970" width="17.5546875" style="1917" bestFit="1" customWidth="1"/>
    <col min="8971" max="8971" width="12.5546875" style="1917" customWidth="1"/>
    <col min="8972" max="8972" width="17.5546875" style="1917" bestFit="1" customWidth="1"/>
    <col min="8973" max="9216" width="9.21875" style="1917"/>
    <col min="9217" max="9217" width="6.44140625" style="1917" customWidth="1"/>
    <col min="9218" max="9218" width="77.21875" style="1917" customWidth="1"/>
    <col min="9219" max="9219" width="15.21875" style="1917" customWidth="1"/>
    <col min="9220" max="9220" width="20.21875" style="1917" customWidth="1"/>
    <col min="9221" max="9221" width="16.5546875" style="1917" customWidth="1"/>
    <col min="9222" max="9222" width="9.5546875" style="1917" customWidth="1"/>
    <col min="9223" max="9223" width="13.5546875" style="1917" customWidth="1"/>
    <col min="9224" max="9224" width="59.77734375" style="1917" customWidth="1"/>
    <col min="9225" max="9225" width="51.77734375" style="1917" customWidth="1"/>
    <col min="9226" max="9226" width="17.5546875" style="1917" bestFit="1" customWidth="1"/>
    <col min="9227" max="9227" width="12.5546875" style="1917" customWidth="1"/>
    <col min="9228" max="9228" width="17.5546875" style="1917" bestFit="1" customWidth="1"/>
    <col min="9229" max="9472" width="9.21875" style="1917"/>
    <col min="9473" max="9473" width="6.44140625" style="1917" customWidth="1"/>
    <col min="9474" max="9474" width="77.21875" style="1917" customWidth="1"/>
    <col min="9475" max="9475" width="15.21875" style="1917" customWidth="1"/>
    <col min="9476" max="9476" width="20.21875" style="1917" customWidth="1"/>
    <col min="9477" max="9477" width="16.5546875" style="1917" customWidth="1"/>
    <col min="9478" max="9478" width="9.5546875" style="1917" customWidth="1"/>
    <col min="9479" max="9479" width="13.5546875" style="1917" customWidth="1"/>
    <col min="9480" max="9480" width="59.77734375" style="1917" customWidth="1"/>
    <col min="9481" max="9481" width="51.77734375" style="1917" customWidth="1"/>
    <col min="9482" max="9482" width="17.5546875" style="1917" bestFit="1" customWidth="1"/>
    <col min="9483" max="9483" width="12.5546875" style="1917" customWidth="1"/>
    <col min="9484" max="9484" width="17.5546875" style="1917" bestFit="1" customWidth="1"/>
    <col min="9485" max="9728" width="9.21875" style="1917"/>
    <col min="9729" max="9729" width="6.44140625" style="1917" customWidth="1"/>
    <col min="9730" max="9730" width="77.21875" style="1917" customWidth="1"/>
    <col min="9731" max="9731" width="15.21875" style="1917" customWidth="1"/>
    <col min="9732" max="9732" width="20.21875" style="1917" customWidth="1"/>
    <col min="9733" max="9733" width="16.5546875" style="1917" customWidth="1"/>
    <col min="9734" max="9734" width="9.5546875" style="1917" customWidth="1"/>
    <col min="9735" max="9735" width="13.5546875" style="1917" customWidth="1"/>
    <col min="9736" max="9736" width="59.77734375" style="1917" customWidth="1"/>
    <col min="9737" max="9737" width="51.77734375" style="1917" customWidth="1"/>
    <col min="9738" max="9738" width="17.5546875" style="1917" bestFit="1" customWidth="1"/>
    <col min="9739" max="9739" width="12.5546875" style="1917" customWidth="1"/>
    <col min="9740" max="9740" width="17.5546875" style="1917" bestFit="1" customWidth="1"/>
    <col min="9741" max="9984" width="9.21875" style="1917"/>
    <col min="9985" max="9985" width="6.44140625" style="1917" customWidth="1"/>
    <col min="9986" max="9986" width="77.21875" style="1917" customWidth="1"/>
    <col min="9987" max="9987" width="15.21875" style="1917" customWidth="1"/>
    <col min="9988" max="9988" width="20.21875" style="1917" customWidth="1"/>
    <col min="9989" max="9989" width="16.5546875" style="1917" customWidth="1"/>
    <col min="9990" max="9990" width="9.5546875" style="1917" customWidth="1"/>
    <col min="9991" max="9991" width="13.5546875" style="1917" customWidth="1"/>
    <col min="9992" max="9992" width="59.77734375" style="1917" customWidth="1"/>
    <col min="9993" max="9993" width="51.77734375" style="1917" customWidth="1"/>
    <col min="9994" max="9994" width="17.5546875" style="1917" bestFit="1" customWidth="1"/>
    <col min="9995" max="9995" width="12.5546875" style="1917" customWidth="1"/>
    <col min="9996" max="9996" width="17.5546875" style="1917" bestFit="1" customWidth="1"/>
    <col min="9997" max="10240" width="9.21875" style="1917"/>
    <col min="10241" max="10241" width="6.44140625" style="1917" customWidth="1"/>
    <col min="10242" max="10242" width="77.21875" style="1917" customWidth="1"/>
    <col min="10243" max="10243" width="15.21875" style="1917" customWidth="1"/>
    <col min="10244" max="10244" width="20.21875" style="1917" customWidth="1"/>
    <col min="10245" max="10245" width="16.5546875" style="1917" customWidth="1"/>
    <col min="10246" max="10246" width="9.5546875" style="1917" customWidth="1"/>
    <col min="10247" max="10247" width="13.5546875" style="1917" customWidth="1"/>
    <col min="10248" max="10248" width="59.77734375" style="1917" customWidth="1"/>
    <col min="10249" max="10249" width="51.77734375" style="1917" customWidth="1"/>
    <col min="10250" max="10250" width="17.5546875" style="1917" bestFit="1" customWidth="1"/>
    <col min="10251" max="10251" width="12.5546875" style="1917" customWidth="1"/>
    <col min="10252" max="10252" width="17.5546875" style="1917" bestFit="1" customWidth="1"/>
    <col min="10253" max="10496" width="9.21875" style="1917"/>
    <col min="10497" max="10497" width="6.44140625" style="1917" customWidth="1"/>
    <col min="10498" max="10498" width="77.21875" style="1917" customWidth="1"/>
    <col min="10499" max="10499" width="15.21875" style="1917" customWidth="1"/>
    <col min="10500" max="10500" width="20.21875" style="1917" customWidth="1"/>
    <col min="10501" max="10501" width="16.5546875" style="1917" customWidth="1"/>
    <col min="10502" max="10502" width="9.5546875" style="1917" customWidth="1"/>
    <col min="10503" max="10503" width="13.5546875" style="1917" customWidth="1"/>
    <col min="10504" max="10504" width="59.77734375" style="1917" customWidth="1"/>
    <col min="10505" max="10505" width="51.77734375" style="1917" customWidth="1"/>
    <col min="10506" max="10506" width="17.5546875" style="1917" bestFit="1" customWidth="1"/>
    <col min="10507" max="10507" width="12.5546875" style="1917" customWidth="1"/>
    <col min="10508" max="10508" width="17.5546875" style="1917" bestFit="1" customWidth="1"/>
    <col min="10509" max="10752" width="9.21875" style="1917"/>
    <col min="10753" max="10753" width="6.44140625" style="1917" customWidth="1"/>
    <col min="10754" max="10754" width="77.21875" style="1917" customWidth="1"/>
    <col min="10755" max="10755" width="15.21875" style="1917" customWidth="1"/>
    <col min="10756" max="10756" width="20.21875" style="1917" customWidth="1"/>
    <col min="10757" max="10757" width="16.5546875" style="1917" customWidth="1"/>
    <col min="10758" max="10758" width="9.5546875" style="1917" customWidth="1"/>
    <col min="10759" max="10759" width="13.5546875" style="1917" customWidth="1"/>
    <col min="10760" max="10760" width="59.77734375" style="1917" customWidth="1"/>
    <col min="10761" max="10761" width="51.77734375" style="1917" customWidth="1"/>
    <col min="10762" max="10762" width="17.5546875" style="1917" bestFit="1" customWidth="1"/>
    <col min="10763" max="10763" width="12.5546875" style="1917" customWidth="1"/>
    <col min="10764" max="10764" width="17.5546875" style="1917" bestFit="1" customWidth="1"/>
    <col min="10765" max="11008" width="9.21875" style="1917"/>
    <col min="11009" max="11009" width="6.44140625" style="1917" customWidth="1"/>
    <col min="11010" max="11010" width="77.21875" style="1917" customWidth="1"/>
    <col min="11011" max="11011" width="15.21875" style="1917" customWidth="1"/>
    <col min="11012" max="11012" width="20.21875" style="1917" customWidth="1"/>
    <col min="11013" max="11013" width="16.5546875" style="1917" customWidth="1"/>
    <col min="11014" max="11014" width="9.5546875" style="1917" customWidth="1"/>
    <col min="11015" max="11015" width="13.5546875" style="1917" customWidth="1"/>
    <col min="11016" max="11016" width="59.77734375" style="1917" customWidth="1"/>
    <col min="11017" max="11017" width="51.77734375" style="1917" customWidth="1"/>
    <col min="11018" max="11018" width="17.5546875" style="1917" bestFit="1" customWidth="1"/>
    <col min="11019" max="11019" width="12.5546875" style="1917" customWidth="1"/>
    <col min="11020" max="11020" width="17.5546875" style="1917" bestFit="1" customWidth="1"/>
    <col min="11021" max="11264" width="9.21875" style="1917"/>
    <col min="11265" max="11265" width="6.44140625" style="1917" customWidth="1"/>
    <col min="11266" max="11266" width="77.21875" style="1917" customWidth="1"/>
    <col min="11267" max="11267" width="15.21875" style="1917" customWidth="1"/>
    <col min="11268" max="11268" width="20.21875" style="1917" customWidth="1"/>
    <col min="11269" max="11269" width="16.5546875" style="1917" customWidth="1"/>
    <col min="11270" max="11270" width="9.5546875" style="1917" customWidth="1"/>
    <col min="11271" max="11271" width="13.5546875" style="1917" customWidth="1"/>
    <col min="11272" max="11272" width="59.77734375" style="1917" customWidth="1"/>
    <col min="11273" max="11273" width="51.77734375" style="1917" customWidth="1"/>
    <col min="11274" max="11274" width="17.5546875" style="1917" bestFit="1" customWidth="1"/>
    <col min="11275" max="11275" width="12.5546875" style="1917" customWidth="1"/>
    <col min="11276" max="11276" width="17.5546875" style="1917" bestFit="1" customWidth="1"/>
    <col min="11277" max="11520" width="9.21875" style="1917"/>
    <col min="11521" max="11521" width="6.44140625" style="1917" customWidth="1"/>
    <col min="11522" max="11522" width="77.21875" style="1917" customWidth="1"/>
    <col min="11523" max="11523" width="15.21875" style="1917" customWidth="1"/>
    <col min="11524" max="11524" width="20.21875" style="1917" customWidth="1"/>
    <col min="11525" max="11525" width="16.5546875" style="1917" customWidth="1"/>
    <col min="11526" max="11526" width="9.5546875" style="1917" customWidth="1"/>
    <col min="11527" max="11527" width="13.5546875" style="1917" customWidth="1"/>
    <col min="11528" max="11528" width="59.77734375" style="1917" customWidth="1"/>
    <col min="11529" max="11529" width="51.77734375" style="1917" customWidth="1"/>
    <col min="11530" max="11530" width="17.5546875" style="1917" bestFit="1" customWidth="1"/>
    <col min="11531" max="11531" width="12.5546875" style="1917" customWidth="1"/>
    <col min="11532" max="11532" width="17.5546875" style="1917" bestFit="1" customWidth="1"/>
    <col min="11533" max="11776" width="9.21875" style="1917"/>
    <col min="11777" max="11777" width="6.44140625" style="1917" customWidth="1"/>
    <col min="11778" max="11778" width="77.21875" style="1917" customWidth="1"/>
    <col min="11779" max="11779" width="15.21875" style="1917" customWidth="1"/>
    <col min="11780" max="11780" width="20.21875" style="1917" customWidth="1"/>
    <col min="11781" max="11781" width="16.5546875" style="1917" customWidth="1"/>
    <col min="11782" max="11782" width="9.5546875" style="1917" customWidth="1"/>
    <col min="11783" max="11783" width="13.5546875" style="1917" customWidth="1"/>
    <col min="11784" max="11784" width="59.77734375" style="1917" customWidth="1"/>
    <col min="11785" max="11785" width="51.77734375" style="1917" customWidth="1"/>
    <col min="11786" max="11786" width="17.5546875" style="1917" bestFit="1" customWidth="1"/>
    <col min="11787" max="11787" width="12.5546875" style="1917" customWidth="1"/>
    <col min="11788" max="11788" width="17.5546875" style="1917" bestFit="1" customWidth="1"/>
    <col min="11789" max="12032" width="9.21875" style="1917"/>
    <col min="12033" max="12033" width="6.44140625" style="1917" customWidth="1"/>
    <col min="12034" max="12034" width="77.21875" style="1917" customWidth="1"/>
    <col min="12035" max="12035" width="15.21875" style="1917" customWidth="1"/>
    <col min="12036" max="12036" width="20.21875" style="1917" customWidth="1"/>
    <col min="12037" max="12037" width="16.5546875" style="1917" customWidth="1"/>
    <col min="12038" max="12038" width="9.5546875" style="1917" customWidth="1"/>
    <col min="12039" max="12039" width="13.5546875" style="1917" customWidth="1"/>
    <col min="12040" max="12040" width="59.77734375" style="1917" customWidth="1"/>
    <col min="12041" max="12041" width="51.77734375" style="1917" customWidth="1"/>
    <col min="12042" max="12042" width="17.5546875" style="1917" bestFit="1" customWidth="1"/>
    <col min="12043" max="12043" width="12.5546875" style="1917" customWidth="1"/>
    <col min="12044" max="12044" width="17.5546875" style="1917" bestFit="1" customWidth="1"/>
    <col min="12045" max="12288" width="9.21875" style="1917"/>
    <col min="12289" max="12289" width="6.44140625" style="1917" customWidth="1"/>
    <col min="12290" max="12290" width="77.21875" style="1917" customWidth="1"/>
    <col min="12291" max="12291" width="15.21875" style="1917" customWidth="1"/>
    <col min="12292" max="12292" width="20.21875" style="1917" customWidth="1"/>
    <col min="12293" max="12293" width="16.5546875" style="1917" customWidth="1"/>
    <col min="12294" max="12294" width="9.5546875" style="1917" customWidth="1"/>
    <col min="12295" max="12295" width="13.5546875" style="1917" customWidth="1"/>
    <col min="12296" max="12296" width="59.77734375" style="1917" customWidth="1"/>
    <col min="12297" max="12297" width="51.77734375" style="1917" customWidth="1"/>
    <col min="12298" max="12298" width="17.5546875" style="1917" bestFit="1" customWidth="1"/>
    <col min="12299" max="12299" width="12.5546875" style="1917" customWidth="1"/>
    <col min="12300" max="12300" width="17.5546875" style="1917" bestFit="1" customWidth="1"/>
    <col min="12301" max="12544" width="9.21875" style="1917"/>
    <col min="12545" max="12545" width="6.44140625" style="1917" customWidth="1"/>
    <col min="12546" max="12546" width="77.21875" style="1917" customWidth="1"/>
    <col min="12547" max="12547" width="15.21875" style="1917" customWidth="1"/>
    <col min="12548" max="12548" width="20.21875" style="1917" customWidth="1"/>
    <col min="12549" max="12549" width="16.5546875" style="1917" customWidth="1"/>
    <col min="12550" max="12550" width="9.5546875" style="1917" customWidth="1"/>
    <col min="12551" max="12551" width="13.5546875" style="1917" customWidth="1"/>
    <col min="12552" max="12552" width="59.77734375" style="1917" customWidth="1"/>
    <col min="12553" max="12553" width="51.77734375" style="1917" customWidth="1"/>
    <col min="12554" max="12554" width="17.5546875" style="1917" bestFit="1" customWidth="1"/>
    <col min="12555" max="12555" width="12.5546875" style="1917" customWidth="1"/>
    <col min="12556" max="12556" width="17.5546875" style="1917" bestFit="1" customWidth="1"/>
    <col min="12557" max="12800" width="9.21875" style="1917"/>
    <col min="12801" max="12801" width="6.44140625" style="1917" customWidth="1"/>
    <col min="12802" max="12802" width="77.21875" style="1917" customWidth="1"/>
    <col min="12803" max="12803" width="15.21875" style="1917" customWidth="1"/>
    <col min="12804" max="12804" width="20.21875" style="1917" customWidth="1"/>
    <col min="12805" max="12805" width="16.5546875" style="1917" customWidth="1"/>
    <col min="12806" max="12806" width="9.5546875" style="1917" customWidth="1"/>
    <col min="12807" max="12807" width="13.5546875" style="1917" customWidth="1"/>
    <col min="12808" max="12808" width="59.77734375" style="1917" customWidth="1"/>
    <col min="12809" max="12809" width="51.77734375" style="1917" customWidth="1"/>
    <col min="12810" max="12810" width="17.5546875" style="1917" bestFit="1" customWidth="1"/>
    <col min="12811" max="12811" width="12.5546875" style="1917" customWidth="1"/>
    <col min="12812" max="12812" width="17.5546875" style="1917" bestFit="1" customWidth="1"/>
    <col min="12813" max="13056" width="9.21875" style="1917"/>
    <col min="13057" max="13057" width="6.44140625" style="1917" customWidth="1"/>
    <col min="13058" max="13058" width="77.21875" style="1917" customWidth="1"/>
    <col min="13059" max="13059" width="15.21875" style="1917" customWidth="1"/>
    <col min="13060" max="13060" width="20.21875" style="1917" customWidth="1"/>
    <col min="13061" max="13061" width="16.5546875" style="1917" customWidth="1"/>
    <col min="13062" max="13062" width="9.5546875" style="1917" customWidth="1"/>
    <col min="13063" max="13063" width="13.5546875" style="1917" customWidth="1"/>
    <col min="13064" max="13064" width="59.77734375" style="1917" customWidth="1"/>
    <col min="13065" max="13065" width="51.77734375" style="1917" customWidth="1"/>
    <col min="13066" max="13066" width="17.5546875" style="1917" bestFit="1" customWidth="1"/>
    <col min="13067" max="13067" width="12.5546875" style="1917" customWidth="1"/>
    <col min="13068" max="13068" width="17.5546875" style="1917" bestFit="1" customWidth="1"/>
    <col min="13069" max="13312" width="9.21875" style="1917"/>
    <col min="13313" max="13313" width="6.44140625" style="1917" customWidth="1"/>
    <col min="13314" max="13314" width="77.21875" style="1917" customWidth="1"/>
    <col min="13315" max="13315" width="15.21875" style="1917" customWidth="1"/>
    <col min="13316" max="13316" width="20.21875" style="1917" customWidth="1"/>
    <col min="13317" max="13317" width="16.5546875" style="1917" customWidth="1"/>
    <col min="13318" max="13318" width="9.5546875" style="1917" customWidth="1"/>
    <col min="13319" max="13319" width="13.5546875" style="1917" customWidth="1"/>
    <col min="13320" max="13320" width="59.77734375" style="1917" customWidth="1"/>
    <col min="13321" max="13321" width="51.77734375" style="1917" customWidth="1"/>
    <col min="13322" max="13322" width="17.5546875" style="1917" bestFit="1" customWidth="1"/>
    <col min="13323" max="13323" width="12.5546875" style="1917" customWidth="1"/>
    <col min="13324" max="13324" width="17.5546875" style="1917" bestFit="1" customWidth="1"/>
    <col min="13325" max="13568" width="9.21875" style="1917"/>
    <col min="13569" max="13569" width="6.44140625" style="1917" customWidth="1"/>
    <col min="13570" max="13570" width="77.21875" style="1917" customWidth="1"/>
    <col min="13571" max="13571" width="15.21875" style="1917" customWidth="1"/>
    <col min="13572" max="13572" width="20.21875" style="1917" customWidth="1"/>
    <col min="13573" max="13573" width="16.5546875" style="1917" customWidth="1"/>
    <col min="13574" max="13574" width="9.5546875" style="1917" customWidth="1"/>
    <col min="13575" max="13575" width="13.5546875" style="1917" customWidth="1"/>
    <col min="13576" max="13576" width="59.77734375" style="1917" customWidth="1"/>
    <col min="13577" max="13577" width="51.77734375" style="1917" customWidth="1"/>
    <col min="13578" max="13578" width="17.5546875" style="1917" bestFit="1" customWidth="1"/>
    <col min="13579" max="13579" width="12.5546875" style="1917" customWidth="1"/>
    <col min="13580" max="13580" width="17.5546875" style="1917" bestFit="1" customWidth="1"/>
    <col min="13581" max="13824" width="9.21875" style="1917"/>
    <col min="13825" max="13825" width="6.44140625" style="1917" customWidth="1"/>
    <col min="13826" max="13826" width="77.21875" style="1917" customWidth="1"/>
    <col min="13827" max="13827" width="15.21875" style="1917" customWidth="1"/>
    <col min="13828" max="13828" width="20.21875" style="1917" customWidth="1"/>
    <col min="13829" max="13829" width="16.5546875" style="1917" customWidth="1"/>
    <col min="13830" max="13830" width="9.5546875" style="1917" customWidth="1"/>
    <col min="13831" max="13831" width="13.5546875" style="1917" customWidth="1"/>
    <col min="13832" max="13832" width="59.77734375" style="1917" customWidth="1"/>
    <col min="13833" max="13833" width="51.77734375" style="1917" customWidth="1"/>
    <col min="13834" max="13834" width="17.5546875" style="1917" bestFit="1" customWidth="1"/>
    <col min="13835" max="13835" width="12.5546875" style="1917" customWidth="1"/>
    <col min="13836" max="13836" width="17.5546875" style="1917" bestFit="1" customWidth="1"/>
    <col min="13837" max="14080" width="9.21875" style="1917"/>
    <col min="14081" max="14081" width="6.44140625" style="1917" customWidth="1"/>
    <col min="14082" max="14082" width="77.21875" style="1917" customWidth="1"/>
    <col min="14083" max="14083" width="15.21875" style="1917" customWidth="1"/>
    <col min="14084" max="14084" width="20.21875" style="1917" customWidth="1"/>
    <col min="14085" max="14085" width="16.5546875" style="1917" customWidth="1"/>
    <col min="14086" max="14086" width="9.5546875" style="1917" customWidth="1"/>
    <col min="14087" max="14087" width="13.5546875" style="1917" customWidth="1"/>
    <col min="14088" max="14088" width="59.77734375" style="1917" customWidth="1"/>
    <col min="14089" max="14089" width="51.77734375" style="1917" customWidth="1"/>
    <col min="14090" max="14090" width="17.5546875" style="1917" bestFit="1" customWidth="1"/>
    <col min="14091" max="14091" width="12.5546875" style="1917" customWidth="1"/>
    <col min="14092" max="14092" width="17.5546875" style="1917" bestFit="1" customWidth="1"/>
    <col min="14093" max="14336" width="9.21875" style="1917"/>
    <col min="14337" max="14337" width="6.44140625" style="1917" customWidth="1"/>
    <col min="14338" max="14338" width="77.21875" style="1917" customWidth="1"/>
    <col min="14339" max="14339" width="15.21875" style="1917" customWidth="1"/>
    <col min="14340" max="14340" width="20.21875" style="1917" customWidth="1"/>
    <col min="14341" max="14341" width="16.5546875" style="1917" customWidth="1"/>
    <col min="14342" max="14342" width="9.5546875" style="1917" customWidth="1"/>
    <col min="14343" max="14343" width="13.5546875" style="1917" customWidth="1"/>
    <col min="14344" max="14344" width="59.77734375" style="1917" customWidth="1"/>
    <col min="14345" max="14345" width="51.77734375" style="1917" customWidth="1"/>
    <col min="14346" max="14346" width="17.5546875" style="1917" bestFit="1" customWidth="1"/>
    <col min="14347" max="14347" width="12.5546875" style="1917" customWidth="1"/>
    <col min="14348" max="14348" width="17.5546875" style="1917" bestFit="1" customWidth="1"/>
    <col min="14349" max="14592" width="9.21875" style="1917"/>
    <col min="14593" max="14593" width="6.44140625" style="1917" customWidth="1"/>
    <col min="14594" max="14594" width="77.21875" style="1917" customWidth="1"/>
    <col min="14595" max="14595" width="15.21875" style="1917" customWidth="1"/>
    <col min="14596" max="14596" width="20.21875" style="1917" customWidth="1"/>
    <col min="14597" max="14597" width="16.5546875" style="1917" customWidth="1"/>
    <col min="14598" max="14598" width="9.5546875" style="1917" customWidth="1"/>
    <col min="14599" max="14599" width="13.5546875" style="1917" customWidth="1"/>
    <col min="14600" max="14600" width="59.77734375" style="1917" customWidth="1"/>
    <col min="14601" max="14601" width="51.77734375" style="1917" customWidth="1"/>
    <col min="14602" max="14602" width="17.5546875" style="1917" bestFit="1" customWidth="1"/>
    <col min="14603" max="14603" width="12.5546875" style="1917" customWidth="1"/>
    <col min="14604" max="14604" width="17.5546875" style="1917" bestFit="1" customWidth="1"/>
    <col min="14605" max="14848" width="9.21875" style="1917"/>
    <col min="14849" max="14849" width="6.44140625" style="1917" customWidth="1"/>
    <col min="14850" max="14850" width="77.21875" style="1917" customWidth="1"/>
    <col min="14851" max="14851" width="15.21875" style="1917" customWidth="1"/>
    <col min="14852" max="14852" width="20.21875" style="1917" customWidth="1"/>
    <col min="14853" max="14853" width="16.5546875" style="1917" customWidth="1"/>
    <col min="14854" max="14854" width="9.5546875" style="1917" customWidth="1"/>
    <col min="14855" max="14855" width="13.5546875" style="1917" customWidth="1"/>
    <col min="14856" max="14856" width="59.77734375" style="1917" customWidth="1"/>
    <col min="14857" max="14857" width="51.77734375" style="1917" customWidth="1"/>
    <col min="14858" max="14858" width="17.5546875" style="1917" bestFit="1" customWidth="1"/>
    <col min="14859" max="14859" width="12.5546875" style="1917" customWidth="1"/>
    <col min="14860" max="14860" width="17.5546875" style="1917" bestFit="1" customWidth="1"/>
    <col min="14861" max="15104" width="9.21875" style="1917"/>
    <col min="15105" max="15105" width="6.44140625" style="1917" customWidth="1"/>
    <col min="15106" max="15106" width="77.21875" style="1917" customWidth="1"/>
    <col min="15107" max="15107" width="15.21875" style="1917" customWidth="1"/>
    <col min="15108" max="15108" width="20.21875" style="1917" customWidth="1"/>
    <col min="15109" max="15109" width="16.5546875" style="1917" customWidth="1"/>
    <col min="15110" max="15110" width="9.5546875" style="1917" customWidth="1"/>
    <col min="15111" max="15111" width="13.5546875" style="1917" customWidth="1"/>
    <col min="15112" max="15112" width="59.77734375" style="1917" customWidth="1"/>
    <col min="15113" max="15113" width="51.77734375" style="1917" customWidth="1"/>
    <col min="15114" max="15114" width="17.5546875" style="1917" bestFit="1" customWidth="1"/>
    <col min="15115" max="15115" width="12.5546875" style="1917" customWidth="1"/>
    <col min="15116" max="15116" width="17.5546875" style="1917" bestFit="1" customWidth="1"/>
    <col min="15117" max="15360" width="9.21875" style="1917"/>
    <col min="15361" max="15361" width="6.44140625" style="1917" customWidth="1"/>
    <col min="15362" max="15362" width="77.21875" style="1917" customWidth="1"/>
    <col min="15363" max="15363" width="15.21875" style="1917" customWidth="1"/>
    <col min="15364" max="15364" width="20.21875" style="1917" customWidth="1"/>
    <col min="15365" max="15365" width="16.5546875" style="1917" customWidth="1"/>
    <col min="15366" max="15366" width="9.5546875" style="1917" customWidth="1"/>
    <col min="15367" max="15367" width="13.5546875" style="1917" customWidth="1"/>
    <col min="15368" max="15368" width="59.77734375" style="1917" customWidth="1"/>
    <col min="15369" max="15369" width="51.77734375" style="1917" customWidth="1"/>
    <col min="15370" max="15370" width="17.5546875" style="1917" bestFit="1" customWidth="1"/>
    <col min="15371" max="15371" width="12.5546875" style="1917" customWidth="1"/>
    <col min="15372" max="15372" width="17.5546875" style="1917" bestFit="1" customWidth="1"/>
    <col min="15373" max="15616" width="9.21875" style="1917"/>
    <col min="15617" max="15617" width="6.44140625" style="1917" customWidth="1"/>
    <col min="15618" max="15618" width="77.21875" style="1917" customWidth="1"/>
    <col min="15619" max="15619" width="15.21875" style="1917" customWidth="1"/>
    <col min="15620" max="15620" width="20.21875" style="1917" customWidth="1"/>
    <col min="15621" max="15621" width="16.5546875" style="1917" customWidth="1"/>
    <col min="15622" max="15622" width="9.5546875" style="1917" customWidth="1"/>
    <col min="15623" max="15623" width="13.5546875" style="1917" customWidth="1"/>
    <col min="15624" max="15624" width="59.77734375" style="1917" customWidth="1"/>
    <col min="15625" max="15625" width="51.77734375" style="1917" customWidth="1"/>
    <col min="15626" max="15626" width="17.5546875" style="1917" bestFit="1" customWidth="1"/>
    <col min="15627" max="15627" width="12.5546875" style="1917" customWidth="1"/>
    <col min="15628" max="15628" width="17.5546875" style="1917" bestFit="1" customWidth="1"/>
    <col min="15629" max="15872" width="9.21875" style="1917"/>
    <col min="15873" max="15873" width="6.44140625" style="1917" customWidth="1"/>
    <col min="15874" max="15874" width="77.21875" style="1917" customWidth="1"/>
    <col min="15875" max="15875" width="15.21875" style="1917" customWidth="1"/>
    <col min="15876" max="15876" width="20.21875" style="1917" customWidth="1"/>
    <col min="15877" max="15877" width="16.5546875" style="1917" customWidth="1"/>
    <col min="15878" max="15878" width="9.5546875" style="1917" customWidth="1"/>
    <col min="15879" max="15879" width="13.5546875" style="1917" customWidth="1"/>
    <col min="15880" max="15880" width="59.77734375" style="1917" customWidth="1"/>
    <col min="15881" max="15881" width="51.77734375" style="1917" customWidth="1"/>
    <col min="15882" max="15882" width="17.5546875" style="1917" bestFit="1" customWidth="1"/>
    <col min="15883" max="15883" width="12.5546875" style="1917" customWidth="1"/>
    <col min="15884" max="15884" width="17.5546875" style="1917" bestFit="1" customWidth="1"/>
    <col min="15885" max="16128" width="9.21875" style="1917"/>
    <col min="16129" max="16129" width="6.44140625" style="1917" customWidth="1"/>
    <col min="16130" max="16130" width="77.21875" style="1917" customWidth="1"/>
    <col min="16131" max="16131" width="15.21875" style="1917" customWidth="1"/>
    <col min="16132" max="16132" width="20.21875" style="1917" customWidth="1"/>
    <col min="16133" max="16133" width="16.5546875" style="1917" customWidth="1"/>
    <col min="16134" max="16134" width="9.5546875" style="1917" customWidth="1"/>
    <col min="16135" max="16135" width="13.5546875" style="1917" customWidth="1"/>
    <col min="16136" max="16136" width="59.77734375" style="1917" customWidth="1"/>
    <col min="16137" max="16137" width="51.77734375" style="1917" customWidth="1"/>
    <col min="16138" max="16138" width="17.5546875" style="1917" bestFit="1" customWidth="1"/>
    <col min="16139" max="16139" width="12.5546875" style="1917" customWidth="1"/>
    <col min="16140" max="16140" width="17.5546875" style="1917" bestFit="1" customWidth="1"/>
    <col min="16141" max="16384" width="9.21875" style="1917"/>
  </cols>
  <sheetData>
    <row r="1" spans="2:14" ht="9.75" customHeight="1" x14ac:dyDescent="0.3"/>
    <row r="2" spans="2:14" ht="15" customHeight="1" x14ac:dyDescent="0.3">
      <c r="B2" s="1918" t="s">
        <v>754</v>
      </c>
    </row>
    <row r="3" spans="2:14" ht="8.25" customHeight="1" thickBot="1" x14ac:dyDescent="0.35"/>
    <row r="4" spans="2:14" ht="18" x14ac:dyDescent="0.35">
      <c r="B4" s="2337" t="s">
        <v>755</v>
      </c>
      <c r="C4" s="2338"/>
      <c r="D4" s="2338"/>
      <c r="E4" s="2339"/>
      <c r="F4" s="1919"/>
      <c r="G4" s="1919"/>
    </row>
    <row r="5" spans="2:14" ht="18.600000000000001" thickBot="1" x14ac:dyDescent="0.4">
      <c r="B5" s="2340" t="e">
        <f>#N/A</f>
        <v>#N/A</v>
      </c>
      <c r="C5" s="2341"/>
      <c r="D5" s="2341"/>
      <c r="E5" s="2342"/>
      <c r="F5" s="1920"/>
      <c r="G5" s="1920"/>
      <c r="I5" s="2343"/>
      <c r="J5" s="2343"/>
      <c r="K5" s="2343"/>
      <c r="L5" s="2343"/>
      <c r="M5" s="2343"/>
      <c r="N5" s="2343"/>
    </row>
    <row r="6" spans="2:14" ht="3.75" customHeight="1" thickBot="1" x14ac:dyDescent="0.4">
      <c r="B6" s="1921"/>
      <c r="C6" s="1921"/>
      <c r="D6" s="1921"/>
      <c r="E6" s="1921"/>
      <c r="F6" s="1921"/>
      <c r="G6" s="1921"/>
    </row>
    <row r="7" spans="2:14" ht="15" customHeight="1" thickBot="1" x14ac:dyDescent="0.4">
      <c r="B7" s="2344" t="s">
        <v>756</v>
      </c>
      <c r="C7" s="2345"/>
      <c r="D7" s="1921"/>
      <c r="E7" s="1921"/>
      <c r="F7" s="1921"/>
      <c r="G7" s="1921"/>
    </row>
    <row r="8" spans="2:14" ht="4.5" customHeight="1" thickBot="1" x14ac:dyDescent="0.4">
      <c r="B8" s="1922"/>
      <c r="C8" s="1922"/>
      <c r="D8" s="1921"/>
      <c r="E8" s="1921"/>
      <c r="F8" s="1921"/>
      <c r="G8" s="1921"/>
    </row>
    <row r="9" spans="2:14" ht="15" customHeight="1" x14ac:dyDescent="0.35">
      <c r="B9" s="1923" t="s">
        <v>757</v>
      </c>
      <c r="C9" s="1924" t="s">
        <v>44</v>
      </c>
      <c r="D9" s="1925" t="s">
        <v>758</v>
      </c>
      <c r="E9" s="1921"/>
      <c r="F9" s="1921"/>
      <c r="G9" s="1921"/>
    </row>
    <row r="10" spans="2:14" ht="15" customHeight="1" x14ac:dyDescent="0.35">
      <c r="B10" s="1926" t="s">
        <v>759</v>
      </c>
      <c r="C10" s="1927">
        <v>43831</v>
      </c>
      <c r="D10" s="1921"/>
      <c r="E10" s="1921"/>
      <c r="F10" s="1921"/>
      <c r="G10" s="1921"/>
    </row>
    <row r="11" spans="2:14" ht="15" customHeight="1" x14ac:dyDescent="0.35">
      <c r="B11" s="1928" t="s">
        <v>760</v>
      </c>
      <c r="C11" s="1929">
        <v>46023</v>
      </c>
      <c r="D11" s="1930"/>
      <c r="E11" s="1930"/>
      <c r="F11" s="1930"/>
      <c r="G11" s="1930"/>
    </row>
    <row r="12" spans="2:14" ht="15" customHeight="1" x14ac:dyDescent="0.35">
      <c r="B12" s="1928" t="s">
        <v>761</v>
      </c>
      <c r="C12" s="1929">
        <v>43966</v>
      </c>
      <c r="D12" s="1930"/>
      <c r="E12" s="1930"/>
      <c r="F12" s="1930"/>
      <c r="G12" s="1930"/>
    </row>
    <row r="13" spans="2:14" ht="15" customHeight="1" thickBot="1" x14ac:dyDescent="0.4">
      <c r="B13" s="1931" t="s">
        <v>762</v>
      </c>
      <c r="C13" s="1932">
        <v>10000</v>
      </c>
      <c r="D13" s="2165" t="str">
        <f>IF(OR("ITG03"=C9,"ITG04"=C9,"ITG09"=C9,"ITG10"=C9),IF(C13&gt;25000,"Exceeds Max Invoice Amount","Invoice Amount Ok"),"Invoice Amount Ok")</f>
        <v>Invoice Amount Ok</v>
      </c>
      <c r="E13" s="1921"/>
      <c r="F13" s="1921"/>
      <c r="G13" s="1921"/>
    </row>
    <row r="14" spans="2:14" ht="11.25" customHeight="1" thickBot="1" x14ac:dyDescent="0.4">
      <c r="B14" s="1921"/>
      <c r="C14" s="1921"/>
      <c r="D14" s="1921"/>
      <c r="E14" s="1921"/>
      <c r="F14" s="1921"/>
      <c r="G14" s="1921"/>
    </row>
    <row r="15" spans="2:14" ht="15" thickBot="1" x14ac:dyDescent="0.35">
      <c r="B15" s="1933" t="s">
        <v>763</v>
      </c>
      <c r="C15" s="1934" t="s">
        <v>764</v>
      </c>
      <c r="D15" s="1934" t="s">
        <v>765</v>
      </c>
      <c r="E15" s="1935" t="s">
        <v>766</v>
      </c>
      <c r="G15" s="1936"/>
    </row>
    <row r="16" spans="2:14" ht="3.45" customHeight="1" thickBot="1" x14ac:dyDescent="0.35">
      <c r="B16" s="1937"/>
      <c r="C16" s="1936"/>
      <c r="D16" s="1936"/>
      <c r="E16" s="1936"/>
      <c r="G16" s="1936"/>
    </row>
    <row r="17" spans="1:12" x14ac:dyDescent="0.3">
      <c r="B17" s="1938" t="s">
        <v>767</v>
      </c>
      <c r="C17" s="1939">
        <f>SUM(D17:E17)</f>
        <v>3.6588000000000002E-2</v>
      </c>
      <c r="D17" s="2196" t="s">
        <v>141</v>
      </c>
      <c r="E17" s="1940" cm="1">
        <f t="array" ref="E17">INDEX('Pricing GAP'!A3:M7,MATCH(Duration_Band_GAP,'Pricing GAP'!A3:A7,0),MATCH(C9,'Pricing GAP'!B1:M1,0)+1)</f>
        <v>3.6588000000000002E-2</v>
      </c>
    </row>
    <row r="18" spans="1:12" x14ac:dyDescent="0.3">
      <c r="B18" s="1941" t="s">
        <v>768</v>
      </c>
      <c r="C18" s="1942">
        <f>SUM(D18:E18)</f>
        <v>0.13500000000000001</v>
      </c>
      <c r="D18" s="2197" t="s">
        <v>141</v>
      </c>
      <c r="E18" s="1943">
        <f>HLOOKUP(C9,'Pricing GAP'!$B$1:$M$11,8,FALSE)</f>
        <v>0.13500000000000001</v>
      </c>
    </row>
    <row r="19" spans="1:12" ht="15.6" x14ac:dyDescent="0.3">
      <c r="A19" s="1944" t="s">
        <v>769</v>
      </c>
      <c r="B19" s="1945" t="s">
        <v>770</v>
      </c>
      <c r="C19" s="1946">
        <f>E19</f>
        <v>0.5</v>
      </c>
      <c r="D19" s="2198" t="s">
        <v>141</v>
      </c>
      <c r="E19" s="1943">
        <f>HLOOKUP(C9,'Pricing GAP'!$B$1:$M$11,9,FALSE)</f>
        <v>0.5</v>
      </c>
      <c r="G19" s="1947"/>
    </row>
    <row r="20" spans="1:12" ht="15.6" x14ac:dyDescent="0.3">
      <c r="A20" s="1944" t="s">
        <v>771</v>
      </c>
      <c r="B20" s="1941" t="s">
        <v>772</v>
      </c>
      <c r="C20" s="1948">
        <f>SUM(D20:E20)</f>
        <v>0</v>
      </c>
      <c r="D20" s="2199" t="s">
        <v>141</v>
      </c>
      <c r="E20" s="1949">
        <f>HLOOKUP(C9,'Pricing GAP'!$B$1:$M$11,10,FALSE)</f>
        <v>0</v>
      </c>
      <c r="G20" s="1950"/>
    </row>
    <row r="21" spans="1:12" ht="16.2" thickBot="1" x14ac:dyDescent="0.35">
      <c r="A21" s="1944" t="s">
        <v>773</v>
      </c>
      <c r="B21" s="1951" t="s">
        <v>774</v>
      </c>
      <c r="C21" s="1952">
        <f>SUM(D21:E21)</f>
        <v>0</v>
      </c>
      <c r="D21" s="2200" t="s">
        <v>141</v>
      </c>
      <c r="E21" s="1953">
        <f>HLOOKUP(C9,'Pricing GAP'!$B$1:$M$11,11,FALSE)</f>
        <v>0</v>
      </c>
      <c r="G21" s="1950"/>
      <c r="J21" s="2346"/>
      <c r="K21" s="2346"/>
    </row>
    <row r="22" spans="1:12" ht="3.75" customHeight="1" x14ac:dyDescent="0.3">
      <c r="F22" s="1954"/>
      <c r="G22" s="1954"/>
    </row>
    <row r="23" spans="1:12" ht="15" thickBot="1" x14ac:dyDescent="0.35">
      <c r="C23" s="1917">
        <f>_xlfn.DAYS(C11,C10)</f>
        <v>2192</v>
      </c>
      <c r="E23" s="1922"/>
      <c r="F23" s="1954"/>
      <c r="G23" s="1922"/>
    </row>
    <row r="24" spans="1:12" ht="15.75" customHeight="1" thickBot="1" x14ac:dyDescent="0.35">
      <c r="B24" s="1955" t="s">
        <v>775</v>
      </c>
      <c r="C24" s="1934" t="s">
        <v>764</v>
      </c>
      <c r="D24" s="1934" t="s">
        <v>765</v>
      </c>
      <c r="E24" s="1935" t="s">
        <v>766</v>
      </c>
      <c r="G24" s="1922"/>
      <c r="L24" s="1956"/>
    </row>
    <row r="25" spans="1:12" ht="4.5" customHeight="1" thickBot="1" x14ac:dyDescent="0.35">
      <c r="B25" s="1957"/>
      <c r="C25" s="1936"/>
      <c r="D25" s="1936"/>
      <c r="E25" s="1936"/>
      <c r="G25" s="1922"/>
      <c r="L25" s="1956"/>
    </row>
    <row r="26" spans="1:12" ht="15" customHeight="1" x14ac:dyDescent="0.3">
      <c r="B26" s="2203" t="s">
        <v>890</v>
      </c>
      <c r="C26" s="1958">
        <f>DATEDIF(C10,C11,"D")</f>
        <v>2192</v>
      </c>
      <c r="D26" s="1959"/>
      <c r="E26" s="1960"/>
      <c r="G26" s="1961"/>
      <c r="H26" s="1962"/>
    </row>
    <row r="27" spans="1:12" x14ac:dyDescent="0.3">
      <c r="B27" s="2204" t="s">
        <v>891</v>
      </c>
      <c r="C27" s="2159">
        <f>DATEDIF(C10,C12,"D")</f>
        <v>135</v>
      </c>
      <c r="D27" s="1964"/>
      <c r="E27" s="1965"/>
      <c r="G27" s="1966"/>
      <c r="H27" s="1962"/>
    </row>
    <row r="28" spans="1:12" ht="15" thickBot="1" x14ac:dyDescent="0.35">
      <c r="B28" s="2205" t="s">
        <v>892</v>
      </c>
      <c r="C28" s="1967">
        <f>IF(C26-C27&lt;0,0,C26-C27)</f>
        <v>2057</v>
      </c>
      <c r="D28" s="1968"/>
      <c r="E28" s="1969"/>
      <c r="F28" s="2201"/>
      <c r="G28" s="1970" t="s">
        <v>779</v>
      </c>
      <c r="H28" s="1971" t="s">
        <v>780</v>
      </c>
      <c r="I28" s="1971" t="s">
        <v>781</v>
      </c>
      <c r="J28" s="1917" t="s">
        <v>782</v>
      </c>
    </row>
    <row r="29" spans="1:12" x14ac:dyDescent="0.3">
      <c r="B29" s="1963" t="s">
        <v>783</v>
      </c>
      <c r="C29" s="2160">
        <f>SUM(D29:E29)</f>
        <v>322.36</v>
      </c>
      <c r="D29" s="2192" t="s">
        <v>141</v>
      </c>
      <c r="E29" s="2206">
        <f>IF(OR("ITG03"=C9,"ITG04"=C9,"ITG09"=C9,"ITG10"=C9),IF(C13&gt;25000,0,ROUND((C13*ROUND((E17*100%/(100%+E18)),6)),4)),ROUND((C13*ROUND((E17*100%/(100%+E18)),6)),4))</f>
        <v>322.36</v>
      </c>
      <c r="F29" s="2202"/>
      <c r="G29" s="1974">
        <v>1</v>
      </c>
      <c r="H29" s="1975">
        <f t="shared" ref="H29:H92" si="0">IF(G29&gt;$C$26,"",$E$29*($C$26-G29)/$C$26)</f>
        <v>322.21293795620437</v>
      </c>
      <c r="I29" s="1976">
        <f t="shared" ref="I29:I92" si="1">IF(G29&gt;$C$26,"",H29-$E$20)</f>
        <v>322.21293795620437</v>
      </c>
      <c r="L29" s="1977"/>
    </row>
    <row r="30" spans="1:12" ht="15.75" customHeight="1" x14ac:dyDescent="0.3">
      <c r="B30" s="1978" t="s">
        <v>784</v>
      </c>
      <c r="C30" s="2161">
        <f>SUM(D30:E30)</f>
        <v>302.50659999999999</v>
      </c>
      <c r="D30" s="2193" t="s">
        <v>141</v>
      </c>
      <c r="E30" s="2166">
        <f>IF(_xlfn.DAYS(C12,C10)&lt;=60,E29,ROUND((E29*(C26-C27)/C26),4))</f>
        <v>302.50659999999999</v>
      </c>
      <c r="F30" s="2023" t="b">
        <f>E30=(E32+E31)</f>
        <v>1</v>
      </c>
      <c r="G30" s="1981">
        <v>2</v>
      </c>
      <c r="H30" s="1975">
        <f>IF(G30&gt;$C$26,"",$E$29*($C$26-G30)/$C$26)</f>
        <v>322.06587591240879</v>
      </c>
      <c r="I30" s="1976">
        <f t="shared" si="1"/>
        <v>322.06587591240879</v>
      </c>
    </row>
    <row r="31" spans="1:12" ht="15.75" customHeight="1" x14ac:dyDescent="0.3">
      <c r="B31" s="1982" t="s">
        <v>785</v>
      </c>
      <c r="C31" s="2181">
        <f>SUM(D31:E31)</f>
        <v>151.2533</v>
      </c>
      <c r="D31" s="2194" t="s">
        <v>141</v>
      </c>
      <c r="E31" s="2167">
        <f>IF(_xlfn.DAYS(C12,C10)&lt;=60,E29*E19,ROUND((E29*E19*(C26-C27)/C26),4))</f>
        <v>151.2533</v>
      </c>
      <c r="G31" s="1917">
        <v>3</v>
      </c>
      <c r="H31" s="1975">
        <f t="shared" si="0"/>
        <v>321.91881386861314</v>
      </c>
      <c r="I31" s="1976">
        <f t="shared" si="1"/>
        <v>321.91881386861314</v>
      </c>
    </row>
    <row r="32" spans="1:12" ht="15.75" customHeight="1" thickBot="1" x14ac:dyDescent="0.35">
      <c r="B32" s="1985" t="s">
        <v>786</v>
      </c>
      <c r="C32" s="2182">
        <f>SUM(D32:E32)</f>
        <v>151.2533</v>
      </c>
      <c r="D32" s="2195" t="s">
        <v>141</v>
      </c>
      <c r="E32" s="2168">
        <f>E30-E31</f>
        <v>151.2533</v>
      </c>
      <c r="G32" s="1917">
        <v>4</v>
      </c>
      <c r="H32" s="1975">
        <f t="shared" si="0"/>
        <v>321.77175182481756</v>
      </c>
      <c r="I32" s="1976">
        <f t="shared" si="1"/>
        <v>321.77175182481756</v>
      </c>
    </row>
    <row r="33" spans="1:13" ht="15" thickBot="1" x14ac:dyDescent="0.35">
      <c r="B33" s="1988"/>
      <c r="C33" s="1989"/>
      <c r="D33" s="1989"/>
      <c r="E33" s="1989"/>
      <c r="G33" s="1917">
        <v>5</v>
      </c>
      <c r="H33" s="1975">
        <f t="shared" si="0"/>
        <v>321.62468978102191</v>
      </c>
      <c r="I33" s="1976">
        <f t="shared" si="1"/>
        <v>321.62468978102191</v>
      </c>
    </row>
    <row r="34" spans="1:13" ht="15" thickBot="1" x14ac:dyDescent="0.35">
      <c r="A34" s="1990"/>
      <c r="B34" s="1955" t="s">
        <v>787</v>
      </c>
      <c r="C34" s="1934" t="s">
        <v>764</v>
      </c>
      <c r="D34" s="1934" t="s">
        <v>765</v>
      </c>
      <c r="E34" s="1935" t="s">
        <v>766</v>
      </c>
      <c r="G34" s="1917">
        <v>6</v>
      </c>
      <c r="H34" s="1975">
        <f t="shared" si="0"/>
        <v>321.47762773722633</v>
      </c>
      <c r="I34" s="1976">
        <f t="shared" si="1"/>
        <v>321.47762773722633</v>
      </c>
    </row>
    <row r="35" spans="1:13" ht="18" customHeight="1" thickBot="1" x14ac:dyDescent="0.35">
      <c r="A35" s="1990"/>
      <c r="B35" s="1922"/>
      <c r="D35" s="1922"/>
      <c r="G35" s="1917">
        <v>7</v>
      </c>
      <c r="H35" s="1975">
        <f t="shared" si="0"/>
        <v>321.33056569343063</v>
      </c>
      <c r="I35" s="1976">
        <f t="shared" si="1"/>
        <v>321.33056569343063</v>
      </c>
      <c r="L35" s="1991"/>
    </row>
    <row r="36" spans="1:13" x14ac:dyDescent="0.3">
      <c r="A36" s="1992"/>
      <c r="B36" s="1993" t="s">
        <v>788</v>
      </c>
      <c r="C36" s="2175">
        <f t="shared" ref="C36:E37" si="2">C20</f>
        <v>0</v>
      </c>
      <c r="D36" s="2188" t="str">
        <f t="shared" si="2"/>
        <v>n/a</v>
      </c>
      <c r="E36" s="1994">
        <f t="shared" si="2"/>
        <v>0</v>
      </c>
      <c r="G36" s="1917">
        <v>8</v>
      </c>
      <c r="H36" s="1975">
        <f t="shared" si="0"/>
        <v>321.18350364963504</v>
      </c>
      <c r="I36" s="1976">
        <f t="shared" si="1"/>
        <v>321.18350364963504</v>
      </c>
    </row>
    <row r="37" spans="1:13" x14ac:dyDescent="0.3">
      <c r="A37" s="1996"/>
      <c r="B37" s="1997" t="s">
        <v>789</v>
      </c>
      <c r="C37" s="2169">
        <f t="shared" si="2"/>
        <v>0</v>
      </c>
      <c r="D37" s="2189" t="str">
        <f t="shared" si="2"/>
        <v>n/a</v>
      </c>
      <c r="E37" s="1998">
        <f t="shared" si="2"/>
        <v>0</v>
      </c>
      <c r="G37" s="1917">
        <v>9</v>
      </c>
      <c r="H37" s="1975">
        <f t="shared" si="0"/>
        <v>321.0364416058394</v>
      </c>
      <c r="I37" s="1976">
        <f t="shared" si="1"/>
        <v>321.0364416058394</v>
      </c>
    </row>
    <row r="38" spans="1:13" ht="15.6" x14ac:dyDescent="0.3">
      <c r="B38" s="2000" t="s">
        <v>790</v>
      </c>
      <c r="C38" s="2164">
        <f>C30</f>
        <v>302.50659999999999</v>
      </c>
      <c r="D38" s="2190" t="str">
        <f>D30</f>
        <v>n/a</v>
      </c>
      <c r="E38" s="2164">
        <f>E30</f>
        <v>302.50659999999999</v>
      </c>
      <c r="G38" s="1917">
        <v>10</v>
      </c>
      <c r="H38" s="1975">
        <f t="shared" si="0"/>
        <v>320.88937956204381</v>
      </c>
      <c r="I38" s="1976">
        <f t="shared" si="1"/>
        <v>320.88937956204381</v>
      </c>
    </row>
    <row r="39" spans="1:13" x14ac:dyDescent="0.3">
      <c r="B39" s="2003" t="s">
        <v>791</v>
      </c>
      <c r="C39" s="2169"/>
      <c r="D39" s="2189"/>
      <c r="E39" s="2169"/>
      <c r="G39" s="1917">
        <v>11</v>
      </c>
      <c r="H39" s="1975">
        <f t="shared" si="0"/>
        <v>320.74231751824817</v>
      </c>
      <c r="I39" s="1976">
        <f t="shared" si="1"/>
        <v>320.74231751824817</v>
      </c>
    </row>
    <row r="40" spans="1:13" ht="16.2" thickBot="1" x14ac:dyDescent="0.35">
      <c r="B40" s="2004" t="s">
        <v>792</v>
      </c>
      <c r="C40" s="2170">
        <f>C31</f>
        <v>151.2533</v>
      </c>
      <c r="D40" s="2191" t="str">
        <f>D31</f>
        <v>n/a</v>
      </c>
      <c r="E40" s="2170">
        <f>E31</f>
        <v>151.2533</v>
      </c>
      <c r="G40" s="1917">
        <v>12</v>
      </c>
      <c r="H40" s="1975">
        <f t="shared" si="0"/>
        <v>320.59525547445259</v>
      </c>
      <c r="I40" s="1976">
        <f t="shared" si="1"/>
        <v>320.59525547445259</v>
      </c>
      <c r="L40" s="2007"/>
    </row>
    <row r="41" spans="1:13" ht="17.25" customHeight="1" thickBot="1" x14ac:dyDescent="0.35">
      <c r="B41" s="2008" t="s">
        <v>793</v>
      </c>
      <c r="C41" s="2171">
        <f>C38-C40</f>
        <v>151.2533</v>
      </c>
      <c r="D41" s="2009">
        <f>IFERROR((D38-D40),0)</f>
        <v>0</v>
      </c>
      <c r="E41" s="2171">
        <f>E38-E40</f>
        <v>151.2533</v>
      </c>
      <c r="G41" s="1917">
        <v>13</v>
      </c>
      <c r="H41" s="1975">
        <f t="shared" si="0"/>
        <v>320.44819343065694</v>
      </c>
      <c r="I41" s="1976">
        <f t="shared" si="1"/>
        <v>320.44819343065694</v>
      </c>
      <c r="L41" s="2010"/>
      <c r="M41" s="2011"/>
    </row>
    <row r="42" spans="1:13" ht="16.5" customHeight="1" thickTop="1" x14ac:dyDescent="0.3">
      <c r="B42" s="2008"/>
      <c r="C42" s="2176"/>
      <c r="D42" s="2012"/>
      <c r="E42" s="2012"/>
      <c r="F42" s="2013" t="s">
        <v>794</v>
      </c>
      <c r="G42" s="1917">
        <v>14</v>
      </c>
      <c r="H42" s="1975">
        <f t="shared" si="0"/>
        <v>320.30113138686136</v>
      </c>
      <c r="I42" s="1976">
        <f t="shared" si="1"/>
        <v>320.30113138686136</v>
      </c>
      <c r="L42" s="2010"/>
    </row>
    <row r="43" spans="1:13" x14ac:dyDescent="0.3">
      <c r="B43" s="2014" t="s">
        <v>795</v>
      </c>
      <c r="C43" s="2177">
        <f>SUM(D43:E43)</f>
        <v>365.88</v>
      </c>
      <c r="D43" s="2183" t="s">
        <v>141</v>
      </c>
      <c r="E43" s="2162">
        <f>ROUND(C13*E17,4)</f>
        <v>365.88</v>
      </c>
      <c r="F43" s="2158">
        <f>ROUND(E43/(1+E18),4)</f>
        <v>322.3612</v>
      </c>
      <c r="G43" s="1917">
        <v>15</v>
      </c>
      <c r="H43" s="1975">
        <f t="shared" si="0"/>
        <v>320.15406934306566</v>
      </c>
      <c r="I43" s="1976">
        <f t="shared" si="1"/>
        <v>320.15406934306566</v>
      </c>
    </row>
    <row r="44" spans="1:13" x14ac:dyDescent="0.3">
      <c r="B44" s="1977" t="s">
        <v>796</v>
      </c>
      <c r="C44" s="2178">
        <f>SUM(D44:E44)</f>
        <v>302.50659999999999</v>
      </c>
      <c r="D44" s="2184" t="s">
        <v>141</v>
      </c>
      <c r="E44" s="2163">
        <f>E30+E20</f>
        <v>302.50659999999999</v>
      </c>
      <c r="F44" s="2019"/>
      <c r="G44" s="1917">
        <v>16</v>
      </c>
      <c r="H44" s="1975">
        <f t="shared" si="0"/>
        <v>320.00700729927007</v>
      </c>
      <c r="I44" s="1976">
        <f t="shared" si="1"/>
        <v>320.00700729927007</v>
      </c>
    </row>
    <row r="45" spans="1:13" x14ac:dyDescent="0.3">
      <c r="B45" s="1917" t="s">
        <v>797</v>
      </c>
      <c r="C45" s="2179">
        <f>SUM(D45:E45)</f>
        <v>151.2533</v>
      </c>
      <c r="D45" s="2185" t="s">
        <v>141</v>
      </c>
      <c r="E45" s="2172">
        <f>ROUND(E44*(1-E19),4)</f>
        <v>151.2533</v>
      </c>
      <c r="F45" s="2097"/>
      <c r="G45" s="1917">
        <v>17</v>
      </c>
      <c r="H45" s="1975">
        <f t="shared" si="0"/>
        <v>319.85994525547443</v>
      </c>
      <c r="I45" s="1976">
        <f t="shared" si="1"/>
        <v>319.85994525547443</v>
      </c>
    </row>
    <row r="46" spans="1:13" x14ac:dyDescent="0.3">
      <c r="B46" s="1917" t="s">
        <v>798</v>
      </c>
      <c r="C46" s="2179">
        <f>SUM(D46:E46)</f>
        <v>151.2533</v>
      </c>
      <c r="D46" s="2185" t="s">
        <v>141</v>
      </c>
      <c r="E46" s="2172">
        <f>ROUND(E44*E19,4)</f>
        <v>151.2533</v>
      </c>
      <c r="G46" s="1917">
        <v>18</v>
      </c>
      <c r="H46" s="1975">
        <f t="shared" si="0"/>
        <v>319.71288321167884</v>
      </c>
      <c r="I46" s="1976">
        <f t="shared" si="1"/>
        <v>319.71288321167884</v>
      </c>
    </row>
    <row r="47" spans="1:13" x14ac:dyDescent="0.3">
      <c r="B47" s="1977" t="s">
        <v>799</v>
      </c>
      <c r="C47" s="2178">
        <f>C30</f>
        <v>302.50659999999999</v>
      </c>
      <c r="D47" s="2186" t="str">
        <f>D30</f>
        <v>n/a</v>
      </c>
      <c r="E47" s="2173">
        <f>E30</f>
        <v>302.50659999999999</v>
      </c>
      <c r="G47" s="1917">
        <v>19</v>
      </c>
      <c r="H47" s="1975">
        <f t="shared" si="0"/>
        <v>319.5658211678832</v>
      </c>
      <c r="I47" s="1976">
        <f t="shared" si="1"/>
        <v>319.5658211678832</v>
      </c>
    </row>
    <row r="48" spans="1:13" ht="15" thickBot="1" x14ac:dyDescent="0.35">
      <c r="B48" s="2021" t="s">
        <v>786</v>
      </c>
      <c r="C48" s="2180">
        <f>C32</f>
        <v>151.2533</v>
      </c>
      <c r="D48" s="2187" t="str">
        <f>D32</f>
        <v>n/a</v>
      </c>
      <c r="E48" s="2174">
        <f>E32</f>
        <v>151.2533</v>
      </c>
      <c r="G48" s="1917">
        <v>20</v>
      </c>
      <c r="H48" s="1975">
        <f t="shared" si="0"/>
        <v>319.41875912408761</v>
      </c>
      <c r="I48" s="1976">
        <f t="shared" si="1"/>
        <v>319.41875912408761</v>
      </c>
    </row>
    <row r="49" spans="2:9" ht="15" thickTop="1" x14ac:dyDescent="0.3">
      <c r="B49" s="2008"/>
      <c r="C49" s="2023" t="b">
        <f>ROUND(SUM(C45:C46),2)=ROUND(C44,2)</f>
        <v>1</v>
      </c>
      <c r="D49" s="2023"/>
      <c r="E49" s="2023" t="b">
        <f>ROUND(SUM(E45:E46),2)=ROUND(E44,2)</f>
        <v>1</v>
      </c>
      <c r="G49" s="1917">
        <v>21</v>
      </c>
      <c r="H49" s="1975">
        <f t="shared" si="0"/>
        <v>319.27169708029197</v>
      </c>
      <c r="I49" s="1976">
        <f t="shared" si="1"/>
        <v>319.27169708029197</v>
      </c>
    </row>
    <row r="50" spans="2:9" x14ac:dyDescent="0.3">
      <c r="G50" s="1917">
        <v>22</v>
      </c>
      <c r="H50" s="1975">
        <f t="shared" si="0"/>
        <v>319.12463503649639</v>
      </c>
      <c r="I50" s="1976">
        <f t="shared" si="1"/>
        <v>319.12463503649639</v>
      </c>
    </row>
    <row r="51" spans="2:9" x14ac:dyDescent="0.3">
      <c r="G51" s="1917">
        <v>23</v>
      </c>
      <c r="H51" s="1975">
        <f t="shared" si="0"/>
        <v>318.97757299270074</v>
      </c>
      <c r="I51" s="1976">
        <f t="shared" si="1"/>
        <v>318.97757299270074</v>
      </c>
    </row>
    <row r="52" spans="2:9" x14ac:dyDescent="0.3">
      <c r="G52" s="1917">
        <v>24</v>
      </c>
      <c r="H52" s="1975">
        <f t="shared" si="0"/>
        <v>318.8305109489051</v>
      </c>
      <c r="I52" s="1976">
        <f t="shared" si="1"/>
        <v>318.8305109489051</v>
      </c>
    </row>
    <row r="53" spans="2:9" x14ac:dyDescent="0.3">
      <c r="G53" s="1917">
        <v>25</v>
      </c>
      <c r="H53" s="1975">
        <f t="shared" si="0"/>
        <v>318.68344890510951</v>
      </c>
      <c r="I53" s="1976">
        <f t="shared" si="1"/>
        <v>318.68344890510951</v>
      </c>
    </row>
    <row r="54" spans="2:9" x14ac:dyDescent="0.3">
      <c r="G54" s="1917">
        <v>26</v>
      </c>
      <c r="H54" s="1975">
        <f t="shared" si="0"/>
        <v>318.53638686131387</v>
      </c>
      <c r="I54" s="1976">
        <f t="shared" si="1"/>
        <v>318.53638686131387</v>
      </c>
    </row>
    <row r="55" spans="2:9" x14ac:dyDescent="0.3">
      <c r="G55" s="1917">
        <v>27</v>
      </c>
      <c r="H55" s="1975">
        <f t="shared" si="0"/>
        <v>318.38932481751829</v>
      </c>
      <c r="I55" s="1976">
        <f t="shared" si="1"/>
        <v>318.38932481751829</v>
      </c>
    </row>
    <row r="56" spans="2:9" x14ac:dyDescent="0.3">
      <c r="G56" s="1917">
        <v>28</v>
      </c>
      <c r="H56" s="1975">
        <f t="shared" si="0"/>
        <v>318.24226277372264</v>
      </c>
      <c r="I56" s="1976">
        <f t="shared" si="1"/>
        <v>318.24226277372264</v>
      </c>
    </row>
    <row r="57" spans="2:9" x14ac:dyDescent="0.3">
      <c r="G57" s="1917">
        <v>29</v>
      </c>
      <c r="H57" s="1975">
        <f t="shared" si="0"/>
        <v>318.09520072992706</v>
      </c>
      <c r="I57" s="1976">
        <f t="shared" si="1"/>
        <v>318.09520072992706</v>
      </c>
    </row>
    <row r="58" spans="2:9" x14ac:dyDescent="0.3">
      <c r="B58" s="2024" t="s">
        <v>800</v>
      </c>
      <c r="G58" s="1917">
        <v>30</v>
      </c>
      <c r="H58" s="1975">
        <f t="shared" si="0"/>
        <v>317.94813868613141</v>
      </c>
      <c r="I58" s="1976">
        <f t="shared" si="1"/>
        <v>317.94813868613141</v>
      </c>
    </row>
    <row r="59" spans="2:9" x14ac:dyDescent="0.3">
      <c r="B59" s="1917" t="s">
        <v>801</v>
      </c>
      <c r="G59" s="1917">
        <v>31</v>
      </c>
      <c r="H59" s="1975">
        <f t="shared" si="0"/>
        <v>317.80107664233583</v>
      </c>
      <c r="I59" s="1976">
        <f t="shared" si="1"/>
        <v>317.80107664233583</v>
      </c>
    </row>
    <row r="60" spans="2:9" x14ac:dyDescent="0.3">
      <c r="B60" s="1917" t="s">
        <v>802</v>
      </c>
      <c r="G60" s="1917">
        <v>32</v>
      </c>
      <c r="H60" s="1975">
        <f t="shared" si="0"/>
        <v>317.65401459854013</v>
      </c>
      <c r="I60" s="1976">
        <f t="shared" si="1"/>
        <v>317.65401459854013</v>
      </c>
    </row>
    <row r="61" spans="2:9" x14ac:dyDescent="0.3">
      <c r="G61" s="1917">
        <v>33</v>
      </c>
      <c r="H61" s="1975">
        <f t="shared" si="0"/>
        <v>317.50695255474454</v>
      </c>
      <c r="I61" s="1976">
        <f t="shared" si="1"/>
        <v>317.50695255474454</v>
      </c>
    </row>
    <row r="62" spans="2:9" x14ac:dyDescent="0.3">
      <c r="G62" s="1917">
        <v>34</v>
      </c>
      <c r="H62" s="1975">
        <f t="shared" si="0"/>
        <v>317.3598905109489</v>
      </c>
      <c r="I62" s="1976">
        <f t="shared" si="1"/>
        <v>317.3598905109489</v>
      </c>
    </row>
    <row r="63" spans="2:9" x14ac:dyDescent="0.3">
      <c r="G63" s="1917">
        <v>35</v>
      </c>
      <c r="H63" s="1975">
        <f t="shared" si="0"/>
        <v>317.21282846715332</v>
      </c>
      <c r="I63" s="1976">
        <f t="shared" si="1"/>
        <v>317.21282846715332</v>
      </c>
    </row>
    <row r="64" spans="2:9" x14ac:dyDescent="0.3">
      <c r="G64" s="1917">
        <v>36</v>
      </c>
      <c r="H64" s="1975">
        <f t="shared" si="0"/>
        <v>317.06576642335767</v>
      </c>
      <c r="I64" s="1976">
        <f t="shared" si="1"/>
        <v>317.06576642335767</v>
      </c>
    </row>
    <row r="65" spans="7:9" x14ac:dyDescent="0.3">
      <c r="G65" s="1917">
        <v>37</v>
      </c>
      <c r="H65" s="1975">
        <f t="shared" si="0"/>
        <v>316.91870437956209</v>
      </c>
      <c r="I65" s="1976">
        <f t="shared" si="1"/>
        <v>316.91870437956209</v>
      </c>
    </row>
    <row r="66" spans="7:9" x14ac:dyDescent="0.3">
      <c r="G66" s="1917">
        <v>38</v>
      </c>
      <c r="H66" s="1975">
        <f t="shared" si="0"/>
        <v>316.77164233576644</v>
      </c>
      <c r="I66" s="1976">
        <f t="shared" si="1"/>
        <v>316.77164233576644</v>
      </c>
    </row>
    <row r="67" spans="7:9" x14ac:dyDescent="0.3">
      <c r="G67" s="1917">
        <v>39</v>
      </c>
      <c r="H67" s="1975">
        <f t="shared" si="0"/>
        <v>316.62458029197086</v>
      </c>
      <c r="I67" s="1976">
        <f t="shared" si="1"/>
        <v>316.62458029197086</v>
      </c>
    </row>
    <row r="68" spans="7:9" x14ac:dyDescent="0.3">
      <c r="G68" s="1917">
        <v>40</v>
      </c>
      <c r="H68" s="1975">
        <f t="shared" si="0"/>
        <v>316.47751824817516</v>
      </c>
      <c r="I68" s="1976">
        <f t="shared" si="1"/>
        <v>316.47751824817516</v>
      </c>
    </row>
    <row r="69" spans="7:9" x14ac:dyDescent="0.3">
      <c r="G69" s="1917">
        <v>41</v>
      </c>
      <c r="H69" s="1975">
        <f t="shared" si="0"/>
        <v>316.33045620437957</v>
      </c>
      <c r="I69" s="1976">
        <f t="shared" si="1"/>
        <v>316.33045620437957</v>
      </c>
    </row>
    <row r="70" spans="7:9" x14ac:dyDescent="0.3">
      <c r="G70" s="1917">
        <v>42</v>
      </c>
      <c r="H70" s="1975">
        <f t="shared" si="0"/>
        <v>316.18339416058393</v>
      </c>
      <c r="I70" s="1976">
        <f t="shared" si="1"/>
        <v>316.18339416058393</v>
      </c>
    </row>
    <row r="71" spans="7:9" x14ac:dyDescent="0.3">
      <c r="G71" s="1917">
        <v>43</v>
      </c>
      <c r="H71" s="1975">
        <f t="shared" si="0"/>
        <v>316.03633211678834</v>
      </c>
      <c r="I71" s="1976">
        <f t="shared" si="1"/>
        <v>316.03633211678834</v>
      </c>
    </row>
    <row r="72" spans="7:9" x14ac:dyDescent="0.3">
      <c r="G72" s="1917">
        <v>44</v>
      </c>
      <c r="H72" s="1975">
        <f t="shared" si="0"/>
        <v>315.8892700729927</v>
      </c>
      <c r="I72" s="1976">
        <f t="shared" si="1"/>
        <v>315.8892700729927</v>
      </c>
    </row>
    <row r="73" spans="7:9" x14ac:dyDescent="0.3">
      <c r="G73" s="1917">
        <v>45</v>
      </c>
      <c r="H73" s="1975">
        <f t="shared" si="0"/>
        <v>315.74220802919712</v>
      </c>
      <c r="I73" s="1976">
        <f t="shared" si="1"/>
        <v>315.74220802919712</v>
      </c>
    </row>
    <row r="74" spans="7:9" x14ac:dyDescent="0.3">
      <c r="G74" s="1917">
        <v>46</v>
      </c>
      <c r="H74" s="1975">
        <f t="shared" si="0"/>
        <v>315.59514598540147</v>
      </c>
      <c r="I74" s="1976">
        <f t="shared" si="1"/>
        <v>315.59514598540147</v>
      </c>
    </row>
    <row r="75" spans="7:9" x14ac:dyDescent="0.3">
      <c r="G75" s="1917">
        <v>47</v>
      </c>
      <c r="H75" s="1975">
        <f t="shared" si="0"/>
        <v>315.44808394160589</v>
      </c>
      <c r="I75" s="1976">
        <f t="shared" si="1"/>
        <v>315.44808394160589</v>
      </c>
    </row>
    <row r="76" spans="7:9" x14ac:dyDescent="0.3">
      <c r="G76" s="1917">
        <v>48</v>
      </c>
      <c r="H76" s="1975">
        <f t="shared" si="0"/>
        <v>315.30102189781024</v>
      </c>
      <c r="I76" s="1976">
        <f t="shared" si="1"/>
        <v>315.30102189781024</v>
      </c>
    </row>
    <row r="77" spans="7:9" x14ac:dyDescent="0.3">
      <c r="G77" s="1917">
        <v>49</v>
      </c>
      <c r="H77" s="1975">
        <f t="shared" si="0"/>
        <v>315.1539598540146</v>
      </c>
      <c r="I77" s="1976">
        <f t="shared" si="1"/>
        <v>315.1539598540146</v>
      </c>
    </row>
    <row r="78" spans="7:9" x14ac:dyDescent="0.3">
      <c r="G78" s="1917">
        <v>50</v>
      </c>
      <c r="H78" s="1975">
        <f t="shared" si="0"/>
        <v>315.00689781021896</v>
      </c>
      <c r="I78" s="1976">
        <f t="shared" si="1"/>
        <v>315.00689781021896</v>
      </c>
    </row>
    <row r="79" spans="7:9" x14ac:dyDescent="0.3">
      <c r="G79" s="1917">
        <v>51</v>
      </c>
      <c r="H79" s="1975">
        <f t="shared" si="0"/>
        <v>314.85983576642337</v>
      </c>
      <c r="I79" s="1976">
        <f t="shared" si="1"/>
        <v>314.85983576642337</v>
      </c>
    </row>
    <row r="80" spans="7:9" x14ac:dyDescent="0.3">
      <c r="G80" s="1917">
        <v>52</v>
      </c>
      <c r="H80" s="1975">
        <f t="shared" si="0"/>
        <v>314.71277372262773</v>
      </c>
      <c r="I80" s="1976">
        <f t="shared" si="1"/>
        <v>314.71277372262773</v>
      </c>
    </row>
    <row r="81" spans="7:9" x14ac:dyDescent="0.3">
      <c r="G81" s="1917">
        <v>53</v>
      </c>
      <c r="H81" s="1975">
        <f t="shared" si="0"/>
        <v>314.56571167883214</v>
      </c>
      <c r="I81" s="1976">
        <f t="shared" si="1"/>
        <v>314.56571167883214</v>
      </c>
    </row>
    <row r="82" spans="7:9" x14ac:dyDescent="0.3">
      <c r="G82" s="1917">
        <v>54</v>
      </c>
      <c r="H82" s="1975">
        <f t="shared" si="0"/>
        <v>314.4186496350365</v>
      </c>
      <c r="I82" s="1976">
        <f t="shared" si="1"/>
        <v>314.4186496350365</v>
      </c>
    </row>
    <row r="83" spans="7:9" x14ac:dyDescent="0.3">
      <c r="G83" s="1917">
        <v>55</v>
      </c>
      <c r="H83" s="1975">
        <f t="shared" si="0"/>
        <v>314.27158759124092</v>
      </c>
      <c r="I83" s="1976">
        <f t="shared" si="1"/>
        <v>314.27158759124092</v>
      </c>
    </row>
    <row r="84" spans="7:9" x14ac:dyDescent="0.3">
      <c r="G84" s="1917">
        <v>56</v>
      </c>
      <c r="H84" s="1975">
        <f t="shared" si="0"/>
        <v>314.12452554744527</v>
      </c>
      <c r="I84" s="1976">
        <f t="shared" si="1"/>
        <v>314.12452554744527</v>
      </c>
    </row>
    <row r="85" spans="7:9" x14ac:dyDescent="0.3">
      <c r="G85" s="1917">
        <v>57</v>
      </c>
      <c r="H85" s="1975">
        <f t="shared" si="0"/>
        <v>313.97746350364963</v>
      </c>
      <c r="I85" s="1976">
        <f t="shared" si="1"/>
        <v>313.97746350364963</v>
      </c>
    </row>
    <row r="86" spans="7:9" x14ac:dyDescent="0.3">
      <c r="G86" s="1917">
        <v>58</v>
      </c>
      <c r="H86" s="1975">
        <f t="shared" si="0"/>
        <v>313.83040145985399</v>
      </c>
      <c r="I86" s="1976">
        <f t="shared" si="1"/>
        <v>313.83040145985399</v>
      </c>
    </row>
    <row r="87" spans="7:9" x14ac:dyDescent="0.3">
      <c r="G87" s="1917">
        <v>59</v>
      </c>
      <c r="H87" s="1975">
        <f t="shared" si="0"/>
        <v>313.6833394160584</v>
      </c>
      <c r="I87" s="1976">
        <f t="shared" si="1"/>
        <v>313.6833394160584</v>
      </c>
    </row>
    <row r="88" spans="7:9" x14ac:dyDescent="0.3">
      <c r="G88" s="1917">
        <v>60</v>
      </c>
      <c r="H88" s="1975">
        <f t="shared" si="0"/>
        <v>313.53627737226276</v>
      </c>
      <c r="I88" s="1976">
        <f t="shared" si="1"/>
        <v>313.53627737226276</v>
      </c>
    </row>
    <row r="89" spans="7:9" x14ac:dyDescent="0.3">
      <c r="G89" s="1917">
        <v>61</v>
      </c>
      <c r="H89" s="1975">
        <f t="shared" si="0"/>
        <v>313.38921532846717</v>
      </c>
      <c r="I89" s="1976">
        <f t="shared" si="1"/>
        <v>313.38921532846717</v>
      </c>
    </row>
    <row r="90" spans="7:9" x14ac:dyDescent="0.3">
      <c r="G90" s="1917">
        <v>62</v>
      </c>
      <c r="H90" s="1975">
        <f t="shared" si="0"/>
        <v>313.24215328467153</v>
      </c>
      <c r="I90" s="1976">
        <f t="shared" si="1"/>
        <v>313.24215328467153</v>
      </c>
    </row>
    <row r="91" spans="7:9" x14ac:dyDescent="0.3">
      <c r="G91" s="1917">
        <v>63</v>
      </c>
      <c r="H91" s="1975">
        <f t="shared" si="0"/>
        <v>313.09509124087595</v>
      </c>
      <c r="I91" s="1976">
        <f t="shared" si="1"/>
        <v>313.09509124087595</v>
      </c>
    </row>
    <row r="92" spans="7:9" x14ac:dyDescent="0.3">
      <c r="G92" s="1917">
        <v>64</v>
      </c>
      <c r="H92" s="1975">
        <f t="shared" si="0"/>
        <v>312.9480291970803</v>
      </c>
      <c r="I92" s="1976">
        <f t="shared" si="1"/>
        <v>312.9480291970803</v>
      </c>
    </row>
    <row r="93" spans="7:9" x14ac:dyDescent="0.3">
      <c r="G93" s="1917">
        <v>65</v>
      </c>
      <c r="H93" s="1975">
        <f t="shared" ref="H93:H149" si="3">IF(G93&gt;$C$26,"",$E$29*($C$26-G93)/$C$26)</f>
        <v>312.80096715328466</v>
      </c>
      <c r="I93" s="1976">
        <f t="shared" ref="I93:I149" si="4">IF(G93&gt;$C$26,"",H93-$E$20)</f>
        <v>312.80096715328466</v>
      </c>
    </row>
    <row r="94" spans="7:9" x14ac:dyDescent="0.3">
      <c r="G94" s="1917">
        <v>66</v>
      </c>
      <c r="H94" s="1975">
        <f t="shared" si="3"/>
        <v>312.65390510948902</v>
      </c>
      <c r="I94" s="1976">
        <f t="shared" si="4"/>
        <v>312.65390510948902</v>
      </c>
    </row>
    <row r="95" spans="7:9" x14ac:dyDescent="0.3">
      <c r="G95" s="1917">
        <v>67</v>
      </c>
      <c r="H95" s="1975">
        <f t="shared" si="3"/>
        <v>312.50684306569343</v>
      </c>
      <c r="I95" s="1976">
        <f t="shared" si="4"/>
        <v>312.50684306569343</v>
      </c>
    </row>
    <row r="96" spans="7:9" x14ac:dyDescent="0.3">
      <c r="G96" s="1917">
        <v>68</v>
      </c>
      <c r="H96" s="1975">
        <f t="shared" si="3"/>
        <v>312.35978102189779</v>
      </c>
      <c r="I96" s="1976">
        <f t="shared" si="4"/>
        <v>312.35978102189779</v>
      </c>
    </row>
    <row r="97" spans="7:9" x14ac:dyDescent="0.3">
      <c r="G97" s="1917">
        <v>69</v>
      </c>
      <c r="H97" s="1975">
        <f t="shared" si="3"/>
        <v>312.2127189781022</v>
      </c>
      <c r="I97" s="1976">
        <f t="shared" si="4"/>
        <v>312.2127189781022</v>
      </c>
    </row>
    <row r="98" spans="7:9" x14ac:dyDescent="0.3">
      <c r="G98" s="1917">
        <v>70</v>
      </c>
      <c r="H98" s="1975">
        <f t="shared" si="3"/>
        <v>312.06565693430662</v>
      </c>
      <c r="I98" s="1976">
        <f t="shared" si="4"/>
        <v>312.06565693430662</v>
      </c>
    </row>
    <row r="99" spans="7:9" x14ac:dyDescent="0.3">
      <c r="G99" s="1917">
        <v>71</v>
      </c>
      <c r="H99" s="1975">
        <f t="shared" si="3"/>
        <v>311.91859489051097</v>
      </c>
      <c r="I99" s="1976">
        <f t="shared" si="4"/>
        <v>311.91859489051097</v>
      </c>
    </row>
    <row r="100" spans="7:9" x14ac:dyDescent="0.3">
      <c r="G100" s="1917">
        <v>72</v>
      </c>
      <c r="H100" s="1975">
        <f t="shared" si="3"/>
        <v>311.77153284671539</v>
      </c>
      <c r="I100" s="1976">
        <f t="shared" si="4"/>
        <v>311.77153284671539</v>
      </c>
    </row>
    <row r="101" spans="7:9" x14ac:dyDescent="0.3">
      <c r="G101" s="1917">
        <v>73</v>
      </c>
      <c r="H101" s="1975">
        <f t="shared" si="3"/>
        <v>311.62447080291975</v>
      </c>
      <c r="I101" s="1976">
        <f t="shared" si="4"/>
        <v>311.62447080291975</v>
      </c>
    </row>
    <row r="102" spans="7:9" x14ac:dyDescent="0.3">
      <c r="G102" s="1917">
        <v>74</v>
      </c>
      <c r="H102" s="1975">
        <f t="shared" si="3"/>
        <v>311.4774087591241</v>
      </c>
      <c r="I102" s="1976">
        <f t="shared" si="4"/>
        <v>311.4774087591241</v>
      </c>
    </row>
    <row r="103" spans="7:9" x14ac:dyDescent="0.3">
      <c r="G103" s="1917">
        <v>75</v>
      </c>
      <c r="H103" s="1975">
        <f t="shared" si="3"/>
        <v>311.33034671532846</v>
      </c>
      <c r="I103" s="1976">
        <f t="shared" si="4"/>
        <v>311.33034671532846</v>
      </c>
    </row>
    <row r="104" spans="7:9" x14ac:dyDescent="0.3">
      <c r="G104" s="1917">
        <v>76</v>
      </c>
      <c r="H104" s="1975">
        <f t="shared" si="3"/>
        <v>311.18328467153287</v>
      </c>
      <c r="I104" s="1976">
        <f t="shared" si="4"/>
        <v>311.18328467153287</v>
      </c>
    </row>
    <row r="105" spans="7:9" x14ac:dyDescent="0.3">
      <c r="G105" s="1917">
        <v>77</v>
      </c>
      <c r="H105" s="1975">
        <f t="shared" si="3"/>
        <v>311.03622262773723</v>
      </c>
      <c r="I105" s="1976">
        <f t="shared" si="4"/>
        <v>311.03622262773723</v>
      </c>
    </row>
    <row r="106" spans="7:9" x14ac:dyDescent="0.3">
      <c r="G106" s="1917">
        <v>78</v>
      </c>
      <c r="H106" s="1975">
        <f t="shared" si="3"/>
        <v>310.88916058394165</v>
      </c>
      <c r="I106" s="1976">
        <f t="shared" si="4"/>
        <v>310.88916058394165</v>
      </c>
    </row>
    <row r="107" spans="7:9" x14ac:dyDescent="0.3">
      <c r="G107" s="1917">
        <v>79</v>
      </c>
      <c r="H107" s="1975">
        <f t="shared" si="3"/>
        <v>310.742098540146</v>
      </c>
      <c r="I107" s="1976">
        <f t="shared" si="4"/>
        <v>310.742098540146</v>
      </c>
    </row>
    <row r="108" spans="7:9" x14ac:dyDescent="0.3">
      <c r="G108" s="1917">
        <v>80</v>
      </c>
      <c r="H108" s="1975">
        <f t="shared" si="3"/>
        <v>310.59503649635042</v>
      </c>
      <c r="I108" s="1976">
        <f t="shared" si="4"/>
        <v>310.59503649635042</v>
      </c>
    </row>
    <row r="109" spans="7:9" x14ac:dyDescent="0.3">
      <c r="G109" s="1917">
        <v>81</v>
      </c>
      <c r="H109" s="1975">
        <f t="shared" si="3"/>
        <v>310.44797445255477</v>
      </c>
      <c r="I109" s="1976">
        <f t="shared" si="4"/>
        <v>310.44797445255477</v>
      </c>
    </row>
    <row r="110" spans="7:9" x14ac:dyDescent="0.3">
      <c r="G110" s="1917">
        <v>82</v>
      </c>
      <c r="H110" s="1975">
        <f t="shared" si="3"/>
        <v>310.30091240875913</v>
      </c>
      <c r="I110" s="1976">
        <f t="shared" si="4"/>
        <v>310.30091240875913</v>
      </c>
    </row>
    <row r="111" spans="7:9" x14ac:dyDescent="0.3">
      <c r="G111" s="1917">
        <v>83</v>
      </c>
      <c r="H111" s="1975">
        <f t="shared" si="3"/>
        <v>310.15385036496349</v>
      </c>
      <c r="I111" s="1976">
        <f t="shared" si="4"/>
        <v>310.15385036496349</v>
      </c>
    </row>
    <row r="112" spans="7:9" x14ac:dyDescent="0.3">
      <c r="G112" s="1917">
        <v>84</v>
      </c>
      <c r="H112" s="1975">
        <f t="shared" si="3"/>
        <v>310.0067883211679</v>
      </c>
      <c r="I112" s="1976">
        <f t="shared" si="4"/>
        <v>310.0067883211679</v>
      </c>
    </row>
    <row r="113" spans="7:9" x14ac:dyDescent="0.3">
      <c r="G113" s="1917">
        <v>85</v>
      </c>
      <c r="H113" s="1975">
        <f t="shared" si="3"/>
        <v>309.85972627737226</v>
      </c>
      <c r="I113" s="1976">
        <f t="shared" si="4"/>
        <v>309.85972627737226</v>
      </c>
    </row>
    <row r="114" spans="7:9" x14ac:dyDescent="0.3">
      <c r="G114" s="1917">
        <v>86</v>
      </c>
      <c r="H114" s="1975">
        <f t="shared" si="3"/>
        <v>309.71266423357667</v>
      </c>
      <c r="I114" s="1976">
        <f t="shared" si="4"/>
        <v>309.71266423357667</v>
      </c>
    </row>
    <row r="115" spans="7:9" x14ac:dyDescent="0.3">
      <c r="G115" s="1917">
        <v>87</v>
      </c>
      <c r="H115" s="1975">
        <f t="shared" si="3"/>
        <v>309.56560218978103</v>
      </c>
      <c r="I115" s="1976">
        <f t="shared" si="4"/>
        <v>309.56560218978103</v>
      </c>
    </row>
    <row r="116" spans="7:9" x14ac:dyDescent="0.3">
      <c r="G116" s="1917">
        <v>88</v>
      </c>
      <c r="H116" s="1975">
        <f t="shared" si="3"/>
        <v>309.41854014598545</v>
      </c>
      <c r="I116" s="1976">
        <f t="shared" si="4"/>
        <v>309.41854014598545</v>
      </c>
    </row>
    <row r="117" spans="7:9" x14ac:dyDescent="0.3">
      <c r="G117" s="1917">
        <v>89</v>
      </c>
      <c r="H117" s="1975">
        <f t="shared" si="3"/>
        <v>309.2714781021898</v>
      </c>
      <c r="I117" s="1976">
        <f t="shared" si="4"/>
        <v>309.2714781021898</v>
      </c>
    </row>
    <row r="118" spans="7:9" x14ac:dyDescent="0.3">
      <c r="G118" s="1917">
        <v>90</v>
      </c>
      <c r="H118" s="1975">
        <f t="shared" si="3"/>
        <v>309.12441605839416</v>
      </c>
      <c r="I118" s="1976">
        <f t="shared" si="4"/>
        <v>309.12441605839416</v>
      </c>
    </row>
    <row r="119" spans="7:9" x14ac:dyDescent="0.3">
      <c r="G119" s="1917">
        <v>91</v>
      </c>
      <c r="H119" s="1975">
        <f t="shared" si="3"/>
        <v>308.97735401459852</v>
      </c>
      <c r="I119" s="1976">
        <f t="shared" si="4"/>
        <v>308.97735401459852</v>
      </c>
    </row>
    <row r="120" spans="7:9" x14ac:dyDescent="0.3">
      <c r="G120" s="1917">
        <v>92</v>
      </c>
      <c r="H120" s="1975">
        <f t="shared" si="3"/>
        <v>308.83029197080293</v>
      </c>
      <c r="I120" s="1976">
        <f t="shared" si="4"/>
        <v>308.83029197080293</v>
      </c>
    </row>
    <row r="121" spans="7:9" x14ac:dyDescent="0.3">
      <c r="G121" s="1917">
        <v>93</v>
      </c>
      <c r="H121" s="1975">
        <f t="shared" si="3"/>
        <v>308.68322992700729</v>
      </c>
      <c r="I121" s="1976">
        <f t="shared" si="4"/>
        <v>308.68322992700729</v>
      </c>
    </row>
    <row r="122" spans="7:9" x14ac:dyDescent="0.3">
      <c r="G122" s="1917">
        <v>94</v>
      </c>
      <c r="H122" s="1975">
        <f t="shared" si="3"/>
        <v>308.5361678832117</v>
      </c>
      <c r="I122" s="1976">
        <f t="shared" si="4"/>
        <v>308.5361678832117</v>
      </c>
    </row>
    <row r="123" spans="7:9" x14ac:dyDescent="0.3">
      <c r="G123" s="1917">
        <v>95</v>
      </c>
      <c r="H123" s="1975">
        <f t="shared" si="3"/>
        <v>308.38910583941606</v>
      </c>
      <c r="I123" s="1976">
        <f t="shared" si="4"/>
        <v>308.38910583941606</v>
      </c>
    </row>
    <row r="124" spans="7:9" x14ac:dyDescent="0.3">
      <c r="G124" s="1917">
        <v>96</v>
      </c>
      <c r="H124" s="1975">
        <f t="shared" si="3"/>
        <v>308.24204379562048</v>
      </c>
      <c r="I124" s="1976">
        <f t="shared" si="4"/>
        <v>308.24204379562048</v>
      </c>
    </row>
    <row r="125" spans="7:9" x14ac:dyDescent="0.3">
      <c r="G125" s="1917">
        <v>97</v>
      </c>
      <c r="H125" s="1975">
        <f t="shared" si="3"/>
        <v>308.09498175182483</v>
      </c>
      <c r="I125" s="1976">
        <f t="shared" si="4"/>
        <v>308.09498175182483</v>
      </c>
    </row>
    <row r="126" spans="7:9" x14ac:dyDescent="0.3">
      <c r="G126" s="1917">
        <v>98</v>
      </c>
      <c r="H126" s="1975">
        <f t="shared" si="3"/>
        <v>307.94791970802925</v>
      </c>
      <c r="I126" s="1976">
        <f t="shared" si="4"/>
        <v>307.94791970802925</v>
      </c>
    </row>
    <row r="127" spans="7:9" x14ac:dyDescent="0.3">
      <c r="G127" s="1917">
        <v>99</v>
      </c>
      <c r="H127" s="1975">
        <f t="shared" si="3"/>
        <v>307.80085766423355</v>
      </c>
      <c r="I127" s="1976">
        <f t="shared" si="4"/>
        <v>307.80085766423355</v>
      </c>
    </row>
    <row r="128" spans="7:9" x14ac:dyDescent="0.3">
      <c r="G128" s="1917">
        <v>100</v>
      </c>
      <c r="H128" s="1975">
        <f t="shared" si="3"/>
        <v>307.65379562043796</v>
      </c>
      <c r="I128" s="1976">
        <f t="shared" si="4"/>
        <v>307.65379562043796</v>
      </c>
    </row>
    <row r="129" spans="7:9" x14ac:dyDescent="0.3">
      <c r="G129" s="1917">
        <v>101</v>
      </c>
      <c r="H129" s="1975">
        <f t="shared" si="3"/>
        <v>307.50673357664232</v>
      </c>
      <c r="I129" s="1976">
        <f t="shared" si="4"/>
        <v>307.50673357664232</v>
      </c>
    </row>
    <row r="130" spans="7:9" x14ac:dyDescent="0.3">
      <c r="G130" s="1917">
        <v>102</v>
      </c>
      <c r="H130" s="1975">
        <f t="shared" si="3"/>
        <v>307.35967153284673</v>
      </c>
      <c r="I130" s="1976">
        <f t="shared" si="4"/>
        <v>307.35967153284673</v>
      </c>
    </row>
    <row r="131" spans="7:9" x14ac:dyDescent="0.3">
      <c r="G131" s="1917">
        <v>103</v>
      </c>
      <c r="H131" s="1975">
        <f t="shared" si="3"/>
        <v>307.21260948905109</v>
      </c>
      <c r="I131" s="1976">
        <f t="shared" si="4"/>
        <v>307.21260948905109</v>
      </c>
    </row>
    <row r="132" spans="7:9" x14ac:dyDescent="0.3">
      <c r="G132" s="1917">
        <v>104</v>
      </c>
      <c r="H132" s="1975">
        <f t="shared" si="3"/>
        <v>307.0655474452555</v>
      </c>
      <c r="I132" s="1976">
        <f t="shared" si="4"/>
        <v>307.0655474452555</v>
      </c>
    </row>
    <row r="133" spans="7:9" x14ac:dyDescent="0.3">
      <c r="G133" s="1917">
        <v>105</v>
      </c>
      <c r="H133" s="1975">
        <f t="shared" si="3"/>
        <v>306.91848540145986</v>
      </c>
      <c r="I133" s="1976">
        <f t="shared" si="4"/>
        <v>306.91848540145986</v>
      </c>
    </row>
    <row r="134" spans="7:9" x14ac:dyDescent="0.3">
      <c r="G134" s="1917">
        <v>106</v>
      </c>
      <c r="H134" s="1975">
        <f t="shared" si="3"/>
        <v>306.77142335766428</v>
      </c>
      <c r="I134" s="1976">
        <f t="shared" si="4"/>
        <v>306.77142335766428</v>
      </c>
    </row>
    <row r="135" spans="7:9" x14ac:dyDescent="0.3">
      <c r="G135" s="1917">
        <v>107</v>
      </c>
      <c r="H135" s="1975">
        <f t="shared" si="3"/>
        <v>306.62436131386858</v>
      </c>
      <c r="I135" s="1976">
        <f t="shared" si="4"/>
        <v>306.62436131386858</v>
      </c>
    </row>
    <row r="136" spans="7:9" x14ac:dyDescent="0.3">
      <c r="G136" s="1917">
        <v>108</v>
      </c>
      <c r="H136" s="1975">
        <f t="shared" si="3"/>
        <v>306.47729927007299</v>
      </c>
      <c r="I136" s="1976">
        <f t="shared" si="4"/>
        <v>306.47729927007299</v>
      </c>
    </row>
    <row r="137" spans="7:9" x14ac:dyDescent="0.3">
      <c r="G137" s="1917">
        <v>109</v>
      </c>
      <c r="H137" s="1975">
        <f t="shared" si="3"/>
        <v>306.33023722627735</v>
      </c>
      <c r="I137" s="1976">
        <f t="shared" si="4"/>
        <v>306.33023722627735</v>
      </c>
    </row>
    <row r="138" spans="7:9" x14ac:dyDescent="0.3">
      <c r="G138" s="1917">
        <v>110</v>
      </c>
      <c r="H138" s="1975">
        <f t="shared" si="3"/>
        <v>306.18317518248176</v>
      </c>
      <c r="I138" s="1976">
        <f t="shared" si="4"/>
        <v>306.18317518248176</v>
      </c>
    </row>
    <row r="139" spans="7:9" x14ac:dyDescent="0.3">
      <c r="G139" s="1917">
        <v>111</v>
      </c>
      <c r="H139" s="1975">
        <f t="shared" si="3"/>
        <v>306.03611313868612</v>
      </c>
      <c r="I139" s="1976">
        <f t="shared" si="4"/>
        <v>306.03611313868612</v>
      </c>
    </row>
    <row r="140" spans="7:9" x14ac:dyDescent="0.3">
      <c r="G140" s="1917">
        <v>112</v>
      </c>
      <c r="H140" s="1975">
        <f t="shared" si="3"/>
        <v>305.88905109489053</v>
      </c>
      <c r="I140" s="1976">
        <f t="shared" si="4"/>
        <v>305.88905109489053</v>
      </c>
    </row>
    <row r="141" spans="7:9" x14ac:dyDescent="0.3">
      <c r="G141" s="1917">
        <v>113</v>
      </c>
      <c r="H141" s="1975">
        <f t="shared" si="3"/>
        <v>305.74198905109489</v>
      </c>
      <c r="I141" s="1976">
        <f t="shared" si="4"/>
        <v>305.74198905109489</v>
      </c>
    </row>
    <row r="142" spans="7:9" x14ac:dyDescent="0.3">
      <c r="G142" s="1917">
        <v>114</v>
      </c>
      <c r="H142" s="1975">
        <f t="shared" si="3"/>
        <v>305.5949270072993</v>
      </c>
      <c r="I142" s="1976">
        <f t="shared" si="4"/>
        <v>305.5949270072993</v>
      </c>
    </row>
    <row r="143" spans="7:9" x14ac:dyDescent="0.3">
      <c r="G143" s="1917">
        <v>115</v>
      </c>
      <c r="H143" s="1975">
        <f t="shared" si="3"/>
        <v>305.44786496350366</v>
      </c>
      <c r="I143" s="1976">
        <f t="shared" si="4"/>
        <v>305.44786496350366</v>
      </c>
    </row>
    <row r="144" spans="7:9" x14ac:dyDescent="0.3">
      <c r="G144" s="1917">
        <v>116</v>
      </c>
      <c r="H144" s="1975">
        <f t="shared" si="3"/>
        <v>305.30080291970802</v>
      </c>
      <c r="I144" s="1976">
        <f t="shared" si="4"/>
        <v>305.30080291970802</v>
      </c>
    </row>
    <row r="145" spans="7:9" x14ac:dyDescent="0.3">
      <c r="G145" s="1917">
        <v>117</v>
      </c>
      <c r="H145" s="1975">
        <f t="shared" si="3"/>
        <v>305.15374087591243</v>
      </c>
      <c r="I145" s="1976">
        <f t="shared" si="4"/>
        <v>305.15374087591243</v>
      </c>
    </row>
    <row r="146" spans="7:9" x14ac:dyDescent="0.3">
      <c r="G146" s="1917">
        <v>118</v>
      </c>
      <c r="H146" s="1975">
        <f t="shared" si="3"/>
        <v>305.00667883211679</v>
      </c>
      <c r="I146" s="1976">
        <f t="shared" si="4"/>
        <v>305.00667883211679</v>
      </c>
    </row>
    <row r="147" spans="7:9" x14ac:dyDescent="0.3">
      <c r="G147" s="1917">
        <v>119</v>
      </c>
      <c r="H147" s="1975">
        <f t="shared" si="3"/>
        <v>304.8596167883212</v>
      </c>
      <c r="I147" s="1976">
        <f t="shared" si="4"/>
        <v>304.8596167883212</v>
      </c>
    </row>
    <row r="148" spans="7:9" x14ac:dyDescent="0.3">
      <c r="G148" s="1917">
        <v>120</v>
      </c>
      <c r="H148" s="1975">
        <f t="shared" si="3"/>
        <v>304.71255474452556</v>
      </c>
      <c r="I148" s="1976">
        <f t="shared" si="4"/>
        <v>304.71255474452556</v>
      </c>
    </row>
    <row r="149" spans="7:9" x14ac:dyDescent="0.3">
      <c r="G149" s="1917">
        <v>121</v>
      </c>
      <c r="H149" s="1975">
        <f t="shared" si="3"/>
        <v>304.56549270072998</v>
      </c>
      <c r="I149" s="1976">
        <f t="shared" si="4"/>
        <v>304.56549270072998</v>
      </c>
    </row>
  </sheetData>
  <mergeCells count="5">
    <mergeCell ref="B4:E4"/>
    <mergeCell ref="B5:E5"/>
    <mergeCell ref="I5:N5"/>
    <mergeCell ref="B7:C7"/>
    <mergeCell ref="J21:K21"/>
  </mergeCells>
  <pageMargins left="0.7" right="0.7" top="0.75" bottom="0.75" header="0.3" footer="0.3"/>
  <pageSetup paperSize="9" orientation="landscape" r:id="rId1"/>
  <headerFooter alignWithMargins="0">
    <oddHeader>&amp;L&amp;"Calibri"&amp;10&amp;K000000Classified as Confidential&amp;1#</oddHead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D7BA5-468F-4661-A700-CF0D9779F1E1}">
  <dimension ref="A1:O149"/>
  <sheetViews>
    <sheetView showGridLines="0" tabSelected="1" zoomScale="70" zoomScaleNormal="70" workbookViewId="0">
      <selection activeCell="C19" sqref="C19"/>
    </sheetView>
  </sheetViews>
  <sheetFormatPr defaultColWidth="9.21875" defaultRowHeight="14.4" x14ac:dyDescent="0.3"/>
  <cols>
    <col min="1" max="1" width="18" style="1917" customWidth="1"/>
    <col min="2" max="2" width="121.77734375" style="1917" customWidth="1"/>
    <col min="3" max="3" width="15.21875" style="1917" customWidth="1"/>
    <col min="4" max="4" width="23.77734375" style="1917" customWidth="1"/>
    <col min="5" max="5" width="18.44140625" style="1917" customWidth="1"/>
    <col min="6" max="6" width="80.21875" style="1917" customWidth="1"/>
    <col min="7" max="7" width="14.44140625" style="1917" customWidth="1"/>
    <col min="8" max="8" width="93.5546875" style="1917" customWidth="1"/>
    <col min="9" max="9" width="81.77734375" style="1917" customWidth="1"/>
    <col min="10" max="10" width="99.21875" style="1917" customWidth="1"/>
    <col min="11" max="11" width="113.21875" style="1917" customWidth="1"/>
    <col min="12" max="12" width="12.5546875" style="1917" customWidth="1"/>
    <col min="13" max="13" width="17.5546875" style="1917" bestFit="1" customWidth="1"/>
    <col min="14" max="256" width="9.21875" style="1917"/>
    <col min="257" max="257" width="18" style="1917" customWidth="1"/>
    <col min="258" max="258" width="121.77734375" style="1917" customWidth="1"/>
    <col min="259" max="259" width="15.21875" style="1917" customWidth="1"/>
    <col min="260" max="260" width="23.77734375" style="1917" customWidth="1"/>
    <col min="261" max="261" width="18.44140625" style="1917" customWidth="1"/>
    <col min="262" max="262" width="80.21875" style="1917" customWidth="1"/>
    <col min="263" max="263" width="14.44140625" style="1917" customWidth="1"/>
    <col min="264" max="264" width="93.5546875" style="1917" customWidth="1"/>
    <col min="265" max="265" width="81.77734375" style="1917" customWidth="1"/>
    <col min="266" max="266" width="99.21875" style="1917" customWidth="1"/>
    <col min="267" max="267" width="113.21875" style="1917" customWidth="1"/>
    <col min="268" max="268" width="12.5546875" style="1917" customWidth="1"/>
    <col min="269" max="269" width="17.5546875" style="1917" bestFit="1" customWidth="1"/>
    <col min="270" max="512" width="9.21875" style="1917"/>
    <col min="513" max="513" width="18" style="1917" customWidth="1"/>
    <col min="514" max="514" width="121.77734375" style="1917" customWidth="1"/>
    <col min="515" max="515" width="15.21875" style="1917" customWidth="1"/>
    <col min="516" max="516" width="23.77734375" style="1917" customWidth="1"/>
    <col min="517" max="517" width="18.44140625" style="1917" customWidth="1"/>
    <col min="518" max="518" width="80.21875" style="1917" customWidth="1"/>
    <col min="519" max="519" width="14.44140625" style="1917" customWidth="1"/>
    <col min="520" max="520" width="93.5546875" style="1917" customWidth="1"/>
    <col min="521" max="521" width="81.77734375" style="1917" customWidth="1"/>
    <col min="522" max="522" width="99.21875" style="1917" customWidth="1"/>
    <col min="523" max="523" width="113.21875" style="1917" customWidth="1"/>
    <col min="524" max="524" width="12.5546875" style="1917" customWidth="1"/>
    <col min="525" max="525" width="17.5546875" style="1917" bestFit="1" customWidth="1"/>
    <col min="526" max="768" width="9.21875" style="1917"/>
    <col min="769" max="769" width="18" style="1917" customWidth="1"/>
    <col min="770" max="770" width="121.77734375" style="1917" customWidth="1"/>
    <col min="771" max="771" width="15.21875" style="1917" customWidth="1"/>
    <col min="772" max="772" width="23.77734375" style="1917" customWidth="1"/>
    <col min="773" max="773" width="18.44140625" style="1917" customWidth="1"/>
    <col min="774" max="774" width="80.21875" style="1917" customWidth="1"/>
    <col min="775" max="775" width="14.44140625" style="1917" customWidth="1"/>
    <col min="776" max="776" width="93.5546875" style="1917" customWidth="1"/>
    <col min="777" max="777" width="81.77734375" style="1917" customWidth="1"/>
    <col min="778" max="778" width="99.21875" style="1917" customWidth="1"/>
    <col min="779" max="779" width="113.21875" style="1917" customWidth="1"/>
    <col min="780" max="780" width="12.5546875" style="1917" customWidth="1"/>
    <col min="781" max="781" width="17.5546875" style="1917" bestFit="1" customWidth="1"/>
    <col min="782" max="1024" width="9.21875" style="1917"/>
    <col min="1025" max="1025" width="18" style="1917" customWidth="1"/>
    <col min="1026" max="1026" width="121.77734375" style="1917" customWidth="1"/>
    <col min="1027" max="1027" width="15.21875" style="1917" customWidth="1"/>
    <col min="1028" max="1028" width="23.77734375" style="1917" customWidth="1"/>
    <col min="1029" max="1029" width="18.44140625" style="1917" customWidth="1"/>
    <col min="1030" max="1030" width="80.21875" style="1917" customWidth="1"/>
    <col min="1031" max="1031" width="14.44140625" style="1917" customWidth="1"/>
    <col min="1032" max="1032" width="93.5546875" style="1917" customWidth="1"/>
    <col min="1033" max="1033" width="81.77734375" style="1917" customWidth="1"/>
    <col min="1034" max="1034" width="99.21875" style="1917" customWidth="1"/>
    <col min="1035" max="1035" width="113.21875" style="1917" customWidth="1"/>
    <col min="1036" max="1036" width="12.5546875" style="1917" customWidth="1"/>
    <col min="1037" max="1037" width="17.5546875" style="1917" bestFit="1" customWidth="1"/>
    <col min="1038" max="1280" width="9.21875" style="1917"/>
    <col min="1281" max="1281" width="18" style="1917" customWidth="1"/>
    <col min="1282" max="1282" width="121.77734375" style="1917" customWidth="1"/>
    <col min="1283" max="1283" width="15.21875" style="1917" customWidth="1"/>
    <col min="1284" max="1284" width="23.77734375" style="1917" customWidth="1"/>
    <col min="1285" max="1285" width="18.44140625" style="1917" customWidth="1"/>
    <col min="1286" max="1286" width="80.21875" style="1917" customWidth="1"/>
    <col min="1287" max="1287" width="14.44140625" style="1917" customWidth="1"/>
    <col min="1288" max="1288" width="93.5546875" style="1917" customWidth="1"/>
    <col min="1289" max="1289" width="81.77734375" style="1917" customWidth="1"/>
    <col min="1290" max="1290" width="99.21875" style="1917" customWidth="1"/>
    <col min="1291" max="1291" width="113.21875" style="1917" customWidth="1"/>
    <col min="1292" max="1292" width="12.5546875" style="1917" customWidth="1"/>
    <col min="1293" max="1293" width="17.5546875" style="1917" bestFit="1" customWidth="1"/>
    <col min="1294" max="1536" width="9.21875" style="1917"/>
    <col min="1537" max="1537" width="18" style="1917" customWidth="1"/>
    <col min="1538" max="1538" width="121.77734375" style="1917" customWidth="1"/>
    <col min="1539" max="1539" width="15.21875" style="1917" customWidth="1"/>
    <col min="1540" max="1540" width="23.77734375" style="1917" customWidth="1"/>
    <col min="1541" max="1541" width="18.44140625" style="1917" customWidth="1"/>
    <col min="1542" max="1542" width="80.21875" style="1917" customWidth="1"/>
    <col min="1543" max="1543" width="14.44140625" style="1917" customWidth="1"/>
    <col min="1544" max="1544" width="93.5546875" style="1917" customWidth="1"/>
    <col min="1545" max="1545" width="81.77734375" style="1917" customWidth="1"/>
    <col min="1546" max="1546" width="99.21875" style="1917" customWidth="1"/>
    <col min="1547" max="1547" width="113.21875" style="1917" customWidth="1"/>
    <col min="1548" max="1548" width="12.5546875" style="1917" customWidth="1"/>
    <col min="1549" max="1549" width="17.5546875" style="1917" bestFit="1" customWidth="1"/>
    <col min="1550" max="1792" width="9.21875" style="1917"/>
    <col min="1793" max="1793" width="18" style="1917" customWidth="1"/>
    <col min="1794" max="1794" width="121.77734375" style="1917" customWidth="1"/>
    <col min="1795" max="1795" width="15.21875" style="1917" customWidth="1"/>
    <col min="1796" max="1796" width="23.77734375" style="1917" customWidth="1"/>
    <col min="1797" max="1797" width="18.44140625" style="1917" customWidth="1"/>
    <col min="1798" max="1798" width="80.21875" style="1917" customWidth="1"/>
    <col min="1799" max="1799" width="14.44140625" style="1917" customWidth="1"/>
    <col min="1800" max="1800" width="93.5546875" style="1917" customWidth="1"/>
    <col min="1801" max="1801" width="81.77734375" style="1917" customWidth="1"/>
    <col min="1802" max="1802" width="99.21875" style="1917" customWidth="1"/>
    <col min="1803" max="1803" width="113.21875" style="1917" customWidth="1"/>
    <col min="1804" max="1804" width="12.5546875" style="1917" customWidth="1"/>
    <col min="1805" max="1805" width="17.5546875" style="1917" bestFit="1" customWidth="1"/>
    <col min="1806" max="2048" width="9.21875" style="1917"/>
    <col min="2049" max="2049" width="18" style="1917" customWidth="1"/>
    <col min="2050" max="2050" width="121.77734375" style="1917" customWidth="1"/>
    <col min="2051" max="2051" width="15.21875" style="1917" customWidth="1"/>
    <col min="2052" max="2052" width="23.77734375" style="1917" customWidth="1"/>
    <col min="2053" max="2053" width="18.44140625" style="1917" customWidth="1"/>
    <col min="2054" max="2054" width="80.21875" style="1917" customWidth="1"/>
    <col min="2055" max="2055" width="14.44140625" style="1917" customWidth="1"/>
    <col min="2056" max="2056" width="93.5546875" style="1917" customWidth="1"/>
    <col min="2057" max="2057" width="81.77734375" style="1917" customWidth="1"/>
    <col min="2058" max="2058" width="99.21875" style="1917" customWidth="1"/>
    <col min="2059" max="2059" width="113.21875" style="1917" customWidth="1"/>
    <col min="2060" max="2060" width="12.5546875" style="1917" customWidth="1"/>
    <col min="2061" max="2061" width="17.5546875" style="1917" bestFit="1" customWidth="1"/>
    <col min="2062" max="2304" width="9.21875" style="1917"/>
    <col min="2305" max="2305" width="18" style="1917" customWidth="1"/>
    <col min="2306" max="2306" width="121.77734375" style="1917" customWidth="1"/>
    <col min="2307" max="2307" width="15.21875" style="1917" customWidth="1"/>
    <col min="2308" max="2308" width="23.77734375" style="1917" customWidth="1"/>
    <col min="2309" max="2309" width="18.44140625" style="1917" customWidth="1"/>
    <col min="2310" max="2310" width="80.21875" style="1917" customWidth="1"/>
    <col min="2311" max="2311" width="14.44140625" style="1917" customWidth="1"/>
    <col min="2312" max="2312" width="93.5546875" style="1917" customWidth="1"/>
    <col min="2313" max="2313" width="81.77734375" style="1917" customWidth="1"/>
    <col min="2314" max="2314" width="99.21875" style="1917" customWidth="1"/>
    <col min="2315" max="2315" width="113.21875" style="1917" customWidth="1"/>
    <col min="2316" max="2316" width="12.5546875" style="1917" customWidth="1"/>
    <col min="2317" max="2317" width="17.5546875" style="1917" bestFit="1" customWidth="1"/>
    <col min="2318" max="2560" width="9.21875" style="1917"/>
    <col min="2561" max="2561" width="18" style="1917" customWidth="1"/>
    <col min="2562" max="2562" width="121.77734375" style="1917" customWidth="1"/>
    <col min="2563" max="2563" width="15.21875" style="1917" customWidth="1"/>
    <col min="2564" max="2564" width="23.77734375" style="1917" customWidth="1"/>
    <col min="2565" max="2565" width="18.44140625" style="1917" customWidth="1"/>
    <col min="2566" max="2566" width="80.21875" style="1917" customWidth="1"/>
    <col min="2567" max="2567" width="14.44140625" style="1917" customWidth="1"/>
    <col min="2568" max="2568" width="93.5546875" style="1917" customWidth="1"/>
    <col min="2569" max="2569" width="81.77734375" style="1917" customWidth="1"/>
    <col min="2570" max="2570" width="99.21875" style="1917" customWidth="1"/>
    <col min="2571" max="2571" width="113.21875" style="1917" customWidth="1"/>
    <col min="2572" max="2572" width="12.5546875" style="1917" customWidth="1"/>
    <col min="2573" max="2573" width="17.5546875" style="1917" bestFit="1" customWidth="1"/>
    <col min="2574" max="2816" width="9.21875" style="1917"/>
    <col min="2817" max="2817" width="18" style="1917" customWidth="1"/>
    <col min="2818" max="2818" width="121.77734375" style="1917" customWidth="1"/>
    <col min="2819" max="2819" width="15.21875" style="1917" customWidth="1"/>
    <col min="2820" max="2820" width="23.77734375" style="1917" customWidth="1"/>
    <col min="2821" max="2821" width="18.44140625" style="1917" customWidth="1"/>
    <col min="2822" max="2822" width="80.21875" style="1917" customWidth="1"/>
    <col min="2823" max="2823" width="14.44140625" style="1917" customWidth="1"/>
    <col min="2824" max="2824" width="93.5546875" style="1917" customWidth="1"/>
    <col min="2825" max="2825" width="81.77734375" style="1917" customWidth="1"/>
    <col min="2826" max="2826" width="99.21875" style="1917" customWidth="1"/>
    <col min="2827" max="2827" width="113.21875" style="1917" customWidth="1"/>
    <col min="2828" max="2828" width="12.5546875" style="1917" customWidth="1"/>
    <col min="2829" max="2829" width="17.5546875" style="1917" bestFit="1" customWidth="1"/>
    <col min="2830" max="3072" width="9.21875" style="1917"/>
    <col min="3073" max="3073" width="18" style="1917" customWidth="1"/>
    <col min="3074" max="3074" width="121.77734375" style="1917" customWidth="1"/>
    <col min="3075" max="3075" width="15.21875" style="1917" customWidth="1"/>
    <col min="3076" max="3076" width="23.77734375" style="1917" customWidth="1"/>
    <col min="3077" max="3077" width="18.44140625" style="1917" customWidth="1"/>
    <col min="3078" max="3078" width="80.21875" style="1917" customWidth="1"/>
    <col min="3079" max="3079" width="14.44140625" style="1917" customWidth="1"/>
    <col min="3080" max="3080" width="93.5546875" style="1917" customWidth="1"/>
    <col min="3081" max="3081" width="81.77734375" style="1917" customWidth="1"/>
    <col min="3082" max="3082" width="99.21875" style="1917" customWidth="1"/>
    <col min="3083" max="3083" width="113.21875" style="1917" customWidth="1"/>
    <col min="3084" max="3084" width="12.5546875" style="1917" customWidth="1"/>
    <col min="3085" max="3085" width="17.5546875" style="1917" bestFit="1" customWidth="1"/>
    <col min="3086" max="3328" width="9.21875" style="1917"/>
    <col min="3329" max="3329" width="18" style="1917" customWidth="1"/>
    <col min="3330" max="3330" width="121.77734375" style="1917" customWidth="1"/>
    <col min="3331" max="3331" width="15.21875" style="1917" customWidth="1"/>
    <col min="3332" max="3332" width="23.77734375" style="1917" customWidth="1"/>
    <col min="3333" max="3333" width="18.44140625" style="1917" customWidth="1"/>
    <col min="3334" max="3334" width="80.21875" style="1917" customWidth="1"/>
    <col min="3335" max="3335" width="14.44140625" style="1917" customWidth="1"/>
    <col min="3336" max="3336" width="93.5546875" style="1917" customWidth="1"/>
    <col min="3337" max="3337" width="81.77734375" style="1917" customWidth="1"/>
    <col min="3338" max="3338" width="99.21875" style="1917" customWidth="1"/>
    <col min="3339" max="3339" width="113.21875" style="1917" customWidth="1"/>
    <col min="3340" max="3340" width="12.5546875" style="1917" customWidth="1"/>
    <col min="3341" max="3341" width="17.5546875" style="1917" bestFit="1" customWidth="1"/>
    <col min="3342" max="3584" width="9.21875" style="1917"/>
    <col min="3585" max="3585" width="18" style="1917" customWidth="1"/>
    <col min="3586" max="3586" width="121.77734375" style="1917" customWidth="1"/>
    <col min="3587" max="3587" width="15.21875" style="1917" customWidth="1"/>
    <col min="3588" max="3588" width="23.77734375" style="1917" customWidth="1"/>
    <col min="3589" max="3589" width="18.44140625" style="1917" customWidth="1"/>
    <col min="3590" max="3590" width="80.21875" style="1917" customWidth="1"/>
    <col min="3591" max="3591" width="14.44140625" style="1917" customWidth="1"/>
    <col min="3592" max="3592" width="93.5546875" style="1917" customWidth="1"/>
    <col min="3593" max="3593" width="81.77734375" style="1917" customWidth="1"/>
    <col min="3594" max="3594" width="99.21875" style="1917" customWidth="1"/>
    <col min="3595" max="3595" width="113.21875" style="1917" customWidth="1"/>
    <col min="3596" max="3596" width="12.5546875" style="1917" customWidth="1"/>
    <col min="3597" max="3597" width="17.5546875" style="1917" bestFit="1" customWidth="1"/>
    <col min="3598" max="3840" width="9.21875" style="1917"/>
    <col min="3841" max="3841" width="18" style="1917" customWidth="1"/>
    <col min="3842" max="3842" width="121.77734375" style="1917" customWidth="1"/>
    <col min="3843" max="3843" width="15.21875" style="1917" customWidth="1"/>
    <col min="3844" max="3844" width="23.77734375" style="1917" customWidth="1"/>
    <col min="3845" max="3845" width="18.44140625" style="1917" customWidth="1"/>
    <col min="3846" max="3846" width="80.21875" style="1917" customWidth="1"/>
    <col min="3847" max="3847" width="14.44140625" style="1917" customWidth="1"/>
    <col min="3848" max="3848" width="93.5546875" style="1917" customWidth="1"/>
    <col min="3849" max="3849" width="81.77734375" style="1917" customWidth="1"/>
    <col min="3850" max="3850" width="99.21875" style="1917" customWidth="1"/>
    <col min="3851" max="3851" width="113.21875" style="1917" customWidth="1"/>
    <col min="3852" max="3852" width="12.5546875" style="1917" customWidth="1"/>
    <col min="3853" max="3853" width="17.5546875" style="1917" bestFit="1" customWidth="1"/>
    <col min="3854" max="4096" width="9.21875" style="1917"/>
    <col min="4097" max="4097" width="18" style="1917" customWidth="1"/>
    <col min="4098" max="4098" width="121.77734375" style="1917" customWidth="1"/>
    <col min="4099" max="4099" width="15.21875" style="1917" customWidth="1"/>
    <col min="4100" max="4100" width="23.77734375" style="1917" customWidth="1"/>
    <col min="4101" max="4101" width="18.44140625" style="1917" customWidth="1"/>
    <col min="4102" max="4102" width="80.21875" style="1917" customWidth="1"/>
    <col min="4103" max="4103" width="14.44140625" style="1917" customWidth="1"/>
    <col min="4104" max="4104" width="93.5546875" style="1917" customWidth="1"/>
    <col min="4105" max="4105" width="81.77734375" style="1917" customWidth="1"/>
    <col min="4106" max="4106" width="99.21875" style="1917" customWidth="1"/>
    <col min="4107" max="4107" width="113.21875" style="1917" customWidth="1"/>
    <col min="4108" max="4108" width="12.5546875" style="1917" customWidth="1"/>
    <col min="4109" max="4109" width="17.5546875" style="1917" bestFit="1" customWidth="1"/>
    <col min="4110" max="4352" width="9.21875" style="1917"/>
    <col min="4353" max="4353" width="18" style="1917" customWidth="1"/>
    <col min="4354" max="4354" width="121.77734375" style="1917" customWidth="1"/>
    <col min="4355" max="4355" width="15.21875" style="1917" customWidth="1"/>
    <col min="4356" max="4356" width="23.77734375" style="1917" customWidth="1"/>
    <col min="4357" max="4357" width="18.44140625" style="1917" customWidth="1"/>
    <col min="4358" max="4358" width="80.21875" style="1917" customWidth="1"/>
    <col min="4359" max="4359" width="14.44140625" style="1917" customWidth="1"/>
    <col min="4360" max="4360" width="93.5546875" style="1917" customWidth="1"/>
    <col min="4361" max="4361" width="81.77734375" style="1917" customWidth="1"/>
    <col min="4362" max="4362" width="99.21875" style="1917" customWidth="1"/>
    <col min="4363" max="4363" width="113.21875" style="1917" customWidth="1"/>
    <col min="4364" max="4364" width="12.5546875" style="1917" customWidth="1"/>
    <col min="4365" max="4365" width="17.5546875" style="1917" bestFit="1" customWidth="1"/>
    <col min="4366" max="4608" width="9.21875" style="1917"/>
    <col min="4609" max="4609" width="18" style="1917" customWidth="1"/>
    <col min="4610" max="4610" width="121.77734375" style="1917" customWidth="1"/>
    <col min="4611" max="4611" width="15.21875" style="1917" customWidth="1"/>
    <col min="4612" max="4612" width="23.77734375" style="1917" customWidth="1"/>
    <col min="4613" max="4613" width="18.44140625" style="1917" customWidth="1"/>
    <col min="4614" max="4614" width="80.21875" style="1917" customWidth="1"/>
    <col min="4615" max="4615" width="14.44140625" style="1917" customWidth="1"/>
    <col min="4616" max="4616" width="93.5546875" style="1917" customWidth="1"/>
    <col min="4617" max="4617" width="81.77734375" style="1917" customWidth="1"/>
    <col min="4618" max="4618" width="99.21875" style="1917" customWidth="1"/>
    <col min="4619" max="4619" width="113.21875" style="1917" customWidth="1"/>
    <col min="4620" max="4620" width="12.5546875" style="1917" customWidth="1"/>
    <col min="4621" max="4621" width="17.5546875" style="1917" bestFit="1" customWidth="1"/>
    <col min="4622" max="4864" width="9.21875" style="1917"/>
    <col min="4865" max="4865" width="18" style="1917" customWidth="1"/>
    <col min="4866" max="4866" width="121.77734375" style="1917" customWidth="1"/>
    <col min="4867" max="4867" width="15.21875" style="1917" customWidth="1"/>
    <col min="4868" max="4868" width="23.77734375" style="1917" customWidth="1"/>
    <col min="4869" max="4869" width="18.44140625" style="1917" customWidth="1"/>
    <col min="4870" max="4870" width="80.21875" style="1917" customWidth="1"/>
    <col min="4871" max="4871" width="14.44140625" style="1917" customWidth="1"/>
    <col min="4872" max="4872" width="93.5546875" style="1917" customWidth="1"/>
    <col min="4873" max="4873" width="81.77734375" style="1917" customWidth="1"/>
    <col min="4874" max="4874" width="99.21875" style="1917" customWidth="1"/>
    <col min="4875" max="4875" width="113.21875" style="1917" customWidth="1"/>
    <col min="4876" max="4876" width="12.5546875" style="1917" customWidth="1"/>
    <col min="4877" max="4877" width="17.5546875" style="1917" bestFit="1" customWidth="1"/>
    <col min="4878" max="5120" width="9.21875" style="1917"/>
    <col min="5121" max="5121" width="18" style="1917" customWidth="1"/>
    <col min="5122" max="5122" width="121.77734375" style="1917" customWidth="1"/>
    <col min="5123" max="5123" width="15.21875" style="1917" customWidth="1"/>
    <col min="5124" max="5124" width="23.77734375" style="1917" customWidth="1"/>
    <col min="5125" max="5125" width="18.44140625" style="1917" customWidth="1"/>
    <col min="5126" max="5126" width="80.21875" style="1917" customWidth="1"/>
    <col min="5127" max="5127" width="14.44140625" style="1917" customWidth="1"/>
    <col min="5128" max="5128" width="93.5546875" style="1917" customWidth="1"/>
    <col min="5129" max="5129" width="81.77734375" style="1917" customWidth="1"/>
    <col min="5130" max="5130" width="99.21875" style="1917" customWidth="1"/>
    <col min="5131" max="5131" width="113.21875" style="1917" customWidth="1"/>
    <col min="5132" max="5132" width="12.5546875" style="1917" customWidth="1"/>
    <col min="5133" max="5133" width="17.5546875" style="1917" bestFit="1" customWidth="1"/>
    <col min="5134" max="5376" width="9.21875" style="1917"/>
    <col min="5377" max="5377" width="18" style="1917" customWidth="1"/>
    <col min="5378" max="5378" width="121.77734375" style="1917" customWidth="1"/>
    <col min="5379" max="5379" width="15.21875" style="1917" customWidth="1"/>
    <col min="5380" max="5380" width="23.77734375" style="1917" customWidth="1"/>
    <col min="5381" max="5381" width="18.44140625" style="1917" customWidth="1"/>
    <col min="5382" max="5382" width="80.21875" style="1917" customWidth="1"/>
    <col min="5383" max="5383" width="14.44140625" style="1917" customWidth="1"/>
    <col min="5384" max="5384" width="93.5546875" style="1917" customWidth="1"/>
    <col min="5385" max="5385" width="81.77734375" style="1917" customWidth="1"/>
    <col min="5386" max="5386" width="99.21875" style="1917" customWidth="1"/>
    <col min="5387" max="5387" width="113.21875" style="1917" customWidth="1"/>
    <col min="5388" max="5388" width="12.5546875" style="1917" customWidth="1"/>
    <col min="5389" max="5389" width="17.5546875" style="1917" bestFit="1" customWidth="1"/>
    <col min="5390" max="5632" width="9.21875" style="1917"/>
    <col min="5633" max="5633" width="18" style="1917" customWidth="1"/>
    <col min="5634" max="5634" width="121.77734375" style="1917" customWidth="1"/>
    <col min="5635" max="5635" width="15.21875" style="1917" customWidth="1"/>
    <col min="5636" max="5636" width="23.77734375" style="1917" customWidth="1"/>
    <col min="5637" max="5637" width="18.44140625" style="1917" customWidth="1"/>
    <col min="5638" max="5638" width="80.21875" style="1917" customWidth="1"/>
    <col min="5639" max="5639" width="14.44140625" style="1917" customWidth="1"/>
    <col min="5640" max="5640" width="93.5546875" style="1917" customWidth="1"/>
    <col min="5641" max="5641" width="81.77734375" style="1917" customWidth="1"/>
    <col min="5642" max="5642" width="99.21875" style="1917" customWidth="1"/>
    <col min="5643" max="5643" width="113.21875" style="1917" customWidth="1"/>
    <col min="5644" max="5644" width="12.5546875" style="1917" customWidth="1"/>
    <col min="5645" max="5645" width="17.5546875" style="1917" bestFit="1" customWidth="1"/>
    <col min="5646" max="5888" width="9.21875" style="1917"/>
    <col min="5889" max="5889" width="18" style="1917" customWidth="1"/>
    <col min="5890" max="5890" width="121.77734375" style="1917" customWidth="1"/>
    <col min="5891" max="5891" width="15.21875" style="1917" customWidth="1"/>
    <col min="5892" max="5892" width="23.77734375" style="1917" customWidth="1"/>
    <col min="5893" max="5893" width="18.44140625" style="1917" customWidth="1"/>
    <col min="5894" max="5894" width="80.21875" style="1917" customWidth="1"/>
    <col min="5895" max="5895" width="14.44140625" style="1917" customWidth="1"/>
    <col min="5896" max="5896" width="93.5546875" style="1917" customWidth="1"/>
    <col min="5897" max="5897" width="81.77734375" style="1917" customWidth="1"/>
    <col min="5898" max="5898" width="99.21875" style="1917" customWidth="1"/>
    <col min="5899" max="5899" width="113.21875" style="1917" customWidth="1"/>
    <col min="5900" max="5900" width="12.5546875" style="1917" customWidth="1"/>
    <col min="5901" max="5901" width="17.5546875" style="1917" bestFit="1" customWidth="1"/>
    <col min="5902" max="6144" width="9.21875" style="1917"/>
    <col min="6145" max="6145" width="18" style="1917" customWidth="1"/>
    <col min="6146" max="6146" width="121.77734375" style="1917" customWidth="1"/>
    <col min="6147" max="6147" width="15.21875" style="1917" customWidth="1"/>
    <col min="6148" max="6148" width="23.77734375" style="1917" customWidth="1"/>
    <col min="6149" max="6149" width="18.44140625" style="1917" customWidth="1"/>
    <col min="6150" max="6150" width="80.21875" style="1917" customWidth="1"/>
    <col min="6151" max="6151" width="14.44140625" style="1917" customWidth="1"/>
    <col min="6152" max="6152" width="93.5546875" style="1917" customWidth="1"/>
    <col min="6153" max="6153" width="81.77734375" style="1917" customWidth="1"/>
    <col min="6154" max="6154" width="99.21875" style="1917" customWidth="1"/>
    <col min="6155" max="6155" width="113.21875" style="1917" customWidth="1"/>
    <col min="6156" max="6156" width="12.5546875" style="1917" customWidth="1"/>
    <col min="6157" max="6157" width="17.5546875" style="1917" bestFit="1" customWidth="1"/>
    <col min="6158" max="6400" width="9.21875" style="1917"/>
    <col min="6401" max="6401" width="18" style="1917" customWidth="1"/>
    <col min="6402" max="6402" width="121.77734375" style="1917" customWidth="1"/>
    <col min="6403" max="6403" width="15.21875" style="1917" customWidth="1"/>
    <col min="6404" max="6404" width="23.77734375" style="1917" customWidth="1"/>
    <col min="6405" max="6405" width="18.44140625" style="1917" customWidth="1"/>
    <col min="6406" max="6406" width="80.21875" style="1917" customWidth="1"/>
    <col min="6407" max="6407" width="14.44140625" style="1917" customWidth="1"/>
    <col min="6408" max="6408" width="93.5546875" style="1917" customWidth="1"/>
    <col min="6409" max="6409" width="81.77734375" style="1917" customWidth="1"/>
    <col min="6410" max="6410" width="99.21875" style="1917" customWidth="1"/>
    <col min="6411" max="6411" width="113.21875" style="1917" customWidth="1"/>
    <col min="6412" max="6412" width="12.5546875" style="1917" customWidth="1"/>
    <col min="6413" max="6413" width="17.5546875" style="1917" bestFit="1" customWidth="1"/>
    <col min="6414" max="6656" width="9.21875" style="1917"/>
    <col min="6657" max="6657" width="18" style="1917" customWidth="1"/>
    <col min="6658" max="6658" width="121.77734375" style="1917" customWidth="1"/>
    <col min="6659" max="6659" width="15.21875" style="1917" customWidth="1"/>
    <col min="6660" max="6660" width="23.77734375" style="1917" customWidth="1"/>
    <col min="6661" max="6661" width="18.44140625" style="1917" customWidth="1"/>
    <col min="6662" max="6662" width="80.21875" style="1917" customWidth="1"/>
    <col min="6663" max="6663" width="14.44140625" style="1917" customWidth="1"/>
    <col min="6664" max="6664" width="93.5546875" style="1917" customWidth="1"/>
    <col min="6665" max="6665" width="81.77734375" style="1917" customWidth="1"/>
    <col min="6666" max="6666" width="99.21875" style="1917" customWidth="1"/>
    <col min="6667" max="6667" width="113.21875" style="1917" customWidth="1"/>
    <col min="6668" max="6668" width="12.5546875" style="1917" customWidth="1"/>
    <col min="6669" max="6669" width="17.5546875" style="1917" bestFit="1" customWidth="1"/>
    <col min="6670" max="6912" width="9.21875" style="1917"/>
    <col min="6913" max="6913" width="18" style="1917" customWidth="1"/>
    <col min="6914" max="6914" width="121.77734375" style="1917" customWidth="1"/>
    <col min="6915" max="6915" width="15.21875" style="1917" customWidth="1"/>
    <col min="6916" max="6916" width="23.77734375" style="1917" customWidth="1"/>
    <col min="6917" max="6917" width="18.44140625" style="1917" customWidth="1"/>
    <col min="6918" max="6918" width="80.21875" style="1917" customWidth="1"/>
    <col min="6919" max="6919" width="14.44140625" style="1917" customWidth="1"/>
    <col min="6920" max="6920" width="93.5546875" style="1917" customWidth="1"/>
    <col min="6921" max="6921" width="81.77734375" style="1917" customWidth="1"/>
    <col min="6922" max="6922" width="99.21875" style="1917" customWidth="1"/>
    <col min="6923" max="6923" width="113.21875" style="1917" customWidth="1"/>
    <col min="6924" max="6924" width="12.5546875" style="1917" customWidth="1"/>
    <col min="6925" max="6925" width="17.5546875" style="1917" bestFit="1" customWidth="1"/>
    <col min="6926" max="7168" width="9.21875" style="1917"/>
    <col min="7169" max="7169" width="18" style="1917" customWidth="1"/>
    <col min="7170" max="7170" width="121.77734375" style="1917" customWidth="1"/>
    <col min="7171" max="7171" width="15.21875" style="1917" customWidth="1"/>
    <col min="7172" max="7172" width="23.77734375" style="1917" customWidth="1"/>
    <col min="7173" max="7173" width="18.44140625" style="1917" customWidth="1"/>
    <col min="7174" max="7174" width="80.21875" style="1917" customWidth="1"/>
    <col min="7175" max="7175" width="14.44140625" style="1917" customWidth="1"/>
    <col min="7176" max="7176" width="93.5546875" style="1917" customWidth="1"/>
    <col min="7177" max="7177" width="81.77734375" style="1917" customWidth="1"/>
    <col min="7178" max="7178" width="99.21875" style="1917" customWidth="1"/>
    <col min="7179" max="7179" width="113.21875" style="1917" customWidth="1"/>
    <col min="7180" max="7180" width="12.5546875" style="1917" customWidth="1"/>
    <col min="7181" max="7181" width="17.5546875" style="1917" bestFit="1" customWidth="1"/>
    <col min="7182" max="7424" width="9.21875" style="1917"/>
    <col min="7425" max="7425" width="18" style="1917" customWidth="1"/>
    <col min="7426" max="7426" width="121.77734375" style="1917" customWidth="1"/>
    <col min="7427" max="7427" width="15.21875" style="1917" customWidth="1"/>
    <col min="7428" max="7428" width="23.77734375" style="1917" customWidth="1"/>
    <col min="7429" max="7429" width="18.44140625" style="1917" customWidth="1"/>
    <col min="7430" max="7430" width="80.21875" style="1917" customWidth="1"/>
    <col min="7431" max="7431" width="14.44140625" style="1917" customWidth="1"/>
    <col min="7432" max="7432" width="93.5546875" style="1917" customWidth="1"/>
    <col min="7433" max="7433" width="81.77734375" style="1917" customWidth="1"/>
    <col min="7434" max="7434" width="99.21875" style="1917" customWidth="1"/>
    <col min="7435" max="7435" width="113.21875" style="1917" customWidth="1"/>
    <col min="7436" max="7436" width="12.5546875" style="1917" customWidth="1"/>
    <col min="7437" max="7437" width="17.5546875" style="1917" bestFit="1" customWidth="1"/>
    <col min="7438" max="7680" width="9.21875" style="1917"/>
    <col min="7681" max="7681" width="18" style="1917" customWidth="1"/>
    <col min="7682" max="7682" width="121.77734375" style="1917" customWidth="1"/>
    <col min="7683" max="7683" width="15.21875" style="1917" customWidth="1"/>
    <col min="7684" max="7684" width="23.77734375" style="1917" customWidth="1"/>
    <col min="7685" max="7685" width="18.44140625" style="1917" customWidth="1"/>
    <col min="7686" max="7686" width="80.21875" style="1917" customWidth="1"/>
    <col min="7687" max="7687" width="14.44140625" style="1917" customWidth="1"/>
    <col min="7688" max="7688" width="93.5546875" style="1917" customWidth="1"/>
    <col min="7689" max="7689" width="81.77734375" style="1917" customWidth="1"/>
    <col min="7690" max="7690" width="99.21875" style="1917" customWidth="1"/>
    <col min="7691" max="7691" width="113.21875" style="1917" customWidth="1"/>
    <col min="7692" max="7692" width="12.5546875" style="1917" customWidth="1"/>
    <col min="7693" max="7693" width="17.5546875" style="1917" bestFit="1" customWidth="1"/>
    <col min="7694" max="7936" width="9.21875" style="1917"/>
    <col min="7937" max="7937" width="18" style="1917" customWidth="1"/>
    <col min="7938" max="7938" width="121.77734375" style="1917" customWidth="1"/>
    <col min="7939" max="7939" width="15.21875" style="1917" customWidth="1"/>
    <col min="7940" max="7940" width="23.77734375" style="1917" customWidth="1"/>
    <col min="7941" max="7941" width="18.44140625" style="1917" customWidth="1"/>
    <col min="7942" max="7942" width="80.21875" style="1917" customWidth="1"/>
    <col min="7943" max="7943" width="14.44140625" style="1917" customWidth="1"/>
    <col min="7944" max="7944" width="93.5546875" style="1917" customWidth="1"/>
    <col min="7945" max="7945" width="81.77734375" style="1917" customWidth="1"/>
    <col min="7946" max="7946" width="99.21875" style="1917" customWidth="1"/>
    <col min="7947" max="7947" width="113.21875" style="1917" customWidth="1"/>
    <col min="7948" max="7948" width="12.5546875" style="1917" customWidth="1"/>
    <col min="7949" max="7949" width="17.5546875" style="1917" bestFit="1" customWidth="1"/>
    <col min="7950" max="8192" width="9.21875" style="1917"/>
    <col min="8193" max="8193" width="18" style="1917" customWidth="1"/>
    <col min="8194" max="8194" width="121.77734375" style="1917" customWidth="1"/>
    <col min="8195" max="8195" width="15.21875" style="1917" customWidth="1"/>
    <col min="8196" max="8196" width="23.77734375" style="1917" customWidth="1"/>
    <col min="8197" max="8197" width="18.44140625" style="1917" customWidth="1"/>
    <col min="8198" max="8198" width="80.21875" style="1917" customWidth="1"/>
    <col min="8199" max="8199" width="14.44140625" style="1917" customWidth="1"/>
    <col min="8200" max="8200" width="93.5546875" style="1917" customWidth="1"/>
    <col min="8201" max="8201" width="81.77734375" style="1917" customWidth="1"/>
    <col min="8202" max="8202" width="99.21875" style="1917" customWidth="1"/>
    <col min="8203" max="8203" width="113.21875" style="1917" customWidth="1"/>
    <col min="8204" max="8204" width="12.5546875" style="1917" customWidth="1"/>
    <col min="8205" max="8205" width="17.5546875" style="1917" bestFit="1" customWidth="1"/>
    <col min="8206" max="8448" width="9.21875" style="1917"/>
    <col min="8449" max="8449" width="18" style="1917" customWidth="1"/>
    <col min="8450" max="8450" width="121.77734375" style="1917" customWidth="1"/>
    <col min="8451" max="8451" width="15.21875" style="1917" customWidth="1"/>
    <col min="8452" max="8452" width="23.77734375" style="1917" customWidth="1"/>
    <col min="8453" max="8453" width="18.44140625" style="1917" customWidth="1"/>
    <col min="8454" max="8454" width="80.21875" style="1917" customWidth="1"/>
    <col min="8455" max="8455" width="14.44140625" style="1917" customWidth="1"/>
    <col min="8456" max="8456" width="93.5546875" style="1917" customWidth="1"/>
    <col min="8457" max="8457" width="81.77734375" style="1917" customWidth="1"/>
    <col min="8458" max="8458" width="99.21875" style="1917" customWidth="1"/>
    <col min="8459" max="8459" width="113.21875" style="1917" customWidth="1"/>
    <col min="8460" max="8460" width="12.5546875" style="1917" customWidth="1"/>
    <col min="8461" max="8461" width="17.5546875" style="1917" bestFit="1" customWidth="1"/>
    <col min="8462" max="8704" width="9.21875" style="1917"/>
    <col min="8705" max="8705" width="18" style="1917" customWidth="1"/>
    <col min="8706" max="8706" width="121.77734375" style="1917" customWidth="1"/>
    <col min="8707" max="8707" width="15.21875" style="1917" customWidth="1"/>
    <col min="8708" max="8708" width="23.77734375" style="1917" customWidth="1"/>
    <col min="8709" max="8709" width="18.44140625" style="1917" customWidth="1"/>
    <col min="8710" max="8710" width="80.21875" style="1917" customWidth="1"/>
    <col min="8711" max="8711" width="14.44140625" style="1917" customWidth="1"/>
    <col min="8712" max="8712" width="93.5546875" style="1917" customWidth="1"/>
    <col min="8713" max="8713" width="81.77734375" style="1917" customWidth="1"/>
    <col min="8714" max="8714" width="99.21875" style="1917" customWidth="1"/>
    <col min="8715" max="8715" width="113.21875" style="1917" customWidth="1"/>
    <col min="8716" max="8716" width="12.5546875" style="1917" customWidth="1"/>
    <col min="8717" max="8717" width="17.5546875" style="1917" bestFit="1" customWidth="1"/>
    <col min="8718" max="8960" width="9.21875" style="1917"/>
    <col min="8961" max="8961" width="18" style="1917" customWidth="1"/>
    <col min="8962" max="8962" width="121.77734375" style="1917" customWidth="1"/>
    <col min="8963" max="8963" width="15.21875" style="1917" customWidth="1"/>
    <col min="8964" max="8964" width="23.77734375" style="1917" customWidth="1"/>
    <col min="8965" max="8965" width="18.44140625" style="1917" customWidth="1"/>
    <col min="8966" max="8966" width="80.21875" style="1917" customWidth="1"/>
    <col min="8967" max="8967" width="14.44140625" style="1917" customWidth="1"/>
    <col min="8968" max="8968" width="93.5546875" style="1917" customWidth="1"/>
    <col min="8969" max="8969" width="81.77734375" style="1917" customWidth="1"/>
    <col min="8970" max="8970" width="99.21875" style="1917" customWidth="1"/>
    <col min="8971" max="8971" width="113.21875" style="1917" customWidth="1"/>
    <col min="8972" max="8972" width="12.5546875" style="1917" customWidth="1"/>
    <col min="8973" max="8973" width="17.5546875" style="1917" bestFit="1" customWidth="1"/>
    <col min="8974" max="9216" width="9.21875" style="1917"/>
    <col min="9217" max="9217" width="18" style="1917" customWidth="1"/>
    <col min="9218" max="9218" width="121.77734375" style="1917" customWidth="1"/>
    <col min="9219" max="9219" width="15.21875" style="1917" customWidth="1"/>
    <col min="9220" max="9220" width="23.77734375" style="1917" customWidth="1"/>
    <col min="9221" max="9221" width="18.44140625" style="1917" customWidth="1"/>
    <col min="9222" max="9222" width="80.21875" style="1917" customWidth="1"/>
    <col min="9223" max="9223" width="14.44140625" style="1917" customWidth="1"/>
    <col min="9224" max="9224" width="93.5546875" style="1917" customWidth="1"/>
    <col min="9225" max="9225" width="81.77734375" style="1917" customWidth="1"/>
    <col min="9226" max="9226" width="99.21875" style="1917" customWidth="1"/>
    <col min="9227" max="9227" width="113.21875" style="1917" customWidth="1"/>
    <col min="9228" max="9228" width="12.5546875" style="1917" customWidth="1"/>
    <col min="9229" max="9229" width="17.5546875" style="1917" bestFit="1" customWidth="1"/>
    <col min="9230" max="9472" width="9.21875" style="1917"/>
    <col min="9473" max="9473" width="18" style="1917" customWidth="1"/>
    <col min="9474" max="9474" width="121.77734375" style="1917" customWidth="1"/>
    <col min="9475" max="9475" width="15.21875" style="1917" customWidth="1"/>
    <col min="9476" max="9476" width="23.77734375" style="1917" customWidth="1"/>
    <col min="9477" max="9477" width="18.44140625" style="1917" customWidth="1"/>
    <col min="9478" max="9478" width="80.21875" style="1917" customWidth="1"/>
    <col min="9479" max="9479" width="14.44140625" style="1917" customWidth="1"/>
    <col min="9480" max="9480" width="93.5546875" style="1917" customWidth="1"/>
    <col min="9481" max="9481" width="81.77734375" style="1917" customWidth="1"/>
    <col min="9482" max="9482" width="99.21875" style="1917" customWidth="1"/>
    <col min="9483" max="9483" width="113.21875" style="1917" customWidth="1"/>
    <col min="9484" max="9484" width="12.5546875" style="1917" customWidth="1"/>
    <col min="9485" max="9485" width="17.5546875" style="1917" bestFit="1" customWidth="1"/>
    <col min="9486" max="9728" width="9.21875" style="1917"/>
    <col min="9729" max="9729" width="18" style="1917" customWidth="1"/>
    <col min="9730" max="9730" width="121.77734375" style="1917" customWidth="1"/>
    <col min="9731" max="9731" width="15.21875" style="1917" customWidth="1"/>
    <col min="9732" max="9732" width="23.77734375" style="1917" customWidth="1"/>
    <col min="9733" max="9733" width="18.44140625" style="1917" customWidth="1"/>
    <col min="9734" max="9734" width="80.21875" style="1917" customWidth="1"/>
    <col min="9735" max="9735" width="14.44140625" style="1917" customWidth="1"/>
    <col min="9736" max="9736" width="93.5546875" style="1917" customWidth="1"/>
    <col min="9737" max="9737" width="81.77734375" style="1917" customWidth="1"/>
    <col min="9738" max="9738" width="99.21875" style="1917" customWidth="1"/>
    <col min="9739" max="9739" width="113.21875" style="1917" customWidth="1"/>
    <col min="9740" max="9740" width="12.5546875" style="1917" customWidth="1"/>
    <col min="9741" max="9741" width="17.5546875" style="1917" bestFit="1" customWidth="1"/>
    <col min="9742" max="9984" width="9.21875" style="1917"/>
    <col min="9985" max="9985" width="18" style="1917" customWidth="1"/>
    <col min="9986" max="9986" width="121.77734375" style="1917" customWidth="1"/>
    <col min="9987" max="9987" width="15.21875" style="1917" customWidth="1"/>
    <col min="9988" max="9988" width="23.77734375" style="1917" customWidth="1"/>
    <col min="9989" max="9989" width="18.44140625" style="1917" customWidth="1"/>
    <col min="9990" max="9990" width="80.21875" style="1917" customWidth="1"/>
    <col min="9991" max="9991" width="14.44140625" style="1917" customWidth="1"/>
    <col min="9992" max="9992" width="93.5546875" style="1917" customWidth="1"/>
    <col min="9993" max="9993" width="81.77734375" style="1917" customWidth="1"/>
    <col min="9994" max="9994" width="99.21875" style="1917" customWidth="1"/>
    <col min="9995" max="9995" width="113.21875" style="1917" customWidth="1"/>
    <col min="9996" max="9996" width="12.5546875" style="1917" customWidth="1"/>
    <col min="9997" max="9997" width="17.5546875" style="1917" bestFit="1" customWidth="1"/>
    <col min="9998" max="10240" width="9.21875" style="1917"/>
    <col min="10241" max="10241" width="18" style="1917" customWidth="1"/>
    <col min="10242" max="10242" width="121.77734375" style="1917" customWidth="1"/>
    <col min="10243" max="10243" width="15.21875" style="1917" customWidth="1"/>
    <col min="10244" max="10244" width="23.77734375" style="1917" customWidth="1"/>
    <col min="10245" max="10245" width="18.44140625" style="1917" customWidth="1"/>
    <col min="10246" max="10246" width="80.21875" style="1917" customWidth="1"/>
    <col min="10247" max="10247" width="14.44140625" style="1917" customWidth="1"/>
    <col min="10248" max="10248" width="93.5546875" style="1917" customWidth="1"/>
    <col min="10249" max="10249" width="81.77734375" style="1917" customWidth="1"/>
    <col min="10250" max="10250" width="99.21875" style="1917" customWidth="1"/>
    <col min="10251" max="10251" width="113.21875" style="1917" customWidth="1"/>
    <col min="10252" max="10252" width="12.5546875" style="1917" customWidth="1"/>
    <col min="10253" max="10253" width="17.5546875" style="1917" bestFit="1" customWidth="1"/>
    <col min="10254" max="10496" width="9.21875" style="1917"/>
    <col min="10497" max="10497" width="18" style="1917" customWidth="1"/>
    <col min="10498" max="10498" width="121.77734375" style="1917" customWidth="1"/>
    <col min="10499" max="10499" width="15.21875" style="1917" customWidth="1"/>
    <col min="10500" max="10500" width="23.77734375" style="1917" customWidth="1"/>
    <col min="10501" max="10501" width="18.44140625" style="1917" customWidth="1"/>
    <col min="10502" max="10502" width="80.21875" style="1917" customWidth="1"/>
    <col min="10503" max="10503" width="14.44140625" style="1917" customWidth="1"/>
    <col min="10504" max="10504" width="93.5546875" style="1917" customWidth="1"/>
    <col min="10505" max="10505" width="81.77734375" style="1917" customWidth="1"/>
    <col min="10506" max="10506" width="99.21875" style="1917" customWidth="1"/>
    <col min="10507" max="10507" width="113.21875" style="1917" customWidth="1"/>
    <col min="10508" max="10508" width="12.5546875" style="1917" customWidth="1"/>
    <col min="10509" max="10509" width="17.5546875" style="1917" bestFit="1" customWidth="1"/>
    <col min="10510" max="10752" width="9.21875" style="1917"/>
    <col min="10753" max="10753" width="18" style="1917" customWidth="1"/>
    <col min="10754" max="10754" width="121.77734375" style="1917" customWidth="1"/>
    <col min="10755" max="10755" width="15.21875" style="1917" customWidth="1"/>
    <col min="10756" max="10756" width="23.77734375" style="1917" customWidth="1"/>
    <col min="10757" max="10757" width="18.44140625" style="1917" customWidth="1"/>
    <col min="10758" max="10758" width="80.21875" style="1917" customWidth="1"/>
    <col min="10759" max="10759" width="14.44140625" style="1917" customWidth="1"/>
    <col min="10760" max="10760" width="93.5546875" style="1917" customWidth="1"/>
    <col min="10761" max="10761" width="81.77734375" style="1917" customWidth="1"/>
    <col min="10762" max="10762" width="99.21875" style="1917" customWidth="1"/>
    <col min="10763" max="10763" width="113.21875" style="1917" customWidth="1"/>
    <col min="10764" max="10764" width="12.5546875" style="1917" customWidth="1"/>
    <col min="10765" max="10765" width="17.5546875" style="1917" bestFit="1" customWidth="1"/>
    <col min="10766" max="11008" width="9.21875" style="1917"/>
    <col min="11009" max="11009" width="18" style="1917" customWidth="1"/>
    <col min="11010" max="11010" width="121.77734375" style="1917" customWidth="1"/>
    <col min="11011" max="11011" width="15.21875" style="1917" customWidth="1"/>
    <col min="11012" max="11012" width="23.77734375" style="1917" customWidth="1"/>
    <col min="11013" max="11013" width="18.44140625" style="1917" customWidth="1"/>
    <col min="11014" max="11014" width="80.21875" style="1917" customWidth="1"/>
    <col min="11015" max="11015" width="14.44140625" style="1917" customWidth="1"/>
    <col min="11016" max="11016" width="93.5546875" style="1917" customWidth="1"/>
    <col min="11017" max="11017" width="81.77734375" style="1917" customWidth="1"/>
    <col min="11018" max="11018" width="99.21875" style="1917" customWidth="1"/>
    <col min="11019" max="11019" width="113.21875" style="1917" customWidth="1"/>
    <col min="11020" max="11020" width="12.5546875" style="1917" customWidth="1"/>
    <col min="11021" max="11021" width="17.5546875" style="1917" bestFit="1" customWidth="1"/>
    <col min="11022" max="11264" width="9.21875" style="1917"/>
    <col min="11265" max="11265" width="18" style="1917" customWidth="1"/>
    <col min="11266" max="11266" width="121.77734375" style="1917" customWidth="1"/>
    <col min="11267" max="11267" width="15.21875" style="1917" customWidth="1"/>
    <col min="11268" max="11268" width="23.77734375" style="1917" customWidth="1"/>
    <col min="11269" max="11269" width="18.44140625" style="1917" customWidth="1"/>
    <col min="11270" max="11270" width="80.21875" style="1917" customWidth="1"/>
    <col min="11271" max="11271" width="14.44140625" style="1917" customWidth="1"/>
    <col min="11272" max="11272" width="93.5546875" style="1917" customWidth="1"/>
    <col min="11273" max="11273" width="81.77734375" style="1917" customWidth="1"/>
    <col min="11274" max="11274" width="99.21875" style="1917" customWidth="1"/>
    <col min="11275" max="11275" width="113.21875" style="1917" customWidth="1"/>
    <col min="11276" max="11276" width="12.5546875" style="1917" customWidth="1"/>
    <col min="11277" max="11277" width="17.5546875" style="1917" bestFit="1" customWidth="1"/>
    <col min="11278" max="11520" width="9.21875" style="1917"/>
    <col min="11521" max="11521" width="18" style="1917" customWidth="1"/>
    <col min="11522" max="11522" width="121.77734375" style="1917" customWidth="1"/>
    <col min="11523" max="11523" width="15.21875" style="1917" customWidth="1"/>
    <col min="11524" max="11524" width="23.77734375" style="1917" customWidth="1"/>
    <col min="11525" max="11525" width="18.44140625" style="1917" customWidth="1"/>
    <col min="11526" max="11526" width="80.21875" style="1917" customWidth="1"/>
    <col min="11527" max="11527" width="14.44140625" style="1917" customWidth="1"/>
    <col min="11528" max="11528" width="93.5546875" style="1917" customWidth="1"/>
    <col min="11529" max="11529" width="81.77734375" style="1917" customWidth="1"/>
    <col min="11530" max="11530" width="99.21875" style="1917" customWidth="1"/>
    <col min="11531" max="11531" width="113.21875" style="1917" customWidth="1"/>
    <col min="11532" max="11532" width="12.5546875" style="1917" customWidth="1"/>
    <col min="11533" max="11533" width="17.5546875" style="1917" bestFit="1" customWidth="1"/>
    <col min="11534" max="11776" width="9.21875" style="1917"/>
    <col min="11777" max="11777" width="18" style="1917" customWidth="1"/>
    <col min="11778" max="11778" width="121.77734375" style="1917" customWidth="1"/>
    <col min="11779" max="11779" width="15.21875" style="1917" customWidth="1"/>
    <col min="11780" max="11780" width="23.77734375" style="1917" customWidth="1"/>
    <col min="11781" max="11781" width="18.44140625" style="1917" customWidth="1"/>
    <col min="11782" max="11782" width="80.21875" style="1917" customWidth="1"/>
    <col min="11783" max="11783" width="14.44140625" style="1917" customWidth="1"/>
    <col min="11784" max="11784" width="93.5546875" style="1917" customWidth="1"/>
    <col min="11785" max="11785" width="81.77734375" style="1917" customWidth="1"/>
    <col min="11786" max="11786" width="99.21875" style="1917" customWidth="1"/>
    <col min="11787" max="11787" width="113.21875" style="1917" customWidth="1"/>
    <col min="11788" max="11788" width="12.5546875" style="1917" customWidth="1"/>
    <col min="11789" max="11789" width="17.5546875" style="1917" bestFit="1" customWidth="1"/>
    <col min="11790" max="12032" width="9.21875" style="1917"/>
    <col min="12033" max="12033" width="18" style="1917" customWidth="1"/>
    <col min="12034" max="12034" width="121.77734375" style="1917" customWidth="1"/>
    <col min="12035" max="12035" width="15.21875" style="1917" customWidth="1"/>
    <col min="12036" max="12036" width="23.77734375" style="1917" customWidth="1"/>
    <col min="12037" max="12037" width="18.44140625" style="1917" customWidth="1"/>
    <col min="12038" max="12038" width="80.21875" style="1917" customWidth="1"/>
    <col min="12039" max="12039" width="14.44140625" style="1917" customWidth="1"/>
    <col min="12040" max="12040" width="93.5546875" style="1917" customWidth="1"/>
    <col min="12041" max="12041" width="81.77734375" style="1917" customWidth="1"/>
    <col min="12042" max="12042" width="99.21875" style="1917" customWidth="1"/>
    <col min="12043" max="12043" width="113.21875" style="1917" customWidth="1"/>
    <col min="12044" max="12044" width="12.5546875" style="1917" customWidth="1"/>
    <col min="12045" max="12045" width="17.5546875" style="1917" bestFit="1" customWidth="1"/>
    <col min="12046" max="12288" width="9.21875" style="1917"/>
    <col min="12289" max="12289" width="18" style="1917" customWidth="1"/>
    <col min="12290" max="12290" width="121.77734375" style="1917" customWidth="1"/>
    <col min="12291" max="12291" width="15.21875" style="1917" customWidth="1"/>
    <col min="12292" max="12292" width="23.77734375" style="1917" customWidth="1"/>
    <col min="12293" max="12293" width="18.44140625" style="1917" customWidth="1"/>
    <col min="12294" max="12294" width="80.21875" style="1917" customWidth="1"/>
    <col min="12295" max="12295" width="14.44140625" style="1917" customWidth="1"/>
    <col min="12296" max="12296" width="93.5546875" style="1917" customWidth="1"/>
    <col min="12297" max="12297" width="81.77734375" style="1917" customWidth="1"/>
    <col min="12298" max="12298" width="99.21875" style="1917" customWidth="1"/>
    <col min="12299" max="12299" width="113.21875" style="1917" customWidth="1"/>
    <col min="12300" max="12300" width="12.5546875" style="1917" customWidth="1"/>
    <col min="12301" max="12301" width="17.5546875" style="1917" bestFit="1" customWidth="1"/>
    <col min="12302" max="12544" width="9.21875" style="1917"/>
    <col min="12545" max="12545" width="18" style="1917" customWidth="1"/>
    <col min="12546" max="12546" width="121.77734375" style="1917" customWidth="1"/>
    <col min="12547" max="12547" width="15.21875" style="1917" customWidth="1"/>
    <col min="12548" max="12548" width="23.77734375" style="1917" customWidth="1"/>
    <col min="12549" max="12549" width="18.44140625" style="1917" customWidth="1"/>
    <col min="12550" max="12550" width="80.21875" style="1917" customWidth="1"/>
    <col min="12551" max="12551" width="14.44140625" style="1917" customWidth="1"/>
    <col min="12552" max="12552" width="93.5546875" style="1917" customWidth="1"/>
    <col min="12553" max="12553" width="81.77734375" style="1917" customWidth="1"/>
    <col min="12554" max="12554" width="99.21875" style="1917" customWidth="1"/>
    <col min="12555" max="12555" width="113.21875" style="1917" customWidth="1"/>
    <col min="12556" max="12556" width="12.5546875" style="1917" customWidth="1"/>
    <col min="12557" max="12557" width="17.5546875" style="1917" bestFit="1" customWidth="1"/>
    <col min="12558" max="12800" width="9.21875" style="1917"/>
    <col min="12801" max="12801" width="18" style="1917" customWidth="1"/>
    <col min="12802" max="12802" width="121.77734375" style="1917" customWidth="1"/>
    <col min="12803" max="12803" width="15.21875" style="1917" customWidth="1"/>
    <col min="12804" max="12804" width="23.77734375" style="1917" customWidth="1"/>
    <col min="12805" max="12805" width="18.44140625" style="1917" customWidth="1"/>
    <col min="12806" max="12806" width="80.21875" style="1917" customWidth="1"/>
    <col min="12807" max="12807" width="14.44140625" style="1917" customWidth="1"/>
    <col min="12808" max="12808" width="93.5546875" style="1917" customWidth="1"/>
    <col min="12809" max="12809" width="81.77734375" style="1917" customWidth="1"/>
    <col min="12810" max="12810" width="99.21875" style="1917" customWidth="1"/>
    <col min="12811" max="12811" width="113.21875" style="1917" customWidth="1"/>
    <col min="12812" max="12812" width="12.5546875" style="1917" customWidth="1"/>
    <col min="12813" max="12813" width="17.5546875" style="1917" bestFit="1" customWidth="1"/>
    <col min="12814" max="13056" width="9.21875" style="1917"/>
    <col min="13057" max="13057" width="18" style="1917" customWidth="1"/>
    <col min="13058" max="13058" width="121.77734375" style="1917" customWidth="1"/>
    <col min="13059" max="13059" width="15.21875" style="1917" customWidth="1"/>
    <col min="13060" max="13060" width="23.77734375" style="1917" customWidth="1"/>
    <col min="13061" max="13061" width="18.44140625" style="1917" customWidth="1"/>
    <col min="13062" max="13062" width="80.21875" style="1917" customWidth="1"/>
    <col min="13063" max="13063" width="14.44140625" style="1917" customWidth="1"/>
    <col min="13064" max="13064" width="93.5546875" style="1917" customWidth="1"/>
    <col min="13065" max="13065" width="81.77734375" style="1917" customWidth="1"/>
    <col min="13066" max="13066" width="99.21875" style="1917" customWidth="1"/>
    <col min="13067" max="13067" width="113.21875" style="1917" customWidth="1"/>
    <col min="13068" max="13068" width="12.5546875" style="1917" customWidth="1"/>
    <col min="13069" max="13069" width="17.5546875" style="1917" bestFit="1" customWidth="1"/>
    <col min="13070" max="13312" width="9.21875" style="1917"/>
    <col min="13313" max="13313" width="18" style="1917" customWidth="1"/>
    <col min="13314" max="13314" width="121.77734375" style="1917" customWidth="1"/>
    <col min="13315" max="13315" width="15.21875" style="1917" customWidth="1"/>
    <col min="13316" max="13316" width="23.77734375" style="1917" customWidth="1"/>
    <col min="13317" max="13317" width="18.44140625" style="1917" customWidth="1"/>
    <col min="13318" max="13318" width="80.21875" style="1917" customWidth="1"/>
    <col min="13319" max="13319" width="14.44140625" style="1917" customWidth="1"/>
    <col min="13320" max="13320" width="93.5546875" style="1917" customWidth="1"/>
    <col min="13321" max="13321" width="81.77734375" style="1917" customWidth="1"/>
    <col min="13322" max="13322" width="99.21875" style="1917" customWidth="1"/>
    <col min="13323" max="13323" width="113.21875" style="1917" customWidth="1"/>
    <col min="13324" max="13324" width="12.5546875" style="1917" customWidth="1"/>
    <col min="13325" max="13325" width="17.5546875" style="1917" bestFit="1" customWidth="1"/>
    <col min="13326" max="13568" width="9.21875" style="1917"/>
    <col min="13569" max="13569" width="18" style="1917" customWidth="1"/>
    <col min="13570" max="13570" width="121.77734375" style="1917" customWidth="1"/>
    <col min="13571" max="13571" width="15.21875" style="1917" customWidth="1"/>
    <col min="13572" max="13572" width="23.77734375" style="1917" customWidth="1"/>
    <col min="13573" max="13573" width="18.44140625" style="1917" customWidth="1"/>
    <col min="13574" max="13574" width="80.21875" style="1917" customWidth="1"/>
    <col min="13575" max="13575" width="14.44140625" style="1917" customWidth="1"/>
    <col min="13576" max="13576" width="93.5546875" style="1917" customWidth="1"/>
    <col min="13577" max="13577" width="81.77734375" style="1917" customWidth="1"/>
    <col min="13578" max="13578" width="99.21875" style="1917" customWidth="1"/>
    <col min="13579" max="13579" width="113.21875" style="1917" customWidth="1"/>
    <col min="13580" max="13580" width="12.5546875" style="1917" customWidth="1"/>
    <col min="13581" max="13581" width="17.5546875" style="1917" bestFit="1" customWidth="1"/>
    <col min="13582" max="13824" width="9.21875" style="1917"/>
    <col min="13825" max="13825" width="18" style="1917" customWidth="1"/>
    <col min="13826" max="13826" width="121.77734375" style="1917" customWidth="1"/>
    <col min="13827" max="13827" width="15.21875" style="1917" customWidth="1"/>
    <col min="13828" max="13828" width="23.77734375" style="1917" customWidth="1"/>
    <col min="13829" max="13829" width="18.44140625" style="1917" customWidth="1"/>
    <col min="13830" max="13830" width="80.21875" style="1917" customWidth="1"/>
    <col min="13831" max="13831" width="14.44140625" style="1917" customWidth="1"/>
    <col min="13832" max="13832" width="93.5546875" style="1917" customWidth="1"/>
    <col min="13833" max="13833" width="81.77734375" style="1917" customWidth="1"/>
    <col min="13834" max="13834" width="99.21875" style="1917" customWidth="1"/>
    <col min="13835" max="13835" width="113.21875" style="1917" customWidth="1"/>
    <col min="13836" max="13836" width="12.5546875" style="1917" customWidth="1"/>
    <col min="13837" max="13837" width="17.5546875" style="1917" bestFit="1" customWidth="1"/>
    <col min="13838" max="14080" width="9.21875" style="1917"/>
    <col min="14081" max="14081" width="18" style="1917" customWidth="1"/>
    <col min="14082" max="14082" width="121.77734375" style="1917" customWidth="1"/>
    <col min="14083" max="14083" width="15.21875" style="1917" customWidth="1"/>
    <col min="14084" max="14084" width="23.77734375" style="1917" customWidth="1"/>
    <col min="14085" max="14085" width="18.44140625" style="1917" customWidth="1"/>
    <col min="14086" max="14086" width="80.21875" style="1917" customWidth="1"/>
    <col min="14087" max="14087" width="14.44140625" style="1917" customWidth="1"/>
    <col min="14088" max="14088" width="93.5546875" style="1917" customWidth="1"/>
    <col min="14089" max="14089" width="81.77734375" style="1917" customWidth="1"/>
    <col min="14090" max="14090" width="99.21875" style="1917" customWidth="1"/>
    <col min="14091" max="14091" width="113.21875" style="1917" customWidth="1"/>
    <col min="14092" max="14092" width="12.5546875" style="1917" customWidth="1"/>
    <col min="14093" max="14093" width="17.5546875" style="1917" bestFit="1" customWidth="1"/>
    <col min="14094" max="14336" width="9.21875" style="1917"/>
    <col min="14337" max="14337" width="18" style="1917" customWidth="1"/>
    <col min="14338" max="14338" width="121.77734375" style="1917" customWidth="1"/>
    <col min="14339" max="14339" width="15.21875" style="1917" customWidth="1"/>
    <col min="14340" max="14340" width="23.77734375" style="1917" customWidth="1"/>
    <col min="14341" max="14341" width="18.44140625" style="1917" customWidth="1"/>
    <col min="14342" max="14342" width="80.21875" style="1917" customWidth="1"/>
    <col min="14343" max="14343" width="14.44140625" style="1917" customWidth="1"/>
    <col min="14344" max="14344" width="93.5546875" style="1917" customWidth="1"/>
    <col min="14345" max="14345" width="81.77734375" style="1917" customWidth="1"/>
    <col min="14346" max="14346" width="99.21875" style="1917" customWidth="1"/>
    <col min="14347" max="14347" width="113.21875" style="1917" customWidth="1"/>
    <col min="14348" max="14348" width="12.5546875" style="1917" customWidth="1"/>
    <col min="14349" max="14349" width="17.5546875" style="1917" bestFit="1" customWidth="1"/>
    <col min="14350" max="14592" width="9.21875" style="1917"/>
    <col min="14593" max="14593" width="18" style="1917" customWidth="1"/>
    <col min="14594" max="14594" width="121.77734375" style="1917" customWidth="1"/>
    <col min="14595" max="14595" width="15.21875" style="1917" customWidth="1"/>
    <col min="14596" max="14596" width="23.77734375" style="1917" customWidth="1"/>
    <col min="14597" max="14597" width="18.44140625" style="1917" customWidth="1"/>
    <col min="14598" max="14598" width="80.21875" style="1917" customWidth="1"/>
    <col min="14599" max="14599" width="14.44140625" style="1917" customWidth="1"/>
    <col min="14600" max="14600" width="93.5546875" style="1917" customWidth="1"/>
    <col min="14601" max="14601" width="81.77734375" style="1917" customWidth="1"/>
    <col min="14602" max="14602" width="99.21875" style="1917" customWidth="1"/>
    <col min="14603" max="14603" width="113.21875" style="1917" customWidth="1"/>
    <col min="14604" max="14604" width="12.5546875" style="1917" customWidth="1"/>
    <col min="14605" max="14605" width="17.5546875" style="1917" bestFit="1" customWidth="1"/>
    <col min="14606" max="14848" width="9.21875" style="1917"/>
    <col min="14849" max="14849" width="18" style="1917" customWidth="1"/>
    <col min="14850" max="14850" width="121.77734375" style="1917" customWidth="1"/>
    <col min="14851" max="14851" width="15.21875" style="1917" customWidth="1"/>
    <col min="14852" max="14852" width="23.77734375" style="1917" customWidth="1"/>
    <col min="14853" max="14853" width="18.44140625" style="1917" customWidth="1"/>
    <col min="14854" max="14854" width="80.21875" style="1917" customWidth="1"/>
    <col min="14855" max="14855" width="14.44140625" style="1917" customWidth="1"/>
    <col min="14856" max="14856" width="93.5546875" style="1917" customWidth="1"/>
    <col min="14857" max="14857" width="81.77734375" style="1917" customWidth="1"/>
    <col min="14858" max="14858" width="99.21875" style="1917" customWidth="1"/>
    <col min="14859" max="14859" width="113.21875" style="1917" customWidth="1"/>
    <col min="14860" max="14860" width="12.5546875" style="1917" customWidth="1"/>
    <col min="14861" max="14861" width="17.5546875" style="1917" bestFit="1" customWidth="1"/>
    <col min="14862" max="15104" width="9.21875" style="1917"/>
    <col min="15105" max="15105" width="18" style="1917" customWidth="1"/>
    <col min="15106" max="15106" width="121.77734375" style="1917" customWidth="1"/>
    <col min="15107" max="15107" width="15.21875" style="1917" customWidth="1"/>
    <col min="15108" max="15108" width="23.77734375" style="1917" customWidth="1"/>
    <col min="15109" max="15109" width="18.44140625" style="1917" customWidth="1"/>
    <col min="15110" max="15110" width="80.21875" style="1917" customWidth="1"/>
    <col min="15111" max="15111" width="14.44140625" style="1917" customWidth="1"/>
    <col min="15112" max="15112" width="93.5546875" style="1917" customWidth="1"/>
    <col min="15113" max="15113" width="81.77734375" style="1917" customWidth="1"/>
    <col min="15114" max="15114" width="99.21875" style="1917" customWidth="1"/>
    <col min="15115" max="15115" width="113.21875" style="1917" customWidth="1"/>
    <col min="15116" max="15116" width="12.5546875" style="1917" customWidth="1"/>
    <col min="15117" max="15117" width="17.5546875" style="1917" bestFit="1" customWidth="1"/>
    <col min="15118" max="15360" width="9.21875" style="1917"/>
    <col min="15361" max="15361" width="18" style="1917" customWidth="1"/>
    <col min="15362" max="15362" width="121.77734375" style="1917" customWidth="1"/>
    <col min="15363" max="15363" width="15.21875" style="1917" customWidth="1"/>
    <col min="15364" max="15364" width="23.77734375" style="1917" customWidth="1"/>
    <col min="15365" max="15365" width="18.44140625" style="1917" customWidth="1"/>
    <col min="15366" max="15366" width="80.21875" style="1917" customWidth="1"/>
    <col min="15367" max="15367" width="14.44140625" style="1917" customWidth="1"/>
    <col min="15368" max="15368" width="93.5546875" style="1917" customWidth="1"/>
    <col min="15369" max="15369" width="81.77734375" style="1917" customWidth="1"/>
    <col min="15370" max="15370" width="99.21875" style="1917" customWidth="1"/>
    <col min="15371" max="15371" width="113.21875" style="1917" customWidth="1"/>
    <col min="15372" max="15372" width="12.5546875" style="1917" customWidth="1"/>
    <col min="15373" max="15373" width="17.5546875" style="1917" bestFit="1" customWidth="1"/>
    <col min="15374" max="15616" width="9.21875" style="1917"/>
    <col min="15617" max="15617" width="18" style="1917" customWidth="1"/>
    <col min="15618" max="15618" width="121.77734375" style="1917" customWidth="1"/>
    <col min="15619" max="15619" width="15.21875" style="1917" customWidth="1"/>
    <col min="15620" max="15620" width="23.77734375" style="1917" customWidth="1"/>
    <col min="15621" max="15621" width="18.44140625" style="1917" customWidth="1"/>
    <col min="15622" max="15622" width="80.21875" style="1917" customWidth="1"/>
    <col min="15623" max="15623" width="14.44140625" style="1917" customWidth="1"/>
    <col min="15624" max="15624" width="93.5546875" style="1917" customWidth="1"/>
    <col min="15625" max="15625" width="81.77734375" style="1917" customWidth="1"/>
    <col min="15626" max="15626" width="99.21875" style="1917" customWidth="1"/>
    <col min="15627" max="15627" width="113.21875" style="1917" customWidth="1"/>
    <col min="15628" max="15628" width="12.5546875" style="1917" customWidth="1"/>
    <col min="15629" max="15629" width="17.5546875" style="1917" bestFit="1" customWidth="1"/>
    <col min="15630" max="15872" width="9.21875" style="1917"/>
    <col min="15873" max="15873" width="18" style="1917" customWidth="1"/>
    <col min="15874" max="15874" width="121.77734375" style="1917" customWidth="1"/>
    <col min="15875" max="15875" width="15.21875" style="1917" customWidth="1"/>
    <col min="15876" max="15876" width="23.77734375" style="1917" customWidth="1"/>
    <col min="15877" max="15877" width="18.44140625" style="1917" customWidth="1"/>
    <col min="15878" max="15878" width="80.21875" style="1917" customWidth="1"/>
    <col min="15879" max="15879" width="14.44140625" style="1917" customWidth="1"/>
    <col min="15880" max="15880" width="93.5546875" style="1917" customWidth="1"/>
    <col min="15881" max="15881" width="81.77734375" style="1917" customWidth="1"/>
    <col min="15882" max="15882" width="99.21875" style="1917" customWidth="1"/>
    <col min="15883" max="15883" width="113.21875" style="1917" customWidth="1"/>
    <col min="15884" max="15884" width="12.5546875" style="1917" customWidth="1"/>
    <col min="15885" max="15885" width="17.5546875" style="1917" bestFit="1" customWidth="1"/>
    <col min="15886" max="16128" width="9.21875" style="1917"/>
    <col min="16129" max="16129" width="18" style="1917" customWidth="1"/>
    <col min="16130" max="16130" width="121.77734375" style="1917" customWidth="1"/>
    <col min="16131" max="16131" width="15.21875" style="1917" customWidth="1"/>
    <col min="16132" max="16132" width="23.77734375" style="1917" customWidth="1"/>
    <col min="16133" max="16133" width="18.44140625" style="1917" customWidth="1"/>
    <col min="16134" max="16134" width="80.21875" style="1917" customWidth="1"/>
    <col min="16135" max="16135" width="14.44140625" style="1917" customWidth="1"/>
    <col min="16136" max="16136" width="93.5546875" style="1917" customWidth="1"/>
    <col min="16137" max="16137" width="81.77734375" style="1917" customWidth="1"/>
    <col min="16138" max="16138" width="99.21875" style="1917" customWidth="1"/>
    <col min="16139" max="16139" width="113.21875" style="1917" customWidth="1"/>
    <col min="16140" max="16140" width="12.5546875" style="1917" customWidth="1"/>
    <col min="16141" max="16141" width="17.5546875" style="1917" bestFit="1" customWidth="1"/>
    <col min="16142" max="16384" width="9.21875" style="1917"/>
  </cols>
  <sheetData>
    <row r="1" spans="2:15" ht="24.75" customHeight="1" x14ac:dyDescent="0.3">
      <c r="G1" s="2025"/>
      <c r="H1" s="2025"/>
      <c r="I1" s="2025"/>
    </row>
    <row r="2" spans="2:15" ht="15" customHeight="1" x14ac:dyDescent="0.3">
      <c r="B2" s="1918" t="s">
        <v>754</v>
      </c>
      <c r="F2" s="1977"/>
      <c r="G2" s="2026"/>
      <c r="H2" s="1975"/>
      <c r="I2" s="1975"/>
    </row>
    <row r="3" spans="2:15" ht="8.25" customHeight="1" thickBot="1" x14ac:dyDescent="0.35"/>
    <row r="4" spans="2:15" ht="18" x14ac:dyDescent="0.35">
      <c r="B4" s="2337" t="s">
        <v>755</v>
      </c>
      <c r="C4" s="2338"/>
      <c r="D4" s="2338"/>
      <c r="E4" s="2339"/>
      <c r="F4" s="1919"/>
    </row>
    <row r="5" spans="2:15" ht="18.600000000000001" thickBot="1" x14ac:dyDescent="0.4">
      <c r="B5" s="2340" t="s">
        <v>685</v>
      </c>
      <c r="C5" s="2341"/>
      <c r="D5" s="2341"/>
      <c r="E5" s="2342"/>
      <c r="F5" s="1920"/>
      <c r="J5" s="2343"/>
      <c r="K5" s="2343"/>
      <c r="L5" s="2343"/>
      <c r="M5" s="2343"/>
      <c r="N5" s="2343"/>
      <c r="O5" s="2343"/>
    </row>
    <row r="6" spans="2:15" ht="3.75" customHeight="1" thickBot="1" x14ac:dyDescent="0.4">
      <c r="B6" s="1921"/>
      <c r="C6" s="1921"/>
      <c r="D6" s="1921"/>
      <c r="E6" s="1921"/>
      <c r="F6" s="1921"/>
    </row>
    <row r="7" spans="2:15" ht="15" customHeight="1" thickBot="1" x14ac:dyDescent="0.4">
      <c r="B7" s="2344" t="s">
        <v>756</v>
      </c>
      <c r="C7" s="2345"/>
      <c r="D7" s="1921"/>
      <c r="E7" s="1921"/>
      <c r="F7" s="1921"/>
    </row>
    <row r="8" spans="2:15" ht="4.5" customHeight="1" thickBot="1" x14ac:dyDescent="0.4">
      <c r="B8" s="1922"/>
      <c r="C8" s="1922"/>
      <c r="D8" s="1921"/>
      <c r="E8" s="1921"/>
      <c r="F8" s="1921"/>
    </row>
    <row r="9" spans="2:15" ht="15" customHeight="1" x14ac:dyDescent="0.35">
      <c r="B9" s="1923" t="s">
        <v>757</v>
      </c>
      <c r="C9" s="1924" t="s">
        <v>688</v>
      </c>
      <c r="D9" s="2027" t="s">
        <v>803</v>
      </c>
      <c r="E9" s="1921"/>
      <c r="F9" s="1921"/>
    </row>
    <row r="10" spans="2:15" ht="15" customHeight="1" x14ac:dyDescent="0.35">
      <c r="B10" s="1926" t="s">
        <v>804</v>
      </c>
      <c r="C10" s="1927">
        <v>43277</v>
      </c>
      <c r="D10" s="2028"/>
      <c r="E10" s="2029"/>
      <c r="F10" s="1921"/>
    </row>
    <row r="11" spans="2:15" ht="15" customHeight="1" x14ac:dyDescent="0.35">
      <c r="B11" s="1928" t="s">
        <v>760</v>
      </c>
      <c r="C11" s="1929">
        <v>45488</v>
      </c>
      <c r="D11" s="2028"/>
      <c r="E11" s="1921"/>
      <c r="F11" s="1921"/>
    </row>
    <row r="12" spans="2:15" ht="15" customHeight="1" x14ac:dyDescent="0.35">
      <c r="B12" s="1928" t="s">
        <v>805</v>
      </c>
      <c r="C12" s="2030">
        <v>43551</v>
      </c>
      <c r="D12" s="2028"/>
      <c r="E12" s="1921"/>
      <c r="F12" s="1921"/>
    </row>
    <row r="13" spans="2:15" ht="15" customHeight="1" x14ac:dyDescent="0.35">
      <c r="B13" s="1928" t="s">
        <v>806</v>
      </c>
      <c r="C13" s="2031">
        <v>13409.94</v>
      </c>
      <c r="D13" s="2028"/>
      <c r="F13" s="1921"/>
    </row>
    <row r="14" spans="2:15" ht="15" customHeight="1" thickBot="1" x14ac:dyDescent="0.4">
      <c r="B14" s="1931" t="s">
        <v>807</v>
      </c>
      <c r="C14" s="2032">
        <v>0</v>
      </c>
      <c r="D14" s="2033"/>
      <c r="E14" s="1921"/>
      <c r="F14" s="2034"/>
      <c r="G14" s="1921"/>
    </row>
    <row r="15" spans="2:15" ht="15" customHeight="1" x14ac:dyDescent="0.35">
      <c r="B15" s="2035" t="s">
        <v>808</v>
      </c>
      <c r="C15" s="2036">
        <v>0</v>
      </c>
      <c r="D15" s="2028"/>
      <c r="E15" s="1921"/>
      <c r="F15" s="1921"/>
      <c r="G15" s="1921"/>
    </row>
    <row r="16" spans="2:15" ht="18" x14ac:dyDescent="0.35">
      <c r="B16" s="2037" t="s">
        <v>809</v>
      </c>
      <c r="C16" s="2031">
        <v>0</v>
      </c>
      <c r="D16" s="2028"/>
      <c r="E16" s="1921"/>
      <c r="F16" s="1921"/>
      <c r="G16" s="1936"/>
      <c r="H16" s="2038"/>
    </row>
    <row r="17" spans="1:14" ht="15" customHeight="1" x14ac:dyDescent="0.35">
      <c r="B17" s="2037" t="s">
        <v>810</v>
      </c>
      <c r="C17" s="2031">
        <v>0</v>
      </c>
      <c r="D17" s="2028"/>
      <c r="E17" s="1921"/>
      <c r="F17" s="1921"/>
      <c r="G17" s="1936"/>
      <c r="H17" s="2038"/>
    </row>
    <row r="18" spans="1:14" ht="15.75" customHeight="1" thickBot="1" x14ac:dyDescent="0.4">
      <c r="B18" s="2039" t="s">
        <v>811</v>
      </c>
      <c r="C18" s="2040">
        <v>100</v>
      </c>
      <c r="D18" s="2041"/>
      <c r="E18" s="1921"/>
      <c r="F18" s="1921"/>
      <c r="G18" s="2042"/>
    </row>
    <row r="19" spans="1:14" ht="18" x14ac:dyDescent="0.35">
      <c r="B19" s="1926" t="s">
        <v>812</v>
      </c>
      <c r="C19" s="2043">
        <v>0</v>
      </c>
      <c r="D19" s="2041"/>
      <c r="E19" s="1921"/>
      <c r="F19" s="1921"/>
      <c r="G19" s="1947"/>
      <c r="H19" s="1947"/>
    </row>
    <row r="20" spans="1:14" ht="18.600000000000001" thickBot="1" x14ac:dyDescent="0.4">
      <c r="B20" s="2044"/>
      <c r="C20" s="2045"/>
      <c r="D20" s="2046"/>
      <c r="E20" s="1921"/>
      <c r="F20" s="1921"/>
      <c r="G20" s="1947"/>
      <c r="H20" s="1947"/>
    </row>
    <row r="21" spans="1:14" ht="18.600000000000001" thickBot="1" x14ac:dyDescent="0.4">
      <c r="B21" s="1933" t="s">
        <v>763</v>
      </c>
      <c r="C21" s="1934" t="s">
        <v>764</v>
      </c>
      <c r="D21" s="1934" t="s">
        <v>765</v>
      </c>
      <c r="E21" s="1935" t="s">
        <v>766</v>
      </c>
      <c r="F21" s="1921"/>
      <c r="G21" s="1947"/>
      <c r="H21" s="1947"/>
      <c r="K21" s="2346"/>
      <c r="L21" s="2346"/>
    </row>
    <row r="22" spans="1:14" ht="16.5" customHeight="1" thickBot="1" x14ac:dyDescent="0.35">
      <c r="C22" s="2047"/>
      <c r="D22" s="1954"/>
      <c r="E22" s="1954"/>
      <c r="G22" s="1947"/>
      <c r="H22" s="1947"/>
    </row>
    <row r="23" spans="1:14" x14ac:dyDescent="0.3">
      <c r="B23" s="1938" t="s">
        <v>767</v>
      </c>
      <c r="C23" s="2048">
        <f t="shared" ref="C23:C28" si="0">SUM(D23:E23)</f>
        <v>0.11000000000000001</v>
      </c>
      <c r="D23" s="2048">
        <v>5.5000000000000007E-2</v>
      </c>
      <c r="E23" s="2049">
        <v>5.5E-2</v>
      </c>
      <c r="G23" s="1947"/>
      <c r="H23" s="1947"/>
    </row>
    <row r="24" spans="1:14" x14ac:dyDescent="0.3">
      <c r="B24" s="1941" t="s">
        <v>768</v>
      </c>
      <c r="C24" s="2050">
        <f>E24</f>
        <v>2.5000000000000001E-2</v>
      </c>
      <c r="D24" s="1942">
        <v>0</v>
      </c>
      <c r="E24" s="1943">
        <v>2.5000000000000001E-2</v>
      </c>
      <c r="G24" s="1947"/>
      <c r="H24" s="1947"/>
    </row>
    <row r="25" spans="1:14" ht="15.75" customHeight="1" x14ac:dyDescent="0.3">
      <c r="B25" s="1941" t="s">
        <v>813</v>
      </c>
      <c r="C25" s="2051">
        <f t="shared" si="0"/>
        <v>1457.1044560975611</v>
      </c>
      <c r="D25" s="2052">
        <f>D40</f>
        <v>737.5467000000001</v>
      </c>
      <c r="E25" s="2053">
        <f>E40</f>
        <v>719.55775609756097</v>
      </c>
      <c r="H25" s="2054"/>
      <c r="M25" s="1956"/>
    </row>
    <row r="26" spans="1:14" ht="15" customHeight="1" x14ac:dyDescent="0.3">
      <c r="A26" s="2055" t="s">
        <v>814</v>
      </c>
      <c r="B26" s="2056" t="s">
        <v>815</v>
      </c>
      <c r="C26" s="2057">
        <f t="shared" si="0"/>
        <v>734.38064587317081</v>
      </c>
      <c r="D26" s="1972">
        <f>D40*(1-D29-D32)</f>
        <v>371.72353680000003</v>
      </c>
      <c r="E26" s="1973">
        <f>E40*(1-E29-E32)</f>
        <v>362.65710907317072</v>
      </c>
      <c r="G26" s="1922"/>
      <c r="H26" s="2054"/>
      <c r="M26" s="1956"/>
    </row>
    <row r="27" spans="1:14" x14ac:dyDescent="0.3">
      <c r="A27" s="2055" t="s">
        <v>816</v>
      </c>
      <c r="B27" s="2056" t="s">
        <v>817</v>
      </c>
      <c r="C27" s="2057">
        <f t="shared" si="0"/>
        <v>96.168894102439026</v>
      </c>
      <c r="D27" s="1972">
        <f>D40*D32</f>
        <v>48.678082200000006</v>
      </c>
      <c r="E27" s="1973">
        <f>E40*E32</f>
        <v>47.490811902439027</v>
      </c>
      <c r="F27" s="1917" t="s">
        <v>818</v>
      </c>
      <c r="G27" s="1966"/>
      <c r="H27" s="2054"/>
      <c r="I27" s="1962"/>
      <c r="M27" s="2347"/>
      <c r="N27" s="2347"/>
    </row>
    <row r="28" spans="1:14" ht="15" thickBot="1" x14ac:dyDescent="0.35">
      <c r="A28" s="2055" t="s">
        <v>819</v>
      </c>
      <c r="B28" s="2058" t="s">
        <v>820</v>
      </c>
      <c r="C28" s="2059">
        <f t="shared" si="0"/>
        <v>626.55491612195124</v>
      </c>
      <c r="D28" s="2060">
        <f>D40*D29</f>
        <v>317.14508100000006</v>
      </c>
      <c r="E28" s="2061">
        <f>E40*E29</f>
        <v>309.40983512195123</v>
      </c>
      <c r="G28" s="2062" t="s">
        <v>779</v>
      </c>
      <c r="H28" s="1971" t="s">
        <v>821</v>
      </c>
      <c r="I28" s="1971" t="s">
        <v>822</v>
      </c>
      <c r="J28" s="1971" t="s">
        <v>780</v>
      </c>
      <c r="K28" s="1971" t="s">
        <v>823</v>
      </c>
    </row>
    <row r="29" spans="1:14" ht="15.6" x14ac:dyDescent="0.3">
      <c r="A29" s="1944" t="s">
        <v>769</v>
      </c>
      <c r="B29" s="2063" t="s">
        <v>770</v>
      </c>
      <c r="C29" s="2064">
        <f>E29</f>
        <v>0.43</v>
      </c>
      <c r="D29" s="2064">
        <v>0.43</v>
      </c>
      <c r="E29" s="2065">
        <v>0.43</v>
      </c>
      <c r="G29" s="2066">
        <v>1</v>
      </c>
      <c r="H29" s="2067">
        <f>IF(G29&gt;$C$37,"",ROUND($D$40*(1-$D$29-$D$32)*(($C$37-G29)/$C$37)*$C$14/$C$13+$D$40*$D$32*($C$37-G29)/$C$37+$D$40*$D$29*($C$37-G29)/$C$37-$D$30,2)+$D$30)</f>
        <v>360.79</v>
      </c>
      <c r="I29" s="2068">
        <f>IF(G29&gt;$C$37,"",ROUND($D$40*(1-$D$29-$D$32)*(($C$37-G29)/$C$37)*$C$14/$C$13+$D$40*$D$32*($C$37-G29)/$C$37+$D$40*$D$29*($C$37-G29)/$C$37-$D$30,2))</f>
        <v>335.79</v>
      </c>
      <c r="J29" s="2069">
        <f t="shared" ref="J29:J88" si="1">IF(G29&gt;$C$37,"",$E$40*($C$37-G29)/$C$37)</f>
        <v>709.65203958864208</v>
      </c>
      <c r="K29" s="2070">
        <f t="shared" ref="K29:K92" si="2">IF(G29&gt;$C$37,"",J29-$E$30)</f>
        <v>684.65203958864208</v>
      </c>
    </row>
    <row r="30" spans="1:14" ht="21" customHeight="1" x14ac:dyDescent="0.3">
      <c r="A30" s="1944" t="s">
        <v>771</v>
      </c>
      <c r="B30" s="1941" t="s">
        <v>772</v>
      </c>
      <c r="C30" s="1948">
        <f>SUM(D30:E30)</f>
        <v>50</v>
      </c>
      <c r="D30" s="1948">
        <v>25</v>
      </c>
      <c r="E30" s="1949">
        <v>25</v>
      </c>
      <c r="G30" s="2071">
        <v>2</v>
      </c>
      <c r="H30" s="2067">
        <f t="shared" ref="H30:H93" si="3">IF(G30&gt;$C$37,"",ROUND($D$40*(1-$D$29-$D$32)*(($C$37-G30)/$C$37)*$C$14/$C$13+$D$40*$D$32*($C$37-G30)/$C$37+$D$40*$D$29*($C$37-G30)/$C$37-$D$30,2)+$D$30)</f>
        <v>355.75</v>
      </c>
      <c r="I30" s="2068">
        <f t="shared" ref="I30:I93" si="4">IF(G30&gt;$C$37,"",ROUND($D$40*(1-$D$29-$D$32)*(($C$37-G30)/$C$37)*$C$14/$C$13+$D$40*$D$32*($C$37-G30)/$C$37+$D$40*$D$29*($C$37-G30)/$C$37-$D$30,2))</f>
        <v>330.75</v>
      </c>
      <c r="J30" s="2069">
        <f t="shared" si="1"/>
        <v>699.74632307972331</v>
      </c>
      <c r="K30" s="2070">
        <f t="shared" si="2"/>
        <v>674.74632307972331</v>
      </c>
    </row>
    <row r="31" spans="1:14" ht="15.75" customHeight="1" x14ac:dyDescent="0.3">
      <c r="A31" s="1944" t="s">
        <v>773</v>
      </c>
      <c r="B31" s="1941" t="s">
        <v>774</v>
      </c>
      <c r="C31" s="1948">
        <f>SUM(D31:E31)</f>
        <v>15</v>
      </c>
      <c r="D31" s="1948">
        <v>7.5</v>
      </c>
      <c r="E31" s="1949">
        <v>7.5</v>
      </c>
      <c r="G31" s="2072">
        <v>3</v>
      </c>
      <c r="H31" s="2067">
        <f t="shared" si="3"/>
        <v>350.71</v>
      </c>
      <c r="I31" s="2068">
        <f t="shared" si="4"/>
        <v>325.70999999999998</v>
      </c>
      <c r="J31" s="2069">
        <f t="shared" si="1"/>
        <v>689.84060657080443</v>
      </c>
      <c r="K31" s="2070">
        <f t="shared" si="2"/>
        <v>664.84060657080443</v>
      </c>
    </row>
    <row r="32" spans="1:14" x14ac:dyDescent="0.3">
      <c r="B32" s="2073" t="s">
        <v>120</v>
      </c>
      <c r="C32" s="2074">
        <f>D32</f>
        <v>6.6000000000000003E-2</v>
      </c>
      <c r="D32" s="2075">
        <v>6.6000000000000003E-2</v>
      </c>
      <c r="E32" s="2076">
        <v>6.6000000000000003E-2</v>
      </c>
      <c r="F32" s="1954"/>
      <c r="G32" s="2072">
        <v>4</v>
      </c>
      <c r="H32" s="2067">
        <f t="shared" si="3"/>
        <v>345.68</v>
      </c>
      <c r="I32" s="2068">
        <f t="shared" si="4"/>
        <v>320.68</v>
      </c>
      <c r="J32" s="2069">
        <f t="shared" si="1"/>
        <v>679.93489006188565</v>
      </c>
      <c r="K32" s="2070">
        <f t="shared" si="2"/>
        <v>654.93489006188565</v>
      </c>
    </row>
    <row r="33" spans="1:11" ht="15" thickBot="1" x14ac:dyDescent="0.35">
      <c r="B33" s="2077" t="s">
        <v>824</v>
      </c>
      <c r="C33" s="2078">
        <f>D33</f>
        <v>0</v>
      </c>
      <c r="D33" s="2079">
        <v>0</v>
      </c>
      <c r="E33" s="2080">
        <v>0</v>
      </c>
      <c r="F33" s="1954"/>
      <c r="G33" s="2072">
        <v>5</v>
      </c>
      <c r="H33" s="2067">
        <f t="shared" si="3"/>
        <v>340.64</v>
      </c>
      <c r="I33" s="2068">
        <f t="shared" si="4"/>
        <v>315.64</v>
      </c>
      <c r="J33" s="2069">
        <f t="shared" si="1"/>
        <v>670.02917355296688</v>
      </c>
      <c r="K33" s="2070">
        <f t="shared" si="2"/>
        <v>645.02917355296688</v>
      </c>
    </row>
    <row r="34" spans="1:11" ht="15" thickBot="1" x14ac:dyDescent="0.35">
      <c r="B34" s="1977"/>
      <c r="C34" s="2081"/>
      <c r="D34" s="2081"/>
      <c r="E34" s="2081"/>
      <c r="F34" s="1954"/>
      <c r="G34" s="2072">
        <v>6</v>
      </c>
      <c r="H34" s="2067">
        <f t="shared" si="3"/>
        <v>335.61</v>
      </c>
      <c r="I34" s="2068">
        <f t="shared" si="4"/>
        <v>310.61</v>
      </c>
      <c r="J34" s="2069">
        <f t="shared" si="1"/>
        <v>660.123457044048</v>
      </c>
      <c r="K34" s="2070">
        <f t="shared" si="2"/>
        <v>635.123457044048</v>
      </c>
    </row>
    <row r="35" spans="1:11" ht="15" customHeight="1" thickBot="1" x14ac:dyDescent="0.35">
      <c r="B35" s="1955" t="s">
        <v>775</v>
      </c>
      <c r="C35" s="1934" t="s">
        <v>764</v>
      </c>
      <c r="D35" s="1934" t="s">
        <v>765</v>
      </c>
      <c r="E35" s="1935" t="s">
        <v>766</v>
      </c>
      <c r="F35" s="1954"/>
      <c r="G35" s="2072">
        <v>7</v>
      </c>
      <c r="H35" s="2067">
        <f t="shared" si="3"/>
        <v>330.57</v>
      </c>
      <c r="I35" s="2068">
        <f t="shared" si="4"/>
        <v>305.57</v>
      </c>
      <c r="J35" s="2069">
        <f t="shared" si="1"/>
        <v>650.21774053512922</v>
      </c>
      <c r="K35" s="2070">
        <f t="shared" si="2"/>
        <v>625.21774053512922</v>
      </c>
    </row>
    <row r="36" spans="1:11" ht="15" thickBot="1" x14ac:dyDescent="0.35">
      <c r="G36" s="2072">
        <v>8</v>
      </c>
      <c r="H36" s="2067">
        <f t="shared" si="3"/>
        <v>325.52999999999997</v>
      </c>
      <c r="I36" s="2068">
        <f t="shared" si="4"/>
        <v>300.52999999999997</v>
      </c>
      <c r="J36" s="2069">
        <f t="shared" si="1"/>
        <v>640.31202402621034</v>
      </c>
      <c r="K36" s="2070">
        <f t="shared" si="2"/>
        <v>615.31202402621034</v>
      </c>
    </row>
    <row r="37" spans="1:11" x14ac:dyDescent="0.3">
      <c r="B37" s="2082" t="s">
        <v>776</v>
      </c>
      <c r="C37" s="2083">
        <f>((C11-C10)/365.25)*12</f>
        <v>72.640657084188916</v>
      </c>
      <c r="D37" s="1959"/>
      <c r="E37" s="1960"/>
      <c r="G37" s="2072">
        <v>9</v>
      </c>
      <c r="H37" s="2067">
        <f t="shared" si="3"/>
        <v>320.5</v>
      </c>
      <c r="I37" s="2068">
        <f t="shared" si="4"/>
        <v>295.5</v>
      </c>
      <c r="J37" s="2069">
        <f t="shared" si="1"/>
        <v>630.40630751729157</v>
      </c>
      <c r="K37" s="2070">
        <f t="shared" si="2"/>
        <v>605.40630751729157</v>
      </c>
    </row>
    <row r="38" spans="1:11" x14ac:dyDescent="0.3">
      <c r="B38" s="2084" t="s">
        <v>777</v>
      </c>
      <c r="C38" s="2085">
        <f>((C12-C10)/365.25)*12</f>
        <v>9.0020533880903493</v>
      </c>
      <c r="D38" s="1964"/>
      <c r="E38" s="1965"/>
      <c r="G38" s="2072">
        <v>10</v>
      </c>
      <c r="H38" s="2067">
        <f t="shared" si="3"/>
        <v>315.45999999999998</v>
      </c>
      <c r="I38" s="2068">
        <f t="shared" si="4"/>
        <v>290.45999999999998</v>
      </c>
      <c r="J38" s="2069">
        <f t="shared" si="1"/>
        <v>620.50059100837279</v>
      </c>
      <c r="K38" s="2070">
        <f t="shared" si="2"/>
        <v>595.50059100837279</v>
      </c>
    </row>
    <row r="39" spans="1:11" ht="20.25" customHeight="1" thickBot="1" x14ac:dyDescent="0.35">
      <c r="B39" s="2086" t="s">
        <v>778</v>
      </c>
      <c r="C39" s="2087">
        <f>IF(C37-C38&lt;0,0,C37-C38)</f>
        <v>63.638603696098571</v>
      </c>
      <c r="D39" s="2088"/>
      <c r="E39" s="1969"/>
      <c r="G39" s="2072">
        <v>11</v>
      </c>
      <c r="H39" s="2067">
        <f t="shared" si="3"/>
        <v>310.43</v>
      </c>
      <c r="I39" s="2068">
        <f t="shared" si="4"/>
        <v>285.43</v>
      </c>
      <c r="J39" s="2069">
        <f t="shared" si="1"/>
        <v>610.59487449945391</v>
      </c>
      <c r="K39" s="2070">
        <f t="shared" si="2"/>
        <v>585.59487449945391</v>
      </c>
    </row>
    <row r="40" spans="1:11" ht="17.25" customHeight="1" x14ac:dyDescent="0.3">
      <c r="B40" s="2089" t="s">
        <v>825</v>
      </c>
      <c r="C40" s="2057">
        <f>SUM(D40:E40)</f>
        <v>1457.1044560975611</v>
      </c>
      <c r="D40" s="1972">
        <f>C13*D23*100%/(100%+D24)</f>
        <v>737.5467000000001</v>
      </c>
      <c r="E40" s="1973">
        <f>C13*E23*100%/(100%+E24)</f>
        <v>719.55775609756097</v>
      </c>
      <c r="G40" s="2072">
        <v>12</v>
      </c>
      <c r="H40" s="2067">
        <f t="shared" si="3"/>
        <v>305.39</v>
      </c>
      <c r="I40" s="2068">
        <f t="shared" si="4"/>
        <v>280.39</v>
      </c>
      <c r="J40" s="2069">
        <f t="shared" si="1"/>
        <v>600.68915799053514</v>
      </c>
      <c r="K40" s="2070">
        <f t="shared" si="2"/>
        <v>575.68915799053514</v>
      </c>
    </row>
    <row r="41" spans="1:11" ht="16.5" customHeight="1" x14ac:dyDescent="0.3">
      <c r="A41" s="1917" t="s">
        <v>826</v>
      </c>
      <c r="B41" s="2090" t="s">
        <v>827</v>
      </c>
      <c r="C41" s="2091">
        <f>SUM(D41:E41)</f>
        <v>900.88</v>
      </c>
      <c r="D41" s="1979">
        <f>ROUND(D40*(1-D29-D32)*((C37-C38)/C37)*C14/C13+D40*D32*(C37-C38)/C37+D40*D29*(C37-C38)/C37-D30,2)</f>
        <v>295.49</v>
      </c>
      <c r="E41" s="1980">
        <f>ROUND(E40*(C37-C38)/C37-E30,2)</f>
        <v>605.39</v>
      </c>
      <c r="G41" s="2072">
        <v>13</v>
      </c>
      <c r="H41" s="2067">
        <f t="shared" si="3"/>
        <v>300.35000000000002</v>
      </c>
      <c r="I41" s="2068">
        <f t="shared" si="4"/>
        <v>275.35000000000002</v>
      </c>
      <c r="J41" s="2069">
        <f t="shared" si="1"/>
        <v>590.78344148161625</v>
      </c>
      <c r="K41" s="2070">
        <f t="shared" si="2"/>
        <v>565.78344148161625</v>
      </c>
    </row>
    <row r="42" spans="1:11" ht="15" thickBot="1" x14ac:dyDescent="0.35">
      <c r="B42" s="2092" t="s">
        <v>785</v>
      </c>
      <c r="C42" s="2093">
        <f>SUM(D42:E42)</f>
        <v>533.91</v>
      </c>
      <c r="D42" s="2094">
        <f>ROUND(D40*D29*(C37-C38)/C37-D31,2)</f>
        <v>270.33999999999997</v>
      </c>
      <c r="E42" s="2095">
        <f>ROUND(E40*E29*(C37-C38)/C37-E31,2)</f>
        <v>263.57</v>
      </c>
      <c r="G42" s="2072">
        <v>14</v>
      </c>
      <c r="H42" s="2067">
        <f t="shared" si="3"/>
        <v>295.32</v>
      </c>
      <c r="I42" s="2068">
        <f t="shared" si="4"/>
        <v>270.32</v>
      </c>
      <c r="J42" s="2069">
        <f t="shared" si="1"/>
        <v>580.87772497269748</v>
      </c>
      <c r="K42" s="2070">
        <f t="shared" si="2"/>
        <v>555.87772497269748</v>
      </c>
    </row>
    <row r="43" spans="1:11" ht="15" thickBot="1" x14ac:dyDescent="0.35">
      <c r="B43" s="1988"/>
      <c r="C43" s="1989"/>
      <c r="D43" s="1989"/>
      <c r="E43" s="1989"/>
      <c r="G43" s="2072">
        <v>15</v>
      </c>
      <c r="H43" s="2067">
        <f t="shared" si="3"/>
        <v>290.27999999999997</v>
      </c>
      <c r="I43" s="2068">
        <f t="shared" si="4"/>
        <v>265.27999999999997</v>
      </c>
      <c r="J43" s="2069">
        <f t="shared" si="1"/>
        <v>570.97200846377871</v>
      </c>
      <c r="K43" s="2070">
        <f t="shared" si="2"/>
        <v>545.97200846377871</v>
      </c>
    </row>
    <row r="44" spans="1:11" ht="15" thickBot="1" x14ac:dyDescent="0.35">
      <c r="B44" s="2096" t="s">
        <v>787</v>
      </c>
      <c r="C44" s="1934" t="s">
        <v>764</v>
      </c>
      <c r="D44" s="1934" t="s">
        <v>765</v>
      </c>
      <c r="E44" s="1935" t="s">
        <v>766</v>
      </c>
      <c r="G44" s="2072">
        <v>16</v>
      </c>
      <c r="H44" s="2067">
        <f t="shared" si="3"/>
        <v>285.25</v>
      </c>
      <c r="I44" s="2068">
        <f t="shared" si="4"/>
        <v>260.25</v>
      </c>
      <c r="J44" s="2069">
        <f t="shared" si="1"/>
        <v>561.06629195485982</v>
      </c>
      <c r="K44" s="2070">
        <f t="shared" si="2"/>
        <v>536.06629195485982</v>
      </c>
    </row>
    <row r="45" spans="1:11" ht="15" thickBot="1" x14ac:dyDescent="0.35">
      <c r="A45" s="1990"/>
      <c r="G45" s="2072">
        <v>17</v>
      </c>
      <c r="H45" s="2067">
        <f t="shared" si="3"/>
        <v>280.21000000000004</v>
      </c>
      <c r="I45" s="2068">
        <f t="shared" si="4"/>
        <v>255.21</v>
      </c>
      <c r="J45" s="2069">
        <f t="shared" si="1"/>
        <v>551.16057544594105</v>
      </c>
      <c r="K45" s="2070">
        <f t="shared" si="2"/>
        <v>526.16057544594105</v>
      </c>
    </row>
    <row r="46" spans="1:11" x14ac:dyDescent="0.3">
      <c r="A46" s="1992"/>
      <c r="B46" s="1993" t="s">
        <v>788</v>
      </c>
      <c r="C46" s="1994">
        <f t="shared" ref="C46:E47" si="5">C30</f>
        <v>50</v>
      </c>
      <c r="D46" s="1995">
        <f t="shared" si="5"/>
        <v>25</v>
      </c>
      <c r="E46" s="1994">
        <f t="shared" si="5"/>
        <v>25</v>
      </c>
      <c r="G46" s="2072">
        <v>18</v>
      </c>
      <c r="H46" s="2067">
        <f t="shared" si="3"/>
        <v>275.16999999999996</v>
      </c>
      <c r="I46" s="2068">
        <f t="shared" si="4"/>
        <v>250.17</v>
      </c>
      <c r="J46" s="2069">
        <f t="shared" si="1"/>
        <v>541.25485893702216</v>
      </c>
      <c r="K46" s="2070">
        <f t="shared" si="2"/>
        <v>516.25485893702216</v>
      </c>
    </row>
    <row r="47" spans="1:11" x14ac:dyDescent="0.3">
      <c r="A47" s="1996"/>
      <c r="B47" s="1997" t="s">
        <v>789</v>
      </c>
      <c r="C47" s="1998">
        <f t="shared" si="5"/>
        <v>15</v>
      </c>
      <c r="D47" s="1999">
        <f t="shared" si="5"/>
        <v>7.5</v>
      </c>
      <c r="E47" s="1998">
        <f t="shared" si="5"/>
        <v>7.5</v>
      </c>
      <c r="G47" s="2072">
        <v>19</v>
      </c>
      <c r="H47" s="2067">
        <f t="shared" si="3"/>
        <v>270.14</v>
      </c>
      <c r="I47" s="2068">
        <f t="shared" si="4"/>
        <v>245.14</v>
      </c>
      <c r="J47" s="2069">
        <f t="shared" si="1"/>
        <v>531.34914242810339</v>
      </c>
      <c r="K47" s="2070">
        <f t="shared" si="2"/>
        <v>506.34914242810339</v>
      </c>
    </row>
    <row r="48" spans="1:11" ht="15.6" x14ac:dyDescent="0.3">
      <c r="B48" s="2000" t="s">
        <v>828</v>
      </c>
      <c r="C48" s="2001">
        <f>C41</f>
        <v>900.88</v>
      </c>
      <c r="D48" s="2002">
        <f>D41</f>
        <v>295.49</v>
      </c>
      <c r="E48" s="2001">
        <f>E41</f>
        <v>605.39</v>
      </c>
      <c r="G48" s="2072">
        <v>20</v>
      </c>
      <c r="H48" s="2067">
        <f t="shared" si="3"/>
        <v>265.10000000000002</v>
      </c>
      <c r="I48" s="2068">
        <f t="shared" si="4"/>
        <v>240.1</v>
      </c>
      <c r="J48" s="2069">
        <f t="shared" si="1"/>
        <v>521.44342591918462</v>
      </c>
      <c r="K48" s="2070">
        <f t="shared" si="2"/>
        <v>496.44342591918462</v>
      </c>
    </row>
    <row r="49" spans="1:11" x14ac:dyDescent="0.3">
      <c r="B49" s="2003" t="s">
        <v>791</v>
      </c>
      <c r="C49" s="1998"/>
      <c r="D49" s="1999"/>
      <c r="E49" s="1998"/>
      <c r="G49" s="2072">
        <v>21</v>
      </c>
      <c r="H49" s="2067">
        <f t="shared" si="3"/>
        <v>260.07</v>
      </c>
      <c r="I49" s="2068">
        <f t="shared" si="4"/>
        <v>235.07</v>
      </c>
      <c r="J49" s="2069">
        <f t="shared" si="1"/>
        <v>511.53770941026573</v>
      </c>
      <c r="K49" s="2070">
        <f t="shared" si="2"/>
        <v>486.53770941026573</v>
      </c>
    </row>
    <row r="50" spans="1:11" ht="15" thickBot="1" x14ac:dyDescent="0.35">
      <c r="B50" s="2004" t="s">
        <v>792</v>
      </c>
      <c r="C50" s="2005">
        <f>C42</f>
        <v>533.91</v>
      </c>
      <c r="D50" s="2006">
        <f>D42</f>
        <v>270.33999999999997</v>
      </c>
      <c r="E50" s="2005">
        <f>E42</f>
        <v>263.57</v>
      </c>
      <c r="F50" s="1975"/>
      <c r="G50" s="2072">
        <v>22</v>
      </c>
      <c r="H50" s="2067">
        <f t="shared" si="3"/>
        <v>255.03</v>
      </c>
      <c r="I50" s="2068">
        <f t="shared" si="4"/>
        <v>230.03</v>
      </c>
      <c r="J50" s="2069">
        <f t="shared" si="1"/>
        <v>501.63199290134696</v>
      </c>
      <c r="K50" s="2070">
        <f t="shared" si="2"/>
        <v>476.63199290134696</v>
      </c>
    </row>
    <row r="51" spans="1:11" ht="15" customHeight="1" thickBot="1" x14ac:dyDescent="0.35">
      <c r="B51" s="2008" t="s">
        <v>829</v>
      </c>
      <c r="C51" s="2009">
        <f>C48-C50</f>
        <v>366.97</v>
      </c>
      <c r="D51" s="2009">
        <f>D48-D50</f>
        <v>25.150000000000034</v>
      </c>
      <c r="E51" s="2009">
        <f>E48-E50</f>
        <v>341.82</v>
      </c>
      <c r="G51" s="2072">
        <v>23</v>
      </c>
      <c r="H51" s="2067">
        <f t="shared" si="3"/>
        <v>249.99</v>
      </c>
      <c r="I51" s="2068">
        <f t="shared" si="4"/>
        <v>224.99</v>
      </c>
      <c r="J51" s="2069">
        <f t="shared" si="1"/>
        <v>491.72627639242808</v>
      </c>
      <c r="K51" s="2070">
        <f t="shared" si="2"/>
        <v>466.72627639242808</v>
      </c>
    </row>
    <row r="52" spans="1:11" ht="15" customHeight="1" thickTop="1" x14ac:dyDescent="0.3">
      <c r="G52" s="2072">
        <v>24</v>
      </c>
      <c r="H52" s="2067">
        <f t="shared" si="3"/>
        <v>244.96</v>
      </c>
      <c r="I52" s="2068">
        <f t="shared" si="4"/>
        <v>219.96</v>
      </c>
      <c r="J52" s="2069">
        <f t="shared" si="1"/>
        <v>481.8205598835093</v>
      </c>
      <c r="K52" s="2070">
        <f t="shared" si="2"/>
        <v>456.8205598835093</v>
      </c>
    </row>
    <row r="53" spans="1:11" ht="15" customHeight="1" x14ac:dyDescent="0.3">
      <c r="B53" s="2014" t="s">
        <v>795</v>
      </c>
      <c r="C53" s="2015">
        <f>SUM(D53:E53)</f>
        <v>1475.0934000000002</v>
      </c>
      <c r="D53" s="2015">
        <f>C13*D23</f>
        <v>737.5467000000001</v>
      </c>
      <c r="E53" s="2015">
        <f>C13*E23</f>
        <v>737.54669999999999</v>
      </c>
      <c r="F53" s="2097"/>
      <c r="G53" s="2072">
        <v>25</v>
      </c>
      <c r="H53" s="2067">
        <f t="shared" si="3"/>
        <v>239.92</v>
      </c>
      <c r="I53" s="2068">
        <f t="shared" si="4"/>
        <v>214.92</v>
      </c>
      <c r="J53" s="2069">
        <f t="shared" si="1"/>
        <v>471.91484337459042</v>
      </c>
      <c r="K53" s="2070">
        <f t="shared" si="2"/>
        <v>446.91484337459042</v>
      </c>
    </row>
    <row r="54" spans="1:11" x14ac:dyDescent="0.3">
      <c r="B54" s="1977" t="s">
        <v>796</v>
      </c>
      <c r="C54" s="2017">
        <f>SUM(D54:E54)</f>
        <v>950.88</v>
      </c>
      <c r="D54" s="2018">
        <f>D41+D30</f>
        <v>320.49</v>
      </c>
      <c r="E54" s="2018">
        <f>E41+E30</f>
        <v>630.39</v>
      </c>
      <c r="G54" s="2072">
        <v>26</v>
      </c>
      <c r="H54" s="2067">
        <f t="shared" si="3"/>
        <v>234.89</v>
      </c>
      <c r="I54" s="2068">
        <f t="shared" si="4"/>
        <v>209.89</v>
      </c>
      <c r="J54" s="2069">
        <f t="shared" si="1"/>
        <v>462.00912686567165</v>
      </c>
      <c r="K54" s="2070">
        <f t="shared" si="2"/>
        <v>437.00912686567165</v>
      </c>
    </row>
    <row r="55" spans="1:11" x14ac:dyDescent="0.3">
      <c r="B55" s="1917" t="s">
        <v>830</v>
      </c>
      <c r="C55" s="1975">
        <f>SUM(D55:E55)</f>
        <v>317.70999999999998</v>
      </c>
      <c r="D55" s="1975">
        <f>ROUND((D40*(1-D29-D32))*((C37-C38)/C37)*C14/C13,2)</f>
        <v>0</v>
      </c>
      <c r="E55" s="1975">
        <f>ROUND(E40*(1-E29-E32)*(C37-C38)/C37,2)</f>
        <v>317.70999999999998</v>
      </c>
      <c r="G55" s="2072">
        <v>27</v>
      </c>
      <c r="H55" s="2067">
        <f t="shared" si="3"/>
        <v>229.85</v>
      </c>
      <c r="I55" s="2068">
        <f t="shared" si="4"/>
        <v>204.85</v>
      </c>
      <c r="J55" s="2069">
        <f t="shared" si="1"/>
        <v>452.10341035675287</v>
      </c>
      <c r="K55" s="2070">
        <f t="shared" si="2"/>
        <v>427.10341035675287</v>
      </c>
    </row>
    <row r="56" spans="1:11" ht="24" customHeight="1" x14ac:dyDescent="0.3">
      <c r="B56" s="1917" t="s">
        <v>831</v>
      </c>
      <c r="C56" s="1975">
        <f>SUM(D56:E56)</f>
        <v>633.16000000000008</v>
      </c>
      <c r="D56" s="1975">
        <f>D54-D55</f>
        <v>320.49</v>
      </c>
      <c r="E56" s="1917">
        <f>ROUND(E40*(E29+E32)*(C37-C38)/C37,2)</f>
        <v>312.67</v>
      </c>
      <c r="G56" s="2072">
        <v>28</v>
      </c>
      <c r="H56" s="2067">
        <f t="shared" si="3"/>
        <v>224.81</v>
      </c>
      <c r="I56" s="2068">
        <f t="shared" si="4"/>
        <v>199.81</v>
      </c>
      <c r="J56" s="2069">
        <f t="shared" si="1"/>
        <v>442.19769384783405</v>
      </c>
      <c r="K56" s="2070">
        <f t="shared" si="2"/>
        <v>417.19769384783405</v>
      </c>
    </row>
    <row r="57" spans="1:11" x14ac:dyDescent="0.3">
      <c r="B57" s="2024" t="s">
        <v>832</v>
      </c>
      <c r="G57" s="2072">
        <v>29</v>
      </c>
      <c r="H57" s="2067">
        <f t="shared" si="3"/>
        <v>219.78</v>
      </c>
      <c r="I57" s="2068">
        <f t="shared" si="4"/>
        <v>194.78</v>
      </c>
      <c r="J57" s="2069">
        <f t="shared" si="1"/>
        <v>432.29197733891522</v>
      </c>
      <c r="K57" s="2070">
        <f t="shared" si="2"/>
        <v>407.29197733891522</v>
      </c>
    </row>
    <row r="58" spans="1:11" x14ac:dyDescent="0.3">
      <c r="A58" s="2348" t="s">
        <v>833</v>
      </c>
      <c r="B58" s="2007" t="s">
        <v>834</v>
      </c>
      <c r="C58" s="2098">
        <f>SUM(D58:E58)</f>
        <v>84.255473837641063</v>
      </c>
      <c r="D58" s="2098">
        <f>ROUND(D40*D32*(C37-C38)/C37,2)</f>
        <v>42.65</v>
      </c>
      <c r="E58" s="2098">
        <f>E40*E32*(C37-C38)/C37</f>
        <v>41.605473837641071</v>
      </c>
      <c r="G58" s="2072">
        <v>30</v>
      </c>
      <c r="H58" s="2067">
        <f t="shared" si="3"/>
        <v>214.74</v>
      </c>
      <c r="I58" s="2068">
        <f t="shared" si="4"/>
        <v>189.74</v>
      </c>
      <c r="J58" s="2069">
        <f t="shared" si="1"/>
        <v>422.38626082999639</v>
      </c>
      <c r="K58" s="2070">
        <f t="shared" si="2"/>
        <v>397.38626082999639</v>
      </c>
    </row>
    <row r="59" spans="1:11" ht="15" thickBot="1" x14ac:dyDescent="0.35">
      <c r="A59" s="2348"/>
      <c r="B59" s="2007" t="s">
        <v>835</v>
      </c>
      <c r="C59" s="2098">
        <f>SUM(D59:E59)</f>
        <v>548.90452616235893</v>
      </c>
      <c r="D59" s="2098">
        <f>D56-D58</f>
        <v>277.84000000000003</v>
      </c>
      <c r="E59" s="2098">
        <f>E56-E58</f>
        <v>271.06452616235896</v>
      </c>
      <c r="F59" s="2097"/>
      <c r="G59" s="2072">
        <v>31</v>
      </c>
      <c r="H59" s="2067">
        <f t="shared" si="3"/>
        <v>209.71</v>
      </c>
      <c r="I59" s="2068">
        <f t="shared" si="4"/>
        <v>184.71</v>
      </c>
      <c r="J59" s="2069">
        <f t="shared" si="1"/>
        <v>412.48054432107756</v>
      </c>
      <c r="K59" s="2070">
        <f t="shared" si="2"/>
        <v>387.48054432107756</v>
      </c>
    </row>
    <row r="60" spans="1:11" ht="15" thickBot="1" x14ac:dyDescent="0.35">
      <c r="B60" s="2099" t="s">
        <v>836</v>
      </c>
      <c r="C60" s="2100">
        <f>C41</f>
        <v>900.88</v>
      </c>
      <c r="D60" s="2100">
        <f>D41</f>
        <v>295.49</v>
      </c>
      <c r="E60" s="2101">
        <f>E41</f>
        <v>605.39</v>
      </c>
      <c r="G60" s="2072">
        <v>32</v>
      </c>
      <c r="H60" s="2067">
        <f t="shared" si="3"/>
        <v>204.67</v>
      </c>
      <c r="I60" s="2068">
        <f t="shared" si="4"/>
        <v>179.67</v>
      </c>
      <c r="J60" s="2069">
        <f t="shared" si="1"/>
        <v>402.57482781215873</v>
      </c>
      <c r="K60" s="2070">
        <f t="shared" si="2"/>
        <v>377.57482781215873</v>
      </c>
    </row>
    <row r="61" spans="1:11" x14ac:dyDescent="0.3">
      <c r="B61" s="1977"/>
      <c r="C61" s="2023" t="b">
        <f>ROUND(SUM(C55:C56),2)=ROUND(C54,2)</f>
        <v>0</v>
      </c>
      <c r="D61" s="2023" t="b">
        <f>ROUND(SUM(D55:D56),2)=ROUND(D54,2)</f>
        <v>1</v>
      </c>
      <c r="E61" s="2023" t="b">
        <f>ROUND(SUM(E55:E56),2)=ROUND(E54,2)</f>
        <v>0</v>
      </c>
      <c r="G61" s="2072">
        <v>33</v>
      </c>
      <c r="H61" s="2067">
        <f t="shared" si="3"/>
        <v>199.63</v>
      </c>
      <c r="I61" s="2068">
        <f t="shared" si="4"/>
        <v>174.63</v>
      </c>
      <c r="J61" s="2069">
        <f t="shared" si="1"/>
        <v>392.6691113032399</v>
      </c>
      <c r="K61" s="2070">
        <f t="shared" si="2"/>
        <v>367.6691113032399</v>
      </c>
    </row>
    <row r="62" spans="1:11" x14ac:dyDescent="0.3">
      <c r="B62" s="1937" t="s">
        <v>831</v>
      </c>
      <c r="C62" s="1937">
        <v>461.62</v>
      </c>
      <c r="D62" s="1937">
        <v>279.7</v>
      </c>
      <c r="E62" s="1937">
        <v>181.92</v>
      </c>
      <c r="G62" s="2072">
        <v>34</v>
      </c>
      <c r="H62" s="2067">
        <f t="shared" si="3"/>
        <v>194.6</v>
      </c>
      <c r="I62" s="2068">
        <f t="shared" si="4"/>
        <v>169.6</v>
      </c>
      <c r="J62" s="2069">
        <f t="shared" si="1"/>
        <v>382.76339479432113</v>
      </c>
      <c r="K62" s="2070">
        <f t="shared" si="2"/>
        <v>357.76339479432113</v>
      </c>
    </row>
    <row r="63" spans="1:11" ht="15" thickBot="1" x14ac:dyDescent="0.35">
      <c r="B63" s="1937" t="s">
        <v>835</v>
      </c>
      <c r="C63" s="2102">
        <f>SUM(D63:E63)</f>
        <v>548.91</v>
      </c>
      <c r="D63" s="2102">
        <f>ROUND(D40*D29*(C37-C38)/C37,2)</f>
        <v>277.83999999999997</v>
      </c>
      <c r="E63" s="2102">
        <f>ROUND(E40*E29*(C37-C38)/C37,2)</f>
        <v>271.07</v>
      </c>
      <c r="G63" s="2072">
        <v>35</v>
      </c>
      <c r="H63" s="2067">
        <f t="shared" si="3"/>
        <v>189.56</v>
      </c>
      <c r="I63" s="2068">
        <f t="shared" si="4"/>
        <v>164.56</v>
      </c>
      <c r="J63" s="2069">
        <f t="shared" si="1"/>
        <v>372.8576782854023</v>
      </c>
      <c r="K63" s="2070">
        <f t="shared" si="2"/>
        <v>347.8576782854023</v>
      </c>
    </row>
    <row r="64" spans="1:11" ht="15" thickBot="1" x14ac:dyDescent="0.35">
      <c r="B64" s="2103" t="s">
        <v>837</v>
      </c>
      <c r="C64" s="2104" t="s">
        <v>764</v>
      </c>
      <c r="D64" s="1934" t="s">
        <v>765</v>
      </c>
      <c r="E64" s="1935" t="s">
        <v>766</v>
      </c>
      <c r="G64" s="2072">
        <v>36</v>
      </c>
      <c r="H64" s="2067">
        <f t="shared" si="3"/>
        <v>184.52</v>
      </c>
      <c r="I64" s="2068">
        <f t="shared" si="4"/>
        <v>159.52000000000001</v>
      </c>
      <c r="J64" s="2069">
        <f t="shared" si="1"/>
        <v>362.95196177648347</v>
      </c>
      <c r="K64" s="2070">
        <f t="shared" si="2"/>
        <v>337.95196177648347</v>
      </c>
    </row>
    <row r="65" spans="1:11" x14ac:dyDescent="0.3">
      <c r="B65" s="1917" t="s">
        <v>838</v>
      </c>
      <c r="C65" s="2105">
        <f>IF(C14=0,0,C16/C14)</f>
        <v>0</v>
      </c>
      <c r="F65" s="2106"/>
      <c r="G65" s="2072">
        <v>37</v>
      </c>
      <c r="H65" s="2067">
        <f t="shared" si="3"/>
        <v>179.49</v>
      </c>
      <c r="I65" s="2068">
        <f t="shared" si="4"/>
        <v>154.49</v>
      </c>
      <c r="J65" s="2069">
        <f t="shared" si="1"/>
        <v>353.04624526756464</v>
      </c>
      <c r="K65" s="2070">
        <f t="shared" si="2"/>
        <v>328.04624526756464</v>
      </c>
    </row>
    <row r="66" spans="1:11" x14ac:dyDescent="0.3">
      <c r="B66" s="2107" t="s">
        <v>839</v>
      </c>
      <c r="C66" s="2017">
        <f>C54*$C$65</f>
        <v>0</v>
      </c>
      <c r="D66" s="2017">
        <f>ROUND(D54*$C$65,2)</f>
        <v>0</v>
      </c>
      <c r="E66" s="2017">
        <f>ROUND(E54*$C$65,2)</f>
        <v>0</v>
      </c>
      <c r="G66" s="2072">
        <v>38</v>
      </c>
      <c r="H66" s="2067">
        <f t="shared" si="3"/>
        <v>174.45</v>
      </c>
      <c r="I66" s="2068">
        <f t="shared" si="4"/>
        <v>149.44999999999999</v>
      </c>
      <c r="J66" s="2069">
        <f t="shared" si="1"/>
        <v>343.14052875864581</v>
      </c>
      <c r="K66" s="2070">
        <f t="shared" si="2"/>
        <v>318.14052875864581</v>
      </c>
    </row>
    <row r="67" spans="1:11" x14ac:dyDescent="0.3">
      <c r="B67" s="1917" t="s">
        <v>840</v>
      </c>
      <c r="C67" s="2097">
        <f>SUM(D67:E67)</f>
        <v>0</v>
      </c>
      <c r="D67" s="2097">
        <f>ROUND(D55*$C$65,2)</f>
        <v>0</v>
      </c>
      <c r="E67" s="2097">
        <f>ROUND(E55*$C$65,2)</f>
        <v>0</v>
      </c>
      <c r="G67" s="2072">
        <v>39</v>
      </c>
      <c r="H67" s="2067">
        <f t="shared" si="3"/>
        <v>169.42</v>
      </c>
      <c r="I67" s="2068">
        <f t="shared" si="4"/>
        <v>144.41999999999999</v>
      </c>
      <c r="J67" s="2069">
        <f t="shared" si="1"/>
        <v>333.23481224972704</v>
      </c>
      <c r="K67" s="2070">
        <f t="shared" si="2"/>
        <v>308.23481224972704</v>
      </c>
    </row>
    <row r="68" spans="1:11" x14ac:dyDescent="0.3">
      <c r="B68" s="1917" t="s">
        <v>841</v>
      </c>
      <c r="C68" s="2097">
        <f>SUM(D68:E68)</f>
        <v>0</v>
      </c>
      <c r="D68" s="2097">
        <f>D66-D67</f>
        <v>0</v>
      </c>
      <c r="E68" s="2097">
        <f>E66-E67</f>
        <v>0</v>
      </c>
      <c r="G68" s="2072">
        <v>40</v>
      </c>
      <c r="H68" s="2067">
        <f t="shared" si="3"/>
        <v>164.38</v>
      </c>
      <c r="I68" s="2068">
        <f t="shared" si="4"/>
        <v>139.38</v>
      </c>
      <c r="J68" s="2069">
        <f t="shared" si="1"/>
        <v>323.32909574080821</v>
      </c>
      <c r="K68" s="2070">
        <f t="shared" si="2"/>
        <v>298.32909574080821</v>
      </c>
    </row>
    <row r="69" spans="1:11" x14ac:dyDescent="0.3">
      <c r="B69" s="2024" t="s">
        <v>842</v>
      </c>
      <c r="C69" s="2097"/>
      <c r="D69" s="2097"/>
      <c r="E69" s="2097"/>
      <c r="G69" s="2072">
        <v>41</v>
      </c>
      <c r="H69" s="2067">
        <f t="shared" si="3"/>
        <v>159.34</v>
      </c>
      <c r="I69" s="2068">
        <f t="shared" si="4"/>
        <v>134.34</v>
      </c>
      <c r="J69" s="2069">
        <f t="shared" si="1"/>
        <v>313.42337923188938</v>
      </c>
      <c r="K69" s="2070">
        <f t="shared" si="2"/>
        <v>288.42337923188938</v>
      </c>
    </row>
    <row r="70" spans="1:11" x14ac:dyDescent="0.3">
      <c r="B70" s="2007" t="s">
        <v>843</v>
      </c>
      <c r="C70" s="2108">
        <f>SUM(D70:E70)</f>
        <v>0</v>
      </c>
      <c r="D70" s="2108">
        <f>ROUND(D58*$C$65,2)</f>
        <v>0</v>
      </c>
      <c r="E70" s="2108">
        <f>ROUND(E58*$C$65,2)</f>
        <v>0</v>
      </c>
      <c r="G70" s="2072">
        <v>42</v>
      </c>
      <c r="H70" s="2067">
        <f t="shared" si="3"/>
        <v>154.31</v>
      </c>
      <c r="I70" s="2068">
        <f t="shared" si="4"/>
        <v>129.31</v>
      </c>
      <c r="J70" s="2069">
        <f t="shared" si="1"/>
        <v>303.51766272297056</v>
      </c>
      <c r="K70" s="2070">
        <f t="shared" si="2"/>
        <v>278.51766272297056</v>
      </c>
    </row>
    <row r="71" spans="1:11" x14ac:dyDescent="0.3">
      <c r="B71" s="2007" t="s">
        <v>844</v>
      </c>
      <c r="C71" s="2108">
        <f>SUM(D71:E71)</f>
        <v>0</v>
      </c>
      <c r="D71" s="2108">
        <f>D68-D70</f>
        <v>0</v>
      </c>
      <c r="E71" s="2108">
        <f>E68-E70</f>
        <v>0</v>
      </c>
      <c r="G71" s="2072">
        <v>43</v>
      </c>
      <c r="H71" s="2067">
        <f t="shared" si="3"/>
        <v>149.26999999999998</v>
      </c>
      <c r="I71" s="2068">
        <f t="shared" si="4"/>
        <v>124.27</v>
      </c>
      <c r="J71" s="2069">
        <f t="shared" si="1"/>
        <v>293.61194621405173</v>
      </c>
      <c r="K71" s="2070">
        <f t="shared" si="2"/>
        <v>268.61194621405173</v>
      </c>
    </row>
    <row r="72" spans="1:11" x14ac:dyDescent="0.3">
      <c r="B72" s="2007"/>
      <c r="C72" s="2108"/>
      <c r="D72" s="2108"/>
      <c r="E72" s="2108"/>
      <c r="G72" s="2072">
        <v>44</v>
      </c>
      <c r="H72" s="2067">
        <f t="shared" si="3"/>
        <v>144.24</v>
      </c>
      <c r="I72" s="2068">
        <f t="shared" si="4"/>
        <v>119.24</v>
      </c>
      <c r="J72" s="2069">
        <f t="shared" si="1"/>
        <v>283.7062297051329</v>
      </c>
      <c r="K72" s="2070">
        <f t="shared" si="2"/>
        <v>258.7062297051329</v>
      </c>
    </row>
    <row r="73" spans="1:11" x14ac:dyDescent="0.3">
      <c r="B73" s="2054" t="s">
        <v>845</v>
      </c>
      <c r="C73" s="2109">
        <v>0</v>
      </c>
      <c r="D73" s="2109">
        <v>0</v>
      </c>
      <c r="E73" s="2109">
        <v>0</v>
      </c>
      <c r="G73" s="2072">
        <v>45</v>
      </c>
      <c r="H73" s="2067">
        <f t="shared" si="3"/>
        <v>139.19999999999999</v>
      </c>
      <c r="I73" s="2068">
        <f t="shared" si="4"/>
        <v>114.2</v>
      </c>
      <c r="J73" s="2069">
        <f t="shared" si="1"/>
        <v>273.80051319621407</v>
      </c>
      <c r="K73" s="2070">
        <f t="shared" si="2"/>
        <v>248.80051319621407</v>
      </c>
    </row>
    <row r="74" spans="1:11" ht="15" thickBot="1" x14ac:dyDescent="0.35">
      <c r="B74" s="2110" t="s">
        <v>846</v>
      </c>
      <c r="C74" s="2111">
        <f>C66-C73</f>
        <v>0</v>
      </c>
      <c r="D74" s="2111">
        <f>D66-D73</f>
        <v>0</v>
      </c>
      <c r="E74" s="2111">
        <f>E66-E73</f>
        <v>0</v>
      </c>
      <c r="G74" s="2072">
        <v>46</v>
      </c>
      <c r="H74" s="2067">
        <f t="shared" si="3"/>
        <v>134.16</v>
      </c>
      <c r="I74" s="2068">
        <f t="shared" si="4"/>
        <v>109.16</v>
      </c>
      <c r="J74" s="2069">
        <f t="shared" si="1"/>
        <v>263.89479668729524</v>
      </c>
      <c r="K74" s="2070">
        <f t="shared" si="2"/>
        <v>238.89479668729524</v>
      </c>
    </row>
    <row r="75" spans="1:11" ht="15" thickTop="1" x14ac:dyDescent="0.3">
      <c r="B75" s="2112" t="s">
        <v>847</v>
      </c>
      <c r="C75" s="2113"/>
      <c r="D75" s="2113"/>
      <c r="E75" s="2113"/>
      <c r="G75" s="2072">
        <v>47</v>
      </c>
      <c r="H75" s="2067">
        <f t="shared" si="3"/>
        <v>129.13</v>
      </c>
      <c r="I75" s="2068">
        <f t="shared" si="4"/>
        <v>104.13</v>
      </c>
      <c r="J75" s="2069">
        <f t="shared" si="1"/>
        <v>253.98908017837644</v>
      </c>
      <c r="K75" s="2070">
        <f t="shared" si="2"/>
        <v>228.98908017837644</v>
      </c>
    </row>
    <row r="76" spans="1:11" x14ac:dyDescent="0.3">
      <c r="B76" s="2007" t="s">
        <v>848</v>
      </c>
      <c r="C76" s="2108">
        <f>C67</f>
        <v>0</v>
      </c>
      <c r="D76" s="2108">
        <f>D67</f>
        <v>0</v>
      </c>
      <c r="E76" s="2108">
        <f>E67</f>
        <v>0</v>
      </c>
      <c r="F76" s="2007" t="s">
        <v>849</v>
      </c>
      <c r="G76" s="2072">
        <v>48</v>
      </c>
      <c r="H76" s="2067">
        <f t="shared" si="3"/>
        <v>124.09</v>
      </c>
      <c r="I76" s="2068">
        <f t="shared" si="4"/>
        <v>99.09</v>
      </c>
      <c r="J76" s="2069">
        <f t="shared" si="1"/>
        <v>244.08336366945761</v>
      </c>
      <c r="K76" s="2070">
        <f t="shared" si="2"/>
        <v>219.08336366945761</v>
      </c>
    </row>
    <row r="77" spans="1:11" x14ac:dyDescent="0.3">
      <c r="B77" s="2007" t="s">
        <v>850</v>
      </c>
      <c r="C77" s="2108">
        <f>SUM(C79:C80)</f>
        <v>0</v>
      </c>
      <c r="D77" s="2108">
        <f>SUM(D79:D80)</f>
        <v>0</v>
      </c>
      <c r="E77" s="2108">
        <f>SUM(E79:E80)</f>
        <v>0</v>
      </c>
      <c r="F77" s="2007" t="s">
        <v>849</v>
      </c>
      <c r="G77" s="2072">
        <v>49</v>
      </c>
      <c r="H77" s="2067">
        <f t="shared" si="3"/>
        <v>119.06</v>
      </c>
      <c r="I77" s="2068">
        <f t="shared" si="4"/>
        <v>94.06</v>
      </c>
      <c r="J77" s="2069">
        <f t="shared" si="1"/>
        <v>234.17764716053878</v>
      </c>
      <c r="K77" s="2070">
        <f t="shared" si="2"/>
        <v>209.17764716053878</v>
      </c>
    </row>
    <row r="78" spans="1:11" x14ac:dyDescent="0.3">
      <c r="B78" s="2114" t="s">
        <v>851</v>
      </c>
      <c r="C78" s="2108"/>
      <c r="D78" s="2108"/>
      <c r="E78" s="2108"/>
      <c r="F78" s="2007"/>
      <c r="G78" s="2072">
        <v>50</v>
      </c>
      <c r="H78" s="2067">
        <f t="shared" si="3"/>
        <v>114.02</v>
      </c>
      <c r="I78" s="2068">
        <f t="shared" si="4"/>
        <v>89.02</v>
      </c>
      <c r="J78" s="2069">
        <f t="shared" si="1"/>
        <v>224.27193065161998</v>
      </c>
      <c r="K78" s="2070">
        <f t="shared" si="2"/>
        <v>199.27193065161998</v>
      </c>
    </row>
    <row r="79" spans="1:11" x14ac:dyDescent="0.3">
      <c r="A79" s="2349" t="s">
        <v>852</v>
      </c>
      <c r="B79" s="2115" t="s">
        <v>853</v>
      </c>
      <c r="C79" s="2108">
        <f t="shared" ref="C79:E80" si="6">C70</f>
        <v>0</v>
      </c>
      <c r="D79" s="2108">
        <f t="shared" si="6"/>
        <v>0</v>
      </c>
      <c r="E79" s="2108">
        <f t="shared" si="6"/>
        <v>0</v>
      </c>
      <c r="F79" s="2007" t="s">
        <v>854</v>
      </c>
      <c r="G79" s="2072">
        <v>51</v>
      </c>
      <c r="H79" s="2067">
        <f t="shared" si="3"/>
        <v>108.98</v>
      </c>
      <c r="I79" s="2068">
        <f t="shared" si="4"/>
        <v>83.98</v>
      </c>
      <c r="J79" s="2069">
        <f t="shared" si="1"/>
        <v>214.36621414270115</v>
      </c>
      <c r="K79" s="2070">
        <f t="shared" si="2"/>
        <v>189.36621414270115</v>
      </c>
    </row>
    <row r="80" spans="1:11" x14ac:dyDescent="0.3">
      <c r="A80" s="2349"/>
      <c r="B80" s="2007" t="s">
        <v>855</v>
      </c>
      <c r="C80" s="2108">
        <f t="shared" si="6"/>
        <v>0</v>
      </c>
      <c r="D80" s="2108">
        <f t="shared" si="6"/>
        <v>0</v>
      </c>
      <c r="E80" s="2108">
        <f t="shared" si="6"/>
        <v>0</v>
      </c>
      <c r="F80" s="2007" t="s">
        <v>849</v>
      </c>
      <c r="G80" s="2072">
        <v>52</v>
      </c>
      <c r="H80" s="2067">
        <f t="shared" si="3"/>
        <v>103.95</v>
      </c>
      <c r="I80" s="2068">
        <f t="shared" si="4"/>
        <v>78.95</v>
      </c>
      <c r="J80" s="2069">
        <f t="shared" si="1"/>
        <v>204.46049763378232</v>
      </c>
      <c r="K80" s="2070">
        <f t="shared" si="2"/>
        <v>179.46049763378232</v>
      </c>
    </row>
    <row r="81" spans="2:11" ht="15" thickBot="1" x14ac:dyDescent="0.35">
      <c r="B81" s="2007"/>
      <c r="C81" s="2108"/>
      <c r="D81" s="2108"/>
      <c r="E81" s="2108"/>
      <c r="G81" s="2072">
        <v>53</v>
      </c>
      <c r="H81" s="2067">
        <f t="shared" si="3"/>
        <v>98.91</v>
      </c>
      <c r="I81" s="2068">
        <f t="shared" si="4"/>
        <v>73.91</v>
      </c>
      <c r="J81" s="2069">
        <f t="shared" si="1"/>
        <v>194.5547811248635</v>
      </c>
      <c r="K81" s="2070">
        <f t="shared" si="2"/>
        <v>169.5547811248635</v>
      </c>
    </row>
    <row r="82" spans="2:11" ht="15" thickBot="1" x14ac:dyDescent="0.35">
      <c r="B82" s="2103" t="s">
        <v>856</v>
      </c>
      <c r="C82" s="2104" t="s">
        <v>764</v>
      </c>
      <c r="D82" s="1934" t="s">
        <v>765</v>
      </c>
      <c r="E82" s="1935" t="s">
        <v>766</v>
      </c>
      <c r="G82" s="2072">
        <v>54</v>
      </c>
      <c r="H82" s="2067">
        <f t="shared" si="3"/>
        <v>93.88</v>
      </c>
      <c r="I82" s="2068">
        <f t="shared" si="4"/>
        <v>68.88</v>
      </c>
      <c r="J82" s="2069">
        <f t="shared" si="1"/>
        <v>184.6490646159447</v>
      </c>
      <c r="K82" s="2070">
        <f t="shared" si="2"/>
        <v>159.6490646159447</v>
      </c>
    </row>
    <row r="83" spans="2:11" x14ac:dyDescent="0.3">
      <c r="B83" s="1917" t="s">
        <v>857</v>
      </c>
      <c r="C83" s="2116">
        <f>1-(C18/(C18+C15))</f>
        <v>0</v>
      </c>
      <c r="D83" s="2108"/>
      <c r="E83" s="2108"/>
      <c r="G83" s="2072">
        <v>55</v>
      </c>
      <c r="H83" s="2067">
        <f t="shared" si="3"/>
        <v>88.84</v>
      </c>
      <c r="I83" s="2068">
        <f t="shared" si="4"/>
        <v>63.84</v>
      </c>
      <c r="J83" s="2069">
        <f t="shared" si="1"/>
        <v>174.74334810702587</v>
      </c>
      <c r="K83" s="2070">
        <f t="shared" si="2"/>
        <v>149.74334810702587</v>
      </c>
    </row>
    <row r="84" spans="2:11" x14ac:dyDescent="0.3">
      <c r="B84" s="2107" t="s">
        <v>858</v>
      </c>
      <c r="C84" s="2117">
        <f>C54*$C$83</f>
        <v>0</v>
      </c>
      <c r="D84" s="2117">
        <f>ROUND(D54*$C$83,2)</f>
        <v>0</v>
      </c>
      <c r="E84" s="2117">
        <f>ROUND(E54*$C$83,2)</f>
        <v>0</v>
      </c>
      <c r="G84" s="2072">
        <v>56</v>
      </c>
      <c r="H84" s="2067">
        <f t="shared" si="3"/>
        <v>83.8</v>
      </c>
      <c r="I84" s="2068">
        <f t="shared" si="4"/>
        <v>58.8</v>
      </c>
      <c r="J84" s="2069">
        <f t="shared" si="1"/>
        <v>164.83763159810707</v>
      </c>
      <c r="K84" s="2070">
        <f t="shared" si="2"/>
        <v>139.83763159810707</v>
      </c>
    </row>
    <row r="85" spans="2:11" x14ac:dyDescent="0.3">
      <c r="B85" s="1917" t="s">
        <v>840</v>
      </c>
      <c r="C85" s="2109">
        <f>SUM(D85:E85)</f>
        <v>0</v>
      </c>
      <c r="D85" s="2108">
        <f>ROUND(D55*$C$83,2)</f>
        <v>0</v>
      </c>
      <c r="E85" s="2108">
        <f>ROUND(E55*$C$83,2)</f>
        <v>0</v>
      </c>
      <c r="G85" s="2072">
        <v>57</v>
      </c>
      <c r="H85" s="2067">
        <f t="shared" si="3"/>
        <v>78.77000000000001</v>
      </c>
      <c r="I85" s="2068">
        <f t="shared" si="4"/>
        <v>53.77</v>
      </c>
      <c r="J85" s="2069">
        <f t="shared" si="1"/>
        <v>154.93191508918824</v>
      </c>
      <c r="K85" s="2070">
        <f t="shared" si="2"/>
        <v>129.93191508918824</v>
      </c>
    </row>
    <row r="86" spans="2:11" x14ac:dyDescent="0.3">
      <c r="B86" s="1917" t="s">
        <v>841</v>
      </c>
      <c r="C86" s="2097">
        <f>SUM(D86:E86)</f>
        <v>0</v>
      </c>
      <c r="D86" s="2097">
        <f>D84-D85</f>
        <v>0</v>
      </c>
      <c r="E86" s="2097">
        <f>E84-E85</f>
        <v>0</v>
      </c>
      <c r="G86" s="2072">
        <v>58</v>
      </c>
      <c r="H86" s="2067">
        <f t="shared" si="3"/>
        <v>73.72999999999999</v>
      </c>
      <c r="I86" s="2068">
        <f t="shared" si="4"/>
        <v>48.73</v>
      </c>
      <c r="J86" s="2069">
        <f t="shared" si="1"/>
        <v>145.02619858026941</v>
      </c>
      <c r="K86" s="2070">
        <f t="shared" si="2"/>
        <v>120.02619858026941</v>
      </c>
    </row>
    <row r="87" spans="2:11" x14ac:dyDescent="0.3">
      <c r="B87" s="2024" t="s">
        <v>842</v>
      </c>
      <c r="C87" s="2108"/>
      <c r="D87" s="2108"/>
      <c r="E87" s="2108"/>
      <c r="G87" s="2072">
        <v>59</v>
      </c>
      <c r="H87" s="2067">
        <f t="shared" si="3"/>
        <v>68.7</v>
      </c>
      <c r="I87" s="2068">
        <f t="shared" si="4"/>
        <v>43.7</v>
      </c>
      <c r="J87" s="2069">
        <f t="shared" si="1"/>
        <v>135.12048207135061</v>
      </c>
      <c r="K87" s="2070">
        <f t="shared" si="2"/>
        <v>110.12048207135061</v>
      </c>
    </row>
    <row r="88" spans="2:11" x14ac:dyDescent="0.3">
      <c r="B88" s="2007" t="s">
        <v>843</v>
      </c>
      <c r="C88" s="2098">
        <f>SUM(D88:E88)</f>
        <v>0</v>
      </c>
      <c r="D88" s="2108">
        <f>ROUND(D58*$C$83,2)</f>
        <v>0</v>
      </c>
      <c r="E88" s="2108">
        <f>ROUND(E58*$C$83,2)</f>
        <v>0</v>
      </c>
      <c r="G88" s="2072">
        <v>60</v>
      </c>
      <c r="H88" s="2067">
        <f t="shared" si="3"/>
        <v>63.66</v>
      </c>
      <c r="I88" s="2068">
        <f t="shared" si="4"/>
        <v>38.659999999999997</v>
      </c>
      <c r="J88" s="2069">
        <f t="shared" si="1"/>
        <v>125.21476556243178</v>
      </c>
      <c r="K88" s="2070">
        <f t="shared" si="2"/>
        <v>100.21476556243178</v>
      </c>
    </row>
    <row r="89" spans="2:11" x14ac:dyDescent="0.3">
      <c r="B89" s="2007" t="s">
        <v>844</v>
      </c>
      <c r="C89" s="2098">
        <f>SUM(D89:E89)</f>
        <v>0</v>
      </c>
      <c r="D89" s="2108">
        <f>D86-D88</f>
        <v>0</v>
      </c>
      <c r="E89" s="2108">
        <f>E86-E88</f>
        <v>0</v>
      </c>
      <c r="G89" s="2072">
        <v>61</v>
      </c>
      <c r="H89" s="2067">
        <f t="shared" si="3"/>
        <v>58.62</v>
      </c>
      <c r="I89" s="2068">
        <f t="shared" si="4"/>
        <v>33.619999999999997</v>
      </c>
      <c r="J89" s="2069">
        <f>IF(G89&gt;$C$37,"",$E$40*($C$37-G89)/$C$37)</f>
        <v>115.30904905351295</v>
      </c>
      <c r="K89" s="2070">
        <f t="shared" si="2"/>
        <v>90.30904905351295</v>
      </c>
    </row>
    <row r="90" spans="2:11" x14ac:dyDescent="0.3">
      <c r="B90" s="2007"/>
      <c r="C90" s="2108"/>
      <c r="D90" s="2108"/>
      <c r="E90" s="2108"/>
      <c r="G90" s="2072">
        <v>62</v>
      </c>
      <c r="H90" s="2067">
        <f t="shared" si="3"/>
        <v>53.59</v>
      </c>
      <c r="I90" s="2068">
        <f t="shared" si="4"/>
        <v>28.59</v>
      </c>
      <c r="J90" s="2069">
        <f>IF(G90&gt;$C$37,"",$E$40*($C$37-G90)/$C$37)</f>
        <v>105.40333254459415</v>
      </c>
      <c r="K90" s="2070">
        <f t="shared" si="2"/>
        <v>80.40333254459415</v>
      </c>
    </row>
    <row r="91" spans="2:11" x14ac:dyDescent="0.3">
      <c r="B91" s="1917" t="s">
        <v>859</v>
      </c>
      <c r="C91" s="2108">
        <f>C30</f>
        <v>50</v>
      </c>
      <c r="D91" s="2108">
        <f>D30</f>
        <v>25</v>
      </c>
      <c r="E91" s="2108">
        <f>E30</f>
        <v>25</v>
      </c>
      <c r="G91" s="2072">
        <v>63</v>
      </c>
      <c r="H91" s="2067">
        <f t="shared" si="3"/>
        <v>48.55</v>
      </c>
      <c r="I91" s="2068">
        <f t="shared" si="4"/>
        <v>23.55</v>
      </c>
      <c r="J91" s="2069">
        <f>IF(G91&gt;$C$37,"",$E$40*($C$37-G91)/$C$37)</f>
        <v>95.497616035675321</v>
      </c>
      <c r="K91" s="2070">
        <f t="shared" si="2"/>
        <v>70.497616035675321</v>
      </c>
    </row>
    <row r="92" spans="2:11" ht="15" thickBot="1" x14ac:dyDescent="0.35">
      <c r="B92" s="2110" t="s">
        <v>860</v>
      </c>
      <c r="C92" s="2111">
        <f>C84-C91</f>
        <v>-50</v>
      </c>
      <c r="D92" s="2111">
        <f>D84-D91</f>
        <v>-25</v>
      </c>
      <c r="E92" s="2111">
        <f>E84-E91</f>
        <v>-25</v>
      </c>
      <c r="G92" s="2072">
        <v>64</v>
      </c>
      <c r="H92" s="2067">
        <f t="shared" si="3"/>
        <v>43.510000000000005</v>
      </c>
      <c r="I92" s="2068">
        <f t="shared" si="4"/>
        <v>18.510000000000002</v>
      </c>
      <c r="J92" s="2069">
        <f>IF(G92&gt;$C$37,"",$E$40*($C$37-G92)/$C$37)</f>
        <v>85.591899526756492</v>
      </c>
      <c r="K92" s="2070">
        <f t="shared" si="2"/>
        <v>60.591899526756492</v>
      </c>
    </row>
    <row r="93" spans="2:11" ht="15" thickTop="1" x14ac:dyDescent="0.3">
      <c r="B93" s="2112" t="s">
        <v>847</v>
      </c>
      <c r="C93" s="2113"/>
      <c r="D93" s="2113"/>
      <c r="E93" s="2113"/>
      <c r="G93" s="2072">
        <v>65</v>
      </c>
      <c r="H93" s="2067">
        <f t="shared" si="3"/>
        <v>38.480000000000004</v>
      </c>
      <c r="I93" s="2068">
        <f t="shared" si="4"/>
        <v>13.48</v>
      </c>
      <c r="J93" s="2069">
        <f>IF(G93&gt;$C$37,"",$E$40*($C$37-G93)/$C$37)</f>
        <v>75.686183017837678</v>
      </c>
      <c r="K93" s="2070">
        <f t="shared" ref="K93:K149" si="7">IF(G93&gt;$C$37,"",J93-$E$30)</f>
        <v>50.686183017837678</v>
      </c>
    </row>
    <row r="94" spans="2:11" x14ac:dyDescent="0.3">
      <c r="B94" s="2007" t="s">
        <v>848</v>
      </c>
      <c r="C94" s="2010">
        <f>C85-(C30-C31)</f>
        <v>-35</v>
      </c>
      <c r="D94" s="2010">
        <f>D85-(D30-D31)</f>
        <v>-17.5</v>
      </c>
      <c r="E94" s="2010">
        <f>E85-(E30-E31)</f>
        <v>-17.5</v>
      </c>
      <c r="G94" s="2072">
        <v>66</v>
      </c>
      <c r="H94" s="2067">
        <f t="shared" ref="H94:H149" si="8">IF(G94&gt;$C$37,"",ROUND($D$40*(1-$D$29-$D$32)*(($C$37-G94)/$C$37)*$C$14/$C$13+$D$40*$D$32*($C$37-G94)/$C$37+$D$40*$D$29*($C$37-G94)/$C$37-$D$30,2)+$D$30)</f>
        <v>33.44</v>
      </c>
      <c r="I94" s="2068">
        <f t="shared" ref="I94:I149" si="9">IF(G94&gt;$C$37,"",ROUND($D$40*(1-$D$29-$D$32)*(($C$37-G94)/$C$37)*$C$14/$C$13+$D$40*$D$32*($C$37-G94)/$C$37+$D$40*$D$29*($C$37-G94)/$C$37-$D$30,2))</f>
        <v>8.44</v>
      </c>
      <c r="J94" s="2069">
        <f t="shared" ref="J94:J149" si="10">IF(G94&gt;$C$37,"",$E$40*($C$37-G94)/$C$37)</f>
        <v>65.780466508918863</v>
      </c>
      <c r="K94" s="2070">
        <f t="shared" si="7"/>
        <v>40.780466508918863</v>
      </c>
    </row>
    <row r="95" spans="2:11" x14ac:dyDescent="0.3">
      <c r="B95" s="2007" t="s">
        <v>850</v>
      </c>
      <c r="C95" s="2010">
        <f>SUM(C97:C98)</f>
        <v>-15</v>
      </c>
      <c r="D95" s="2010">
        <f>SUM(D97:D98)</f>
        <v>-7.5</v>
      </c>
      <c r="E95" s="2010">
        <f>SUM(E97:E98)</f>
        <v>-7.5</v>
      </c>
      <c r="G95" s="2072">
        <v>67</v>
      </c>
      <c r="H95" s="2067">
        <f t="shared" si="8"/>
        <v>28.41</v>
      </c>
      <c r="I95" s="2068">
        <f t="shared" si="9"/>
        <v>3.41</v>
      </c>
      <c r="J95" s="2069">
        <f t="shared" si="10"/>
        <v>55.874750000000041</v>
      </c>
      <c r="K95" s="2070">
        <f t="shared" si="7"/>
        <v>30.874750000000041</v>
      </c>
    </row>
    <row r="96" spans="2:11" x14ac:dyDescent="0.3">
      <c r="B96" s="2114" t="s">
        <v>851</v>
      </c>
      <c r="C96" s="2010"/>
      <c r="D96" s="2010"/>
      <c r="E96" s="2010"/>
      <c r="G96" s="2072">
        <v>68</v>
      </c>
      <c r="H96" s="2067">
        <f t="shared" si="8"/>
        <v>23.37</v>
      </c>
      <c r="I96" s="2068">
        <f t="shared" si="9"/>
        <v>-1.63</v>
      </c>
      <c r="J96" s="2069">
        <f t="shared" si="10"/>
        <v>45.96903349108122</v>
      </c>
      <c r="K96" s="2070">
        <f t="shared" si="7"/>
        <v>20.96903349108122</v>
      </c>
    </row>
    <row r="97" spans="1:11" x14ac:dyDescent="0.3">
      <c r="A97" s="2349" t="s">
        <v>852</v>
      </c>
      <c r="B97" s="2115" t="s">
        <v>861</v>
      </c>
      <c r="C97" s="2108">
        <f>C88</f>
        <v>0</v>
      </c>
      <c r="D97" s="2108">
        <f>D88</f>
        <v>0</v>
      </c>
      <c r="E97" s="2108">
        <f>E88</f>
        <v>0</v>
      </c>
      <c r="F97" s="2007" t="s">
        <v>862</v>
      </c>
      <c r="G97" s="2072">
        <v>69</v>
      </c>
      <c r="H97" s="2067">
        <f t="shared" si="8"/>
        <v>18.329999999999998</v>
      </c>
      <c r="I97" s="2068">
        <f t="shared" si="9"/>
        <v>-6.67</v>
      </c>
      <c r="J97" s="2069">
        <f t="shared" si="10"/>
        <v>36.063316982162405</v>
      </c>
      <c r="K97" s="2070">
        <f t="shared" si="7"/>
        <v>11.063316982162405</v>
      </c>
    </row>
    <row r="98" spans="1:11" x14ac:dyDescent="0.3">
      <c r="A98" s="2349"/>
      <c r="B98" s="2007" t="s">
        <v>855</v>
      </c>
      <c r="C98" s="2108">
        <f>C89-C31</f>
        <v>-15</v>
      </c>
      <c r="D98" s="2108">
        <f>D89-D31</f>
        <v>-7.5</v>
      </c>
      <c r="E98" s="2108">
        <f>E89-E31</f>
        <v>-7.5</v>
      </c>
      <c r="G98" s="2072">
        <v>70</v>
      </c>
      <c r="H98" s="2067">
        <f t="shared" si="8"/>
        <v>13.3</v>
      </c>
      <c r="I98" s="2068">
        <f t="shared" si="9"/>
        <v>-11.7</v>
      </c>
      <c r="J98" s="2069">
        <f t="shared" si="10"/>
        <v>26.157600473243583</v>
      </c>
      <c r="K98" s="2070">
        <f t="shared" si="7"/>
        <v>1.1576004732435834</v>
      </c>
    </row>
    <row r="99" spans="1:11" x14ac:dyDescent="0.3">
      <c r="A99" s="2118"/>
      <c r="B99" s="2007"/>
      <c r="G99" s="2072">
        <v>71</v>
      </c>
      <c r="H99" s="2067">
        <f t="shared" si="8"/>
        <v>8.2600000000000016</v>
      </c>
      <c r="I99" s="2068">
        <f t="shared" si="9"/>
        <v>-16.739999999999998</v>
      </c>
      <c r="J99" s="2069">
        <f t="shared" si="10"/>
        <v>16.251883964324765</v>
      </c>
      <c r="K99" s="2070">
        <f t="shared" si="7"/>
        <v>-8.7481160356752348</v>
      </c>
    </row>
    <row r="100" spans="1:11" x14ac:dyDescent="0.3">
      <c r="B100" s="1977"/>
      <c r="G100" s="2072">
        <v>72</v>
      </c>
      <c r="H100" s="2067">
        <f t="shared" si="8"/>
        <v>3.2300000000000004</v>
      </c>
      <c r="I100" s="2068">
        <f t="shared" si="9"/>
        <v>-21.77</v>
      </c>
      <c r="J100" s="1975">
        <f t="shared" si="10"/>
        <v>6.3461674554059426</v>
      </c>
      <c r="K100" s="1976">
        <f t="shared" si="7"/>
        <v>-18.653832544594056</v>
      </c>
    </row>
    <row r="101" spans="1:11" x14ac:dyDescent="0.3">
      <c r="B101" s="2024" t="s">
        <v>800</v>
      </c>
      <c r="G101" s="2072">
        <v>73</v>
      </c>
      <c r="H101" s="2067" t="str">
        <f t="shared" si="8"/>
        <v/>
      </c>
      <c r="I101" s="2068" t="str">
        <f t="shared" si="9"/>
        <v/>
      </c>
      <c r="J101" s="1975" t="str">
        <f t="shared" si="10"/>
        <v/>
      </c>
      <c r="K101" s="1976" t="str">
        <f t="shared" si="7"/>
        <v/>
      </c>
    </row>
    <row r="102" spans="1:11" x14ac:dyDescent="0.3">
      <c r="B102" s="1917" t="s">
        <v>801</v>
      </c>
      <c r="C102" s="2119"/>
      <c r="D102" s="2119"/>
      <c r="E102" s="2119"/>
      <c r="G102" s="2072">
        <v>74</v>
      </c>
      <c r="H102" s="2067" t="str">
        <f t="shared" si="8"/>
        <v/>
      </c>
      <c r="I102" s="2068" t="str">
        <f t="shared" si="9"/>
        <v/>
      </c>
      <c r="J102" s="1975" t="str">
        <f t="shared" si="10"/>
        <v/>
      </c>
      <c r="K102" s="1976" t="str">
        <f t="shared" si="7"/>
        <v/>
      </c>
    </row>
    <row r="103" spans="1:11" x14ac:dyDescent="0.3">
      <c r="B103" s="1917" t="s">
        <v>802</v>
      </c>
      <c r="C103" s="2119"/>
      <c r="D103" s="2119"/>
      <c r="E103" s="2119"/>
      <c r="G103" s="2072">
        <v>75</v>
      </c>
      <c r="H103" s="2067" t="str">
        <f t="shared" si="8"/>
        <v/>
      </c>
      <c r="I103" s="2068" t="str">
        <f t="shared" si="9"/>
        <v/>
      </c>
      <c r="J103" s="1975" t="str">
        <f t="shared" si="10"/>
        <v/>
      </c>
      <c r="K103" s="1976" t="str">
        <f t="shared" si="7"/>
        <v/>
      </c>
    </row>
    <row r="104" spans="1:11" x14ac:dyDescent="0.3">
      <c r="C104" s="2119"/>
      <c r="D104" s="2119"/>
      <c r="E104" s="2119"/>
      <c r="G104" s="2072">
        <v>76</v>
      </c>
      <c r="H104" s="2067" t="str">
        <f t="shared" si="8"/>
        <v/>
      </c>
      <c r="I104" s="2068" t="str">
        <f t="shared" si="9"/>
        <v/>
      </c>
      <c r="J104" s="1975" t="str">
        <f t="shared" si="10"/>
        <v/>
      </c>
      <c r="K104" s="1976" t="str">
        <f t="shared" si="7"/>
        <v/>
      </c>
    </row>
    <row r="105" spans="1:11" x14ac:dyDescent="0.3">
      <c r="C105" s="2119"/>
      <c r="D105" s="2119"/>
      <c r="E105" s="2119"/>
      <c r="G105" s="2072">
        <v>77</v>
      </c>
      <c r="H105" s="2067" t="str">
        <f t="shared" si="8"/>
        <v/>
      </c>
      <c r="I105" s="2068" t="str">
        <f t="shared" si="9"/>
        <v/>
      </c>
      <c r="J105" s="1975" t="str">
        <f t="shared" si="10"/>
        <v/>
      </c>
      <c r="K105" s="1976" t="str">
        <f t="shared" si="7"/>
        <v/>
      </c>
    </row>
    <row r="106" spans="1:11" x14ac:dyDescent="0.3">
      <c r="D106" s="2120"/>
      <c r="E106" s="2121"/>
      <c r="G106" s="2072">
        <v>78</v>
      </c>
      <c r="H106" s="2067" t="str">
        <f t="shared" si="8"/>
        <v/>
      </c>
      <c r="I106" s="2068" t="str">
        <f t="shared" si="9"/>
        <v/>
      </c>
      <c r="J106" s="1975" t="str">
        <f t="shared" si="10"/>
        <v/>
      </c>
      <c r="K106" s="1976" t="str">
        <f t="shared" si="7"/>
        <v/>
      </c>
    </row>
    <row r="107" spans="1:11" x14ac:dyDescent="0.3">
      <c r="A107" s="2007" t="s">
        <v>863</v>
      </c>
      <c r="B107" s="2122" t="s">
        <v>864</v>
      </c>
      <c r="C107" s="2123">
        <f>D107+E107</f>
        <v>950.87419298026953</v>
      </c>
      <c r="D107" s="2124">
        <f>D26*(C37-C38)/C37*C14/C13+D27*(C37-C38)/C37+D28*(C37-C38)/C37</f>
        <v>320.48822574328364</v>
      </c>
      <c r="E107" s="2124">
        <f>(E26+E27+E28)*(C37-C38)/C37</f>
        <v>630.38596723698583</v>
      </c>
      <c r="G107" s="2072">
        <v>79</v>
      </c>
      <c r="H107" s="2067" t="str">
        <f t="shared" si="8"/>
        <v/>
      </c>
      <c r="I107" s="2068" t="str">
        <f t="shared" si="9"/>
        <v/>
      </c>
      <c r="J107" s="1975" t="str">
        <f t="shared" si="10"/>
        <v/>
      </c>
      <c r="K107" s="1976" t="str">
        <f t="shared" si="7"/>
        <v/>
      </c>
    </row>
    <row r="108" spans="1:11" x14ac:dyDescent="0.3">
      <c r="B108" s="2122" t="s">
        <v>865</v>
      </c>
      <c r="C108" s="2121" t="b">
        <f>ROUND(C107,2)=(ROUND(C54,2))</f>
        <v>0</v>
      </c>
      <c r="D108" s="2121" t="b">
        <f>ROUND(D107,2)=(ROUND(D54,2))</f>
        <v>1</v>
      </c>
      <c r="E108" s="2125" t="b">
        <f>ROUND(E107,2)=(ROUND(E54,2))</f>
        <v>1</v>
      </c>
      <c r="G108" s="2072">
        <v>80</v>
      </c>
      <c r="H108" s="2067" t="str">
        <f t="shared" si="8"/>
        <v/>
      </c>
      <c r="I108" s="2068" t="str">
        <f t="shared" si="9"/>
        <v/>
      </c>
      <c r="J108" s="1975" t="str">
        <f t="shared" si="10"/>
        <v/>
      </c>
      <c r="K108" s="1976" t="str">
        <f t="shared" si="7"/>
        <v/>
      </c>
    </row>
    <row r="109" spans="1:11" x14ac:dyDescent="0.3">
      <c r="B109" s="2122"/>
      <c r="C109" s="2121"/>
      <c r="D109" s="2121"/>
      <c r="E109" s="2125"/>
      <c r="G109" s="2072">
        <v>81</v>
      </c>
      <c r="H109" s="2067" t="str">
        <f t="shared" si="8"/>
        <v/>
      </c>
      <c r="I109" s="2068" t="str">
        <f t="shared" si="9"/>
        <v/>
      </c>
      <c r="J109" s="1975" t="str">
        <f t="shared" si="10"/>
        <v/>
      </c>
      <c r="K109" s="1976" t="str">
        <f t="shared" si="7"/>
        <v/>
      </c>
    </row>
    <row r="110" spans="1:11" x14ac:dyDescent="0.3">
      <c r="B110" s="2126" t="s">
        <v>866</v>
      </c>
      <c r="C110" s="2121"/>
      <c r="D110" s="2121"/>
      <c r="E110" s="2125"/>
      <c r="G110" s="2072">
        <v>82</v>
      </c>
      <c r="H110" s="2067" t="str">
        <f t="shared" si="8"/>
        <v/>
      </c>
      <c r="I110" s="2068" t="str">
        <f t="shared" si="9"/>
        <v/>
      </c>
      <c r="J110" s="1975" t="str">
        <f t="shared" si="10"/>
        <v/>
      </c>
      <c r="K110" s="1976" t="str">
        <f t="shared" si="7"/>
        <v/>
      </c>
    </row>
    <row r="111" spans="1:11" x14ac:dyDescent="0.3">
      <c r="B111" s="2007" t="s">
        <v>867</v>
      </c>
      <c r="C111" s="2121"/>
      <c r="D111" s="2121"/>
      <c r="E111" s="2125"/>
      <c r="G111" s="2072">
        <v>83</v>
      </c>
      <c r="H111" s="2067" t="str">
        <f t="shared" si="8"/>
        <v/>
      </c>
      <c r="I111" s="2068" t="str">
        <f t="shared" si="9"/>
        <v/>
      </c>
      <c r="J111" s="1975" t="str">
        <f t="shared" si="10"/>
        <v/>
      </c>
      <c r="K111" s="1976" t="str">
        <f t="shared" si="7"/>
        <v/>
      </c>
    </row>
    <row r="112" spans="1:11" x14ac:dyDescent="0.3">
      <c r="A112" s="2350" t="s">
        <v>868</v>
      </c>
      <c r="B112" s="2122" t="s">
        <v>869</v>
      </c>
      <c r="C112" s="2123">
        <f>D112+E112</f>
        <v>1236.73</v>
      </c>
      <c r="D112" s="2127">
        <f>ROUND(D26*(C37-C38)*(C37-C38+1)/(C37*(C37+1))+(D27+D28)*(C37-C38)/C37,2)</f>
        <v>606.34</v>
      </c>
      <c r="E112" s="2124">
        <f>ROUND((E26+E27+E28)*(C37-C38)/C37,2)</f>
        <v>630.39</v>
      </c>
      <c r="G112" s="2072">
        <v>84</v>
      </c>
      <c r="H112" s="2067" t="str">
        <f t="shared" si="8"/>
        <v/>
      </c>
      <c r="I112" s="2068" t="str">
        <f t="shared" si="9"/>
        <v/>
      </c>
      <c r="J112" s="1975" t="str">
        <f t="shared" si="10"/>
        <v/>
      </c>
      <c r="K112" s="1976" t="str">
        <f t="shared" si="7"/>
        <v/>
      </c>
    </row>
    <row r="113" spans="1:11" x14ac:dyDescent="0.3">
      <c r="A113" s="2350"/>
      <c r="B113" s="2122" t="s">
        <v>870</v>
      </c>
      <c r="C113" s="2123">
        <f>D113+E113</f>
        <v>1231.51</v>
      </c>
      <c r="D113" s="2127">
        <f>ROUND(D121*(C37-C38)*(C37-C38+1)/(C37*(C37+1))+(D122+D28)*(C37-C38)/C37,2)</f>
        <v>601.12</v>
      </c>
      <c r="E113" s="2124">
        <f>ROUND((E121+E122+E28)*(C37-C38)/C37,2)</f>
        <v>630.39</v>
      </c>
      <c r="G113" s="2072">
        <v>85</v>
      </c>
      <c r="H113" s="2067" t="str">
        <f t="shared" si="8"/>
        <v/>
      </c>
      <c r="I113" s="2068" t="str">
        <f t="shared" si="9"/>
        <v/>
      </c>
      <c r="J113" s="1975" t="str">
        <f t="shared" si="10"/>
        <v/>
      </c>
      <c r="K113" s="1976" t="str">
        <f t="shared" si="7"/>
        <v/>
      </c>
    </row>
    <row r="114" spans="1:11" x14ac:dyDescent="0.3">
      <c r="A114" s="2350"/>
      <c r="B114" s="2122" t="s">
        <v>871</v>
      </c>
      <c r="C114" s="2123">
        <f>D114+E114</f>
        <v>1231.51</v>
      </c>
      <c r="D114" s="2127">
        <f>ROUND((D26+D27)*(C37-C38)*(C37-C38+1)/(C37*(C37+1))+D28*(C37-C38)/C37,2)</f>
        <v>601.12</v>
      </c>
      <c r="E114" s="2124">
        <f>ROUND((E26+E27+E28)*(C37-C38)/C37,2)</f>
        <v>630.39</v>
      </c>
      <c r="G114" s="2072">
        <v>86</v>
      </c>
      <c r="H114" s="2067" t="str">
        <f t="shared" si="8"/>
        <v/>
      </c>
      <c r="I114" s="2068" t="str">
        <f t="shared" si="9"/>
        <v/>
      </c>
      <c r="J114" s="1975" t="str">
        <f t="shared" si="10"/>
        <v/>
      </c>
      <c r="K114" s="1976" t="str">
        <f t="shared" si="7"/>
        <v/>
      </c>
    </row>
    <row r="115" spans="1:11" x14ac:dyDescent="0.3">
      <c r="A115" s="2128"/>
      <c r="B115" s="2122"/>
      <c r="C115" s="2123"/>
      <c r="D115" s="2127"/>
      <c r="E115" s="2124"/>
      <c r="G115" s="2072">
        <v>87</v>
      </c>
      <c r="H115" s="2067" t="str">
        <f t="shared" si="8"/>
        <v/>
      </c>
      <c r="I115" s="2068" t="str">
        <f t="shared" si="9"/>
        <v/>
      </c>
      <c r="J115" s="1975" t="str">
        <f t="shared" si="10"/>
        <v/>
      </c>
      <c r="K115" s="1976" t="str">
        <f t="shared" si="7"/>
        <v/>
      </c>
    </row>
    <row r="116" spans="1:11" x14ac:dyDescent="0.3">
      <c r="A116" s="2128"/>
      <c r="B116" s="2007" t="s">
        <v>872</v>
      </c>
      <c r="C116" s="2123"/>
      <c r="D116" s="2127"/>
      <c r="E116" s="2124"/>
      <c r="G116" s="2072">
        <v>88</v>
      </c>
      <c r="H116" s="2067" t="str">
        <f t="shared" si="8"/>
        <v/>
      </c>
      <c r="I116" s="2068" t="str">
        <f t="shared" si="9"/>
        <v/>
      </c>
      <c r="J116" s="1975" t="str">
        <f t="shared" si="10"/>
        <v/>
      </c>
      <c r="K116" s="1976" t="str">
        <f t="shared" si="7"/>
        <v/>
      </c>
    </row>
    <row r="117" spans="1:11" x14ac:dyDescent="0.3">
      <c r="A117" s="2350" t="s">
        <v>868</v>
      </c>
      <c r="B117" s="2122" t="s">
        <v>869</v>
      </c>
      <c r="C117" s="2123">
        <f t="shared" ref="C117:E119" si="11">C112-C$30</f>
        <v>1186.73</v>
      </c>
      <c r="D117" s="2123">
        <f t="shared" si="11"/>
        <v>581.34</v>
      </c>
      <c r="E117" s="2123">
        <f t="shared" si="11"/>
        <v>605.39</v>
      </c>
      <c r="G117" s="2072">
        <v>89</v>
      </c>
      <c r="H117" s="2067" t="str">
        <f t="shared" si="8"/>
        <v/>
      </c>
      <c r="I117" s="2068" t="str">
        <f t="shared" si="9"/>
        <v/>
      </c>
      <c r="J117" s="1975" t="str">
        <f t="shared" si="10"/>
        <v/>
      </c>
      <c r="K117" s="1976" t="str">
        <f t="shared" si="7"/>
        <v/>
      </c>
    </row>
    <row r="118" spans="1:11" x14ac:dyDescent="0.3">
      <c r="A118" s="2350"/>
      <c r="B118" s="2122" t="s">
        <v>870</v>
      </c>
      <c r="C118" s="2123">
        <f t="shared" si="11"/>
        <v>1181.51</v>
      </c>
      <c r="D118" s="2123">
        <f t="shared" si="11"/>
        <v>576.12</v>
      </c>
      <c r="E118" s="2123">
        <f t="shared" si="11"/>
        <v>605.39</v>
      </c>
      <c r="G118" s="2072">
        <v>90</v>
      </c>
      <c r="H118" s="2067" t="str">
        <f t="shared" si="8"/>
        <v/>
      </c>
      <c r="I118" s="2068" t="str">
        <f t="shared" si="9"/>
        <v/>
      </c>
      <c r="J118" s="1975" t="str">
        <f t="shared" si="10"/>
        <v/>
      </c>
      <c r="K118" s="1976" t="str">
        <f t="shared" si="7"/>
        <v/>
      </c>
    </row>
    <row r="119" spans="1:11" x14ac:dyDescent="0.3">
      <c r="A119" s="2350"/>
      <c r="B119" s="2122" t="s">
        <v>871</v>
      </c>
      <c r="C119" s="2123">
        <f t="shared" si="11"/>
        <v>1181.51</v>
      </c>
      <c r="D119" s="2123">
        <f t="shared" si="11"/>
        <v>576.12</v>
      </c>
      <c r="E119" s="2123">
        <f t="shared" si="11"/>
        <v>605.39</v>
      </c>
      <c r="G119" s="2072">
        <v>91</v>
      </c>
      <c r="H119" s="2067" t="str">
        <f t="shared" si="8"/>
        <v/>
      </c>
      <c r="I119" s="2068" t="str">
        <f t="shared" si="9"/>
        <v/>
      </c>
      <c r="J119" s="1975" t="str">
        <f t="shared" si="10"/>
        <v/>
      </c>
      <c r="K119" s="1976" t="str">
        <f t="shared" si="7"/>
        <v/>
      </c>
    </row>
    <row r="120" spans="1:11" x14ac:dyDescent="0.3">
      <c r="B120" s="2122"/>
      <c r="C120" s="2123"/>
      <c r="D120" s="2127"/>
      <c r="E120" s="2124"/>
      <c r="G120" s="2072">
        <v>92</v>
      </c>
      <c r="H120" s="2067" t="str">
        <f t="shared" si="8"/>
        <v/>
      </c>
      <c r="I120" s="2068" t="str">
        <f t="shared" si="9"/>
        <v/>
      </c>
      <c r="J120" s="1975" t="str">
        <f t="shared" si="10"/>
        <v/>
      </c>
      <c r="K120" s="1976" t="str">
        <f t="shared" si="7"/>
        <v/>
      </c>
    </row>
    <row r="121" spans="1:11" x14ac:dyDescent="0.3">
      <c r="B121" s="2129" t="s">
        <v>873</v>
      </c>
      <c r="C121" s="2123">
        <f>SUM(D121:E121)</f>
        <v>830.54953997560983</v>
      </c>
      <c r="D121" s="2127">
        <f>D40*(1-D29-D33)</f>
        <v>420.4016190000001</v>
      </c>
      <c r="E121" s="2127">
        <f>E40*(1-E29-E33)</f>
        <v>410.14792097560979</v>
      </c>
      <c r="G121" s="2072">
        <v>93</v>
      </c>
      <c r="H121" s="2067" t="str">
        <f t="shared" si="8"/>
        <v/>
      </c>
      <c r="I121" s="2068" t="str">
        <f t="shared" si="9"/>
        <v/>
      </c>
      <c r="J121" s="1975" t="str">
        <f t="shared" si="10"/>
        <v/>
      </c>
      <c r="K121" s="1976" t="str">
        <f t="shared" si="7"/>
        <v/>
      </c>
    </row>
    <row r="122" spans="1:11" x14ac:dyDescent="0.3">
      <c r="B122" s="2129" t="s">
        <v>874</v>
      </c>
      <c r="C122" s="2123">
        <f>SUM(D122:E122)</f>
        <v>0</v>
      </c>
      <c r="D122" s="2127">
        <f>D33*D40</f>
        <v>0</v>
      </c>
      <c r="E122" s="2127">
        <f>E33*E40</f>
        <v>0</v>
      </c>
      <c r="G122" s="2072">
        <v>94</v>
      </c>
      <c r="H122" s="2067" t="str">
        <f t="shared" si="8"/>
        <v/>
      </c>
      <c r="I122" s="2068" t="str">
        <f t="shared" si="9"/>
        <v/>
      </c>
      <c r="J122" s="1975" t="str">
        <f t="shared" si="10"/>
        <v/>
      </c>
      <c r="K122" s="1976" t="str">
        <f t="shared" si="7"/>
        <v/>
      </c>
    </row>
    <row r="123" spans="1:11" x14ac:dyDescent="0.3">
      <c r="B123" s="2122" t="s">
        <v>875</v>
      </c>
      <c r="C123" s="2123">
        <f>C28</f>
        <v>626.55491612195124</v>
      </c>
      <c r="D123" s="2123">
        <f>D28</f>
        <v>317.14508100000006</v>
      </c>
      <c r="E123" s="2123">
        <f>E28</f>
        <v>309.40983512195123</v>
      </c>
      <c r="G123" s="2072">
        <v>95</v>
      </c>
      <c r="H123" s="2067" t="str">
        <f t="shared" si="8"/>
        <v/>
      </c>
      <c r="I123" s="2068" t="str">
        <f t="shared" si="9"/>
        <v/>
      </c>
      <c r="J123" s="1975" t="str">
        <f t="shared" si="10"/>
        <v/>
      </c>
      <c r="K123" s="1976" t="str">
        <f t="shared" si="7"/>
        <v/>
      </c>
    </row>
    <row r="124" spans="1:11" x14ac:dyDescent="0.3">
      <c r="C124" s="2121"/>
      <c r="D124" s="2130"/>
      <c r="E124" s="2125"/>
      <c r="G124" s="2072">
        <v>96</v>
      </c>
      <c r="H124" s="2067" t="str">
        <f t="shared" si="8"/>
        <v/>
      </c>
      <c r="I124" s="2068" t="str">
        <f t="shared" si="9"/>
        <v/>
      </c>
      <c r="J124" s="1975" t="str">
        <f t="shared" si="10"/>
        <v/>
      </c>
      <c r="K124" s="1976" t="str">
        <f t="shared" si="7"/>
        <v/>
      </c>
    </row>
    <row r="125" spans="1:11" x14ac:dyDescent="0.3">
      <c r="C125" s="2131"/>
      <c r="D125" s="2131"/>
      <c r="E125" s="2131"/>
      <c r="G125" s="2072">
        <v>97</v>
      </c>
      <c r="H125" s="2067" t="str">
        <f t="shared" si="8"/>
        <v/>
      </c>
      <c r="I125" s="2068" t="str">
        <f t="shared" si="9"/>
        <v/>
      </c>
      <c r="J125" s="1975" t="str">
        <f t="shared" si="10"/>
        <v/>
      </c>
      <c r="K125" s="1976" t="str">
        <f t="shared" si="7"/>
        <v/>
      </c>
    </row>
    <row r="126" spans="1:11" x14ac:dyDescent="0.3">
      <c r="G126" s="2072">
        <v>98</v>
      </c>
      <c r="H126" s="2067" t="str">
        <f t="shared" si="8"/>
        <v/>
      </c>
      <c r="I126" s="2068" t="str">
        <f t="shared" si="9"/>
        <v/>
      </c>
      <c r="J126" s="1975" t="str">
        <f t="shared" si="10"/>
        <v/>
      </c>
      <c r="K126" s="1976" t="str">
        <f t="shared" si="7"/>
        <v/>
      </c>
    </row>
    <row r="127" spans="1:11" x14ac:dyDescent="0.3">
      <c r="G127" s="2072">
        <v>99</v>
      </c>
      <c r="H127" s="2067" t="str">
        <f t="shared" si="8"/>
        <v/>
      </c>
      <c r="I127" s="2068" t="str">
        <f t="shared" si="9"/>
        <v/>
      </c>
      <c r="J127" s="1975" t="str">
        <f t="shared" si="10"/>
        <v/>
      </c>
      <c r="K127" s="1976" t="str">
        <f t="shared" si="7"/>
        <v/>
      </c>
    </row>
    <row r="128" spans="1:11" x14ac:dyDescent="0.3">
      <c r="G128" s="2072">
        <v>100</v>
      </c>
      <c r="H128" s="2067" t="str">
        <f t="shared" si="8"/>
        <v/>
      </c>
      <c r="I128" s="2068" t="str">
        <f t="shared" si="9"/>
        <v/>
      </c>
      <c r="J128" s="1975" t="str">
        <f t="shared" si="10"/>
        <v/>
      </c>
      <c r="K128" s="1976" t="str">
        <f t="shared" si="7"/>
        <v/>
      </c>
    </row>
    <row r="129" spans="2:11" x14ac:dyDescent="0.3">
      <c r="G129" s="2072">
        <v>101</v>
      </c>
      <c r="H129" s="2067" t="str">
        <f t="shared" si="8"/>
        <v/>
      </c>
      <c r="I129" s="2068" t="str">
        <f t="shared" si="9"/>
        <v/>
      </c>
      <c r="J129" s="1975" t="str">
        <f t="shared" si="10"/>
        <v/>
      </c>
      <c r="K129" s="1976" t="str">
        <f t="shared" si="7"/>
        <v/>
      </c>
    </row>
    <row r="130" spans="2:11" x14ac:dyDescent="0.3">
      <c r="G130" s="2072">
        <v>102</v>
      </c>
      <c r="H130" s="2067" t="str">
        <f t="shared" si="8"/>
        <v/>
      </c>
      <c r="I130" s="2068" t="str">
        <f t="shared" si="9"/>
        <v/>
      </c>
      <c r="J130" s="1975" t="str">
        <f t="shared" si="10"/>
        <v/>
      </c>
      <c r="K130" s="1976" t="str">
        <f t="shared" si="7"/>
        <v/>
      </c>
    </row>
    <row r="131" spans="2:11" x14ac:dyDescent="0.3">
      <c r="G131" s="2072">
        <v>103</v>
      </c>
      <c r="H131" s="2067" t="str">
        <f t="shared" si="8"/>
        <v/>
      </c>
      <c r="I131" s="2068" t="str">
        <f t="shared" si="9"/>
        <v/>
      </c>
      <c r="J131" s="1975" t="str">
        <f t="shared" si="10"/>
        <v/>
      </c>
      <c r="K131" s="1976" t="str">
        <f t="shared" si="7"/>
        <v/>
      </c>
    </row>
    <row r="132" spans="2:11" x14ac:dyDescent="0.3">
      <c r="G132" s="2072">
        <v>104</v>
      </c>
      <c r="H132" s="2067" t="str">
        <f t="shared" si="8"/>
        <v/>
      </c>
      <c r="I132" s="2068" t="str">
        <f t="shared" si="9"/>
        <v/>
      </c>
      <c r="J132" s="1975" t="str">
        <f t="shared" si="10"/>
        <v/>
      </c>
      <c r="K132" s="1976" t="str">
        <f t="shared" si="7"/>
        <v/>
      </c>
    </row>
    <row r="133" spans="2:11" x14ac:dyDescent="0.3">
      <c r="G133" s="2072">
        <v>105</v>
      </c>
      <c r="H133" s="2067" t="str">
        <f t="shared" si="8"/>
        <v/>
      </c>
      <c r="I133" s="2068" t="str">
        <f t="shared" si="9"/>
        <v/>
      </c>
      <c r="J133" s="1975" t="str">
        <f t="shared" si="10"/>
        <v/>
      </c>
      <c r="K133" s="1976" t="str">
        <f t="shared" si="7"/>
        <v/>
      </c>
    </row>
    <row r="134" spans="2:11" x14ac:dyDescent="0.3">
      <c r="G134" s="2072">
        <v>106</v>
      </c>
      <c r="H134" s="2067" t="str">
        <f t="shared" si="8"/>
        <v/>
      </c>
      <c r="I134" s="2068" t="str">
        <f t="shared" si="9"/>
        <v/>
      </c>
      <c r="J134" s="1975" t="str">
        <f t="shared" si="10"/>
        <v/>
      </c>
      <c r="K134" s="1976" t="str">
        <f t="shared" si="7"/>
        <v/>
      </c>
    </row>
    <row r="135" spans="2:11" x14ac:dyDescent="0.3">
      <c r="G135" s="2072">
        <v>107</v>
      </c>
      <c r="H135" s="2067" t="str">
        <f t="shared" si="8"/>
        <v/>
      </c>
      <c r="I135" s="2068" t="str">
        <f t="shared" si="9"/>
        <v/>
      </c>
      <c r="J135" s="1975" t="str">
        <f t="shared" si="10"/>
        <v/>
      </c>
      <c r="K135" s="1976" t="str">
        <f t="shared" si="7"/>
        <v/>
      </c>
    </row>
    <row r="136" spans="2:11" x14ac:dyDescent="0.3">
      <c r="G136" s="2072">
        <v>108</v>
      </c>
      <c r="H136" s="2067" t="str">
        <f t="shared" si="8"/>
        <v/>
      </c>
      <c r="I136" s="2068" t="str">
        <f t="shared" si="9"/>
        <v/>
      </c>
      <c r="J136" s="1975" t="str">
        <f t="shared" si="10"/>
        <v/>
      </c>
      <c r="K136" s="1976" t="str">
        <f t="shared" si="7"/>
        <v/>
      </c>
    </row>
    <row r="137" spans="2:11" x14ac:dyDescent="0.3">
      <c r="G137" s="2072">
        <v>109</v>
      </c>
      <c r="H137" s="2067" t="str">
        <f t="shared" si="8"/>
        <v/>
      </c>
      <c r="I137" s="2068" t="str">
        <f t="shared" si="9"/>
        <v/>
      </c>
      <c r="J137" s="1975" t="str">
        <f t="shared" si="10"/>
        <v/>
      </c>
      <c r="K137" s="1976" t="str">
        <f t="shared" si="7"/>
        <v/>
      </c>
    </row>
    <row r="138" spans="2:11" x14ac:dyDescent="0.3">
      <c r="G138" s="2072">
        <v>110</v>
      </c>
      <c r="H138" s="2067" t="str">
        <f t="shared" si="8"/>
        <v/>
      </c>
      <c r="I138" s="2068" t="str">
        <f t="shared" si="9"/>
        <v/>
      </c>
      <c r="J138" s="1975" t="str">
        <f t="shared" si="10"/>
        <v/>
      </c>
      <c r="K138" s="1976" t="str">
        <f t="shared" si="7"/>
        <v/>
      </c>
    </row>
    <row r="139" spans="2:11" x14ac:dyDescent="0.3">
      <c r="G139" s="2072">
        <v>111</v>
      </c>
      <c r="H139" s="2067" t="str">
        <f t="shared" si="8"/>
        <v/>
      </c>
      <c r="I139" s="2068" t="str">
        <f t="shared" si="9"/>
        <v/>
      </c>
      <c r="J139" s="1975" t="str">
        <f t="shared" si="10"/>
        <v/>
      </c>
      <c r="K139" s="1976" t="str">
        <f t="shared" si="7"/>
        <v/>
      </c>
    </row>
    <row r="140" spans="2:11" x14ac:dyDescent="0.3">
      <c r="G140" s="2072">
        <v>112</v>
      </c>
      <c r="H140" s="2067" t="str">
        <f t="shared" si="8"/>
        <v/>
      </c>
      <c r="I140" s="2068" t="str">
        <f t="shared" si="9"/>
        <v/>
      </c>
      <c r="J140" s="1975" t="str">
        <f t="shared" si="10"/>
        <v/>
      </c>
      <c r="K140" s="1976" t="str">
        <f t="shared" si="7"/>
        <v/>
      </c>
    </row>
    <row r="141" spans="2:11" x14ac:dyDescent="0.3">
      <c r="G141" s="2072">
        <v>113</v>
      </c>
      <c r="H141" s="2067" t="str">
        <f t="shared" si="8"/>
        <v/>
      </c>
      <c r="I141" s="2068" t="str">
        <f t="shared" si="9"/>
        <v/>
      </c>
      <c r="J141" s="1975" t="str">
        <f t="shared" si="10"/>
        <v/>
      </c>
      <c r="K141" s="1976" t="str">
        <f t="shared" si="7"/>
        <v/>
      </c>
    </row>
    <row r="142" spans="2:11" x14ac:dyDescent="0.3">
      <c r="B142" s="1917" t="s">
        <v>876</v>
      </c>
      <c r="G142" s="2072">
        <v>114</v>
      </c>
      <c r="H142" s="2067" t="str">
        <f t="shared" si="8"/>
        <v/>
      </c>
      <c r="I142" s="2068" t="str">
        <f t="shared" si="9"/>
        <v/>
      </c>
      <c r="J142" s="1975" t="str">
        <f t="shared" si="10"/>
        <v/>
      </c>
      <c r="K142" s="1976" t="str">
        <f t="shared" si="7"/>
        <v/>
      </c>
    </row>
    <row r="143" spans="2:11" x14ac:dyDescent="0.3">
      <c r="G143" s="2072">
        <v>115</v>
      </c>
      <c r="H143" s="2067" t="str">
        <f t="shared" si="8"/>
        <v/>
      </c>
      <c r="I143" s="2068" t="str">
        <f t="shared" si="9"/>
        <v/>
      </c>
      <c r="J143" s="1975" t="str">
        <f t="shared" si="10"/>
        <v/>
      </c>
      <c r="K143" s="1976" t="str">
        <f t="shared" si="7"/>
        <v/>
      </c>
    </row>
    <row r="144" spans="2:11" x14ac:dyDescent="0.3">
      <c r="G144" s="2072">
        <v>116</v>
      </c>
      <c r="H144" s="2067" t="str">
        <f t="shared" si="8"/>
        <v/>
      </c>
      <c r="I144" s="2068" t="str">
        <f t="shared" si="9"/>
        <v/>
      </c>
      <c r="J144" s="1975" t="str">
        <f t="shared" si="10"/>
        <v/>
      </c>
      <c r="K144" s="1976" t="str">
        <f t="shared" si="7"/>
        <v/>
      </c>
    </row>
    <row r="145" spans="7:11" x14ac:dyDescent="0.3">
      <c r="G145" s="2072">
        <v>117</v>
      </c>
      <c r="H145" s="2067" t="str">
        <f t="shared" si="8"/>
        <v/>
      </c>
      <c r="I145" s="2068" t="str">
        <f t="shared" si="9"/>
        <v/>
      </c>
      <c r="J145" s="1975" t="str">
        <f t="shared" si="10"/>
        <v/>
      </c>
      <c r="K145" s="1976" t="str">
        <f t="shared" si="7"/>
        <v/>
      </c>
    </row>
    <row r="146" spans="7:11" x14ac:dyDescent="0.3">
      <c r="G146" s="2072">
        <v>118</v>
      </c>
      <c r="H146" s="2067" t="str">
        <f t="shared" si="8"/>
        <v/>
      </c>
      <c r="I146" s="2068" t="str">
        <f t="shared" si="9"/>
        <v/>
      </c>
      <c r="J146" s="1975" t="str">
        <f t="shared" si="10"/>
        <v/>
      </c>
      <c r="K146" s="1976" t="str">
        <f t="shared" si="7"/>
        <v/>
      </c>
    </row>
    <row r="147" spans="7:11" x14ac:dyDescent="0.3">
      <c r="G147" s="2072">
        <v>119</v>
      </c>
      <c r="H147" s="2067" t="str">
        <f t="shared" si="8"/>
        <v/>
      </c>
      <c r="I147" s="2068" t="str">
        <f t="shared" si="9"/>
        <v/>
      </c>
      <c r="J147" s="1975" t="str">
        <f t="shared" si="10"/>
        <v/>
      </c>
      <c r="K147" s="1976" t="str">
        <f t="shared" si="7"/>
        <v/>
      </c>
    </row>
    <row r="148" spans="7:11" x14ac:dyDescent="0.3">
      <c r="G148" s="2072">
        <v>120</v>
      </c>
      <c r="H148" s="2067" t="str">
        <f t="shared" si="8"/>
        <v/>
      </c>
      <c r="I148" s="2068" t="str">
        <f t="shared" si="9"/>
        <v/>
      </c>
      <c r="J148" s="1975" t="str">
        <f t="shared" si="10"/>
        <v/>
      </c>
      <c r="K148" s="1976" t="str">
        <f t="shared" si="7"/>
        <v/>
      </c>
    </row>
    <row r="149" spans="7:11" x14ac:dyDescent="0.3">
      <c r="G149" s="2072">
        <v>121</v>
      </c>
      <c r="H149" s="2067" t="str">
        <f t="shared" si="8"/>
        <v/>
      </c>
      <c r="I149" s="2068" t="str">
        <f t="shared" si="9"/>
        <v/>
      </c>
      <c r="J149" s="1975" t="str">
        <f t="shared" si="10"/>
        <v/>
      </c>
      <c r="K149" s="1976" t="str">
        <f t="shared" si="7"/>
        <v/>
      </c>
    </row>
  </sheetData>
  <mergeCells count="11">
    <mergeCell ref="A58:A59"/>
    <mergeCell ref="A79:A80"/>
    <mergeCell ref="A97:A98"/>
    <mergeCell ref="A112:A114"/>
    <mergeCell ref="A117:A119"/>
    <mergeCell ref="M27:N27"/>
    <mergeCell ref="B4:E4"/>
    <mergeCell ref="B5:E5"/>
    <mergeCell ref="J5:O5"/>
    <mergeCell ref="B7:C7"/>
    <mergeCell ref="K21:L21"/>
  </mergeCells>
  <pageMargins left="0.7" right="0.7" top="0.75" bottom="0.75" header="0.3" footer="0.3"/>
  <pageSetup paperSize="9" orientation="landscape" r:id="rId1"/>
  <headerFooter alignWithMargins="0">
    <oddHeader>&amp;L&amp;"Calibri"&amp;10&amp;K000000Classified as Confidential&amp;1#</oddHead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3F0B3-3957-483A-9AAB-12CE4BDBD9C2}">
  <dimension ref="A1:P150"/>
  <sheetViews>
    <sheetView showGridLines="0" zoomScale="85" zoomScaleNormal="85" workbookViewId="0">
      <selection activeCell="C9" sqref="C9"/>
    </sheetView>
  </sheetViews>
  <sheetFormatPr defaultColWidth="9.21875" defaultRowHeight="14.4" x14ac:dyDescent="0.3"/>
  <cols>
    <col min="1" max="1" width="6.44140625" style="1917" customWidth="1"/>
    <col min="2" max="2" width="77.21875" style="1917" customWidth="1"/>
    <col min="3" max="3" width="15.21875" style="1917" customWidth="1"/>
    <col min="4" max="4" width="20.21875" style="1917" customWidth="1"/>
    <col min="5" max="5" width="16.5546875" style="1917" customWidth="1"/>
    <col min="6" max="6" width="9.5546875" style="1917" customWidth="1"/>
    <col min="7" max="7" width="13.5546875" style="1917" customWidth="1"/>
    <col min="8" max="8" width="59.21875" style="1917" customWidth="1"/>
    <col min="9" max="10" width="59.77734375" style="1917" customWidth="1"/>
    <col min="11" max="11" width="51.77734375" style="1917" customWidth="1"/>
    <col min="12" max="12" width="17.5546875" style="1917" bestFit="1" customWidth="1"/>
    <col min="13" max="13" width="12.5546875" style="1917" customWidth="1"/>
    <col min="14" max="14" width="17.5546875" style="1917" bestFit="1" customWidth="1"/>
    <col min="15" max="256" width="9.21875" style="1917"/>
    <col min="257" max="257" width="6.44140625" style="1917" customWidth="1"/>
    <col min="258" max="258" width="77.21875" style="1917" customWidth="1"/>
    <col min="259" max="259" width="15.21875" style="1917" customWidth="1"/>
    <col min="260" max="260" width="20.21875" style="1917" customWidth="1"/>
    <col min="261" max="261" width="16.5546875" style="1917" customWidth="1"/>
    <col min="262" max="262" width="9.5546875" style="1917" customWidth="1"/>
    <col min="263" max="263" width="13.5546875" style="1917" customWidth="1"/>
    <col min="264" max="264" width="59.21875" style="1917" customWidth="1"/>
    <col min="265" max="266" width="59.77734375" style="1917" customWidth="1"/>
    <col min="267" max="267" width="51.77734375" style="1917" customWidth="1"/>
    <col min="268" max="268" width="17.5546875" style="1917" bestFit="1" customWidth="1"/>
    <col min="269" max="269" width="12.5546875" style="1917" customWidth="1"/>
    <col min="270" max="270" width="17.5546875" style="1917" bestFit="1" customWidth="1"/>
    <col min="271" max="512" width="9.21875" style="1917"/>
    <col min="513" max="513" width="6.44140625" style="1917" customWidth="1"/>
    <col min="514" max="514" width="77.21875" style="1917" customWidth="1"/>
    <col min="515" max="515" width="15.21875" style="1917" customWidth="1"/>
    <col min="516" max="516" width="20.21875" style="1917" customWidth="1"/>
    <col min="517" max="517" width="16.5546875" style="1917" customWidth="1"/>
    <col min="518" max="518" width="9.5546875" style="1917" customWidth="1"/>
    <col min="519" max="519" width="13.5546875" style="1917" customWidth="1"/>
    <col min="520" max="520" width="59.21875" style="1917" customWidth="1"/>
    <col min="521" max="522" width="59.77734375" style="1917" customWidth="1"/>
    <col min="523" max="523" width="51.77734375" style="1917" customWidth="1"/>
    <col min="524" max="524" width="17.5546875" style="1917" bestFit="1" customWidth="1"/>
    <col min="525" max="525" width="12.5546875" style="1917" customWidth="1"/>
    <col min="526" max="526" width="17.5546875" style="1917" bestFit="1" customWidth="1"/>
    <col min="527" max="768" width="9.21875" style="1917"/>
    <col min="769" max="769" width="6.44140625" style="1917" customWidth="1"/>
    <col min="770" max="770" width="77.21875" style="1917" customWidth="1"/>
    <col min="771" max="771" width="15.21875" style="1917" customWidth="1"/>
    <col min="772" max="772" width="20.21875" style="1917" customWidth="1"/>
    <col min="773" max="773" width="16.5546875" style="1917" customWidth="1"/>
    <col min="774" max="774" width="9.5546875" style="1917" customWidth="1"/>
    <col min="775" max="775" width="13.5546875" style="1917" customWidth="1"/>
    <col min="776" max="776" width="59.21875" style="1917" customWidth="1"/>
    <col min="777" max="778" width="59.77734375" style="1917" customWidth="1"/>
    <col min="779" max="779" width="51.77734375" style="1917" customWidth="1"/>
    <col min="780" max="780" width="17.5546875" style="1917" bestFit="1" customWidth="1"/>
    <col min="781" max="781" width="12.5546875" style="1917" customWidth="1"/>
    <col min="782" max="782" width="17.5546875" style="1917" bestFit="1" customWidth="1"/>
    <col min="783" max="1024" width="9.21875" style="1917"/>
    <col min="1025" max="1025" width="6.44140625" style="1917" customWidth="1"/>
    <col min="1026" max="1026" width="77.21875" style="1917" customWidth="1"/>
    <col min="1027" max="1027" width="15.21875" style="1917" customWidth="1"/>
    <col min="1028" max="1028" width="20.21875" style="1917" customWidth="1"/>
    <col min="1029" max="1029" width="16.5546875" style="1917" customWidth="1"/>
    <col min="1030" max="1030" width="9.5546875" style="1917" customWidth="1"/>
    <col min="1031" max="1031" width="13.5546875" style="1917" customWidth="1"/>
    <col min="1032" max="1032" width="59.21875" style="1917" customWidth="1"/>
    <col min="1033" max="1034" width="59.77734375" style="1917" customWidth="1"/>
    <col min="1035" max="1035" width="51.77734375" style="1917" customWidth="1"/>
    <col min="1036" max="1036" width="17.5546875" style="1917" bestFit="1" customWidth="1"/>
    <col min="1037" max="1037" width="12.5546875" style="1917" customWidth="1"/>
    <col min="1038" max="1038" width="17.5546875" style="1917" bestFit="1" customWidth="1"/>
    <col min="1039" max="1280" width="9.21875" style="1917"/>
    <col min="1281" max="1281" width="6.44140625" style="1917" customWidth="1"/>
    <col min="1282" max="1282" width="77.21875" style="1917" customWidth="1"/>
    <col min="1283" max="1283" width="15.21875" style="1917" customWidth="1"/>
    <col min="1284" max="1284" width="20.21875" style="1917" customWidth="1"/>
    <col min="1285" max="1285" width="16.5546875" style="1917" customWidth="1"/>
    <col min="1286" max="1286" width="9.5546875" style="1917" customWidth="1"/>
    <col min="1287" max="1287" width="13.5546875" style="1917" customWidth="1"/>
    <col min="1288" max="1288" width="59.21875" style="1917" customWidth="1"/>
    <col min="1289" max="1290" width="59.77734375" style="1917" customWidth="1"/>
    <col min="1291" max="1291" width="51.77734375" style="1917" customWidth="1"/>
    <col min="1292" max="1292" width="17.5546875" style="1917" bestFit="1" customWidth="1"/>
    <col min="1293" max="1293" width="12.5546875" style="1917" customWidth="1"/>
    <col min="1294" max="1294" width="17.5546875" style="1917" bestFit="1" customWidth="1"/>
    <col min="1295" max="1536" width="9.21875" style="1917"/>
    <col min="1537" max="1537" width="6.44140625" style="1917" customWidth="1"/>
    <col min="1538" max="1538" width="77.21875" style="1917" customWidth="1"/>
    <col min="1539" max="1539" width="15.21875" style="1917" customWidth="1"/>
    <col min="1540" max="1540" width="20.21875" style="1917" customWidth="1"/>
    <col min="1541" max="1541" width="16.5546875" style="1917" customWidth="1"/>
    <col min="1542" max="1542" width="9.5546875" style="1917" customWidth="1"/>
    <col min="1543" max="1543" width="13.5546875" style="1917" customWidth="1"/>
    <col min="1544" max="1544" width="59.21875" style="1917" customWidth="1"/>
    <col min="1545" max="1546" width="59.77734375" style="1917" customWidth="1"/>
    <col min="1547" max="1547" width="51.77734375" style="1917" customWidth="1"/>
    <col min="1548" max="1548" width="17.5546875" style="1917" bestFit="1" customWidth="1"/>
    <col min="1549" max="1549" width="12.5546875" style="1917" customWidth="1"/>
    <col min="1550" max="1550" width="17.5546875" style="1917" bestFit="1" customWidth="1"/>
    <col min="1551" max="1792" width="9.21875" style="1917"/>
    <col min="1793" max="1793" width="6.44140625" style="1917" customWidth="1"/>
    <col min="1794" max="1794" width="77.21875" style="1917" customWidth="1"/>
    <col min="1795" max="1795" width="15.21875" style="1917" customWidth="1"/>
    <col min="1796" max="1796" width="20.21875" style="1917" customWidth="1"/>
    <col min="1797" max="1797" width="16.5546875" style="1917" customWidth="1"/>
    <col min="1798" max="1798" width="9.5546875" style="1917" customWidth="1"/>
    <col min="1799" max="1799" width="13.5546875" style="1917" customWidth="1"/>
    <col min="1800" max="1800" width="59.21875" style="1917" customWidth="1"/>
    <col min="1801" max="1802" width="59.77734375" style="1917" customWidth="1"/>
    <col min="1803" max="1803" width="51.77734375" style="1917" customWidth="1"/>
    <col min="1804" max="1804" width="17.5546875" style="1917" bestFit="1" customWidth="1"/>
    <col min="1805" max="1805" width="12.5546875" style="1917" customWidth="1"/>
    <col min="1806" max="1806" width="17.5546875" style="1917" bestFit="1" customWidth="1"/>
    <col min="1807" max="2048" width="9.21875" style="1917"/>
    <col min="2049" max="2049" width="6.44140625" style="1917" customWidth="1"/>
    <col min="2050" max="2050" width="77.21875" style="1917" customWidth="1"/>
    <col min="2051" max="2051" width="15.21875" style="1917" customWidth="1"/>
    <col min="2052" max="2052" width="20.21875" style="1917" customWidth="1"/>
    <col min="2053" max="2053" width="16.5546875" style="1917" customWidth="1"/>
    <col min="2054" max="2054" width="9.5546875" style="1917" customWidth="1"/>
    <col min="2055" max="2055" width="13.5546875" style="1917" customWidth="1"/>
    <col min="2056" max="2056" width="59.21875" style="1917" customWidth="1"/>
    <col min="2057" max="2058" width="59.77734375" style="1917" customWidth="1"/>
    <col min="2059" max="2059" width="51.77734375" style="1917" customWidth="1"/>
    <col min="2060" max="2060" width="17.5546875" style="1917" bestFit="1" customWidth="1"/>
    <col min="2061" max="2061" width="12.5546875" style="1917" customWidth="1"/>
    <col min="2062" max="2062" width="17.5546875" style="1917" bestFit="1" customWidth="1"/>
    <col min="2063" max="2304" width="9.21875" style="1917"/>
    <col min="2305" max="2305" width="6.44140625" style="1917" customWidth="1"/>
    <col min="2306" max="2306" width="77.21875" style="1917" customWidth="1"/>
    <col min="2307" max="2307" width="15.21875" style="1917" customWidth="1"/>
    <col min="2308" max="2308" width="20.21875" style="1917" customWidth="1"/>
    <col min="2309" max="2309" width="16.5546875" style="1917" customWidth="1"/>
    <col min="2310" max="2310" width="9.5546875" style="1917" customWidth="1"/>
    <col min="2311" max="2311" width="13.5546875" style="1917" customWidth="1"/>
    <col min="2312" max="2312" width="59.21875" style="1917" customWidth="1"/>
    <col min="2313" max="2314" width="59.77734375" style="1917" customWidth="1"/>
    <col min="2315" max="2315" width="51.77734375" style="1917" customWidth="1"/>
    <col min="2316" max="2316" width="17.5546875" style="1917" bestFit="1" customWidth="1"/>
    <col min="2317" max="2317" width="12.5546875" style="1917" customWidth="1"/>
    <col min="2318" max="2318" width="17.5546875" style="1917" bestFit="1" customWidth="1"/>
    <col min="2319" max="2560" width="9.21875" style="1917"/>
    <col min="2561" max="2561" width="6.44140625" style="1917" customWidth="1"/>
    <col min="2562" max="2562" width="77.21875" style="1917" customWidth="1"/>
    <col min="2563" max="2563" width="15.21875" style="1917" customWidth="1"/>
    <col min="2564" max="2564" width="20.21875" style="1917" customWidth="1"/>
    <col min="2565" max="2565" width="16.5546875" style="1917" customWidth="1"/>
    <col min="2566" max="2566" width="9.5546875" style="1917" customWidth="1"/>
    <col min="2567" max="2567" width="13.5546875" style="1917" customWidth="1"/>
    <col min="2568" max="2568" width="59.21875" style="1917" customWidth="1"/>
    <col min="2569" max="2570" width="59.77734375" style="1917" customWidth="1"/>
    <col min="2571" max="2571" width="51.77734375" style="1917" customWidth="1"/>
    <col min="2572" max="2572" width="17.5546875" style="1917" bestFit="1" customWidth="1"/>
    <col min="2573" max="2573" width="12.5546875" style="1917" customWidth="1"/>
    <col min="2574" max="2574" width="17.5546875" style="1917" bestFit="1" customWidth="1"/>
    <col min="2575" max="2816" width="9.21875" style="1917"/>
    <col min="2817" max="2817" width="6.44140625" style="1917" customWidth="1"/>
    <col min="2818" max="2818" width="77.21875" style="1917" customWidth="1"/>
    <col min="2819" max="2819" width="15.21875" style="1917" customWidth="1"/>
    <col min="2820" max="2820" width="20.21875" style="1917" customWidth="1"/>
    <col min="2821" max="2821" width="16.5546875" style="1917" customWidth="1"/>
    <col min="2822" max="2822" width="9.5546875" style="1917" customWidth="1"/>
    <col min="2823" max="2823" width="13.5546875" style="1917" customWidth="1"/>
    <col min="2824" max="2824" width="59.21875" style="1917" customWidth="1"/>
    <col min="2825" max="2826" width="59.77734375" style="1917" customWidth="1"/>
    <col min="2827" max="2827" width="51.77734375" style="1917" customWidth="1"/>
    <col min="2828" max="2828" width="17.5546875" style="1917" bestFit="1" customWidth="1"/>
    <col min="2829" max="2829" width="12.5546875" style="1917" customWidth="1"/>
    <col min="2830" max="2830" width="17.5546875" style="1917" bestFit="1" customWidth="1"/>
    <col min="2831" max="3072" width="9.21875" style="1917"/>
    <col min="3073" max="3073" width="6.44140625" style="1917" customWidth="1"/>
    <col min="3074" max="3074" width="77.21875" style="1917" customWidth="1"/>
    <col min="3075" max="3075" width="15.21875" style="1917" customWidth="1"/>
    <col min="3076" max="3076" width="20.21875" style="1917" customWidth="1"/>
    <col min="3077" max="3077" width="16.5546875" style="1917" customWidth="1"/>
    <col min="3078" max="3078" width="9.5546875" style="1917" customWidth="1"/>
    <col min="3079" max="3079" width="13.5546875" style="1917" customWidth="1"/>
    <col min="3080" max="3080" width="59.21875" style="1917" customWidth="1"/>
    <col min="3081" max="3082" width="59.77734375" style="1917" customWidth="1"/>
    <col min="3083" max="3083" width="51.77734375" style="1917" customWidth="1"/>
    <col min="3084" max="3084" width="17.5546875" style="1917" bestFit="1" customWidth="1"/>
    <col min="3085" max="3085" width="12.5546875" style="1917" customWidth="1"/>
    <col min="3086" max="3086" width="17.5546875" style="1917" bestFit="1" customWidth="1"/>
    <col min="3087" max="3328" width="9.21875" style="1917"/>
    <col min="3329" max="3329" width="6.44140625" style="1917" customWidth="1"/>
    <col min="3330" max="3330" width="77.21875" style="1917" customWidth="1"/>
    <col min="3331" max="3331" width="15.21875" style="1917" customWidth="1"/>
    <col min="3332" max="3332" width="20.21875" style="1917" customWidth="1"/>
    <col min="3333" max="3333" width="16.5546875" style="1917" customWidth="1"/>
    <col min="3334" max="3334" width="9.5546875" style="1917" customWidth="1"/>
    <col min="3335" max="3335" width="13.5546875" style="1917" customWidth="1"/>
    <col min="3336" max="3336" width="59.21875" style="1917" customWidth="1"/>
    <col min="3337" max="3338" width="59.77734375" style="1917" customWidth="1"/>
    <col min="3339" max="3339" width="51.77734375" style="1917" customWidth="1"/>
    <col min="3340" max="3340" width="17.5546875" style="1917" bestFit="1" customWidth="1"/>
    <col min="3341" max="3341" width="12.5546875" style="1917" customWidth="1"/>
    <col min="3342" max="3342" width="17.5546875" style="1917" bestFit="1" customWidth="1"/>
    <col min="3343" max="3584" width="9.21875" style="1917"/>
    <col min="3585" max="3585" width="6.44140625" style="1917" customWidth="1"/>
    <col min="3586" max="3586" width="77.21875" style="1917" customWidth="1"/>
    <col min="3587" max="3587" width="15.21875" style="1917" customWidth="1"/>
    <col min="3588" max="3588" width="20.21875" style="1917" customWidth="1"/>
    <col min="3589" max="3589" width="16.5546875" style="1917" customWidth="1"/>
    <col min="3590" max="3590" width="9.5546875" style="1917" customWidth="1"/>
    <col min="3591" max="3591" width="13.5546875" style="1917" customWidth="1"/>
    <col min="3592" max="3592" width="59.21875" style="1917" customWidth="1"/>
    <col min="3593" max="3594" width="59.77734375" style="1917" customWidth="1"/>
    <col min="3595" max="3595" width="51.77734375" style="1917" customWidth="1"/>
    <col min="3596" max="3596" width="17.5546875" style="1917" bestFit="1" customWidth="1"/>
    <col min="3597" max="3597" width="12.5546875" style="1917" customWidth="1"/>
    <col min="3598" max="3598" width="17.5546875" style="1917" bestFit="1" customWidth="1"/>
    <col min="3599" max="3840" width="9.21875" style="1917"/>
    <col min="3841" max="3841" width="6.44140625" style="1917" customWidth="1"/>
    <col min="3842" max="3842" width="77.21875" style="1917" customWidth="1"/>
    <col min="3843" max="3843" width="15.21875" style="1917" customWidth="1"/>
    <col min="3844" max="3844" width="20.21875" style="1917" customWidth="1"/>
    <col min="3845" max="3845" width="16.5546875" style="1917" customWidth="1"/>
    <col min="3846" max="3846" width="9.5546875" style="1917" customWidth="1"/>
    <col min="3847" max="3847" width="13.5546875" style="1917" customWidth="1"/>
    <col min="3848" max="3848" width="59.21875" style="1917" customWidth="1"/>
    <col min="3849" max="3850" width="59.77734375" style="1917" customWidth="1"/>
    <col min="3851" max="3851" width="51.77734375" style="1917" customWidth="1"/>
    <col min="3852" max="3852" width="17.5546875" style="1917" bestFit="1" customWidth="1"/>
    <col min="3853" max="3853" width="12.5546875" style="1917" customWidth="1"/>
    <col min="3854" max="3854" width="17.5546875" style="1917" bestFit="1" customWidth="1"/>
    <col min="3855" max="4096" width="9.21875" style="1917"/>
    <col min="4097" max="4097" width="6.44140625" style="1917" customWidth="1"/>
    <col min="4098" max="4098" width="77.21875" style="1917" customWidth="1"/>
    <col min="4099" max="4099" width="15.21875" style="1917" customWidth="1"/>
    <col min="4100" max="4100" width="20.21875" style="1917" customWidth="1"/>
    <col min="4101" max="4101" width="16.5546875" style="1917" customWidth="1"/>
    <col min="4102" max="4102" width="9.5546875" style="1917" customWidth="1"/>
    <col min="4103" max="4103" width="13.5546875" style="1917" customWidth="1"/>
    <col min="4104" max="4104" width="59.21875" style="1917" customWidth="1"/>
    <col min="4105" max="4106" width="59.77734375" style="1917" customWidth="1"/>
    <col min="4107" max="4107" width="51.77734375" style="1917" customWidth="1"/>
    <col min="4108" max="4108" width="17.5546875" style="1917" bestFit="1" customWidth="1"/>
    <col min="4109" max="4109" width="12.5546875" style="1917" customWidth="1"/>
    <col min="4110" max="4110" width="17.5546875" style="1917" bestFit="1" customWidth="1"/>
    <col min="4111" max="4352" width="9.21875" style="1917"/>
    <col min="4353" max="4353" width="6.44140625" style="1917" customWidth="1"/>
    <col min="4354" max="4354" width="77.21875" style="1917" customWidth="1"/>
    <col min="4355" max="4355" width="15.21875" style="1917" customWidth="1"/>
    <col min="4356" max="4356" width="20.21875" style="1917" customWidth="1"/>
    <col min="4357" max="4357" width="16.5546875" style="1917" customWidth="1"/>
    <col min="4358" max="4358" width="9.5546875" style="1917" customWidth="1"/>
    <col min="4359" max="4359" width="13.5546875" style="1917" customWidth="1"/>
    <col min="4360" max="4360" width="59.21875" style="1917" customWidth="1"/>
    <col min="4361" max="4362" width="59.77734375" style="1917" customWidth="1"/>
    <col min="4363" max="4363" width="51.77734375" style="1917" customWidth="1"/>
    <col min="4364" max="4364" width="17.5546875" style="1917" bestFit="1" customWidth="1"/>
    <col min="4365" max="4365" width="12.5546875" style="1917" customWidth="1"/>
    <col min="4366" max="4366" width="17.5546875" style="1917" bestFit="1" customWidth="1"/>
    <col min="4367" max="4608" width="9.21875" style="1917"/>
    <col min="4609" max="4609" width="6.44140625" style="1917" customWidth="1"/>
    <col min="4610" max="4610" width="77.21875" style="1917" customWidth="1"/>
    <col min="4611" max="4611" width="15.21875" style="1917" customWidth="1"/>
    <col min="4612" max="4612" width="20.21875" style="1917" customWidth="1"/>
    <col min="4613" max="4613" width="16.5546875" style="1917" customWidth="1"/>
    <col min="4614" max="4614" width="9.5546875" style="1917" customWidth="1"/>
    <col min="4615" max="4615" width="13.5546875" style="1917" customWidth="1"/>
    <col min="4616" max="4616" width="59.21875" style="1917" customWidth="1"/>
    <col min="4617" max="4618" width="59.77734375" style="1917" customWidth="1"/>
    <col min="4619" max="4619" width="51.77734375" style="1917" customWidth="1"/>
    <col min="4620" max="4620" width="17.5546875" style="1917" bestFit="1" customWidth="1"/>
    <col min="4621" max="4621" width="12.5546875" style="1917" customWidth="1"/>
    <col min="4622" max="4622" width="17.5546875" style="1917" bestFit="1" customWidth="1"/>
    <col min="4623" max="4864" width="9.21875" style="1917"/>
    <col min="4865" max="4865" width="6.44140625" style="1917" customWidth="1"/>
    <col min="4866" max="4866" width="77.21875" style="1917" customWidth="1"/>
    <col min="4867" max="4867" width="15.21875" style="1917" customWidth="1"/>
    <col min="4868" max="4868" width="20.21875" style="1917" customWidth="1"/>
    <col min="4869" max="4869" width="16.5546875" style="1917" customWidth="1"/>
    <col min="4870" max="4870" width="9.5546875" style="1917" customWidth="1"/>
    <col min="4871" max="4871" width="13.5546875" style="1917" customWidth="1"/>
    <col min="4872" max="4872" width="59.21875" style="1917" customWidth="1"/>
    <col min="4873" max="4874" width="59.77734375" style="1917" customWidth="1"/>
    <col min="4875" max="4875" width="51.77734375" style="1917" customWidth="1"/>
    <col min="4876" max="4876" width="17.5546875" style="1917" bestFit="1" customWidth="1"/>
    <col min="4877" max="4877" width="12.5546875" style="1917" customWidth="1"/>
    <col min="4878" max="4878" width="17.5546875" style="1917" bestFit="1" customWidth="1"/>
    <col min="4879" max="5120" width="9.21875" style="1917"/>
    <col min="5121" max="5121" width="6.44140625" style="1917" customWidth="1"/>
    <col min="5122" max="5122" width="77.21875" style="1917" customWidth="1"/>
    <col min="5123" max="5123" width="15.21875" style="1917" customWidth="1"/>
    <col min="5124" max="5124" width="20.21875" style="1917" customWidth="1"/>
    <col min="5125" max="5125" width="16.5546875" style="1917" customWidth="1"/>
    <col min="5126" max="5126" width="9.5546875" style="1917" customWidth="1"/>
    <col min="5127" max="5127" width="13.5546875" style="1917" customWidth="1"/>
    <col min="5128" max="5128" width="59.21875" style="1917" customWidth="1"/>
    <col min="5129" max="5130" width="59.77734375" style="1917" customWidth="1"/>
    <col min="5131" max="5131" width="51.77734375" style="1917" customWidth="1"/>
    <col min="5132" max="5132" width="17.5546875" style="1917" bestFit="1" customWidth="1"/>
    <col min="5133" max="5133" width="12.5546875" style="1917" customWidth="1"/>
    <col min="5134" max="5134" width="17.5546875" style="1917" bestFit="1" customWidth="1"/>
    <col min="5135" max="5376" width="9.21875" style="1917"/>
    <col min="5377" max="5377" width="6.44140625" style="1917" customWidth="1"/>
    <col min="5378" max="5378" width="77.21875" style="1917" customWidth="1"/>
    <col min="5379" max="5379" width="15.21875" style="1917" customWidth="1"/>
    <col min="5380" max="5380" width="20.21875" style="1917" customWidth="1"/>
    <col min="5381" max="5381" width="16.5546875" style="1917" customWidth="1"/>
    <col min="5382" max="5382" width="9.5546875" style="1917" customWidth="1"/>
    <col min="5383" max="5383" width="13.5546875" style="1917" customWidth="1"/>
    <col min="5384" max="5384" width="59.21875" style="1917" customWidth="1"/>
    <col min="5385" max="5386" width="59.77734375" style="1917" customWidth="1"/>
    <col min="5387" max="5387" width="51.77734375" style="1917" customWidth="1"/>
    <col min="5388" max="5388" width="17.5546875" style="1917" bestFit="1" customWidth="1"/>
    <col min="5389" max="5389" width="12.5546875" style="1917" customWidth="1"/>
    <col min="5390" max="5390" width="17.5546875" style="1917" bestFit="1" customWidth="1"/>
    <col min="5391" max="5632" width="9.21875" style="1917"/>
    <col min="5633" max="5633" width="6.44140625" style="1917" customWidth="1"/>
    <col min="5634" max="5634" width="77.21875" style="1917" customWidth="1"/>
    <col min="5635" max="5635" width="15.21875" style="1917" customWidth="1"/>
    <col min="5636" max="5636" width="20.21875" style="1917" customWidth="1"/>
    <col min="5637" max="5637" width="16.5546875" style="1917" customWidth="1"/>
    <col min="5638" max="5638" width="9.5546875" style="1917" customWidth="1"/>
    <col min="5639" max="5639" width="13.5546875" style="1917" customWidth="1"/>
    <col min="5640" max="5640" width="59.21875" style="1917" customWidth="1"/>
    <col min="5641" max="5642" width="59.77734375" style="1917" customWidth="1"/>
    <col min="5643" max="5643" width="51.77734375" style="1917" customWidth="1"/>
    <col min="5644" max="5644" width="17.5546875" style="1917" bestFit="1" customWidth="1"/>
    <col min="5645" max="5645" width="12.5546875" style="1917" customWidth="1"/>
    <col min="5646" max="5646" width="17.5546875" style="1917" bestFit="1" customWidth="1"/>
    <col min="5647" max="5888" width="9.21875" style="1917"/>
    <col min="5889" max="5889" width="6.44140625" style="1917" customWidth="1"/>
    <col min="5890" max="5890" width="77.21875" style="1917" customWidth="1"/>
    <col min="5891" max="5891" width="15.21875" style="1917" customWidth="1"/>
    <col min="5892" max="5892" width="20.21875" style="1917" customWidth="1"/>
    <col min="5893" max="5893" width="16.5546875" style="1917" customWidth="1"/>
    <col min="5894" max="5894" width="9.5546875" style="1917" customWidth="1"/>
    <col min="5895" max="5895" width="13.5546875" style="1917" customWidth="1"/>
    <col min="5896" max="5896" width="59.21875" style="1917" customWidth="1"/>
    <col min="5897" max="5898" width="59.77734375" style="1917" customWidth="1"/>
    <col min="5899" max="5899" width="51.77734375" style="1917" customWidth="1"/>
    <col min="5900" max="5900" width="17.5546875" style="1917" bestFit="1" customWidth="1"/>
    <col min="5901" max="5901" width="12.5546875" style="1917" customWidth="1"/>
    <col min="5902" max="5902" width="17.5546875" style="1917" bestFit="1" customWidth="1"/>
    <col min="5903" max="6144" width="9.21875" style="1917"/>
    <col min="6145" max="6145" width="6.44140625" style="1917" customWidth="1"/>
    <col min="6146" max="6146" width="77.21875" style="1917" customWidth="1"/>
    <col min="6147" max="6147" width="15.21875" style="1917" customWidth="1"/>
    <col min="6148" max="6148" width="20.21875" style="1917" customWidth="1"/>
    <col min="6149" max="6149" width="16.5546875" style="1917" customWidth="1"/>
    <col min="6150" max="6150" width="9.5546875" style="1917" customWidth="1"/>
    <col min="6151" max="6151" width="13.5546875" style="1917" customWidth="1"/>
    <col min="6152" max="6152" width="59.21875" style="1917" customWidth="1"/>
    <col min="6153" max="6154" width="59.77734375" style="1917" customWidth="1"/>
    <col min="6155" max="6155" width="51.77734375" style="1917" customWidth="1"/>
    <col min="6156" max="6156" width="17.5546875" style="1917" bestFit="1" customWidth="1"/>
    <col min="6157" max="6157" width="12.5546875" style="1917" customWidth="1"/>
    <col min="6158" max="6158" width="17.5546875" style="1917" bestFit="1" customWidth="1"/>
    <col min="6159" max="6400" width="9.21875" style="1917"/>
    <col min="6401" max="6401" width="6.44140625" style="1917" customWidth="1"/>
    <col min="6402" max="6402" width="77.21875" style="1917" customWidth="1"/>
    <col min="6403" max="6403" width="15.21875" style="1917" customWidth="1"/>
    <col min="6404" max="6404" width="20.21875" style="1917" customWidth="1"/>
    <col min="6405" max="6405" width="16.5546875" style="1917" customWidth="1"/>
    <col min="6406" max="6406" width="9.5546875" style="1917" customWidth="1"/>
    <col min="6407" max="6407" width="13.5546875" style="1917" customWidth="1"/>
    <col min="6408" max="6408" width="59.21875" style="1917" customWidth="1"/>
    <col min="6409" max="6410" width="59.77734375" style="1917" customWidth="1"/>
    <col min="6411" max="6411" width="51.77734375" style="1917" customWidth="1"/>
    <col min="6412" max="6412" width="17.5546875" style="1917" bestFit="1" customWidth="1"/>
    <col min="6413" max="6413" width="12.5546875" style="1917" customWidth="1"/>
    <col min="6414" max="6414" width="17.5546875" style="1917" bestFit="1" customWidth="1"/>
    <col min="6415" max="6656" width="9.21875" style="1917"/>
    <col min="6657" max="6657" width="6.44140625" style="1917" customWidth="1"/>
    <col min="6658" max="6658" width="77.21875" style="1917" customWidth="1"/>
    <col min="6659" max="6659" width="15.21875" style="1917" customWidth="1"/>
    <col min="6660" max="6660" width="20.21875" style="1917" customWidth="1"/>
    <col min="6661" max="6661" width="16.5546875" style="1917" customWidth="1"/>
    <col min="6662" max="6662" width="9.5546875" style="1917" customWidth="1"/>
    <col min="6663" max="6663" width="13.5546875" style="1917" customWidth="1"/>
    <col min="6664" max="6664" width="59.21875" style="1917" customWidth="1"/>
    <col min="6665" max="6666" width="59.77734375" style="1917" customWidth="1"/>
    <col min="6667" max="6667" width="51.77734375" style="1917" customWidth="1"/>
    <col min="6668" max="6668" width="17.5546875" style="1917" bestFit="1" customWidth="1"/>
    <col min="6669" max="6669" width="12.5546875" style="1917" customWidth="1"/>
    <col min="6670" max="6670" width="17.5546875" style="1917" bestFit="1" customWidth="1"/>
    <col min="6671" max="6912" width="9.21875" style="1917"/>
    <col min="6913" max="6913" width="6.44140625" style="1917" customWidth="1"/>
    <col min="6914" max="6914" width="77.21875" style="1917" customWidth="1"/>
    <col min="6915" max="6915" width="15.21875" style="1917" customWidth="1"/>
    <col min="6916" max="6916" width="20.21875" style="1917" customWidth="1"/>
    <col min="6917" max="6917" width="16.5546875" style="1917" customWidth="1"/>
    <col min="6918" max="6918" width="9.5546875" style="1917" customWidth="1"/>
    <col min="6919" max="6919" width="13.5546875" style="1917" customWidth="1"/>
    <col min="6920" max="6920" width="59.21875" style="1917" customWidth="1"/>
    <col min="6921" max="6922" width="59.77734375" style="1917" customWidth="1"/>
    <col min="6923" max="6923" width="51.77734375" style="1917" customWidth="1"/>
    <col min="6924" max="6924" width="17.5546875" style="1917" bestFit="1" customWidth="1"/>
    <col min="6925" max="6925" width="12.5546875" style="1917" customWidth="1"/>
    <col min="6926" max="6926" width="17.5546875" style="1917" bestFit="1" customWidth="1"/>
    <col min="6927" max="7168" width="9.21875" style="1917"/>
    <col min="7169" max="7169" width="6.44140625" style="1917" customWidth="1"/>
    <col min="7170" max="7170" width="77.21875" style="1917" customWidth="1"/>
    <col min="7171" max="7171" width="15.21875" style="1917" customWidth="1"/>
    <col min="7172" max="7172" width="20.21875" style="1917" customWidth="1"/>
    <col min="7173" max="7173" width="16.5546875" style="1917" customWidth="1"/>
    <col min="7174" max="7174" width="9.5546875" style="1917" customWidth="1"/>
    <col min="7175" max="7175" width="13.5546875" style="1917" customWidth="1"/>
    <col min="7176" max="7176" width="59.21875" style="1917" customWidth="1"/>
    <col min="7177" max="7178" width="59.77734375" style="1917" customWidth="1"/>
    <col min="7179" max="7179" width="51.77734375" style="1917" customWidth="1"/>
    <col min="7180" max="7180" width="17.5546875" style="1917" bestFit="1" customWidth="1"/>
    <col min="7181" max="7181" width="12.5546875" style="1917" customWidth="1"/>
    <col min="7182" max="7182" width="17.5546875" style="1917" bestFit="1" customWidth="1"/>
    <col min="7183" max="7424" width="9.21875" style="1917"/>
    <col min="7425" max="7425" width="6.44140625" style="1917" customWidth="1"/>
    <col min="7426" max="7426" width="77.21875" style="1917" customWidth="1"/>
    <col min="7427" max="7427" width="15.21875" style="1917" customWidth="1"/>
    <col min="7428" max="7428" width="20.21875" style="1917" customWidth="1"/>
    <col min="7429" max="7429" width="16.5546875" style="1917" customWidth="1"/>
    <col min="7430" max="7430" width="9.5546875" style="1917" customWidth="1"/>
    <col min="7431" max="7431" width="13.5546875" style="1917" customWidth="1"/>
    <col min="7432" max="7432" width="59.21875" style="1917" customWidth="1"/>
    <col min="7433" max="7434" width="59.77734375" style="1917" customWidth="1"/>
    <col min="7435" max="7435" width="51.77734375" style="1917" customWidth="1"/>
    <col min="7436" max="7436" width="17.5546875" style="1917" bestFit="1" customWidth="1"/>
    <col min="7437" max="7437" width="12.5546875" style="1917" customWidth="1"/>
    <col min="7438" max="7438" width="17.5546875" style="1917" bestFit="1" customWidth="1"/>
    <col min="7439" max="7680" width="9.21875" style="1917"/>
    <col min="7681" max="7681" width="6.44140625" style="1917" customWidth="1"/>
    <col min="7682" max="7682" width="77.21875" style="1917" customWidth="1"/>
    <col min="7683" max="7683" width="15.21875" style="1917" customWidth="1"/>
    <col min="7684" max="7684" width="20.21875" style="1917" customWidth="1"/>
    <col min="7685" max="7685" width="16.5546875" style="1917" customWidth="1"/>
    <col min="7686" max="7686" width="9.5546875" style="1917" customWidth="1"/>
    <col min="7687" max="7687" width="13.5546875" style="1917" customWidth="1"/>
    <col min="7688" max="7688" width="59.21875" style="1917" customWidth="1"/>
    <col min="7689" max="7690" width="59.77734375" style="1917" customWidth="1"/>
    <col min="7691" max="7691" width="51.77734375" style="1917" customWidth="1"/>
    <col min="7692" max="7692" width="17.5546875" style="1917" bestFit="1" customWidth="1"/>
    <col min="7693" max="7693" width="12.5546875" style="1917" customWidth="1"/>
    <col min="7694" max="7694" width="17.5546875" style="1917" bestFit="1" customWidth="1"/>
    <col min="7695" max="7936" width="9.21875" style="1917"/>
    <col min="7937" max="7937" width="6.44140625" style="1917" customWidth="1"/>
    <col min="7938" max="7938" width="77.21875" style="1917" customWidth="1"/>
    <col min="7939" max="7939" width="15.21875" style="1917" customWidth="1"/>
    <col min="7940" max="7940" width="20.21875" style="1917" customWidth="1"/>
    <col min="7941" max="7941" width="16.5546875" style="1917" customWidth="1"/>
    <col min="7942" max="7942" width="9.5546875" style="1917" customWidth="1"/>
    <col min="7943" max="7943" width="13.5546875" style="1917" customWidth="1"/>
    <col min="7944" max="7944" width="59.21875" style="1917" customWidth="1"/>
    <col min="7945" max="7946" width="59.77734375" style="1917" customWidth="1"/>
    <col min="7947" max="7947" width="51.77734375" style="1917" customWidth="1"/>
    <col min="7948" max="7948" width="17.5546875" style="1917" bestFit="1" customWidth="1"/>
    <col min="7949" max="7949" width="12.5546875" style="1917" customWidth="1"/>
    <col min="7950" max="7950" width="17.5546875" style="1917" bestFit="1" customWidth="1"/>
    <col min="7951" max="8192" width="9.21875" style="1917"/>
    <col min="8193" max="8193" width="6.44140625" style="1917" customWidth="1"/>
    <col min="8194" max="8194" width="77.21875" style="1917" customWidth="1"/>
    <col min="8195" max="8195" width="15.21875" style="1917" customWidth="1"/>
    <col min="8196" max="8196" width="20.21875" style="1917" customWidth="1"/>
    <col min="8197" max="8197" width="16.5546875" style="1917" customWidth="1"/>
    <col min="8198" max="8198" width="9.5546875" style="1917" customWidth="1"/>
    <col min="8199" max="8199" width="13.5546875" style="1917" customWidth="1"/>
    <col min="8200" max="8200" width="59.21875" style="1917" customWidth="1"/>
    <col min="8201" max="8202" width="59.77734375" style="1917" customWidth="1"/>
    <col min="8203" max="8203" width="51.77734375" style="1917" customWidth="1"/>
    <col min="8204" max="8204" width="17.5546875" style="1917" bestFit="1" customWidth="1"/>
    <col min="8205" max="8205" width="12.5546875" style="1917" customWidth="1"/>
    <col min="8206" max="8206" width="17.5546875" style="1917" bestFit="1" customWidth="1"/>
    <col min="8207" max="8448" width="9.21875" style="1917"/>
    <col min="8449" max="8449" width="6.44140625" style="1917" customWidth="1"/>
    <col min="8450" max="8450" width="77.21875" style="1917" customWidth="1"/>
    <col min="8451" max="8451" width="15.21875" style="1917" customWidth="1"/>
    <col min="8452" max="8452" width="20.21875" style="1917" customWidth="1"/>
    <col min="8453" max="8453" width="16.5546875" style="1917" customWidth="1"/>
    <col min="8454" max="8454" width="9.5546875" style="1917" customWidth="1"/>
    <col min="8455" max="8455" width="13.5546875" style="1917" customWidth="1"/>
    <col min="8456" max="8456" width="59.21875" style="1917" customWidth="1"/>
    <col min="8457" max="8458" width="59.77734375" style="1917" customWidth="1"/>
    <col min="8459" max="8459" width="51.77734375" style="1917" customWidth="1"/>
    <col min="8460" max="8460" width="17.5546875" style="1917" bestFit="1" customWidth="1"/>
    <col min="8461" max="8461" width="12.5546875" style="1917" customWidth="1"/>
    <col min="8462" max="8462" width="17.5546875" style="1917" bestFit="1" customWidth="1"/>
    <col min="8463" max="8704" width="9.21875" style="1917"/>
    <col min="8705" max="8705" width="6.44140625" style="1917" customWidth="1"/>
    <col min="8706" max="8706" width="77.21875" style="1917" customWidth="1"/>
    <col min="8707" max="8707" width="15.21875" style="1917" customWidth="1"/>
    <col min="8708" max="8708" width="20.21875" style="1917" customWidth="1"/>
    <col min="8709" max="8709" width="16.5546875" style="1917" customWidth="1"/>
    <col min="8710" max="8710" width="9.5546875" style="1917" customWidth="1"/>
    <col min="8711" max="8711" width="13.5546875" style="1917" customWidth="1"/>
    <col min="8712" max="8712" width="59.21875" style="1917" customWidth="1"/>
    <col min="8713" max="8714" width="59.77734375" style="1917" customWidth="1"/>
    <col min="8715" max="8715" width="51.77734375" style="1917" customWidth="1"/>
    <col min="8716" max="8716" width="17.5546875" style="1917" bestFit="1" customWidth="1"/>
    <col min="8717" max="8717" width="12.5546875" style="1917" customWidth="1"/>
    <col min="8718" max="8718" width="17.5546875" style="1917" bestFit="1" customWidth="1"/>
    <col min="8719" max="8960" width="9.21875" style="1917"/>
    <col min="8961" max="8961" width="6.44140625" style="1917" customWidth="1"/>
    <col min="8962" max="8962" width="77.21875" style="1917" customWidth="1"/>
    <col min="8963" max="8963" width="15.21875" style="1917" customWidth="1"/>
    <col min="8964" max="8964" width="20.21875" style="1917" customWidth="1"/>
    <col min="8965" max="8965" width="16.5546875" style="1917" customWidth="1"/>
    <col min="8966" max="8966" width="9.5546875" style="1917" customWidth="1"/>
    <col min="8967" max="8967" width="13.5546875" style="1917" customWidth="1"/>
    <col min="8968" max="8968" width="59.21875" style="1917" customWidth="1"/>
    <col min="8969" max="8970" width="59.77734375" style="1917" customWidth="1"/>
    <col min="8971" max="8971" width="51.77734375" style="1917" customWidth="1"/>
    <col min="8972" max="8972" width="17.5546875" style="1917" bestFit="1" customWidth="1"/>
    <col min="8973" max="8973" width="12.5546875" style="1917" customWidth="1"/>
    <col min="8974" max="8974" width="17.5546875" style="1917" bestFit="1" customWidth="1"/>
    <col min="8975" max="9216" width="9.21875" style="1917"/>
    <col min="9217" max="9217" width="6.44140625" style="1917" customWidth="1"/>
    <col min="9218" max="9218" width="77.21875" style="1917" customWidth="1"/>
    <col min="9219" max="9219" width="15.21875" style="1917" customWidth="1"/>
    <col min="9220" max="9220" width="20.21875" style="1917" customWidth="1"/>
    <col min="9221" max="9221" width="16.5546875" style="1917" customWidth="1"/>
    <col min="9222" max="9222" width="9.5546875" style="1917" customWidth="1"/>
    <col min="9223" max="9223" width="13.5546875" style="1917" customWidth="1"/>
    <col min="9224" max="9224" width="59.21875" style="1917" customWidth="1"/>
    <col min="9225" max="9226" width="59.77734375" style="1917" customWidth="1"/>
    <col min="9227" max="9227" width="51.77734375" style="1917" customWidth="1"/>
    <col min="9228" max="9228" width="17.5546875" style="1917" bestFit="1" customWidth="1"/>
    <col min="9229" max="9229" width="12.5546875" style="1917" customWidth="1"/>
    <col min="9230" max="9230" width="17.5546875" style="1917" bestFit="1" customWidth="1"/>
    <col min="9231" max="9472" width="9.21875" style="1917"/>
    <col min="9473" max="9473" width="6.44140625" style="1917" customWidth="1"/>
    <col min="9474" max="9474" width="77.21875" style="1917" customWidth="1"/>
    <col min="9475" max="9475" width="15.21875" style="1917" customWidth="1"/>
    <col min="9476" max="9476" width="20.21875" style="1917" customWidth="1"/>
    <col min="9477" max="9477" width="16.5546875" style="1917" customWidth="1"/>
    <col min="9478" max="9478" width="9.5546875" style="1917" customWidth="1"/>
    <col min="9479" max="9479" width="13.5546875" style="1917" customWidth="1"/>
    <col min="9480" max="9480" width="59.21875" style="1917" customWidth="1"/>
    <col min="9481" max="9482" width="59.77734375" style="1917" customWidth="1"/>
    <col min="9483" max="9483" width="51.77734375" style="1917" customWidth="1"/>
    <col min="9484" max="9484" width="17.5546875" style="1917" bestFit="1" customWidth="1"/>
    <col min="9485" max="9485" width="12.5546875" style="1917" customWidth="1"/>
    <col min="9486" max="9486" width="17.5546875" style="1917" bestFit="1" customWidth="1"/>
    <col min="9487" max="9728" width="9.21875" style="1917"/>
    <col min="9729" max="9729" width="6.44140625" style="1917" customWidth="1"/>
    <col min="9730" max="9730" width="77.21875" style="1917" customWidth="1"/>
    <col min="9731" max="9731" width="15.21875" style="1917" customWidth="1"/>
    <col min="9732" max="9732" width="20.21875" style="1917" customWidth="1"/>
    <col min="9733" max="9733" width="16.5546875" style="1917" customWidth="1"/>
    <col min="9734" max="9734" width="9.5546875" style="1917" customWidth="1"/>
    <col min="9735" max="9735" width="13.5546875" style="1917" customWidth="1"/>
    <col min="9736" max="9736" width="59.21875" style="1917" customWidth="1"/>
    <col min="9737" max="9738" width="59.77734375" style="1917" customWidth="1"/>
    <col min="9739" max="9739" width="51.77734375" style="1917" customWidth="1"/>
    <col min="9740" max="9740" width="17.5546875" style="1917" bestFit="1" customWidth="1"/>
    <col min="9741" max="9741" width="12.5546875" style="1917" customWidth="1"/>
    <col min="9742" max="9742" width="17.5546875" style="1917" bestFit="1" customWidth="1"/>
    <col min="9743" max="9984" width="9.21875" style="1917"/>
    <col min="9985" max="9985" width="6.44140625" style="1917" customWidth="1"/>
    <col min="9986" max="9986" width="77.21875" style="1917" customWidth="1"/>
    <col min="9987" max="9987" width="15.21875" style="1917" customWidth="1"/>
    <col min="9988" max="9988" width="20.21875" style="1917" customWidth="1"/>
    <col min="9989" max="9989" width="16.5546875" style="1917" customWidth="1"/>
    <col min="9990" max="9990" width="9.5546875" style="1917" customWidth="1"/>
    <col min="9991" max="9991" width="13.5546875" style="1917" customWidth="1"/>
    <col min="9992" max="9992" width="59.21875" style="1917" customWidth="1"/>
    <col min="9993" max="9994" width="59.77734375" style="1917" customWidth="1"/>
    <col min="9995" max="9995" width="51.77734375" style="1917" customWidth="1"/>
    <col min="9996" max="9996" width="17.5546875" style="1917" bestFit="1" customWidth="1"/>
    <col min="9997" max="9997" width="12.5546875" style="1917" customWidth="1"/>
    <col min="9998" max="9998" width="17.5546875" style="1917" bestFit="1" customWidth="1"/>
    <col min="9999" max="10240" width="9.21875" style="1917"/>
    <col min="10241" max="10241" width="6.44140625" style="1917" customWidth="1"/>
    <col min="10242" max="10242" width="77.21875" style="1917" customWidth="1"/>
    <col min="10243" max="10243" width="15.21875" style="1917" customWidth="1"/>
    <col min="10244" max="10244" width="20.21875" style="1917" customWidth="1"/>
    <col min="10245" max="10245" width="16.5546875" style="1917" customWidth="1"/>
    <col min="10246" max="10246" width="9.5546875" style="1917" customWidth="1"/>
    <col min="10247" max="10247" width="13.5546875" style="1917" customWidth="1"/>
    <col min="10248" max="10248" width="59.21875" style="1917" customWidth="1"/>
    <col min="10249" max="10250" width="59.77734375" style="1917" customWidth="1"/>
    <col min="10251" max="10251" width="51.77734375" style="1917" customWidth="1"/>
    <col min="10252" max="10252" width="17.5546875" style="1917" bestFit="1" customWidth="1"/>
    <col min="10253" max="10253" width="12.5546875" style="1917" customWidth="1"/>
    <col min="10254" max="10254" width="17.5546875" style="1917" bestFit="1" customWidth="1"/>
    <col min="10255" max="10496" width="9.21875" style="1917"/>
    <col min="10497" max="10497" width="6.44140625" style="1917" customWidth="1"/>
    <col min="10498" max="10498" width="77.21875" style="1917" customWidth="1"/>
    <col min="10499" max="10499" width="15.21875" style="1917" customWidth="1"/>
    <col min="10500" max="10500" width="20.21875" style="1917" customWidth="1"/>
    <col min="10501" max="10501" width="16.5546875" style="1917" customWidth="1"/>
    <col min="10502" max="10502" width="9.5546875" style="1917" customWidth="1"/>
    <col min="10503" max="10503" width="13.5546875" style="1917" customWidth="1"/>
    <col min="10504" max="10504" width="59.21875" style="1917" customWidth="1"/>
    <col min="10505" max="10506" width="59.77734375" style="1917" customWidth="1"/>
    <col min="10507" max="10507" width="51.77734375" style="1917" customWidth="1"/>
    <col min="10508" max="10508" width="17.5546875" style="1917" bestFit="1" customWidth="1"/>
    <col min="10509" max="10509" width="12.5546875" style="1917" customWidth="1"/>
    <col min="10510" max="10510" width="17.5546875" style="1917" bestFit="1" customWidth="1"/>
    <col min="10511" max="10752" width="9.21875" style="1917"/>
    <col min="10753" max="10753" width="6.44140625" style="1917" customWidth="1"/>
    <col min="10754" max="10754" width="77.21875" style="1917" customWidth="1"/>
    <col min="10755" max="10755" width="15.21875" style="1917" customWidth="1"/>
    <col min="10756" max="10756" width="20.21875" style="1917" customWidth="1"/>
    <col min="10757" max="10757" width="16.5546875" style="1917" customWidth="1"/>
    <col min="10758" max="10758" width="9.5546875" style="1917" customWidth="1"/>
    <col min="10759" max="10759" width="13.5546875" style="1917" customWidth="1"/>
    <col min="10760" max="10760" width="59.21875" style="1917" customWidth="1"/>
    <col min="10761" max="10762" width="59.77734375" style="1917" customWidth="1"/>
    <col min="10763" max="10763" width="51.77734375" style="1917" customWidth="1"/>
    <col min="10764" max="10764" width="17.5546875" style="1917" bestFit="1" customWidth="1"/>
    <col min="10765" max="10765" width="12.5546875" style="1917" customWidth="1"/>
    <col min="10766" max="10766" width="17.5546875" style="1917" bestFit="1" customWidth="1"/>
    <col min="10767" max="11008" width="9.21875" style="1917"/>
    <col min="11009" max="11009" width="6.44140625" style="1917" customWidth="1"/>
    <col min="11010" max="11010" width="77.21875" style="1917" customWidth="1"/>
    <col min="11011" max="11011" width="15.21875" style="1917" customWidth="1"/>
    <col min="11012" max="11012" width="20.21875" style="1917" customWidth="1"/>
    <col min="11013" max="11013" width="16.5546875" style="1917" customWidth="1"/>
    <col min="11014" max="11014" width="9.5546875" style="1917" customWidth="1"/>
    <col min="11015" max="11015" width="13.5546875" style="1917" customWidth="1"/>
    <col min="11016" max="11016" width="59.21875" style="1917" customWidth="1"/>
    <col min="11017" max="11018" width="59.77734375" style="1917" customWidth="1"/>
    <col min="11019" max="11019" width="51.77734375" style="1917" customWidth="1"/>
    <col min="11020" max="11020" width="17.5546875" style="1917" bestFit="1" customWidth="1"/>
    <col min="11021" max="11021" width="12.5546875" style="1917" customWidth="1"/>
    <col min="11022" max="11022" width="17.5546875" style="1917" bestFit="1" customWidth="1"/>
    <col min="11023" max="11264" width="9.21875" style="1917"/>
    <col min="11265" max="11265" width="6.44140625" style="1917" customWidth="1"/>
    <col min="11266" max="11266" width="77.21875" style="1917" customWidth="1"/>
    <col min="11267" max="11267" width="15.21875" style="1917" customWidth="1"/>
    <col min="11268" max="11268" width="20.21875" style="1917" customWidth="1"/>
    <col min="11269" max="11269" width="16.5546875" style="1917" customWidth="1"/>
    <col min="11270" max="11270" width="9.5546875" style="1917" customWidth="1"/>
    <col min="11271" max="11271" width="13.5546875" style="1917" customWidth="1"/>
    <col min="11272" max="11272" width="59.21875" style="1917" customWidth="1"/>
    <col min="11273" max="11274" width="59.77734375" style="1917" customWidth="1"/>
    <col min="11275" max="11275" width="51.77734375" style="1917" customWidth="1"/>
    <col min="11276" max="11276" width="17.5546875" style="1917" bestFit="1" customWidth="1"/>
    <col min="11277" max="11277" width="12.5546875" style="1917" customWidth="1"/>
    <col min="11278" max="11278" width="17.5546875" style="1917" bestFit="1" customWidth="1"/>
    <col min="11279" max="11520" width="9.21875" style="1917"/>
    <col min="11521" max="11521" width="6.44140625" style="1917" customWidth="1"/>
    <col min="11522" max="11522" width="77.21875" style="1917" customWidth="1"/>
    <col min="11523" max="11523" width="15.21875" style="1917" customWidth="1"/>
    <col min="11524" max="11524" width="20.21875" style="1917" customWidth="1"/>
    <col min="11525" max="11525" width="16.5546875" style="1917" customWidth="1"/>
    <col min="11526" max="11526" width="9.5546875" style="1917" customWidth="1"/>
    <col min="11527" max="11527" width="13.5546875" style="1917" customWidth="1"/>
    <col min="11528" max="11528" width="59.21875" style="1917" customWidth="1"/>
    <col min="11529" max="11530" width="59.77734375" style="1917" customWidth="1"/>
    <col min="11531" max="11531" width="51.77734375" style="1917" customWidth="1"/>
    <col min="11532" max="11532" width="17.5546875" style="1917" bestFit="1" customWidth="1"/>
    <col min="11533" max="11533" width="12.5546875" style="1917" customWidth="1"/>
    <col min="11534" max="11534" width="17.5546875" style="1917" bestFit="1" customWidth="1"/>
    <col min="11535" max="11776" width="9.21875" style="1917"/>
    <col min="11777" max="11777" width="6.44140625" style="1917" customWidth="1"/>
    <col min="11778" max="11778" width="77.21875" style="1917" customWidth="1"/>
    <col min="11779" max="11779" width="15.21875" style="1917" customWidth="1"/>
    <col min="11780" max="11780" width="20.21875" style="1917" customWidth="1"/>
    <col min="11781" max="11781" width="16.5546875" style="1917" customWidth="1"/>
    <col min="11782" max="11782" width="9.5546875" style="1917" customWidth="1"/>
    <col min="11783" max="11783" width="13.5546875" style="1917" customWidth="1"/>
    <col min="11784" max="11784" width="59.21875" style="1917" customWidth="1"/>
    <col min="11785" max="11786" width="59.77734375" style="1917" customWidth="1"/>
    <col min="11787" max="11787" width="51.77734375" style="1917" customWidth="1"/>
    <col min="11788" max="11788" width="17.5546875" style="1917" bestFit="1" customWidth="1"/>
    <col min="11789" max="11789" width="12.5546875" style="1917" customWidth="1"/>
    <col min="11790" max="11790" width="17.5546875" style="1917" bestFit="1" customWidth="1"/>
    <col min="11791" max="12032" width="9.21875" style="1917"/>
    <col min="12033" max="12033" width="6.44140625" style="1917" customWidth="1"/>
    <col min="12034" max="12034" width="77.21875" style="1917" customWidth="1"/>
    <col min="12035" max="12035" width="15.21875" style="1917" customWidth="1"/>
    <col min="12036" max="12036" width="20.21875" style="1917" customWidth="1"/>
    <col min="12037" max="12037" width="16.5546875" style="1917" customWidth="1"/>
    <col min="12038" max="12038" width="9.5546875" style="1917" customWidth="1"/>
    <col min="12039" max="12039" width="13.5546875" style="1917" customWidth="1"/>
    <col min="12040" max="12040" width="59.21875" style="1917" customWidth="1"/>
    <col min="12041" max="12042" width="59.77734375" style="1917" customWidth="1"/>
    <col min="12043" max="12043" width="51.77734375" style="1917" customWidth="1"/>
    <col min="12044" max="12044" width="17.5546875" style="1917" bestFit="1" customWidth="1"/>
    <col min="12045" max="12045" width="12.5546875" style="1917" customWidth="1"/>
    <col min="12046" max="12046" width="17.5546875" style="1917" bestFit="1" customWidth="1"/>
    <col min="12047" max="12288" width="9.21875" style="1917"/>
    <col min="12289" max="12289" width="6.44140625" style="1917" customWidth="1"/>
    <col min="12290" max="12290" width="77.21875" style="1917" customWidth="1"/>
    <col min="12291" max="12291" width="15.21875" style="1917" customWidth="1"/>
    <col min="12292" max="12292" width="20.21875" style="1917" customWidth="1"/>
    <col min="12293" max="12293" width="16.5546875" style="1917" customWidth="1"/>
    <col min="12294" max="12294" width="9.5546875" style="1917" customWidth="1"/>
    <col min="12295" max="12295" width="13.5546875" style="1917" customWidth="1"/>
    <col min="12296" max="12296" width="59.21875" style="1917" customWidth="1"/>
    <col min="12297" max="12298" width="59.77734375" style="1917" customWidth="1"/>
    <col min="12299" max="12299" width="51.77734375" style="1917" customWidth="1"/>
    <col min="12300" max="12300" width="17.5546875" style="1917" bestFit="1" customWidth="1"/>
    <col min="12301" max="12301" width="12.5546875" style="1917" customWidth="1"/>
    <col min="12302" max="12302" width="17.5546875" style="1917" bestFit="1" customWidth="1"/>
    <col min="12303" max="12544" width="9.21875" style="1917"/>
    <col min="12545" max="12545" width="6.44140625" style="1917" customWidth="1"/>
    <col min="12546" max="12546" width="77.21875" style="1917" customWidth="1"/>
    <col min="12547" max="12547" width="15.21875" style="1917" customWidth="1"/>
    <col min="12548" max="12548" width="20.21875" style="1917" customWidth="1"/>
    <col min="12549" max="12549" width="16.5546875" style="1917" customWidth="1"/>
    <col min="12550" max="12550" width="9.5546875" style="1917" customWidth="1"/>
    <col min="12551" max="12551" width="13.5546875" style="1917" customWidth="1"/>
    <col min="12552" max="12552" width="59.21875" style="1917" customWidth="1"/>
    <col min="12553" max="12554" width="59.77734375" style="1917" customWidth="1"/>
    <col min="12555" max="12555" width="51.77734375" style="1917" customWidth="1"/>
    <col min="12556" max="12556" width="17.5546875" style="1917" bestFit="1" customWidth="1"/>
    <col min="12557" max="12557" width="12.5546875" style="1917" customWidth="1"/>
    <col min="12558" max="12558" width="17.5546875" style="1917" bestFit="1" customWidth="1"/>
    <col min="12559" max="12800" width="9.21875" style="1917"/>
    <col min="12801" max="12801" width="6.44140625" style="1917" customWidth="1"/>
    <col min="12802" max="12802" width="77.21875" style="1917" customWidth="1"/>
    <col min="12803" max="12803" width="15.21875" style="1917" customWidth="1"/>
    <col min="12804" max="12804" width="20.21875" style="1917" customWidth="1"/>
    <col min="12805" max="12805" width="16.5546875" style="1917" customWidth="1"/>
    <col min="12806" max="12806" width="9.5546875" style="1917" customWidth="1"/>
    <col min="12807" max="12807" width="13.5546875" style="1917" customWidth="1"/>
    <col min="12808" max="12808" width="59.21875" style="1917" customWidth="1"/>
    <col min="12809" max="12810" width="59.77734375" style="1917" customWidth="1"/>
    <col min="12811" max="12811" width="51.77734375" style="1917" customWidth="1"/>
    <col min="12812" max="12812" width="17.5546875" style="1917" bestFit="1" customWidth="1"/>
    <col min="12813" max="12813" width="12.5546875" style="1917" customWidth="1"/>
    <col min="12814" max="12814" width="17.5546875" style="1917" bestFit="1" customWidth="1"/>
    <col min="12815" max="13056" width="9.21875" style="1917"/>
    <col min="13057" max="13057" width="6.44140625" style="1917" customWidth="1"/>
    <col min="13058" max="13058" width="77.21875" style="1917" customWidth="1"/>
    <col min="13059" max="13059" width="15.21875" style="1917" customWidth="1"/>
    <col min="13060" max="13060" width="20.21875" style="1917" customWidth="1"/>
    <col min="13061" max="13061" width="16.5546875" style="1917" customWidth="1"/>
    <col min="13062" max="13062" width="9.5546875" style="1917" customWidth="1"/>
    <col min="13063" max="13063" width="13.5546875" style="1917" customWidth="1"/>
    <col min="13064" max="13064" width="59.21875" style="1917" customWidth="1"/>
    <col min="13065" max="13066" width="59.77734375" style="1917" customWidth="1"/>
    <col min="13067" max="13067" width="51.77734375" style="1917" customWidth="1"/>
    <col min="13068" max="13068" width="17.5546875" style="1917" bestFit="1" customWidth="1"/>
    <col min="13069" max="13069" width="12.5546875" style="1917" customWidth="1"/>
    <col min="13070" max="13070" width="17.5546875" style="1917" bestFit="1" customWidth="1"/>
    <col min="13071" max="13312" width="9.21875" style="1917"/>
    <col min="13313" max="13313" width="6.44140625" style="1917" customWidth="1"/>
    <col min="13314" max="13314" width="77.21875" style="1917" customWidth="1"/>
    <col min="13315" max="13315" width="15.21875" style="1917" customWidth="1"/>
    <col min="13316" max="13316" width="20.21875" style="1917" customWidth="1"/>
    <col min="13317" max="13317" width="16.5546875" style="1917" customWidth="1"/>
    <col min="13318" max="13318" width="9.5546875" style="1917" customWidth="1"/>
    <col min="13319" max="13319" width="13.5546875" style="1917" customWidth="1"/>
    <col min="13320" max="13320" width="59.21875" style="1917" customWidth="1"/>
    <col min="13321" max="13322" width="59.77734375" style="1917" customWidth="1"/>
    <col min="13323" max="13323" width="51.77734375" style="1917" customWidth="1"/>
    <col min="13324" max="13324" width="17.5546875" style="1917" bestFit="1" customWidth="1"/>
    <col min="13325" max="13325" width="12.5546875" style="1917" customWidth="1"/>
    <col min="13326" max="13326" width="17.5546875" style="1917" bestFit="1" customWidth="1"/>
    <col min="13327" max="13568" width="9.21875" style="1917"/>
    <col min="13569" max="13569" width="6.44140625" style="1917" customWidth="1"/>
    <col min="13570" max="13570" width="77.21875" style="1917" customWidth="1"/>
    <col min="13571" max="13571" width="15.21875" style="1917" customWidth="1"/>
    <col min="13572" max="13572" width="20.21875" style="1917" customWidth="1"/>
    <col min="13573" max="13573" width="16.5546875" style="1917" customWidth="1"/>
    <col min="13574" max="13574" width="9.5546875" style="1917" customWidth="1"/>
    <col min="13575" max="13575" width="13.5546875" style="1917" customWidth="1"/>
    <col min="13576" max="13576" width="59.21875" style="1917" customWidth="1"/>
    <col min="13577" max="13578" width="59.77734375" style="1917" customWidth="1"/>
    <col min="13579" max="13579" width="51.77734375" style="1917" customWidth="1"/>
    <col min="13580" max="13580" width="17.5546875" style="1917" bestFit="1" customWidth="1"/>
    <col min="13581" max="13581" width="12.5546875" style="1917" customWidth="1"/>
    <col min="13582" max="13582" width="17.5546875" style="1917" bestFit="1" customWidth="1"/>
    <col min="13583" max="13824" width="9.21875" style="1917"/>
    <col min="13825" max="13825" width="6.44140625" style="1917" customWidth="1"/>
    <col min="13826" max="13826" width="77.21875" style="1917" customWidth="1"/>
    <col min="13827" max="13827" width="15.21875" style="1917" customWidth="1"/>
    <col min="13828" max="13828" width="20.21875" style="1917" customWidth="1"/>
    <col min="13829" max="13829" width="16.5546875" style="1917" customWidth="1"/>
    <col min="13830" max="13830" width="9.5546875" style="1917" customWidth="1"/>
    <col min="13831" max="13831" width="13.5546875" style="1917" customWidth="1"/>
    <col min="13832" max="13832" width="59.21875" style="1917" customWidth="1"/>
    <col min="13833" max="13834" width="59.77734375" style="1917" customWidth="1"/>
    <col min="13835" max="13835" width="51.77734375" style="1917" customWidth="1"/>
    <col min="13836" max="13836" width="17.5546875" style="1917" bestFit="1" customWidth="1"/>
    <col min="13837" max="13837" width="12.5546875" style="1917" customWidth="1"/>
    <col min="13838" max="13838" width="17.5546875" style="1917" bestFit="1" customWidth="1"/>
    <col min="13839" max="14080" width="9.21875" style="1917"/>
    <col min="14081" max="14081" width="6.44140625" style="1917" customWidth="1"/>
    <col min="14082" max="14082" width="77.21875" style="1917" customWidth="1"/>
    <col min="14083" max="14083" width="15.21875" style="1917" customWidth="1"/>
    <col min="14084" max="14084" width="20.21875" style="1917" customWidth="1"/>
    <col min="14085" max="14085" width="16.5546875" style="1917" customWidth="1"/>
    <col min="14086" max="14086" width="9.5546875" style="1917" customWidth="1"/>
    <col min="14087" max="14087" width="13.5546875" style="1917" customWidth="1"/>
    <col min="14088" max="14088" width="59.21875" style="1917" customWidth="1"/>
    <col min="14089" max="14090" width="59.77734375" style="1917" customWidth="1"/>
    <col min="14091" max="14091" width="51.77734375" style="1917" customWidth="1"/>
    <col min="14092" max="14092" width="17.5546875" style="1917" bestFit="1" customWidth="1"/>
    <col min="14093" max="14093" width="12.5546875" style="1917" customWidth="1"/>
    <col min="14094" max="14094" width="17.5546875" style="1917" bestFit="1" customWidth="1"/>
    <col min="14095" max="14336" width="9.21875" style="1917"/>
    <col min="14337" max="14337" width="6.44140625" style="1917" customWidth="1"/>
    <col min="14338" max="14338" width="77.21875" style="1917" customWidth="1"/>
    <col min="14339" max="14339" width="15.21875" style="1917" customWidth="1"/>
    <col min="14340" max="14340" width="20.21875" style="1917" customWidth="1"/>
    <col min="14341" max="14341" width="16.5546875" style="1917" customWidth="1"/>
    <col min="14342" max="14342" width="9.5546875" style="1917" customWidth="1"/>
    <col min="14343" max="14343" width="13.5546875" style="1917" customWidth="1"/>
    <col min="14344" max="14344" width="59.21875" style="1917" customWidth="1"/>
    <col min="14345" max="14346" width="59.77734375" style="1917" customWidth="1"/>
    <col min="14347" max="14347" width="51.77734375" style="1917" customWidth="1"/>
    <col min="14348" max="14348" width="17.5546875" style="1917" bestFit="1" customWidth="1"/>
    <col min="14349" max="14349" width="12.5546875" style="1917" customWidth="1"/>
    <col min="14350" max="14350" width="17.5546875" style="1917" bestFit="1" customWidth="1"/>
    <col min="14351" max="14592" width="9.21875" style="1917"/>
    <col min="14593" max="14593" width="6.44140625" style="1917" customWidth="1"/>
    <col min="14594" max="14594" width="77.21875" style="1917" customWidth="1"/>
    <col min="14595" max="14595" width="15.21875" style="1917" customWidth="1"/>
    <col min="14596" max="14596" width="20.21875" style="1917" customWidth="1"/>
    <col min="14597" max="14597" width="16.5546875" style="1917" customWidth="1"/>
    <col min="14598" max="14598" width="9.5546875" style="1917" customWidth="1"/>
    <col min="14599" max="14599" width="13.5546875" style="1917" customWidth="1"/>
    <col min="14600" max="14600" width="59.21875" style="1917" customWidth="1"/>
    <col min="14601" max="14602" width="59.77734375" style="1917" customWidth="1"/>
    <col min="14603" max="14603" width="51.77734375" style="1917" customWidth="1"/>
    <col min="14604" max="14604" width="17.5546875" style="1917" bestFit="1" customWidth="1"/>
    <col min="14605" max="14605" width="12.5546875" style="1917" customWidth="1"/>
    <col min="14606" max="14606" width="17.5546875" style="1917" bestFit="1" customWidth="1"/>
    <col min="14607" max="14848" width="9.21875" style="1917"/>
    <col min="14849" max="14849" width="6.44140625" style="1917" customWidth="1"/>
    <col min="14850" max="14850" width="77.21875" style="1917" customWidth="1"/>
    <col min="14851" max="14851" width="15.21875" style="1917" customWidth="1"/>
    <col min="14852" max="14852" width="20.21875" style="1917" customWidth="1"/>
    <col min="14853" max="14853" width="16.5546875" style="1917" customWidth="1"/>
    <col min="14854" max="14854" width="9.5546875" style="1917" customWidth="1"/>
    <col min="14855" max="14855" width="13.5546875" style="1917" customWidth="1"/>
    <col min="14856" max="14856" width="59.21875" style="1917" customWidth="1"/>
    <col min="14857" max="14858" width="59.77734375" style="1917" customWidth="1"/>
    <col min="14859" max="14859" width="51.77734375" style="1917" customWidth="1"/>
    <col min="14860" max="14860" width="17.5546875" style="1917" bestFit="1" customWidth="1"/>
    <col min="14861" max="14861" width="12.5546875" style="1917" customWidth="1"/>
    <col min="14862" max="14862" width="17.5546875" style="1917" bestFit="1" customWidth="1"/>
    <col min="14863" max="15104" width="9.21875" style="1917"/>
    <col min="15105" max="15105" width="6.44140625" style="1917" customWidth="1"/>
    <col min="15106" max="15106" width="77.21875" style="1917" customWidth="1"/>
    <col min="15107" max="15107" width="15.21875" style="1917" customWidth="1"/>
    <col min="15108" max="15108" width="20.21875" style="1917" customWidth="1"/>
    <col min="15109" max="15109" width="16.5546875" style="1917" customWidth="1"/>
    <col min="15110" max="15110" width="9.5546875" style="1917" customWidth="1"/>
    <col min="15111" max="15111" width="13.5546875" style="1917" customWidth="1"/>
    <col min="15112" max="15112" width="59.21875" style="1917" customWidth="1"/>
    <col min="15113" max="15114" width="59.77734375" style="1917" customWidth="1"/>
    <col min="15115" max="15115" width="51.77734375" style="1917" customWidth="1"/>
    <col min="15116" max="15116" width="17.5546875" style="1917" bestFit="1" customWidth="1"/>
    <col min="15117" max="15117" width="12.5546875" style="1917" customWidth="1"/>
    <col min="15118" max="15118" width="17.5546875" style="1917" bestFit="1" customWidth="1"/>
    <col min="15119" max="15360" width="9.21875" style="1917"/>
    <col min="15361" max="15361" width="6.44140625" style="1917" customWidth="1"/>
    <col min="15362" max="15362" width="77.21875" style="1917" customWidth="1"/>
    <col min="15363" max="15363" width="15.21875" style="1917" customWidth="1"/>
    <col min="15364" max="15364" width="20.21875" style="1917" customWidth="1"/>
    <col min="15365" max="15365" width="16.5546875" style="1917" customWidth="1"/>
    <col min="15366" max="15366" width="9.5546875" style="1917" customWidth="1"/>
    <col min="15367" max="15367" width="13.5546875" style="1917" customWidth="1"/>
    <col min="15368" max="15368" width="59.21875" style="1917" customWidth="1"/>
    <col min="15369" max="15370" width="59.77734375" style="1917" customWidth="1"/>
    <col min="15371" max="15371" width="51.77734375" style="1917" customWidth="1"/>
    <col min="15372" max="15372" width="17.5546875" style="1917" bestFit="1" customWidth="1"/>
    <col min="15373" max="15373" width="12.5546875" style="1917" customWidth="1"/>
    <col min="15374" max="15374" width="17.5546875" style="1917" bestFit="1" customWidth="1"/>
    <col min="15375" max="15616" width="9.21875" style="1917"/>
    <col min="15617" max="15617" width="6.44140625" style="1917" customWidth="1"/>
    <col min="15618" max="15618" width="77.21875" style="1917" customWidth="1"/>
    <col min="15619" max="15619" width="15.21875" style="1917" customWidth="1"/>
    <col min="15620" max="15620" width="20.21875" style="1917" customWidth="1"/>
    <col min="15621" max="15621" width="16.5546875" style="1917" customWidth="1"/>
    <col min="15622" max="15622" width="9.5546875" style="1917" customWidth="1"/>
    <col min="15623" max="15623" width="13.5546875" style="1917" customWidth="1"/>
    <col min="15624" max="15624" width="59.21875" style="1917" customWidth="1"/>
    <col min="15625" max="15626" width="59.77734375" style="1917" customWidth="1"/>
    <col min="15627" max="15627" width="51.77734375" style="1917" customWidth="1"/>
    <col min="15628" max="15628" width="17.5546875" style="1917" bestFit="1" customWidth="1"/>
    <col min="15629" max="15629" width="12.5546875" style="1917" customWidth="1"/>
    <col min="15630" max="15630" width="17.5546875" style="1917" bestFit="1" customWidth="1"/>
    <col min="15631" max="15872" width="9.21875" style="1917"/>
    <col min="15873" max="15873" width="6.44140625" style="1917" customWidth="1"/>
    <col min="15874" max="15874" width="77.21875" style="1917" customWidth="1"/>
    <col min="15875" max="15875" width="15.21875" style="1917" customWidth="1"/>
    <col min="15876" max="15876" width="20.21875" style="1917" customWidth="1"/>
    <col min="15877" max="15877" width="16.5546875" style="1917" customWidth="1"/>
    <col min="15878" max="15878" width="9.5546875" style="1917" customWidth="1"/>
    <col min="15879" max="15879" width="13.5546875" style="1917" customWidth="1"/>
    <col min="15880" max="15880" width="59.21875" style="1917" customWidth="1"/>
    <col min="15881" max="15882" width="59.77734375" style="1917" customWidth="1"/>
    <col min="15883" max="15883" width="51.77734375" style="1917" customWidth="1"/>
    <col min="15884" max="15884" width="17.5546875" style="1917" bestFit="1" customWidth="1"/>
    <col min="15885" max="15885" width="12.5546875" style="1917" customWidth="1"/>
    <col min="15886" max="15886" width="17.5546875" style="1917" bestFit="1" customWidth="1"/>
    <col min="15887" max="16128" width="9.21875" style="1917"/>
    <col min="16129" max="16129" width="6.44140625" style="1917" customWidth="1"/>
    <col min="16130" max="16130" width="77.21875" style="1917" customWidth="1"/>
    <col min="16131" max="16131" width="15.21875" style="1917" customWidth="1"/>
    <col min="16132" max="16132" width="20.21875" style="1917" customWidth="1"/>
    <col min="16133" max="16133" width="16.5546875" style="1917" customWidth="1"/>
    <col min="16134" max="16134" width="9.5546875" style="1917" customWidth="1"/>
    <col min="16135" max="16135" width="13.5546875" style="1917" customWidth="1"/>
    <col min="16136" max="16136" width="59.21875" style="1917" customWidth="1"/>
    <col min="16137" max="16138" width="59.77734375" style="1917" customWidth="1"/>
    <col min="16139" max="16139" width="51.77734375" style="1917" customWidth="1"/>
    <col min="16140" max="16140" width="17.5546875" style="1917" bestFit="1" customWidth="1"/>
    <col min="16141" max="16141" width="12.5546875" style="1917" customWidth="1"/>
    <col min="16142" max="16142" width="17.5546875" style="1917" bestFit="1" customWidth="1"/>
    <col min="16143" max="16384" width="9.21875" style="1917"/>
  </cols>
  <sheetData>
    <row r="1" spans="2:16" ht="9.75" customHeight="1" x14ac:dyDescent="0.3"/>
    <row r="2" spans="2:16" ht="15" customHeight="1" x14ac:dyDescent="0.3">
      <c r="B2" s="1918" t="s">
        <v>754</v>
      </c>
    </row>
    <row r="3" spans="2:16" ht="8.25" customHeight="1" thickBot="1" x14ac:dyDescent="0.35"/>
    <row r="4" spans="2:16" ht="18" x14ac:dyDescent="0.35">
      <c r="B4" s="2337" t="s">
        <v>755</v>
      </c>
      <c r="C4" s="2338"/>
      <c r="D4" s="2338"/>
      <c r="E4" s="2339"/>
      <c r="F4" s="1919"/>
      <c r="G4" s="1919"/>
    </row>
    <row r="5" spans="2:16" ht="18.600000000000001" thickBot="1" x14ac:dyDescent="0.4">
      <c r="B5" s="2340" t="s">
        <v>726</v>
      </c>
      <c r="C5" s="2341"/>
      <c r="D5" s="2341"/>
      <c r="E5" s="2342"/>
      <c r="F5" s="1920"/>
      <c r="G5" s="1920"/>
      <c r="K5" s="2343"/>
      <c r="L5" s="2343"/>
      <c r="M5" s="2343"/>
      <c r="N5" s="2343"/>
      <c r="O5" s="2343"/>
      <c r="P5" s="2343"/>
    </row>
    <row r="6" spans="2:16" ht="3.75" customHeight="1" thickBot="1" x14ac:dyDescent="0.4">
      <c r="B6" s="1921"/>
      <c r="C6" s="1921"/>
      <c r="D6" s="1921"/>
      <c r="E6" s="1921"/>
      <c r="F6" s="1921"/>
      <c r="G6" s="1921"/>
    </row>
    <row r="7" spans="2:16" ht="15" customHeight="1" thickBot="1" x14ac:dyDescent="0.4">
      <c r="B7" s="2344" t="s">
        <v>756</v>
      </c>
      <c r="C7" s="2345"/>
      <c r="D7" s="1921"/>
      <c r="E7" s="1921"/>
      <c r="F7" s="1921"/>
      <c r="G7" s="1921"/>
    </row>
    <row r="8" spans="2:16" ht="4.5" customHeight="1" thickBot="1" x14ac:dyDescent="0.4">
      <c r="B8" s="1922"/>
      <c r="C8" s="1922"/>
      <c r="D8" s="1921"/>
      <c r="E8" s="1921"/>
      <c r="F8" s="1921"/>
      <c r="G8" s="1921"/>
    </row>
    <row r="9" spans="2:16" ht="15" customHeight="1" x14ac:dyDescent="0.35">
      <c r="B9" s="1923" t="s">
        <v>757</v>
      </c>
      <c r="C9" s="1924" t="s">
        <v>720</v>
      </c>
      <c r="D9" s="1925" t="s">
        <v>877</v>
      </c>
      <c r="E9" s="1921"/>
      <c r="F9" s="1921"/>
      <c r="G9" s="1921"/>
    </row>
    <row r="10" spans="2:16" ht="15" customHeight="1" x14ac:dyDescent="0.35">
      <c r="B10" s="1926" t="s">
        <v>759</v>
      </c>
      <c r="C10" s="1927">
        <v>42872</v>
      </c>
      <c r="D10" s="1921"/>
      <c r="E10" s="1921"/>
      <c r="F10" s="1921"/>
      <c r="G10" s="1921"/>
    </row>
    <row r="11" spans="2:16" ht="15" customHeight="1" x14ac:dyDescent="0.35">
      <c r="B11" s="1928" t="s">
        <v>760</v>
      </c>
      <c r="C11" s="1929">
        <v>44713</v>
      </c>
      <c r="D11" s="1930"/>
      <c r="E11" s="1930"/>
      <c r="F11" s="1930"/>
      <c r="G11" s="1930"/>
    </row>
    <row r="12" spans="2:16" ht="15" customHeight="1" x14ac:dyDescent="0.35">
      <c r="B12" s="1928" t="s">
        <v>761</v>
      </c>
      <c r="C12" s="1929">
        <v>43075</v>
      </c>
      <c r="D12" s="1930"/>
      <c r="E12" s="1930"/>
      <c r="F12" s="1930"/>
      <c r="G12" s="1930"/>
    </row>
    <row r="13" spans="2:16" ht="15" customHeight="1" x14ac:dyDescent="0.35">
      <c r="B13" s="2132" t="s">
        <v>878</v>
      </c>
      <c r="C13" s="2133"/>
      <c r="D13" s="1930"/>
      <c r="E13" s="1930"/>
      <c r="F13" s="1930"/>
      <c r="G13" s="1930"/>
    </row>
    <row r="14" spans="2:16" ht="15" customHeight="1" thickBot="1" x14ac:dyDescent="0.4">
      <c r="B14" s="1931" t="s">
        <v>806</v>
      </c>
      <c r="C14" s="1932">
        <v>15000</v>
      </c>
      <c r="D14" s="1921"/>
      <c r="E14" s="1921"/>
      <c r="F14" s="1921"/>
      <c r="G14" s="1921"/>
    </row>
    <row r="15" spans="2:16" ht="11.25" customHeight="1" thickBot="1" x14ac:dyDescent="0.4">
      <c r="B15" s="1921"/>
      <c r="C15" s="1921"/>
      <c r="D15" s="1921"/>
      <c r="E15" s="1921"/>
      <c r="F15" s="1921"/>
      <c r="G15" s="1921"/>
      <c r="H15" s="1921"/>
    </row>
    <row r="16" spans="2:16" ht="15" thickBot="1" x14ac:dyDescent="0.35">
      <c r="B16" s="1933" t="s">
        <v>763</v>
      </c>
      <c r="C16" s="1934" t="s">
        <v>764</v>
      </c>
      <c r="D16" s="1934" t="s">
        <v>765</v>
      </c>
      <c r="E16" s="1935" t="s">
        <v>766</v>
      </c>
      <c r="G16" s="1936"/>
      <c r="H16" s="1936"/>
      <c r="I16" s="2038"/>
    </row>
    <row r="17" spans="1:14" ht="3.75" customHeight="1" thickBot="1" x14ac:dyDescent="0.35">
      <c r="B17" s="1937"/>
      <c r="C17" s="1936"/>
      <c r="D17" s="1936"/>
      <c r="E17" s="1936"/>
      <c r="G17" s="1936"/>
      <c r="H17" s="1936"/>
      <c r="I17" s="2038"/>
    </row>
    <row r="18" spans="1:14" x14ac:dyDescent="0.3">
      <c r="B18" s="1938" t="s">
        <v>767</v>
      </c>
      <c r="C18" s="1939">
        <f>SUM(D18:E18)</f>
        <v>4.9000000000000002E-2</v>
      </c>
      <c r="D18" s="1939">
        <v>2.4499999999999997E-2</v>
      </c>
      <c r="E18" s="1940">
        <v>2.4500000000000001E-2</v>
      </c>
      <c r="H18" s="1954"/>
    </row>
    <row r="19" spans="1:14" x14ac:dyDescent="0.3">
      <c r="B19" s="1941" t="s">
        <v>768</v>
      </c>
      <c r="C19" s="1942">
        <f>SUM(D19:E19)</f>
        <v>2.5000000000000001E-2</v>
      </c>
      <c r="D19" s="1942">
        <v>0</v>
      </c>
      <c r="E19" s="1943">
        <v>2.5000000000000001E-2</v>
      </c>
      <c r="H19" s="2042"/>
    </row>
    <row r="20" spans="1:14" ht="15.6" x14ac:dyDescent="0.3">
      <c r="A20" s="1944" t="s">
        <v>769</v>
      </c>
      <c r="B20" s="1945" t="s">
        <v>770</v>
      </c>
      <c r="C20" s="1946">
        <f>E20</f>
        <v>0.44900000000000001</v>
      </c>
      <c r="D20" s="1946">
        <v>0.44900000000000001</v>
      </c>
      <c r="E20" s="2134">
        <v>0.44900000000000001</v>
      </c>
      <c r="G20" s="1947"/>
      <c r="H20" s="1947"/>
    </row>
    <row r="21" spans="1:14" ht="15.6" x14ac:dyDescent="0.3">
      <c r="A21" s="1944" t="s">
        <v>771</v>
      </c>
      <c r="B21" s="1941" t="s">
        <v>772</v>
      </c>
      <c r="C21" s="1948">
        <f>SUM(D21:E21)</f>
        <v>41</v>
      </c>
      <c r="D21" s="1948">
        <v>20.5</v>
      </c>
      <c r="E21" s="1949">
        <v>20.5</v>
      </c>
      <c r="G21" s="1950"/>
      <c r="H21" s="2025"/>
    </row>
    <row r="22" spans="1:14" ht="16.2" thickBot="1" x14ac:dyDescent="0.35">
      <c r="A22" s="1944" t="s">
        <v>773</v>
      </c>
      <c r="B22" s="1951" t="s">
        <v>774</v>
      </c>
      <c r="C22" s="1952">
        <f>SUM(D22:E22)</f>
        <v>15</v>
      </c>
      <c r="D22" s="1952">
        <v>7.5</v>
      </c>
      <c r="E22" s="1953">
        <v>7.5</v>
      </c>
      <c r="G22" s="1950"/>
      <c r="L22" s="2346"/>
      <c r="M22" s="2346"/>
    </row>
    <row r="23" spans="1:14" ht="3.75" customHeight="1" x14ac:dyDescent="0.3">
      <c r="F23" s="1954"/>
      <c r="G23" s="1954"/>
    </row>
    <row r="24" spans="1:14" ht="15" thickBot="1" x14ac:dyDescent="0.35">
      <c r="E24" s="1922"/>
      <c r="F24" s="1954"/>
      <c r="G24" s="2352"/>
      <c r="H24" s="2352"/>
      <c r="I24" s="2135"/>
    </row>
    <row r="25" spans="1:14" ht="15.75" customHeight="1" thickBot="1" x14ac:dyDescent="0.35">
      <c r="B25" s="1955" t="s">
        <v>775</v>
      </c>
      <c r="C25" s="1934" t="s">
        <v>764</v>
      </c>
      <c r="D25" s="1934" t="s">
        <v>765</v>
      </c>
      <c r="E25" s="1935" t="s">
        <v>766</v>
      </c>
      <c r="G25" s="1922"/>
      <c r="H25" s="1922"/>
      <c r="I25" s="2054"/>
      <c r="N25" s="1956"/>
    </row>
    <row r="26" spans="1:14" ht="4.5" customHeight="1" thickBot="1" x14ac:dyDescent="0.35">
      <c r="B26" s="1957"/>
      <c r="C26" s="1936"/>
      <c r="D26" s="1936"/>
      <c r="E26" s="1936"/>
      <c r="G26" s="1922"/>
      <c r="H26" s="1922"/>
      <c r="I26" s="2054"/>
      <c r="N26" s="1956"/>
    </row>
    <row r="27" spans="1:14" ht="15" customHeight="1" x14ac:dyDescent="0.3">
      <c r="B27" s="2082" t="s">
        <v>776</v>
      </c>
      <c r="C27" s="2136">
        <f>((C11-C10)/365.25)*12</f>
        <v>60.484599589322379</v>
      </c>
      <c r="D27" s="1959"/>
      <c r="E27" s="1960"/>
      <c r="G27" s="1961"/>
      <c r="H27" s="2137"/>
      <c r="I27" s="2054"/>
      <c r="J27" s="1962"/>
    </row>
    <row r="28" spans="1:14" x14ac:dyDescent="0.3">
      <c r="B28" s="2084" t="s">
        <v>777</v>
      </c>
      <c r="C28" s="2085">
        <f>((C12-C10)/365.25)*12</f>
        <v>6.669404517453799</v>
      </c>
      <c r="D28" s="1964"/>
      <c r="E28" s="1965"/>
      <c r="G28" s="2351"/>
      <c r="H28" s="2351"/>
      <c r="I28" s="2054"/>
      <c r="J28" s="1962"/>
    </row>
    <row r="29" spans="1:14" ht="15" thickBot="1" x14ac:dyDescent="0.35">
      <c r="B29" s="2086" t="s">
        <v>778</v>
      </c>
      <c r="C29" s="2087">
        <f>IF(C27-C28&lt;0,0,C27-C28)</f>
        <v>53.81519507186858</v>
      </c>
      <c r="D29" s="2088"/>
      <c r="E29" s="1969"/>
      <c r="G29" s="1970" t="s">
        <v>779</v>
      </c>
      <c r="H29" s="1971" t="s">
        <v>821</v>
      </c>
      <c r="I29" s="1971" t="s">
        <v>822</v>
      </c>
      <c r="J29" s="1971" t="s">
        <v>780</v>
      </c>
      <c r="K29" s="1971" t="s">
        <v>823</v>
      </c>
    </row>
    <row r="30" spans="1:14" x14ac:dyDescent="0.3">
      <c r="B30" s="2138" t="s">
        <v>783</v>
      </c>
      <c r="C30" s="2057">
        <f>SUM(D30:E30)</f>
        <v>726.03658536585363</v>
      </c>
      <c r="D30" s="1972">
        <f>C14*D18*100%/(100%+D19)</f>
        <v>367.49999999999994</v>
      </c>
      <c r="E30" s="1973">
        <f>C14*E18*100%/(100%+E19)</f>
        <v>358.53658536585368</v>
      </c>
      <c r="G30" s="1974">
        <v>1</v>
      </c>
      <c r="H30" s="1991">
        <f>IF(G30&gt;$C$27,"",($D$30-$D$30*$D$20)*(($C$27-G30+1)*($C$27-G30)/($C$27*($C$27+1)))+$D$30*$D$20*($C$27-G30)/$C$27)</f>
        <v>358.18513749847375</v>
      </c>
      <c r="I30" s="2097">
        <f>IF(G30&gt;$C$27,"",H30-$D$21)</f>
        <v>337.68513749847375</v>
      </c>
      <c r="J30" s="1975">
        <f>IF(G30&gt;$C$27,"",$E$30*($C$27-G30)/$C$27)</f>
        <v>352.60885189650378</v>
      </c>
      <c r="K30" s="1976">
        <f>IF(G30&gt;$C$27,"",J30-$E$21)</f>
        <v>332.10885189650378</v>
      </c>
      <c r="N30" s="1977"/>
    </row>
    <row r="31" spans="1:14" ht="15.75" customHeight="1" x14ac:dyDescent="0.3">
      <c r="B31" s="2090" t="s">
        <v>784</v>
      </c>
      <c r="C31" s="2091">
        <f>SUM(D31:E31)</f>
        <v>585.43638547367789</v>
      </c>
      <c r="D31" s="1979">
        <f>(D30-D30*D20)*((C27-C28+1)*(C27-C28)/(C27*(C27+1)))+D30*D20*(C27-C28)/C27-D21</f>
        <v>286.93425248656854</v>
      </c>
      <c r="E31" s="1980">
        <f>E30*(C27-C28)/C27-E21</f>
        <v>298.50213298710935</v>
      </c>
      <c r="G31" s="1981">
        <v>2</v>
      </c>
      <c r="H31" s="1991">
        <f t="shared" ref="H31:H94" si="0">IF(G31&gt;$C$27,"",($D$30-$D$30*$D$20)*(($C$27-G31+1)*($C$27-G31)/($C$27*($C$27+1)))+$D$30*$D$20*($C$27-G31)/$C$27)</f>
        <v>348.97917497165713</v>
      </c>
      <c r="I31" s="2097">
        <f t="shared" ref="I31:I94" si="1">IF(G31&gt;$C$27,"",H31-$D$21)</f>
        <v>328.47917497165713</v>
      </c>
      <c r="J31" s="1975">
        <f t="shared" ref="J31:J94" si="2">IF(G31&gt;$C$27,"",$E$30*($C$27-G31)/$C$27)</f>
        <v>346.68111842715393</v>
      </c>
      <c r="K31" s="1976">
        <f t="shared" ref="K31:K94" si="3">IF(G31&gt;$C$27,"",J31-$E$21)</f>
        <v>326.18111842715393</v>
      </c>
    </row>
    <row r="32" spans="1:14" ht="15.75" customHeight="1" x14ac:dyDescent="0.3">
      <c r="B32" s="2139" t="s">
        <v>785</v>
      </c>
      <c r="C32" s="2140">
        <f>SUM(D32:E32)</f>
        <v>275.04471436520453</v>
      </c>
      <c r="D32" s="1983">
        <f>D30*D20*(C27-C28)/C27-D22</f>
        <v>139.31275665399238</v>
      </c>
      <c r="E32" s="1984">
        <f>E30*E20*(C27-C28)/C27-E22</f>
        <v>135.73195771121212</v>
      </c>
      <c r="G32" s="1917">
        <v>3</v>
      </c>
      <c r="H32" s="1991">
        <f t="shared" si="0"/>
        <v>339.88211241955003</v>
      </c>
      <c r="I32" s="2097">
        <f t="shared" si="1"/>
        <v>319.38211241955003</v>
      </c>
      <c r="J32" s="1975">
        <f t="shared" si="2"/>
        <v>340.75338495780397</v>
      </c>
      <c r="K32" s="1976">
        <f t="shared" si="3"/>
        <v>320.25338495780397</v>
      </c>
    </row>
    <row r="33" spans="1:15" ht="15.75" customHeight="1" thickBot="1" x14ac:dyDescent="0.35">
      <c r="B33" s="2141" t="s">
        <v>786</v>
      </c>
      <c r="C33" s="2142">
        <f>SUM(D33:E33)</f>
        <v>310.39167110847336</v>
      </c>
      <c r="D33" s="1986">
        <f>D30*(1-D20)*((C27-C28+1)*(C27-C28)/(C27*(C27+1)))-D21+D22</f>
        <v>147.62149583257613</v>
      </c>
      <c r="E33" s="1987">
        <f>E30*(1-E20)*(C27-C28)/C27-E21+E22</f>
        <v>162.77017527589723</v>
      </c>
      <c r="G33" s="1917">
        <v>4</v>
      </c>
      <c r="H33" s="1991">
        <f t="shared" si="0"/>
        <v>330.89394984215249</v>
      </c>
      <c r="I33" s="2097">
        <f t="shared" si="1"/>
        <v>310.39394984215249</v>
      </c>
      <c r="J33" s="1975">
        <f t="shared" si="2"/>
        <v>334.82565148845407</v>
      </c>
      <c r="K33" s="1976">
        <f t="shared" si="3"/>
        <v>314.32565148845407</v>
      </c>
    </row>
    <row r="34" spans="1:15" ht="15" thickBot="1" x14ac:dyDescent="0.35">
      <c r="B34" s="1988"/>
      <c r="C34" s="1989"/>
      <c r="D34" s="1989"/>
      <c r="E34" s="1989"/>
      <c r="G34" s="1917">
        <v>5</v>
      </c>
      <c r="H34" s="1991">
        <f t="shared" si="0"/>
        <v>322.01468723946448</v>
      </c>
      <c r="I34" s="2097">
        <f t="shared" si="1"/>
        <v>301.51468723946448</v>
      </c>
      <c r="J34" s="1975">
        <f t="shared" si="2"/>
        <v>328.89791801910417</v>
      </c>
      <c r="K34" s="1976">
        <f t="shared" si="3"/>
        <v>308.39791801910417</v>
      </c>
    </row>
    <row r="35" spans="1:15" ht="15" thickBot="1" x14ac:dyDescent="0.35">
      <c r="A35" s="1990"/>
      <c r="B35" s="1955" t="s">
        <v>787</v>
      </c>
      <c r="C35" s="1934" t="s">
        <v>764</v>
      </c>
      <c r="D35" s="1934" t="s">
        <v>765</v>
      </c>
      <c r="E35" s="1935" t="s">
        <v>766</v>
      </c>
      <c r="G35" s="1917">
        <v>6</v>
      </c>
      <c r="H35" s="1991">
        <f t="shared" si="0"/>
        <v>313.24432461148609</v>
      </c>
      <c r="I35" s="2097">
        <f t="shared" si="1"/>
        <v>292.74432461148609</v>
      </c>
      <c r="J35" s="1975">
        <f t="shared" si="2"/>
        <v>322.97018454975426</v>
      </c>
      <c r="K35" s="1976">
        <f t="shared" si="3"/>
        <v>302.47018454975426</v>
      </c>
    </row>
    <row r="36" spans="1:15" ht="18" customHeight="1" thickBot="1" x14ac:dyDescent="0.35">
      <c r="A36" s="1990"/>
      <c r="B36" s="1922"/>
      <c r="D36" s="1922"/>
      <c r="G36" s="1917">
        <v>7</v>
      </c>
      <c r="H36" s="1991">
        <f t="shared" si="0"/>
        <v>304.58286195821722</v>
      </c>
      <c r="I36" s="2097">
        <f t="shared" si="1"/>
        <v>284.08286195821722</v>
      </c>
      <c r="J36" s="1975">
        <f t="shared" si="2"/>
        <v>317.04245108040436</v>
      </c>
      <c r="K36" s="1976">
        <f t="shared" si="3"/>
        <v>296.54245108040436</v>
      </c>
      <c r="N36" s="1991"/>
    </row>
    <row r="37" spans="1:15" x14ac:dyDescent="0.3">
      <c r="A37" s="1992"/>
      <c r="B37" s="1993" t="s">
        <v>788</v>
      </c>
      <c r="C37" s="1994">
        <f t="shared" ref="C37:E38" si="4">C21</f>
        <v>41</v>
      </c>
      <c r="D37" s="1995">
        <f t="shared" si="4"/>
        <v>20.5</v>
      </c>
      <c r="E37" s="1994">
        <f t="shared" si="4"/>
        <v>20.5</v>
      </c>
      <c r="G37" s="1917">
        <v>8</v>
      </c>
      <c r="H37" s="1991">
        <f t="shared" si="0"/>
        <v>296.03029927965792</v>
      </c>
      <c r="I37" s="2097">
        <f t="shared" si="1"/>
        <v>275.53029927965792</v>
      </c>
      <c r="J37" s="1975">
        <f t="shared" si="2"/>
        <v>311.11471761105446</v>
      </c>
      <c r="K37" s="1976">
        <f t="shared" si="3"/>
        <v>290.61471761105446</v>
      </c>
    </row>
    <row r="38" spans="1:15" x14ac:dyDescent="0.3">
      <c r="A38" s="1996"/>
      <c r="B38" s="1997" t="s">
        <v>789</v>
      </c>
      <c r="C38" s="1998">
        <f t="shared" si="4"/>
        <v>15</v>
      </c>
      <c r="D38" s="1999">
        <f t="shared" si="4"/>
        <v>7.5</v>
      </c>
      <c r="E38" s="1998">
        <f t="shared" si="4"/>
        <v>7.5</v>
      </c>
      <c r="G38" s="1917">
        <v>9</v>
      </c>
      <c r="H38" s="1991">
        <f t="shared" si="0"/>
        <v>287.58663657580814</v>
      </c>
      <c r="I38" s="2097">
        <f t="shared" si="1"/>
        <v>267.08663657580814</v>
      </c>
      <c r="J38" s="1975">
        <f t="shared" si="2"/>
        <v>305.18698414170456</v>
      </c>
      <c r="K38" s="1976">
        <f t="shared" si="3"/>
        <v>284.68698414170456</v>
      </c>
    </row>
    <row r="39" spans="1:15" ht="15.6" x14ac:dyDescent="0.3">
      <c r="B39" s="2000" t="s">
        <v>790</v>
      </c>
      <c r="C39" s="2001">
        <f>C31</f>
        <v>585.43638547367789</v>
      </c>
      <c r="D39" s="2002">
        <f>D31</f>
        <v>286.93425248656854</v>
      </c>
      <c r="E39" s="2001">
        <f>E31</f>
        <v>298.50213298710935</v>
      </c>
      <c r="G39" s="1917">
        <v>10</v>
      </c>
      <c r="H39" s="1991">
        <f t="shared" si="0"/>
        <v>279.25187384666793</v>
      </c>
      <c r="I39" s="2097">
        <f t="shared" si="1"/>
        <v>258.75187384666793</v>
      </c>
      <c r="J39" s="1975">
        <f t="shared" si="2"/>
        <v>299.25925067235465</v>
      </c>
      <c r="K39" s="1976">
        <f t="shared" si="3"/>
        <v>278.75925067235465</v>
      </c>
    </row>
    <row r="40" spans="1:15" x14ac:dyDescent="0.3">
      <c r="B40" s="2003" t="s">
        <v>791</v>
      </c>
      <c r="C40" s="1998"/>
      <c r="D40" s="1999"/>
      <c r="E40" s="1998"/>
      <c r="G40" s="1917">
        <v>11</v>
      </c>
      <c r="H40" s="1991">
        <f t="shared" si="0"/>
        <v>271.02601109223724</v>
      </c>
      <c r="I40" s="2097">
        <f t="shared" si="1"/>
        <v>250.52601109223724</v>
      </c>
      <c r="J40" s="1975">
        <f t="shared" si="2"/>
        <v>293.33151720300475</v>
      </c>
      <c r="K40" s="1976">
        <f t="shared" si="3"/>
        <v>272.83151720300475</v>
      </c>
    </row>
    <row r="41" spans="1:15" ht="15" thickBot="1" x14ac:dyDescent="0.35">
      <c r="B41" s="2004" t="s">
        <v>792</v>
      </c>
      <c r="C41" s="2005">
        <f>C32</f>
        <v>275.04471436520453</v>
      </c>
      <c r="D41" s="2006">
        <f>D32</f>
        <v>139.31275665399238</v>
      </c>
      <c r="E41" s="2005">
        <f>E32</f>
        <v>135.73195771121212</v>
      </c>
      <c r="G41" s="1917">
        <v>12</v>
      </c>
      <c r="H41" s="1991">
        <f t="shared" si="0"/>
        <v>262.90904831251612</v>
      </c>
      <c r="I41" s="2097">
        <f t="shared" si="1"/>
        <v>242.40904831251612</v>
      </c>
      <c r="J41" s="1975">
        <f t="shared" si="2"/>
        <v>287.40378373365485</v>
      </c>
      <c r="K41" s="1976">
        <f t="shared" si="3"/>
        <v>266.90378373365485</v>
      </c>
      <c r="N41" s="2007"/>
    </row>
    <row r="42" spans="1:15" ht="17.25" customHeight="1" thickBot="1" x14ac:dyDescent="0.35">
      <c r="B42" s="2008" t="s">
        <v>793</v>
      </c>
      <c r="C42" s="2009">
        <f>C39-C41</f>
        <v>310.39167110847336</v>
      </c>
      <c r="D42" s="2009">
        <f>D39-D41</f>
        <v>147.62149583257616</v>
      </c>
      <c r="E42" s="2009">
        <f>E39-E41</f>
        <v>162.77017527589723</v>
      </c>
      <c r="G42" s="1917">
        <v>13</v>
      </c>
      <c r="H42" s="1991">
        <f t="shared" si="0"/>
        <v>254.9009855075046</v>
      </c>
      <c r="I42" s="2097">
        <f t="shared" si="1"/>
        <v>234.4009855075046</v>
      </c>
      <c r="J42" s="1975">
        <f t="shared" si="2"/>
        <v>281.47605026430489</v>
      </c>
      <c r="K42" s="1976">
        <f t="shared" si="3"/>
        <v>260.97605026430489</v>
      </c>
      <c r="N42" s="2010"/>
      <c r="O42" s="2011"/>
    </row>
    <row r="43" spans="1:15" ht="16.5" customHeight="1" thickTop="1" x14ac:dyDescent="0.3">
      <c r="B43" s="2008"/>
      <c r="C43" s="2012"/>
      <c r="D43" s="2012"/>
      <c r="E43" s="2012"/>
      <c r="F43" s="2013" t="s">
        <v>794</v>
      </c>
      <c r="G43" s="1917">
        <v>14</v>
      </c>
      <c r="H43" s="1991">
        <f t="shared" si="0"/>
        <v>247.00182267720263</v>
      </c>
      <c r="I43" s="2097">
        <f t="shared" si="1"/>
        <v>226.50182267720263</v>
      </c>
      <c r="J43" s="1975">
        <f t="shared" si="2"/>
        <v>275.54831679495504</v>
      </c>
      <c r="K43" s="1976">
        <f t="shared" si="3"/>
        <v>255.04831679495504</v>
      </c>
      <c r="N43" s="2010"/>
    </row>
    <row r="44" spans="1:15" x14ac:dyDescent="0.3">
      <c r="B44" s="2014" t="s">
        <v>795</v>
      </c>
      <c r="C44" s="2015">
        <f>SUM(D44:E44)</f>
        <v>735</v>
      </c>
      <c r="D44" s="2015">
        <f>C14*D18</f>
        <v>367.49999999999994</v>
      </c>
      <c r="E44" s="2015">
        <f>C14*E18</f>
        <v>367.5</v>
      </c>
      <c r="F44" s="2016">
        <f>E44/(1+E19)</f>
        <v>358.53658536585368</v>
      </c>
      <c r="G44" s="1917">
        <v>15</v>
      </c>
      <c r="H44" s="1991">
        <f t="shared" si="0"/>
        <v>239.21155982161017</v>
      </c>
      <c r="I44" s="2097">
        <f t="shared" si="1"/>
        <v>218.71155982161017</v>
      </c>
      <c r="J44" s="1975">
        <f t="shared" si="2"/>
        <v>269.62058332560514</v>
      </c>
      <c r="K44" s="1976">
        <f t="shared" si="3"/>
        <v>249.12058332560514</v>
      </c>
    </row>
    <row r="45" spans="1:15" x14ac:dyDescent="0.3">
      <c r="B45" s="1977" t="s">
        <v>796</v>
      </c>
      <c r="C45" s="2017">
        <f>SUM(D45:E45)</f>
        <v>626.43638547367789</v>
      </c>
      <c r="D45" s="2018">
        <f>D31+D21</f>
        <v>307.43425248656854</v>
      </c>
      <c r="E45" s="2018">
        <f>E31+E21</f>
        <v>319.00213298710935</v>
      </c>
      <c r="F45" s="2019"/>
      <c r="G45" s="1917">
        <v>16</v>
      </c>
      <c r="H45" s="1991">
        <f t="shared" si="0"/>
        <v>231.53019694072725</v>
      </c>
      <c r="I45" s="2097">
        <f t="shared" si="1"/>
        <v>211.03019694072725</v>
      </c>
      <c r="J45" s="1975">
        <f t="shared" si="2"/>
        <v>263.69284985625524</v>
      </c>
      <c r="K45" s="1976">
        <f t="shared" si="3"/>
        <v>243.19284985625524</v>
      </c>
    </row>
    <row r="46" spans="1:15" x14ac:dyDescent="0.3">
      <c r="B46" s="1917" t="s">
        <v>797</v>
      </c>
      <c r="C46" s="1975">
        <f>SUM(D46:E46)</f>
        <v>336.39167110847336</v>
      </c>
      <c r="D46" s="1975">
        <f>(D30-D30*D20)*((C27-C28+1)*(C27-C28)/(C27*(C27+1)))</f>
        <v>160.62149583257616</v>
      </c>
      <c r="E46" s="1975">
        <f>E30*(1-E20)*(C27-C28)/C27</f>
        <v>175.77017527589723</v>
      </c>
      <c r="G46" s="1917">
        <v>17</v>
      </c>
      <c r="H46" s="1991">
        <f t="shared" si="0"/>
        <v>223.95773403455394</v>
      </c>
      <c r="I46" s="2097">
        <f t="shared" si="1"/>
        <v>203.45773403455394</v>
      </c>
      <c r="J46" s="1975">
        <f t="shared" si="2"/>
        <v>257.76511638690533</v>
      </c>
      <c r="K46" s="1976">
        <f t="shared" si="3"/>
        <v>237.26511638690533</v>
      </c>
    </row>
    <row r="47" spans="1:15" x14ac:dyDescent="0.3">
      <c r="B47" s="1917" t="s">
        <v>798</v>
      </c>
      <c r="C47" s="1975">
        <f>SUM(D47:E47)</f>
        <v>290.04471436520453</v>
      </c>
      <c r="D47" s="1975">
        <f>D30*D20*(C27-C28)/C27</f>
        <v>146.81275665399238</v>
      </c>
      <c r="E47" s="1975">
        <f>E30*E20*(C27-C28)/C27</f>
        <v>143.23195771121212</v>
      </c>
      <c r="G47" s="1917">
        <v>18</v>
      </c>
      <c r="H47" s="1991">
        <f t="shared" si="0"/>
        <v>216.49417110309008</v>
      </c>
      <c r="I47" s="2097">
        <f t="shared" si="1"/>
        <v>195.99417110309008</v>
      </c>
      <c r="J47" s="1975">
        <f t="shared" si="2"/>
        <v>251.83738291755543</v>
      </c>
      <c r="K47" s="1976">
        <f t="shared" si="3"/>
        <v>231.33738291755543</v>
      </c>
    </row>
    <row r="48" spans="1:15" x14ac:dyDescent="0.3">
      <c r="B48" s="1977" t="s">
        <v>799</v>
      </c>
      <c r="C48" s="2020">
        <f>C31</f>
        <v>585.43638547367789</v>
      </c>
      <c r="D48" s="2020">
        <f>D31</f>
        <v>286.93425248656854</v>
      </c>
      <c r="E48" s="2020">
        <f>E31</f>
        <v>298.50213298710935</v>
      </c>
      <c r="G48" s="1917">
        <v>19</v>
      </c>
      <c r="H48" s="1991">
        <f t="shared" si="0"/>
        <v>209.13950814633588</v>
      </c>
      <c r="I48" s="2097">
        <f t="shared" si="1"/>
        <v>188.63950814633588</v>
      </c>
      <c r="J48" s="1975">
        <f t="shared" si="2"/>
        <v>245.9096494482055</v>
      </c>
      <c r="K48" s="1976">
        <f t="shared" si="3"/>
        <v>225.4096494482055</v>
      </c>
    </row>
    <row r="49" spans="2:11" ht="15" thickBot="1" x14ac:dyDescent="0.35">
      <c r="B49" s="2021" t="s">
        <v>786</v>
      </c>
      <c r="C49" s="2022">
        <f>C33</f>
        <v>310.39167110847336</v>
      </c>
      <c r="D49" s="2022">
        <f>D33</f>
        <v>147.62149583257613</v>
      </c>
      <c r="E49" s="2022">
        <f>E33</f>
        <v>162.77017527589723</v>
      </c>
      <c r="G49" s="1917">
        <v>20</v>
      </c>
      <c r="H49" s="1991">
        <f t="shared" si="0"/>
        <v>201.8937451642912</v>
      </c>
      <c r="I49" s="2097">
        <f t="shared" si="1"/>
        <v>181.3937451642912</v>
      </c>
      <c r="J49" s="1975">
        <f t="shared" si="2"/>
        <v>239.98191597885562</v>
      </c>
      <c r="K49" s="1976">
        <f t="shared" si="3"/>
        <v>219.48191597885562</v>
      </c>
    </row>
    <row r="50" spans="2:11" ht="15" thickTop="1" x14ac:dyDescent="0.3">
      <c r="B50" s="2008"/>
      <c r="C50" s="2012"/>
      <c r="D50" s="2012"/>
      <c r="E50" s="2012"/>
      <c r="G50" s="1917">
        <v>21</v>
      </c>
      <c r="H50" s="1991">
        <f t="shared" si="0"/>
        <v>194.75688215695607</v>
      </c>
      <c r="I50" s="2097">
        <f t="shared" si="1"/>
        <v>174.25688215695607</v>
      </c>
      <c r="J50" s="1975">
        <f t="shared" si="2"/>
        <v>234.05418250950572</v>
      </c>
      <c r="K50" s="1976">
        <f t="shared" si="3"/>
        <v>213.55418250950572</v>
      </c>
    </row>
    <row r="51" spans="2:11" x14ac:dyDescent="0.3">
      <c r="G51" s="1917">
        <v>22</v>
      </c>
      <c r="H51" s="1991">
        <f t="shared" si="0"/>
        <v>187.7289191243305</v>
      </c>
      <c r="I51" s="2097">
        <f t="shared" si="1"/>
        <v>167.2289191243305</v>
      </c>
      <c r="J51" s="1975">
        <f t="shared" si="2"/>
        <v>228.12644904015579</v>
      </c>
      <c r="K51" s="1976">
        <f t="shared" si="3"/>
        <v>207.62644904015579</v>
      </c>
    </row>
    <row r="52" spans="2:11" x14ac:dyDescent="0.3">
      <c r="G52" s="1917">
        <v>23</v>
      </c>
      <c r="H52" s="1991">
        <f t="shared" si="0"/>
        <v>180.80985606641445</v>
      </c>
      <c r="I52" s="2097">
        <f t="shared" si="1"/>
        <v>160.30985606641445</v>
      </c>
      <c r="J52" s="1975">
        <f t="shared" si="2"/>
        <v>222.19871557080592</v>
      </c>
      <c r="K52" s="1976">
        <f t="shared" si="3"/>
        <v>201.69871557080592</v>
      </c>
    </row>
    <row r="53" spans="2:11" x14ac:dyDescent="0.3">
      <c r="G53" s="1917">
        <v>24</v>
      </c>
      <c r="H53" s="1991">
        <f t="shared" si="0"/>
        <v>173.99969298320798</v>
      </c>
      <c r="I53" s="2097">
        <f t="shared" si="1"/>
        <v>153.49969298320798</v>
      </c>
      <c r="J53" s="1975">
        <f t="shared" si="2"/>
        <v>216.27098210145601</v>
      </c>
      <c r="K53" s="1976">
        <f t="shared" si="3"/>
        <v>195.77098210145601</v>
      </c>
    </row>
    <row r="54" spans="2:11" x14ac:dyDescent="0.3">
      <c r="G54" s="1917">
        <v>25</v>
      </c>
      <c r="H54" s="1991">
        <f t="shared" si="0"/>
        <v>167.29842987471105</v>
      </c>
      <c r="I54" s="2097">
        <f t="shared" si="1"/>
        <v>146.79842987471105</v>
      </c>
      <c r="J54" s="1975">
        <f t="shared" si="2"/>
        <v>210.34324863210611</v>
      </c>
      <c r="K54" s="1976">
        <f t="shared" si="3"/>
        <v>189.84324863210611</v>
      </c>
    </row>
    <row r="55" spans="2:11" x14ac:dyDescent="0.3">
      <c r="G55" s="1917">
        <v>26</v>
      </c>
      <c r="H55" s="1991">
        <f t="shared" si="0"/>
        <v>160.70606674092369</v>
      </c>
      <c r="I55" s="2097">
        <f t="shared" si="1"/>
        <v>140.20606674092369</v>
      </c>
      <c r="J55" s="1975">
        <f t="shared" si="2"/>
        <v>204.41551516275618</v>
      </c>
      <c r="K55" s="1976">
        <f t="shared" si="3"/>
        <v>183.91551516275618</v>
      </c>
    </row>
    <row r="56" spans="2:11" x14ac:dyDescent="0.3">
      <c r="G56" s="1917">
        <v>27</v>
      </c>
      <c r="H56" s="1991">
        <f t="shared" si="0"/>
        <v>154.22260358184587</v>
      </c>
      <c r="I56" s="2097">
        <f t="shared" si="1"/>
        <v>133.72260358184587</v>
      </c>
      <c r="J56" s="1975">
        <f t="shared" si="2"/>
        <v>198.4877816934063</v>
      </c>
      <c r="K56" s="1976">
        <f t="shared" si="3"/>
        <v>177.9877816934063</v>
      </c>
    </row>
    <row r="57" spans="2:11" x14ac:dyDescent="0.3">
      <c r="G57" s="1917">
        <v>28</v>
      </c>
      <c r="H57" s="1991">
        <f t="shared" si="0"/>
        <v>147.8480403974776</v>
      </c>
      <c r="I57" s="2097">
        <f t="shared" si="1"/>
        <v>127.3480403974776</v>
      </c>
      <c r="J57" s="1975">
        <f t="shared" si="2"/>
        <v>192.5600482240564</v>
      </c>
      <c r="K57" s="1976">
        <f t="shared" si="3"/>
        <v>172.0600482240564</v>
      </c>
    </row>
    <row r="58" spans="2:11" x14ac:dyDescent="0.3">
      <c r="G58" s="1917">
        <v>29</v>
      </c>
      <c r="H58" s="1991">
        <f t="shared" si="0"/>
        <v>141.58237718781888</v>
      </c>
      <c r="I58" s="2097">
        <f t="shared" si="1"/>
        <v>121.08237718781888</v>
      </c>
      <c r="J58" s="1975">
        <f t="shared" si="2"/>
        <v>186.63231475470647</v>
      </c>
      <c r="K58" s="1976">
        <f t="shared" si="3"/>
        <v>166.13231475470647</v>
      </c>
    </row>
    <row r="59" spans="2:11" x14ac:dyDescent="0.3">
      <c r="B59" s="2024" t="s">
        <v>800</v>
      </c>
      <c r="G59" s="1917">
        <v>30</v>
      </c>
      <c r="H59" s="1991">
        <f t="shared" si="0"/>
        <v>135.42561395286972</v>
      </c>
      <c r="I59" s="2097">
        <f t="shared" si="1"/>
        <v>114.92561395286972</v>
      </c>
      <c r="J59" s="1975">
        <f t="shared" si="2"/>
        <v>180.70458128535657</v>
      </c>
      <c r="K59" s="1976">
        <f t="shared" si="3"/>
        <v>160.20458128535657</v>
      </c>
    </row>
    <row r="60" spans="2:11" x14ac:dyDescent="0.3">
      <c r="B60" s="1917" t="s">
        <v>801</v>
      </c>
      <c r="G60" s="1917">
        <v>31</v>
      </c>
      <c r="H60" s="1991">
        <f t="shared" si="0"/>
        <v>129.37775069263014</v>
      </c>
      <c r="I60" s="2097">
        <f t="shared" si="1"/>
        <v>108.87775069263014</v>
      </c>
      <c r="J60" s="1975">
        <f t="shared" si="2"/>
        <v>174.77684781600669</v>
      </c>
      <c r="K60" s="1976">
        <f t="shared" si="3"/>
        <v>154.27684781600669</v>
      </c>
    </row>
    <row r="61" spans="2:11" x14ac:dyDescent="0.3">
      <c r="B61" s="1917" t="s">
        <v>802</v>
      </c>
      <c r="G61" s="1917">
        <v>32</v>
      </c>
      <c r="H61" s="1991">
        <f t="shared" si="0"/>
        <v>123.43878740710008</v>
      </c>
      <c r="I61" s="2097">
        <f t="shared" si="1"/>
        <v>102.93878740710008</v>
      </c>
      <c r="J61" s="1975">
        <f t="shared" si="2"/>
        <v>168.84911434665679</v>
      </c>
      <c r="K61" s="1976">
        <f t="shared" si="3"/>
        <v>148.34911434665679</v>
      </c>
    </row>
    <row r="62" spans="2:11" x14ac:dyDescent="0.3">
      <c r="G62" s="1917">
        <v>33</v>
      </c>
      <c r="H62" s="1991">
        <f t="shared" si="0"/>
        <v>117.60872409627956</v>
      </c>
      <c r="I62" s="2097">
        <f t="shared" si="1"/>
        <v>97.108724096279559</v>
      </c>
      <c r="J62" s="1975">
        <f t="shared" si="2"/>
        <v>162.92138087730686</v>
      </c>
      <c r="K62" s="1976">
        <f t="shared" si="3"/>
        <v>142.42138087730686</v>
      </c>
    </row>
    <row r="63" spans="2:11" x14ac:dyDescent="0.3">
      <c r="G63" s="1917">
        <v>34</v>
      </c>
      <c r="H63" s="1991">
        <f t="shared" si="0"/>
        <v>111.88756076016863</v>
      </c>
      <c r="I63" s="2097">
        <f t="shared" si="1"/>
        <v>91.387560760168626</v>
      </c>
      <c r="J63" s="1975">
        <f t="shared" si="2"/>
        <v>156.99364740795696</v>
      </c>
      <c r="K63" s="1976">
        <f t="shared" si="3"/>
        <v>136.49364740795696</v>
      </c>
    </row>
    <row r="64" spans="2:11" x14ac:dyDescent="0.3">
      <c r="G64" s="1917">
        <v>35</v>
      </c>
      <c r="H64" s="1991">
        <f t="shared" si="0"/>
        <v>106.27529739876722</v>
      </c>
      <c r="I64" s="2097">
        <f t="shared" si="1"/>
        <v>85.775297398767222</v>
      </c>
      <c r="J64" s="1975">
        <f t="shared" si="2"/>
        <v>151.06591393860708</v>
      </c>
      <c r="K64" s="1976">
        <f t="shared" si="3"/>
        <v>130.56591393860708</v>
      </c>
    </row>
    <row r="65" spans="7:11" x14ac:dyDescent="0.3">
      <c r="G65" s="1917">
        <v>36</v>
      </c>
      <c r="H65" s="1991">
        <f t="shared" si="0"/>
        <v>100.77193401207538</v>
      </c>
      <c r="I65" s="2097">
        <f t="shared" si="1"/>
        <v>80.271934012075377</v>
      </c>
      <c r="J65" s="1975">
        <f t="shared" si="2"/>
        <v>145.13818046925715</v>
      </c>
      <c r="K65" s="1976">
        <f t="shared" si="3"/>
        <v>124.63818046925715</v>
      </c>
    </row>
    <row r="66" spans="7:11" x14ac:dyDescent="0.3">
      <c r="G66" s="1917">
        <v>37</v>
      </c>
      <c r="H66" s="1991">
        <f t="shared" si="0"/>
        <v>95.377470600093091</v>
      </c>
      <c r="I66" s="2097">
        <f t="shared" si="1"/>
        <v>74.877470600093091</v>
      </c>
      <c r="J66" s="1975">
        <f t="shared" si="2"/>
        <v>139.21044699990725</v>
      </c>
      <c r="K66" s="1976">
        <f t="shared" si="3"/>
        <v>118.71044699990725</v>
      </c>
    </row>
    <row r="67" spans="7:11" x14ac:dyDescent="0.3">
      <c r="G67" s="1917">
        <v>38</v>
      </c>
      <c r="H67" s="1991">
        <f t="shared" si="0"/>
        <v>90.091907162820348</v>
      </c>
      <c r="I67" s="2097">
        <f t="shared" si="1"/>
        <v>69.591907162820348</v>
      </c>
      <c r="J67" s="1975">
        <f t="shared" si="2"/>
        <v>133.28271353055734</v>
      </c>
      <c r="K67" s="1976">
        <f t="shared" si="3"/>
        <v>112.78271353055734</v>
      </c>
    </row>
    <row r="68" spans="7:11" x14ac:dyDescent="0.3">
      <c r="G68" s="1917">
        <v>39</v>
      </c>
      <c r="H68" s="1991">
        <f t="shared" si="0"/>
        <v>84.915243700257179</v>
      </c>
      <c r="I68" s="2097">
        <f t="shared" si="1"/>
        <v>64.415243700257179</v>
      </c>
      <c r="J68" s="1975">
        <f t="shared" si="2"/>
        <v>127.35498006120744</v>
      </c>
      <c r="K68" s="1976">
        <f t="shared" si="3"/>
        <v>106.85498006120744</v>
      </c>
    </row>
    <row r="69" spans="7:11" x14ac:dyDescent="0.3">
      <c r="G69" s="1917">
        <v>40</v>
      </c>
      <c r="H69" s="1991">
        <f t="shared" si="0"/>
        <v>79.847480212403539</v>
      </c>
      <c r="I69" s="2097">
        <f t="shared" si="1"/>
        <v>59.347480212403539</v>
      </c>
      <c r="J69" s="1975">
        <f t="shared" si="2"/>
        <v>121.42724659185755</v>
      </c>
      <c r="K69" s="1976">
        <f t="shared" si="3"/>
        <v>100.92724659185755</v>
      </c>
    </row>
    <row r="70" spans="7:11" x14ac:dyDescent="0.3">
      <c r="G70" s="1917">
        <v>41</v>
      </c>
      <c r="H70" s="1991">
        <f t="shared" si="0"/>
        <v>74.888616699259472</v>
      </c>
      <c r="I70" s="2097">
        <f t="shared" si="1"/>
        <v>54.388616699259472</v>
      </c>
      <c r="J70" s="1975">
        <f t="shared" si="2"/>
        <v>115.49951312250765</v>
      </c>
      <c r="K70" s="1976">
        <f t="shared" si="3"/>
        <v>94.999513122507651</v>
      </c>
    </row>
    <row r="71" spans="7:11" x14ac:dyDescent="0.3">
      <c r="G71" s="1917">
        <v>42</v>
      </c>
      <c r="H71" s="1991">
        <f t="shared" si="0"/>
        <v>70.038653160824936</v>
      </c>
      <c r="I71" s="2097">
        <f t="shared" si="1"/>
        <v>49.538653160824936</v>
      </c>
      <c r="J71" s="1975">
        <f t="shared" si="2"/>
        <v>109.57177965315775</v>
      </c>
      <c r="K71" s="1976">
        <f t="shared" si="3"/>
        <v>89.071779653157748</v>
      </c>
    </row>
    <row r="72" spans="7:11" x14ac:dyDescent="0.3">
      <c r="G72" s="1917">
        <v>43</v>
      </c>
      <c r="H72" s="1991">
        <f t="shared" si="0"/>
        <v>65.297589597099957</v>
      </c>
      <c r="I72" s="2097">
        <f t="shared" si="1"/>
        <v>44.797589597099957</v>
      </c>
      <c r="J72" s="1975">
        <f t="shared" si="2"/>
        <v>103.64404618380784</v>
      </c>
      <c r="K72" s="1976">
        <f t="shared" si="3"/>
        <v>83.144046183807845</v>
      </c>
    </row>
    <row r="73" spans="7:11" x14ac:dyDescent="0.3">
      <c r="G73" s="1917">
        <v>44</v>
      </c>
      <c r="H73" s="1991">
        <f t="shared" si="0"/>
        <v>60.665426008084538</v>
      </c>
      <c r="I73" s="2097">
        <f t="shared" si="1"/>
        <v>40.165426008084538</v>
      </c>
      <c r="J73" s="1975">
        <f t="shared" si="2"/>
        <v>97.716312714457928</v>
      </c>
      <c r="K73" s="1976">
        <f t="shared" si="3"/>
        <v>77.216312714457928</v>
      </c>
    </row>
    <row r="74" spans="7:11" x14ac:dyDescent="0.3">
      <c r="G74" s="1917">
        <v>45</v>
      </c>
      <c r="H74" s="1991">
        <f t="shared" si="0"/>
        <v>56.142162393778669</v>
      </c>
      <c r="I74" s="2097">
        <f t="shared" si="1"/>
        <v>35.642162393778669</v>
      </c>
      <c r="J74" s="1975">
        <f t="shared" si="2"/>
        <v>91.788579245108039</v>
      </c>
      <c r="K74" s="1976">
        <f t="shared" si="3"/>
        <v>71.288579245108039</v>
      </c>
    </row>
    <row r="75" spans="7:11" x14ac:dyDescent="0.3">
      <c r="G75" s="1917">
        <v>46</v>
      </c>
      <c r="H75" s="1991">
        <f t="shared" si="0"/>
        <v>51.727798754182359</v>
      </c>
      <c r="I75" s="2097">
        <f t="shared" si="1"/>
        <v>31.227798754182359</v>
      </c>
      <c r="J75" s="1975">
        <f t="shared" si="2"/>
        <v>85.860845775758122</v>
      </c>
      <c r="K75" s="1976">
        <f t="shared" si="3"/>
        <v>65.360845775758122</v>
      </c>
    </row>
    <row r="76" spans="7:11" x14ac:dyDescent="0.3">
      <c r="G76" s="1917">
        <v>47</v>
      </c>
      <c r="H76" s="1991">
        <f t="shared" si="0"/>
        <v>47.422335089295586</v>
      </c>
      <c r="I76" s="2097">
        <f t="shared" si="1"/>
        <v>26.922335089295586</v>
      </c>
      <c r="J76" s="1975">
        <f t="shared" si="2"/>
        <v>79.933112306408233</v>
      </c>
      <c r="K76" s="1976">
        <f t="shared" si="3"/>
        <v>59.433112306408233</v>
      </c>
    </row>
    <row r="77" spans="7:11" x14ac:dyDescent="0.3">
      <c r="G77" s="1917">
        <v>48</v>
      </c>
      <c r="H77" s="1991">
        <f t="shared" si="0"/>
        <v>43.225771399118386</v>
      </c>
      <c r="I77" s="2097">
        <f t="shared" si="1"/>
        <v>22.725771399118386</v>
      </c>
      <c r="J77" s="1975">
        <f t="shared" si="2"/>
        <v>74.005378837058316</v>
      </c>
      <c r="K77" s="1976">
        <f t="shared" si="3"/>
        <v>53.505378837058316</v>
      </c>
    </row>
    <row r="78" spans="7:11" x14ac:dyDescent="0.3">
      <c r="G78" s="1917">
        <v>49</v>
      </c>
      <c r="H78" s="1991">
        <f t="shared" si="0"/>
        <v>39.138107683650723</v>
      </c>
      <c r="I78" s="2097">
        <f t="shared" si="1"/>
        <v>18.638107683650723</v>
      </c>
      <c r="J78" s="1975">
        <f t="shared" si="2"/>
        <v>68.077645367708428</v>
      </c>
      <c r="K78" s="1976">
        <f t="shared" si="3"/>
        <v>47.577645367708428</v>
      </c>
    </row>
    <row r="79" spans="7:11" x14ac:dyDescent="0.3">
      <c r="G79" s="1917">
        <v>50</v>
      </c>
      <c r="H79" s="1991">
        <f t="shared" si="0"/>
        <v>35.159343942892619</v>
      </c>
      <c r="I79" s="2097">
        <f t="shared" si="1"/>
        <v>14.659343942892619</v>
      </c>
      <c r="J79" s="1975">
        <f t="shared" si="2"/>
        <v>62.149911898358518</v>
      </c>
      <c r="K79" s="1976">
        <f t="shared" si="3"/>
        <v>41.649911898358518</v>
      </c>
    </row>
    <row r="80" spans="7:11" x14ac:dyDescent="0.3">
      <c r="G80" s="1917">
        <v>51</v>
      </c>
      <c r="H80" s="1991">
        <f t="shared" si="0"/>
        <v>31.289480176844069</v>
      </c>
      <c r="I80" s="2097">
        <f t="shared" si="1"/>
        <v>10.789480176844069</v>
      </c>
      <c r="J80" s="1975">
        <f t="shared" si="2"/>
        <v>56.222178429008615</v>
      </c>
      <c r="K80" s="1976">
        <f t="shared" si="3"/>
        <v>35.722178429008615</v>
      </c>
    </row>
    <row r="81" spans="7:11" x14ac:dyDescent="0.3">
      <c r="G81" s="1917">
        <v>52</v>
      </c>
      <c r="H81" s="1991">
        <f t="shared" si="0"/>
        <v>27.528516385505068</v>
      </c>
      <c r="I81" s="2097">
        <f t="shared" si="1"/>
        <v>7.0285163855050676</v>
      </c>
      <c r="J81" s="1975">
        <f t="shared" si="2"/>
        <v>50.294444959658712</v>
      </c>
      <c r="K81" s="1976">
        <f t="shared" si="3"/>
        <v>29.794444959658712</v>
      </c>
    </row>
    <row r="82" spans="7:11" x14ac:dyDescent="0.3">
      <c r="G82" s="1917">
        <v>53</v>
      </c>
      <c r="H82" s="1991">
        <f t="shared" si="0"/>
        <v>23.876452568875621</v>
      </c>
      <c r="I82" s="2097">
        <f t="shared" si="1"/>
        <v>3.3764525688756208</v>
      </c>
      <c r="J82" s="1975">
        <f t="shared" si="2"/>
        <v>44.366711490308809</v>
      </c>
      <c r="K82" s="1976">
        <f t="shared" si="3"/>
        <v>23.866711490308809</v>
      </c>
    </row>
    <row r="83" spans="7:11" x14ac:dyDescent="0.3">
      <c r="G83" s="1917">
        <v>54</v>
      </c>
      <c r="H83" s="1991">
        <f t="shared" si="0"/>
        <v>20.333288726955725</v>
      </c>
      <c r="I83" s="2097">
        <f t="shared" si="1"/>
        <v>-0.16671127304427458</v>
      </c>
      <c r="J83" s="1975">
        <f t="shared" si="2"/>
        <v>38.438978020958906</v>
      </c>
      <c r="K83" s="1976">
        <f t="shared" si="3"/>
        <v>17.938978020958906</v>
      </c>
    </row>
    <row r="84" spans="7:11" x14ac:dyDescent="0.3">
      <c r="G84" s="1917">
        <v>55</v>
      </c>
      <c r="H84" s="1991">
        <f t="shared" si="0"/>
        <v>16.899024859745385</v>
      </c>
      <c r="I84" s="2097">
        <f t="shared" si="1"/>
        <v>-3.6009751402546151</v>
      </c>
      <c r="J84" s="1975">
        <f t="shared" si="2"/>
        <v>32.511244551608996</v>
      </c>
      <c r="K84" s="1976">
        <f t="shared" si="3"/>
        <v>12.011244551608996</v>
      </c>
    </row>
    <row r="85" spans="7:11" x14ac:dyDescent="0.3">
      <c r="G85" s="1917">
        <v>56</v>
      </c>
      <c r="H85" s="1991">
        <f t="shared" si="0"/>
        <v>13.573660967244596</v>
      </c>
      <c r="I85" s="2097">
        <f t="shared" si="1"/>
        <v>-6.9263390327554042</v>
      </c>
      <c r="J85" s="1975">
        <f t="shared" si="2"/>
        <v>26.583511082259097</v>
      </c>
      <c r="K85" s="1976">
        <f t="shared" si="3"/>
        <v>6.083511082259097</v>
      </c>
    </row>
    <row r="86" spans="7:11" x14ac:dyDescent="0.3">
      <c r="G86" s="1917">
        <v>57</v>
      </c>
      <c r="H86" s="1991">
        <f t="shared" si="0"/>
        <v>10.35719704945336</v>
      </c>
      <c r="I86" s="2097">
        <f t="shared" si="1"/>
        <v>-10.14280295054664</v>
      </c>
      <c r="J86" s="1975">
        <f t="shared" si="2"/>
        <v>20.655777612909191</v>
      </c>
      <c r="K86" s="1976">
        <f t="shared" si="3"/>
        <v>0.15577761290919057</v>
      </c>
    </row>
    <row r="87" spans="7:11" x14ac:dyDescent="0.3">
      <c r="G87" s="1917">
        <v>58</v>
      </c>
      <c r="H87" s="1991">
        <f t="shared" si="0"/>
        <v>7.249633106371677</v>
      </c>
      <c r="I87" s="2097">
        <f t="shared" si="1"/>
        <v>-13.250366893628323</v>
      </c>
      <c r="J87" s="1975">
        <f t="shared" si="2"/>
        <v>14.728044143559288</v>
      </c>
      <c r="K87" s="1976">
        <f t="shared" si="3"/>
        <v>-5.7719558564407123</v>
      </c>
    </row>
    <row r="88" spans="7:11" x14ac:dyDescent="0.3">
      <c r="G88" s="1917">
        <v>59</v>
      </c>
      <c r="H88" s="1991">
        <f t="shared" si="0"/>
        <v>4.2509691379995465</v>
      </c>
      <c r="I88" s="2097">
        <f t="shared" si="1"/>
        <v>-16.249030862000453</v>
      </c>
      <c r="J88" s="1975">
        <f t="shared" si="2"/>
        <v>8.8003106742093866</v>
      </c>
      <c r="K88" s="1976">
        <f t="shared" si="3"/>
        <v>-11.699689325790613</v>
      </c>
    </row>
    <row r="89" spans="7:11" x14ac:dyDescent="0.3">
      <c r="G89" s="1917">
        <v>60</v>
      </c>
      <c r="H89" s="1991">
        <f t="shared" si="0"/>
        <v>1.3612051443369686</v>
      </c>
      <c r="I89" s="2097">
        <f t="shared" si="1"/>
        <v>-19.138794855663033</v>
      </c>
      <c r="J89" s="1975">
        <f t="shared" si="2"/>
        <v>2.872577204859482</v>
      </c>
      <c r="K89" s="1976">
        <f t="shared" si="3"/>
        <v>-17.627422795140518</v>
      </c>
    </row>
    <row r="90" spans="7:11" x14ac:dyDescent="0.3">
      <c r="G90" s="1917">
        <v>61</v>
      </c>
      <c r="H90" s="1991" t="str">
        <f t="shared" si="0"/>
        <v/>
      </c>
      <c r="I90" s="2097" t="str">
        <f t="shared" si="1"/>
        <v/>
      </c>
      <c r="J90" s="1975" t="str">
        <f t="shared" si="2"/>
        <v/>
      </c>
      <c r="K90" s="1976" t="str">
        <f t="shared" si="3"/>
        <v/>
      </c>
    </row>
    <row r="91" spans="7:11" x14ac:dyDescent="0.3">
      <c r="G91" s="1917">
        <v>62</v>
      </c>
      <c r="H91" s="1991" t="str">
        <f t="shared" si="0"/>
        <v/>
      </c>
      <c r="I91" s="2097" t="str">
        <f t="shared" si="1"/>
        <v/>
      </c>
      <c r="J91" s="1975" t="str">
        <f t="shared" si="2"/>
        <v/>
      </c>
      <c r="K91" s="1976" t="str">
        <f t="shared" si="3"/>
        <v/>
      </c>
    </row>
    <row r="92" spans="7:11" x14ac:dyDescent="0.3">
      <c r="G92" s="1917">
        <v>63</v>
      </c>
      <c r="H92" s="1991" t="str">
        <f t="shared" si="0"/>
        <v/>
      </c>
      <c r="I92" s="2097" t="str">
        <f t="shared" si="1"/>
        <v/>
      </c>
      <c r="J92" s="1975" t="str">
        <f t="shared" si="2"/>
        <v/>
      </c>
      <c r="K92" s="1976" t="str">
        <f t="shared" si="3"/>
        <v/>
      </c>
    </row>
    <row r="93" spans="7:11" x14ac:dyDescent="0.3">
      <c r="G93" s="1917">
        <v>64</v>
      </c>
      <c r="H93" s="1991" t="str">
        <f t="shared" si="0"/>
        <v/>
      </c>
      <c r="I93" s="2097" t="str">
        <f t="shared" si="1"/>
        <v/>
      </c>
      <c r="J93" s="1975" t="str">
        <f t="shared" si="2"/>
        <v/>
      </c>
      <c r="K93" s="1976" t="str">
        <f t="shared" si="3"/>
        <v/>
      </c>
    </row>
    <row r="94" spans="7:11" x14ac:dyDescent="0.3">
      <c r="G94" s="1917">
        <v>65</v>
      </c>
      <c r="H94" s="1991" t="str">
        <f t="shared" si="0"/>
        <v/>
      </c>
      <c r="I94" s="2097" t="str">
        <f t="shared" si="1"/>
        <v/>
      </c>
      <c r="J94" s="1975" t="str">
        <f t="shared" si="2"/>
        <v/>
      </c>
      <c r="K94" s="1976" t="str">
        <f t="shared" si="3"/>
        <v/>
      </c>
    </row>
    <row r="95" spans="7:11" x14ac:dyDescent="0.3">
      <c r="G95" s="1917">
        <v>66</v>
      </c>
      <c r="H95" s="1991" t="str">
        <f t="shared" ref="H95:H150" si="5">IF(G95&gt;$C$27,"",($D$30-$D$30*$D$20)*(($C$27-G95+1)*($C$27-G95)/($C$27*($C$27+1)))+$D$30*$D$20*($C$27-G95)/$C$27)</f>
        <v/>
      </c>
      <c r="I95" s="2097" t="str">
        <f t="shared" ref="I95:I150" si="6">IF(G95&gt;$C$27,"",H95-$D$21)</f>
        <v/>
      </c>
      <c r="J95" s="1975" t="str">
        <f t="shared" ref="J95:J150" si="7">IF(G95&gt;$C$27,"",$E$30*($C$27-G95)/$C$27)</f>
        <v/>
      </c>
      <c r="K95" s="1976" t="str">
        <f t="shared" ref="K95:K150" si="8">IF(G95&gt;$C$27,"",J95-$E$21)</f>
        <v/>
      </c>
    </row>
    <row r="96" spans="7:11" x14ac:dyDescent="0.3">
      <c r="G96" s="1917">
        <v>67</v>
      </c>
      <c r="H96" s="1991" t="str">
        <f t="shared" si="5"/>
        <v/>
      </c>
      <c r="I96" s="2097" t="str">
        <f t="shared" si="6"/>
        <v/>
      </c>
      <c r="J96" s="1975" t="str">
        <f t="shared" si="7"/>
        <v/>
      </c>
      <c r="K96" s="1976" t="str">
        <f t="shared" si="8"/>
        <v/>
      </c>
    </row>
    <row r="97" spans="7:11" x14ac:dyDescent="0.3">
      <c r="G97" s="1917">
        <v>68</v>
      </c>
      <c r="H97" s="1991" t="str">
        <f t="shared" si="5"/>
        <v/>
      </c>
      <c r="I97" s="2097" t="str">
        <f t="shared" si="6"/>
        <v/>
      </c>
      <c r="J97" s="1975" t="str">
        <f t="shared" si="7"/>
        <v/>
      </c>
      <c r="K97" s="1976" t="str">
        <f t="shared" si="8"/>
        <v/>
      </c>
    </row>
    <row r="98" spans="7:11" x14ac:dyDescent="0.3">
      <c r="G98" s="1917">
        <v>69</v>
      </c>
      <c r="H98" s="1991" t="str">
        <f t="shared" si="5"/>
        <v/>
      </c>
      <c r="I98" s="2097" t="str">
        <f t="shared" si="6"/>
        <v/>
      </c>
      <c r="J98" s="1975" t="str">
        <f t="shared" si="7"/>
        <v/>
      </c>
      <c r="K98" s="1976" t="str">
        <f t="shared" si="8"/>
        <v/>
      </c>
    </row>
    <row r="99" spans="7:11" x14ac:dyDescent="0.3">
      <c r="G99" s="1917">
        <v>70</v>
      </c>
      <c r="H99" s="1991" t="str">
        <f t="shared" si="5"/>
        <v/>
      </c>
      <c r="I99" s="2097" t="str">
        <f t="shared" si="6"/>
        <v/>
      </c>
      <c r="J99" s="1975" t="str">
        <f t="shared" si="7"/>
        <v/>
      </c>
      <c r="K99" s="1976" t="str">
        <f t="shared" si="8"/>
        <v/>
      </c>
    </row>
    <row r="100" spans="7:11" x14ac:dyDescent="0.3">
      <c r="G100" s="1917">
        <v>71</v>
      </c>
      <c r="H100" s="1991" t="str">
        <f t="shared" si="5"/>
        <v/>
      </c>
      <c r="I100" s="2097" t="str">
        <f t="shared" si="6"/>
        <v/>
      </c>
      <c r="J100" s="1975" t="str">
        <f t="shared" si="7"/>
        <v/>
      </c>
      <c r="K100" s="1976" t="str">
        <f t="shared" si="8"/>
        <v/>
      </c>
    </row>
    <row r="101" spans="7:11" x14ac:dyDescent="0.3">
      <c r="G101" s="1917">
        <v>72</v>
      </c>
      <c r="H101" s="1991" t="str">
        <f t="shared" si="5"/>
        <v/>
      </c>
      <c r="I101" s="2097" t="str">
        <f t="shared" si="6"/>
        <v/>
      </c>
      <c r="J101" s="1975" t="str">
        <f t="shared" si="7"/>
        <v/>
      </c>
      <c r="K101" s="1976" t="str">
        <f t="shared" si="8"/>
        <v/>
      </c>
    </row>
    <row r="102" spans="7:11" x14ac:dyDescent="0.3">
      <c r="G102" s="1917">
        <v>73</v>
      </c>
      <c r="H102" s="1991" t="str">
        <f t="shared" si="5"/>
        <v/>
      </c>
      <c r="I102" s="2097" t="str">
        <f t="shared" si="6"/>
        <v/>
      </c>
      <c r="J102" s="1975" t="str">
        <f t="shared" si="7"/>
        <v/>
      </c>
      <c r="K102" s="1976" t="str">
        <f t="shared" si="8"/>
        <v/>
      </c>
    </row>
    <row r="103" spans="7:11" x14ac:dyDescent="0.3">
      <c r="G103" s="1917">
        <v>74</v>
      </c>
      <c r="H103" s="1991" t="str">
        <f t="shared" si="5"/>
        <v/>
      </c>
      <c r="I103" s="2097" t="str">
        <f t="shared" si="6"/>
        <v/>
      </c>
      <c r="J103" s="1975" t="str">
        <f t="shared" si="7"/>
        <v/>
      </c>
      <c r="K103" s="1976" t="str">
        <f t="shared" si="8"/>
        <v/>
      </c>
    </row>
    <row r="104" spans="7:11" x14ac:dyDescent="0.3">
      <c r="G104" s="1917">
        <v>75</v>
      </c>
      <c r="H104" s="1991" t="str">
        <f t="shared" si="5"/>
        <v/>
      </c>
      <c r="I104" s="2097" t="str">
        <f t="shared" si="6"/>
        <v/>
      </c>
      <c r="J104" s="1975" t="str">
        <f t="shared" si="7"/>
        <v/>
      </c>
      <c r="K104" s="1976" t="str">
        <f t="shared" si="8"/>
        <v/>
      </c>
    </row>
    <row r="105" spans="7:11" x14ac:dyDescent="0.3">
      <c r="G105" s="1917">
        <v>76</v>
      </c>
      <c r="H105" s="1991" t="str">
        <f t="shared" si="5"/>
        <v/>
      </c>
      <c r="I105" s="2097" t="str">
        <f t="shared" si="6"/>
        <v/>
      </c>
      <c r="J105" s="1975" t="str">
        <f t="shared" si="7"/>
        <v/>
      </c>
      <c r="K105" s="1976" t="str">
        <f t="shared" si="8"/>
        <v/>
      </c>
    </row>
    <row r="106" spans="7:11" x14ac:dyDescent="0.3">
      <c r="G106" s="1917">
        <v>77</v>
      </c>
      <c r="H106" s="1991" t="str">
        <f t="shared" si="5"/>
        <v/>
      </c>
      <c r="I106" s="2097" t="str">
        <f t="shared" si="6"/>
        <v/>
      </c>
      <c r="J106" s="1975" t="str">
        <f t="shared" si="7"/>
        <v/>
      </c>
      <c r="K106" s="1976" t="str">
        <f t="shared" si="8"/>
        <v/>
      </c>
    </row>
    <row r="107" spans="7:11" x14ac:dyDescent="0.3">
      <c r="G107" s="1917">
        <v>78</v>
      </c>
      <c r="H107" s="1991" t="str">
        <f t="shared" si="5"/>
        <v/>
      </c>
      <c r="I107" s="2097" t="str">
        <f t="shared" si="6"/>
        <v/>
      </c>
      <c r="J107" s="1975" t="str">
        <f t="shared" si="7"/>
        <v/>
      </c>
      <c r="K107" s="1976" t="str">
        <f t="shared" si="8"/>
        <v/>
      </c>
    </row>
    <row r="108" spans="7:11" x14ac:dyDescent="0.3">
      <c r="G108" s="1917">
        <v>79</v>
      </c>
      <c r="H108" s="1991" t="str">
        <f t="shared" si="5"/>
        <v/>
      </c>
      <c r="I108" s="2097" t="str">
        <f t="shared" si="6"/>
        <v/>
      </c>
      <c r="J108" s="1975" t="str">
        <f t="shared" si="7"/>
        <v/>
      </c>
      <c r="K108" s="1976" t="str">
        <f t="shared" si="8"/>
        <v/>
      </c>
    </row>
    <row r="109" spans="7:11" x14ac:dyDescent="0.3">
      <c r="G109" s="1917">
        <v>80</v>
      </c>
      <c r="H109" s="1991" t="str">
        <f t="shared" si="5"/>
        <v/>
      </c>
      <c r="I109" s="2097" t="str">
        <f t="shared" si="6"/>
        <v/>
      </c>
      <c r="J109" s="1975" t="str">
        <f t="shared" si="7"/>
        <v/>
      </c>
      <c r="K109" s="1976" t="str">
        <f t="shared" si="8"/>
        <v/>
      </c>
    </row>
    <row r="110" spans="7:11" x14ac:dyDescent="0.3">
      <c r="G110" s="1917">
        <v>81</v>
      </c>
      <c r="H110" s="1991" t="str">
        <f t="shared" si="5"/>
        <v/>
      </c>
      <c r="I110" s="2097" t="str">
        <f t="shared" si="6"/>
        <v/>
      </c>
      <c r="J110" s="1975" t="str">
        <f t="shared" si="7"/>
        <v/>
      </c>
      <c r="K110" s="1976" t="str">
        <f t="shared" si="8"/>
        <v/>
      </c>
    </row>
    <row r="111" spans="7:11" x14ac:dyDescent="0.3">
      <c r="G111" s="1917">
        <v>82</v>
      </c>
      <c r="H111" s="1991" t="str">
        <f t="shared" si="5"/>
        <v/>
      </c>
      <c r="I111" s="2097" t="str">
        <f t="shared" si="6"/>
        <v/>
      </c>
      <c r="J111" s="1975" t="str">
        <f t="shared" si="7"/>
        <v/>
      </c>
      <c r="K111" s="1976" t="str">
        <f t="shared" si="8"/>
        <v/>
      </c>
    </row>
    <row r="112" spans="7:11" x14ac:dyDescent="0.3">
      <c r="G112" s="1917">
        <v>83</v>
      </c>
      <c r="H112" s="1991" t="str">
        <f t="shared" si="5"/>
        <v/>
      </c>
      <c r="I112" s="2097" t="str">
        <f t="shared" si="6"/>
        <v/>
      </c>
      <c r="J112" s="1975" t="str">
        <f t="shared" si="7"/>
        <v/>
      </c>
      <c r="K112" s="1976" t="str">
        <f t="shared" si="8"/>
        <v/>
      </c>
    </row>
    <row r="113" spans="7:11" x14ac:dyDescent="0.3">
      <c r="G113" s="1917">
        <v>84</v>
      </c>
      <c r="H113" s="1991" t="str">
        <f t="shared" si="5"/>
        <v/>
      </c>
      <c r="I113" s="2097" t="str">
        <f t="shared" si="6"/>
        <v/>
      </c>
      <c r="J113" s="1975" t="str">
        <f t="shared" si="7"/>
        <v/>
      </c>
      <c r="K113" s="1976" t="str">
        <f t="shared" si="8"/>
        <v/>
      </c>
    </row>
    <row r="114" spans="7:11" x14ac:dyDescent="0.3">
      <c r="G114" s="1917">
        <v>85</v>
      </c>
      <c r="H114" s="1991" t="str">
        <f t="shared" si="5"/>
        <v/>
      </c>
      <c r="I114" s="2097" t="str">
        <f t="shared" si="6"/>
        <v/>
      </c>
      <c r="J114" s="1975" t="str">
        <f t="shared" si="7"/>
        <v/>
      </c>
      <c r="K114" s="1976" t="str">
        <f t="shared" si="8"/>
        <v/>
      </c>
    </row>
    <row r="115" spans="7:11" x14ac:dyDescent="0.3">
      <c r="G115" s="1917">
        <v>86</v>
      </c>
      <c r="H115" s="1991" t="str">
        <f t="shared" si="5"/>
        <v/>
      </c>
      <c r="I115" s="2097" t="str">
        <f t="shared" si="6"/>
        <v/>
      </c>
      <c r="J115" s="1975" t="str">
        <f t="shared" si="7"/>
        <v/>
      </c>
      <c r="K115" s="1976" t="str">
        <f t="shared" si="8"/>
        <v/>
      </c>
    </row>
    <row r="116" spans="7:11" x14ac:dyDescent="0.3">
      <c r="G116" s="1917">
        <v>87</v>
      </c>
      <c r="H116" s="1991" t="str">
        <f t="shared" si="5"/>
        <v/>
      </c>
      <c r="I116" s="2097" t="str">
        <f t="shared" si="6"/>
        <v/>
      </c>
      <c r="J116" s="1975" t="str">
        <f t="shared" si="7"/>
        <v/>
      </c>
      <c r="K116" s="1976" t="str">
        <f t="shared" si="8"/>
        <v/>
      </c>
    </row>
    <row r="117" spans="7:11" x14ac:dyDescent="0.3">
      <c r="G117" s="1917">
        <v>88</v>
      </c>
      <c r="H117" s="1991" t="str">
        <f t="shared" si="5"/>
        <v/>
      </c>
      <c r="I117" s="2097" t="str">
        <f t="shared" si="6"/>
        <v/>
      </c>
      <c r="J117" s="1975" t="str">
        <f t="shared" si="7"/>
        <v/>
      </c>
      <c r="K117" s="1976" t="str">
        <f t="shared" si="8"/>
        <v/>
      </c>
    </row>
    <row r="118" spans="7:11" x14ac:dyDescent="0.3">
      <c r="G118" s="1917">
        <v>89</v>
      </c>
      <c r="H118" s="1991" t="str">
        <f t="shared" si="5"/>
        <v/>
      </c>
      <c r="I118" s="2097" t="str">
        <f t="shared" si="6"/>
        <v/>
      </c>
      <c r="J118" s="1975" t="str">
        <f t="shared" si="7"/>
        <v/>
      </c>
      <c r="K118" s="1976" t="str">
        <f t="shared" si="8"/>
        <v/>
      </c>
    </row>
    <row r="119" spans="7:11" x14ac:dyDescent="0.3">
      <c r="G119" s="1917">
        <v>90</v>
      </c>
      <c r="H119" s="1991" t="str">
        <f t="shared" si="5"/>
        <v/>
      </c>
      <c r="I119" s="2097" t="str">
        <f t="shared" si="6"/>
        <v/>
      </c>
      <c r="J119" s="1975" t="str">
        <f t="shared" si="7"/>
        <v/>
      </c>
      <c r="K119" s="1976" t="str">
        <f t="shared" si="8"/>
        <v/>
      </c>
    </row>
    <row r="120" spans="7:11" x14ac:dyDescent="0.3">
      <c r="G120" s="1917">
        <v>91</v>
      </c>
      <c r="H120" s="1991" t="str">
        <f t="shared" si="5"/>
        <v/>
      </c>
      <c r="I120" s="2097" t="str">
        <f t="shared" si="6"/>
        <v/>
      </c>
      <c r="J120" s="1975" t="str">
        <f t="shared" si="7"/>
        <v/>
      </c>
      <c r="K120" s="1976" t="str">
        <f t="shared" si="8"/>
        <v/>
      </c>
    </row>
    <row r="121" spans="7:11" x14ac:dyDescent="0.3">
      <c r="G121" s="1917">
        <v>92</v>
      </c>
      <c r="H121" s="1991" t="str">
        <f t="shared" si="5"/>
        <v/>
      </c>
      <c r="I121" s="2097" t="str">
        <f t="shared" si="6"/>
        <v/>
      </c>
      <c r="J121" s="1975" t="str">
        <f t="shared" si="7"/>
        <v/>
      </c>
      <c r="K121" s="1976" t="str">
        <f t="shared" si="8"/>
        <v/>
      </c>
    </row>
    <row r="122" spans="7:11" x14ac:dyDescent="0.3">
      <c r="G122" s="1917">
        <v>93</v>
      </c>
      <c r="H122" s="1991" t="str">
        <f t="shared" si="5"/>
        <v/>
      </c>
      <c r="I122" s="2097" t="str">
        <f t="shared" si="6"/>
        <v/>
      </c>
      <c r="J122" s="1975" t="str">
        <f t="shared" si="7"/>
        <v/>
      </c>
      <c r="K122" s="1976" t="str">
        <f t="shared" si="8"/>
        <v/>
      </c>
    </row>
    <row r="123" spans="7:11" x14ac:dyDescent="0.3">
      <c r="G123" s="1917">
        <v>94</v>
      </c>
      <c r="H123" s="1991" t="str">
        <f t="shared" si="5"/>
        <v/>
      </c>
      <c r="I123" s="2097" t="str">
        <f t="shared" si="6"/>
        <v/>
      </c>
      <c r="J123" s="1975" t="str">
        <f t="shared" si="7"/>
        <v/>
      </c>
      <c r="K123" s="1976" t="str">
        <f t="shared" si="8"/>
        <v/>
      </c>
    </row>
    <row r="124" spans="7:11" x14ac:dyDescent="0.3">
      <c r="G124" s="1917">
        <v>95</v>
      </c>
      <c r="H124" s="1991" t="str">
        <f t="shared" si="5"/>
        <v/>
      </c>
      <c r="I124" s="2097" t="str">
        <f t="shared" si="6"/>
        <v/>
      </c>
      <c r="J124" s="1975" t="str">
        <f t="shared" si="7"/>
        <v/>
      </c>
      <c r="K124" s="1976" t="str">
        <f t="shared" si="8"/>
        <v/>
      </c>
    </row>
    <row r="125" spans="7:11" x14ac:dyDescent="0.3">
      <c r="G125" s="1917">
        <v>96</v>
      </c>
      <c r="H125" s="1991" t="str">
        <f t="shared" si="5"/>
        <v/>
      </c>
      <c r="I125" s="2097" t="str">
        <f t="shared" si="6"/>
        <v/>
      </c>
      <c r="J125" s="1975" t="str">
        <f t="shared" si="7"/>
        <v/>
      </c>
      <c r="K125" s="1976" t="str">
        <f t="shared" si="8"/>
        <v/>
      </c>
    </row>
    <row r="126" spans="7:11" x14ac:dyDescent="0.3">
      <c r="G126" s="1917">
        <v>97</v>
      </c>
      <c r="H126" s="1991" t="str">
        <f t="shared" si="5"/>
        <v/>
      </c>
      <c r="I126" s="2097" t="str">
        <f t="shared" si="6"/>
        <v/>
      </c>
      <c r="J126" s="1975" t="str">
        <f t="shared" si="7"/>
        <v/>
      </c>
      <c r="K126" s="1976" t="str">
        <f t="shared" si="8"/>
        <v/>
      </c>
    </row>
    <row r="127" spans="7:11" x14ac:dyDescent="0.3">
      <c r="G127" s="1917">
        <v>98</v>
      </c>
      <c r="H127" s="1991" t="str">
        <f t="shared" si="5"/>
        <v/>
      </c>
      <c r="I127" s="2097" t="str">
        <f t="shared" si="6"/>
        <v/>
      </c>
      <c r="J127" s="1975" t="str">
        <f t="shared" si="7"/>
        <v/>
      </c>
      <c r="K127" s="1976" t="str">
        <f t="shared" si="8"/>
        <v/>
      </c>
    </row>
    <row r="128" spans="7:11" x14ac:dyDescent="0.3">
      <c r="G128" s="1917">
        <v>99</v>
      </c>
      <c r="H128" s="1991" t="str">
        <f t="shared" si="5"/>
        <v/>
      </c>
      <c r="I128" s="2097" t="str">
        <f t="shared" si="6"/>
        <v/>
      </c>
      <c r="J128" s="1975" t="str">
        <f t="shared" si="7"/>
        <v/>
      </c>
      <c r="K128" s="1976" t="str">
        <f t="shared" si="8"/>
        <v/>
      </c>
    </row>
    <row r="129" spans="7:11" x14ac:dyDescent="0.3">
      <c r="G129" s="1917">
        <v>100</v>
      </c>
      <c r="H129" s="1991" t="str">
        <f t="shared" si="5"/>
        <v/>
      </c>
      <c r="I129" s="2097" t="str">
        <f t="shared" si="6"/>
        <v/>
      </c>
      <c r="J129" s="1975" t="str">
        <f t="shared" si="7"/>
        <v/>
      </c>
      <c r="K129" s="1976" t="str">
        <f t="shared" si="8"/>
        <v/>
      </c>
    </row>
    <row r="130" spans="7:11" x14ac:dyDescent="0.3">
      <c r="G130" s="1917">
        <v>101</v>
      </c>
      <c r="H130" s="1991" t="str">
        <f t="shared" si="5"/>
        <v/>
      </c>
      <c r="I130" s="2097" t="str">
        <f t="shared" si="6"/>
        <v/>
      </c>
      <c r="J130" s="1975" t="str">
        <f t="shared" si="7"/>
        <v/>
      </c>
      <c r="K130" s="1976" t="str">
        <f t="shared" si="8"/>
        <v/>
      </c>
    </row>
    <row r="131" spans="7:11" x14ac:dyDescent="0.3">
      <c r="G131" s="1917">
        <v>102</v>
      </c>
      <c r="H131" s="1991" t="str">
        <f t="shared" si="5"/>
        <v/>
      </c>
      <c r="I131" s="2097" t="str">
        <f t="shared" si="6"/>
        <v/>
      </c>
      <c r="J131" s="1975" t="str">
        <f t="shared" si="7"/>
        <v/>
      </c>
      <c r="K131" s="1976" t="str">
        <f t="shared" si="8"/>
        <v/>
      </c>
    </row>
    <row r="132" spans="7:11" x14ac:dyDescent="0.3">
      <c r="G132" s="1917">
        <v>103</v>
      </c>
      <c r="H132" s="1991" t="str">
        <f t="shared" si="5"/>
        <v/>
      </c>
      <c r="I132" s="2097" t="str">
        <f t="shared" si="6"/>
        <v/>
      </c>
      <c r="J132" s="1975" t="str">
        <f t="shared" si="7"/>
        <v/>
      </c>
      <c r="K132" s="1976" t="str">
        <f t="shared" si="8"/>
        <v/>
      </c>
    </row>
    <row r="133" spans="7:11" x14ac:dyDescent="0.3">
      <c r="G133" s="1917">
        <v>104</v>
      </c>
      <c r="H133" s="1991" t="str">
        <f t="shared" si="5"/>
        <v/>
      </c>
      <c r="I133" s="2097" t="str">
        <f t="shared" si="6"/>
        <v/>
      </c>
      <c r="J133" s="1975" t="str">
        <f t="shared" si="7"/>
        <v/>
      </c>
      <c r="K133" s="1976" t="str">
        <f t="shared" si="8"/>
        <v/>
      </c>
    </row>
    <row r="134" spans="7:11" x14ac:dyDescent="0.3">
      <c r="G134" s="1917">
        <v>105</v>
      </c>
      <c r="H134" s="1991" t="str">
        <f t="shared" si="5"/>
        <v/>
      </c>
      <c r="I134" s="2097" t="str">
        <f t="shared" si="6"/>
        <v/>
      </c>
      <c r="J134" s="1975" t="str">
        <f t="shared" si="7"/>
        <v/>
      </c>
      <c r="K134" s="1976" t="str">
        <f t="shared" si="8"/>
        <v/>
      </c>
    </row>
    <row r="135" spans="7:11" x14ac:dyDescent="0.3">
      <c r="G135" s="1917">
        <v>106</v>
      </c>
      <c r="H135" s="1991" t="str">
        <f t="shared" si="5"/>
        <v/>
      </c>
      <c r="I135" s="2097" t="str">
        <f t="shared" si="6"/>
        <v/>
      </c>
      <c r="J135" s="1975" t="str">
        <f t="shared" si="7"/>
        <v/>
      </c>
      <c r="K135" s="1976" t="str">
        <f t="shared" si="8"/>
        <v/>
      </c>
    </row>
    <row r="136" spans="7:11" x14ac:dyDescent="0.3">
      <c r="G136" s="1917">
        <v>107</v>
      </c>
      <c r="H136" s="1991" t="str">
        <f t="shared" si="5"/>
        <v/>
      </c>
      <c r="I136" s="2097" t="str">
        <f t="shared" si="6"/>
        <v/>
      </c>
      <c r="J136" s="1975" t="str">
        <f t="shared" si="7"/>
        <v/>
      </c>
      <c r="K136" s="1976" t="str">
        <f t="shared" si="8"/>
        <v/>
      </c>
    </row>
    <row r="137" spans="7:11" x14ac:dyDescent="0.3">
      <c r="G137" s="1917">
        <v>108</v>
      </c>
      <c r="H137" s="1991" t="str">
        <f t="shared" si="5"/>
        <v/>
      </c>
      <c r="I137" s="2097" t="str">
        <f t="shared" si="6"/>
        <v/>
      </c>
      <c r="J137" s="1975" t="str">
        <f t="shared" si="7"/>
        <v/>
      </c>
      <c r="K137" s="1976" t="str">
        <f t="shared" si="8"/>
        <v/>
      </c>
    </row>
    <row r="138" spans="7:11" x14ac:dyDescent="0.3">
      <c r="G138" s="1917">
        <v>109</v>
      </c>
      <c r="H138" s="1991" t="str">
        <f t="shared" si="5"/>
        <v/>
      </c>
      <c r="I138" s="2097" t="str">
        <f t="shared" si="6"/>
        <v/>
      </c>
      <c r="J138" s="1975" t="str">
        <f t="shared" si="7"/>
        <v/>
      </c>
      <c r="K138" s="1976" t="str">
        <f t="shared" si="8"/>
        <v/>
      </c>
    </row>
    <row r="139" spans="7:11" x14ac:dyDescent="0.3">
      <c r="G139" s="1917">
        <v>110</v>
      </c>
      <c r="H139" s="1991" t="str">
        <f t="shared" si="5"/>
        <v/>
      </c>
      <c r="I139" s="2097" t="str">
        <f t="shared" si="6"/>
        <v/>
      </c>
      <c r="J139" s="1975" t="str">
        <f t="shared" si="7"/>
        <v/>
      </c>
      <c r="K139" s="1976" t="str">
        <f t="shared" si="8"/>
        <v/>
      </c>
    </row>
    <row r="140" spans="7:11" x14ac:dyDescent="0.3">
      <c r="G140" s="1917">
        <v>111</v>
      </c>
      <c r="H140" s="1991" t="str">
        <f t="shared" si="5"/>
        <v/>
      </c>
      <c r="I140" s="2097" t="str">
        <f t="shared" si="6"/>
        <v/>
      </c>
      <c r="J140" s="1975" t="str">
        <f t="shared" si="7"/>
        <v/>
      </c>
      <c r="K140" s="1976" t="str">
        <f t="shared" si="8"/>
        <v/>
      </c>
    </row>
    <row r="141" spans="7:11" x14ac:dyDescent="0.3">
      <c r="G141" s="1917">
        <v>112</v>
      </c>
      <c r="H141" s="1991" t="str">
        <f t="shared" si="5"/>
        <v/>
      </c>
      <c r="I141" s="2097" t="str">
        <f t="shared" si="6"/>
        <v/>
      </c>
      <c r="J141" s="1975" t="str">
        <f t="shared" si="7"/>
        <v/>
      </c>
      <c r="K141" s="1976" t="str">
        <f t="shared" si="8"/>
        <v/>
      </c>
    </row>
    <row r="142" spans="7:11" x14ac:dyDescent="0.3">
      <c r="G142" s="1917">
        <v>113</v>
      </c>
      <c r="H142" s="1991" t="str">
        <f t="shared" si="5"/>
        <v/>
      </c>
      <c r="I142" s="2097" t="str">
        <f t="shared" si="6"/>
        <v/>
      </c>
      <c r="J142" s="1975" t="str">
        <f t="shared" si="7"/>
        <v/>
      </c>
      <c r="K142" s="1976" t="str">
        <f t="shared" si="8"/>
        <v/>
      </c>
    </row>
    <row r="143" spans="7:11" x14ac:dyDescent="0.3">
      <c r="G143" s="1917">
        <v>114</v>
      </c>
      <c r="H143" s="1991" t="str">
        <f t="shared" si="5"/>
        <v/>
      </c>
      <c r="I143" s="2097" t="str">
        <f t="shared" si="6"/>
        <v/>
      </c>
      <c r="J143" s="1975" t="str">
        <f t="shared" si="7"/>
        <v/>
      </c>
      <c r="K143" s="1976" t="str">
        <f t="shared" si="8"/>
        <v/>
      </c>
    </row>
    <row r="144" spans="7:11" x14ac:dyDescent="0.3">
      <c r="G144" s="1917">
        <v>115</v>
      </c>
      <c r="H144" s="1991" t="str">
        <f t="shared" si="5"/>
        <v/>
      </c>
      <c r="I144" s="2097" t="str">
        <f t="shared" si="6"/>
        <v/>
      </c>
      <c r="J144" s="1975" t="str">
        <f t="shared" si="7"/>
        <v/>
      </c>
      <c r="K144" s="1976" t="str">
        <f t="shared" si="8"/>
        <v/>
      </c>
    </row>
    <row r="145" spans="7:11" x14ac:dyDescent="0.3">
      <c r="G145" s="1917">
        <v>116</v>
      </c>
      <c r="H145" s="1991" t="str">
        <f t="shared" si="5"/>
        <v/>
      </c>
      <c r="I145" s="2097" t="str">
        <f t="shared" si="6"/>
        <v/>
      </c>
      <c r="J145" s="1975" t="str">
        <f t="shared" si="7"/>
        <v/>
      </c>
      <c r="K145" s="1976" t="str">
        <f t="shared" si="8"/>
        <v/>
      </c>
    </row>
    <row r="146" spans="7:11" x14ac:dyDescent="0.3">
      <c r="G146" s="1917">
        <v>117</v>
      </c>
      <c r="H146" s="1991" t="str">
        <f t="shared" si="5"/>
        <v/>
      </c>
      <c r="I146" s="2097" t="str">
        <f t="shared" si="6"/>
        <v/>
      </c>
      <c r="J146" s="1975" t="str">
        <f t="shared" si="7"/>
        <v/>
      </c>
      <c r="K146" s="1976" t="str">
        <f t="shared" si="8"/>
        <v/>
      </c>
    </row>
    <row r="147" spans="7:11" x14ac:dyDescent="0.3">
      <c r="G147" s="1917">
        <v>118</v>
      </c>
      <c r="H147" s="1991" t="str">
        <f t="shared" si="5"/>
        <v/>
      </c>
      <c r="I147" s="2097" t="str">
        <f t="shared" si="6"/>
        <v/>
      </c>
      <c r="J147" s="1975" t="str">
        <f t="shared" si="7"/>
        <v/>
      </c>
      <c r="K147" s="1976" t="str">
        <f t="shared" si="8"/>
        <v/>
      </c>
    </row>
    <row r="148" spans="7:11" x14ac:dyDescent="0.3">
      <c r="G148" s="1917">
        <v>119</v>
      </c>
      <c r="H148" s="1991" t="str">
        <f t="shared" si="5"/>
        <v/>
      </c>
      <c r="I148" s="2097" t="str">
        <f t="shared" si="6"/>
        <v/>
      </c>
      <c r="J148" s="1975" t="str">
        <f t="shared" si="7"/>
        <v/>
      </c>
      <c r="K148" s="1976" t="str">
        <f t="shared" si="8"/>
        <v/>
      </c>
    </row>
    <row r="149" spans="7:11" x14ac:dyDescent="0.3">
      <c r="G149" s="1917">
        <v>120</v>
      </c>
      <c r="H149" s="1991" t="str">
        <f t="shared" si="5"/>
        <v/>
      </c>
      <c r="I149" s="2097" t="str">
        <f t="shared" si="6"/>
        <v/>
      </c>
      <c r="J149" s="1975" t="str">
        <f t="shared" si="7"/>
        <v/>
      </c>
      <c r="K149" s="1976" t="str">
        <f t="shared" si="8"/>
        <v/>
      </c>
    </row>
    <row r="150" spans="7:11" x14ac:dyDescent="0.3">
      <c r="G150" s="1917">
        <v>121</v>
      </c>
      <c r="H150" s="1991" t="str">
        <f t="shared" si="5"/>
        <v/>
      </c>
      <c r="I150" s="2097" t="str">
        <f t="shared" si="6"/>
        <v/>
      </c>
      <c r="J150" s="1975" t="str">
        <f t="shared" si="7"/>
        <v/>
      </c>
      <c r="K150" s="1976" t="str">
        <f t="shared" si="8"/>
        <v/>
      </c>
    </row>
  </sheetData>
  <mergeCells count="7">
    <mergeCell ref="G28:H28"/>
    <mergeCell ref="B4:E4"/>
    <mergeCell ref="B5:E5"/>
    <mergeCell ref="K5:P5"/>
    <mergeCell ref="B7:C7"/>
    <mergeCell ref="L22:M22"/>
    <mergeCell ref="G24:H24"/>
  </mergeCells>
  <pageMargins left="0.7" right="0.7" top="0.75" bottom="0.75" header="0.3" footer="0.3"/>
  <pageSetup paperSize="9" orientation="landscape" r:id="rId1"/>
  <headerFooter alignWithMargins="0">
    <oddHeader>&amp;L&amp;"Calibri"&amp;10&amp;K000000Classified as Confidential&amp;1#</oddHeader>
  </headerFooter>
  <drawing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3B60F-A09B-4AAD-8E97-03DB599ADFF2}">
  <dimension ref="A1:G259"/>
  <sheetViews>
    <sheetView zoomScale="90" zoomScaleNormal="90" workbookViewId="0">
      <selection activeCell="L91" sqref="L91"/>
    </sheetView>
  </sheetViews>
  <sheetFormatPr defaultRowHeight="14.4" x14ac:dyDescent="0.3"/>
  <cols>
    <col min="1" max="1" width="3.5546875" customWidth="1"/>
    <col min="2" max="2" width="30.77734375" customWidth="1"/>
    <col min="3" max="3" width="32.5546875" customWidth="1"/>
    <col min="4" max="4" width="27" customWidth="1"/>
    <col min="5" max="5" width="29.21875" customWidth="1"/>
    <col min="6" max="6" width="28.5546875" style="2143" customWidth="1"/>
    <col min="7" max="7" width="14.77734375" customWidth="1"/>
    <col min="257" max="257" width="3.5546875" customWidth="1"/>
    <col min="258" max="258" width="30.77734375" customWidth="1"/>
    <col min="259" max="259" width="32.5546875" customWidth="1"/>
    <col min="260" max="260" width="27" customWidth="1"/>
    <col min="261" max="261" width="29.21875" customWidth="1"/>
    <col min="262" max="262" width="28.5546875" customWidth="1"/>
    <col min="263" max="263" width="14.77734375" customWidth="1"/>
    <col min="513" max="513" width="3.5546875" customWidth="1"/>
    <col min="514" max="514" width="30.77734375" customWidth="1"/>
    <col min="515" max="515" width="32.5546875" customWidth="1"/>
    <col min="516" max="516" width="27" customWidth="1"/>
    <col min="517" max="517" width="29.21875" customWidth="1"/>
    <col min="518" max="518" width="28.5546875" customWidth="1"/>
    <col min="519" max="519" width="14.77734375" customWidth="1"/>
    <col min="769" max="769" width="3.5546875" customWidth="1"/>
    <col min="770" max="770" width="30.77734375" customWidth="1"/>
    <col min="771" max="771" width="32.5546875" customWidth="1"/>
    <col min="772" max="772" width="27" customWidth="1"/>
    <col min="773" max="773" width="29.21875" customWidth="1"/>
    <col min="774" max="774" width="28.5546875" customWidth="1"/>
    <col min="775" max="775" width="14.77734375" customWidth="1"/>
    <col min="1025" max="1025" width="3.5546875" customWidth="1"/>
    <col min="1026" max="1026" width="30.77734375" customWidth="1"/>
    <col min="1027" max="1027" width="32.5546875" customWidth="1"/>
    <col min="1028" max="1028" width="27" customWidth="1"/>
    <col min="1029" max="1029" width="29.21875" customWidth="1"/>
    <col min="1030" max="1030" width="28.5546875" customWidth="1"/>
    <col min="1031" max="1031" width="14.77734375" customWidth="1"/>
    <col min="1281" max="1281" width="3.5546875" customWidth="1"/>
    <col min="1282" max="1282" width="30.77734375" customWidth="1"/>
    <col min="1283" max="1283" width="32.5546875" customWidth="1"/>
    <col min="1284" max="1284" width="27" customWidth="1"/>
    <col min="1285" max="1285" width="29.21875" customWidth="1"/>
    <col min="1286" max="1286" width="28.5546875" customWidth="1"/>
    <col min="1287" max="1287" width="14.77734375" customWidth="1"/>
    <col min="1537" max="1537" width="3.5546875" customWidth="1"/>
    <col min="1538" max="1538" width="30.77734375" customWidth="1"/>
    <col min="1539" max="1539" width="32.5546875" customWidth="1"/>
    <col min="1540" max="1540" width="27" customWidth="1"/>
    <col min="1541" max="1541" width="29.21875" customWidth="1"/>
    <col min="1542" max="1542" width="28.5546875" customWidth="1"/>
    <col min="1543" max="1543" width="14.77734375" customWidth="1"/>
    <col min="1793" max="1793" width="3.5546875" customWidth="1"/>
    <col min="1794" max="1794" width="30.77734375" customWidth="1"/>
    <col min="1795" max="1795" width="32.5546875" customWidth="1"/>
    <col min="1796" max="1796" width="27" customWidth="1"/>
    <col min="1797" max="1797" width="29.21875" customWidth="1"/>
    <col min="1798" max="1798" width="28.5546875" customWidth="1"/>
    <col min="1799" max="1799" width="14.77734375" customWidth="1"/>
    <col min="2049" max="2049" width="3.5546875" customWidth="1"/>
    <col min="2050" max="2050" width="30.77734375" customWidth="1"/>
    <col min="2051" max="2051" width="32.5546875" customWidth="1"/>
    <col min="2052" max="2052" width="27" customWidth="1"/>
    <col min="2053" max="2053" width="29.21875" customWidth="1"/>
    <col min="2054" max="2054" width="28.5546875" customWidth="1"/>
    <col min="2055" max="2055" width="14.77734375" customWidth="1"/>
    <col min="2305" max="2305" width="3.5546875" customWidth="1"/>
    <col min="2306" max="2306" width="30.77734375" customWidth="1"/>
    <col min="2307" max="2307" width="32.5546875" customWidth="1"/>
    <col min="2308" max="2308" width="27" customWidth="1"/>
    <col min="2309" max="2309" width="29.21875" customWidth="1"/>
    <col min="2310" max="2310" width="28.5546875" customWidth="1"/>
    <col min="2311" max="2311" width="14.77734375" customWidth="1"/>
    <col min="2561" max="2561" width="3.5546875" customWidth="1"/>
    <col min="2562" max="2562" width="30.77734375" customWidth="1"/>
    <col min="2563" max="2563" width="32.5546875" customWidth="1"/>
    <col min="2564" max="2564" width="27" customWidth="1"/>
    <col min="2565" max="2565" width="29.21875" customWidth="1"/>
    <col min="2566" max="2566" width="28.5546875" customWidth="1"/>
    <col min="2567" max="2567" width="14.77734375" customWidth="1"/>
    <col min="2817" max="2817" width="3.5546875" customWidth="1"/>
    <col min="2818" max="2818" width="30.77734375" customWidth="1"/>
    <col min="2819" max="2819" width="32.5546875" customWidth="1"/>
    <col min="2820" max="2820" width="27" customWidth="1"/>
    <col min="2821" max="2821" width="29.21875" customWidth="1"/>
    <col min="2822" max="2822" width="28.5546875" customWidth="1"/>
    <col min="2823" max="2823" width="14.77734375" customWidth="1"/>
    <col min="3073" max="3073" width="3.5546875" customWidth="1"/>
    <col min="3074" max="3074" width="30.77734375" customWidth="1"/>
    <col min="3075" max="3075" width="32.5546875" customWidth="1"/>
    <col min="3076" max="3076" width="27" customWidth="1"/>
    <col min="3077" max="3077" width="29.21875" customWidth="1"/>
    <col min="3078" max="3078" width="28.5546875" customWidth="1"/>
    <col min="3079" max="3079" width="14.77734375" customWidth="1"/>
    <col min="3329" max="3329" width="3.5546875" customWidth="1"/>
    <col min="3330" max="3330" width="30.77734375" customWidth="1"/>
    <col min="3331" max="3331" width="32.5546875" customWidth="1"/>
    <col min="3332" max="3332" width="27" customWidth="1"/>
    <col min="3333" max="3333" width="29.21875" customWidth="1"/>
    <col min="3334" max="3334" width="28.5546875" customWidth="1"/>
    <col min="3335" max="3335" width="14.77734375" customWidth="1"/>
    <col min="3585" max="3585" width="3.5546875" customWidth="1"/>
    <col min="3586" max="3586" width="30.77734375" customWidth="1"/>
    <col min="3587" max="3587" width="32.5546875" customWidth="1"/>
    <col min="3588" max="3588" width="27" customWidth="1"/>
    <col min="3589" max="3589" width="29.21875" customWidth="1"/>
    <col min="3590" max="3590" width="28.5546875" customWidth="1"/>
    <col min="3591" max="3591" width="14.77734375" customWidth="1"/>
    <col min="3841" max="3841" width="3.5546875" customWidth="1"/>
    <col min="3842" max="3842" width="30.77734375" customWidth="1"/>
    <col min="3843" max="3843" width="32.5546875" customWidth="1"/>
    <col min="3844" max="3844" width="27" customWidth="1"/>
    <col min="3845" max="3845" width="29.21875" customWidth="1"/>
    <col min="3846" max="3846" width="28.5546875" customWidth="1"/>
    <col min="3847" max="3847" width="14.77734375" customWidth="1"/>
    <col min="4097" max="4097" width="3.5546875" customWidth="1"/>
    <col min="4098" max="4098" width="30.77734375" customWidth="1"/>
    <col min="4099" max="4099" width="32.5546875" customWidth="1"/>
    <col min="4100" max="4100" width="27" customWidth="1"/>
    <col min="4101" max="4101" width="29.21875" customWidth="1"/>
    <col min="4102" max="4102" width="28.5546875" customWidth="1"/>
    <col min="4103" max="4103" width="14.77734375" customWidth="1"/>
    <col min="4353" max="4353" width="3.5546875" customWidth="1"/>
    <col min="4354" max="4354" width="30.77734375" customWidth="1"/>
    <col min="4355" max="4355" width="32.5546875" customWidth="1"/>
    <col min="4356" max="4356" width="27" customWidth="1"/>
    <col min="4357" max="4357" width="29.21875" customWidth="1"/>
    <col min="4358" max="4358" width="28.5546875" customWidth="1"/>
    <col min="4359" max="4359" width="14.77734375" customWidth="1"/>
    <col min="4609" max="4609" width="3.5546875" customWidth="1"/>
    <col min="4610" max="4610" width="30.77734375" customWidth="1"/>
    <col min="4611" max="4611" width="32.5546875" customWidth="1"/>
    <col min="4612" max="4612" width="27" customWidth="1"/>
    <col min="4613" max="4613" width="29.21875" customWidth="1"/>
    <col min="4614" max="4614" width="28.5546875" customWidth="1"/>
    <col min="4615" max="4615" width="14.77734375" customWidth="1"/>
    <col min="4865" max="4865" width="3.5546875" customWidth="1"/>
    <col min="4866" max="4866" width="30.77734375" customWidth="1"/>
    <col min="4867" max="4867" width="32.5546875" customWidth="1"/>
    <col min="4868" max="4868" width="27" customWidth="1"/>
    <col min="4869" max="4869" width="29.21875" customWidth="1"/>
    <col min="4870" max="4870" width="28.5546875" customWidth="1"/>
    <col min="4871" max="4871" width="14.77734375" customWidth="1"/>
    <col min="5121" max="5121" width="3.5546875" customWidth="1"/>
    <col min="5122" max="5122" width="30.77734375" customWidth="1"/>
    <col min="5123" max="5123" width="32.5546875" customWidth="1"/>
    <col min="5124" max="5124" width="27" customWidth="1"/>
    <col min="5125" max="5125" width="29.21875" customWidth="1"/>
    <col min="5126" max="5126" width="28.5546875" customWidth="1"/>
    <col min="5127" max="5127" width="14.77734375" customWidth="1"/>
    <col min="5377" max="5377" width="3.5546875" customWidth="1"/>
    <col min="5378" max="5378" width="30.77734375" customWidth="1"/>
    <col min="5379" max="5379" width="32.5546875" customWidth="1"/>
    <col min="5380" max="5380" width="27" customWidth="1"/>
    <col min="5381" max="5381" width="29.21875" customWidth="1"/>
    <col min="5382" max="5382" width="28.5546875" customWidth="1"/>
    <col min="5383" max="5383" width="14.77734375" customWidth="1"/>
    <col min="5633" max="5633" width="3.5546875" customWidth="1"/>
    <col min="5634" max="5634" width="30.77734375" customWidth="1"/>
    <col min="5635" max="5635" width="32.5546875" customWidth="1"/>
    <col min="5636" max="5636" width="27" customWidth="1"/>
    <col min="5637" max="5637" width="29.21875" customWidth="1"/>
    <col min="5638" max="5638" width="28.5546875" customWidth="1"/>
    <col min="5639" max="5639" width="14.77734375" customWidth="1"/>
    <col min="5889" max="5889" width="3.5546875" customWidth="1"/>
    <col min="5890" max="5890" width="30.77734375" customWidth="1"/>
    <col min="5891" max="5891" width="32.5546875" customWidth="1"/>
    <col min="5892" max="5892" width="27" customWidth="1"/>
    <col min="5893" max="5893" width="29.21875" customWidth="1"/>
    <col min="5894" max="5894" width="28.5546875" customWidth="1"/>
    <col min="5895" max="5895" width="14.77734375" customWidth="1"/>
    <col min="6145" max="6145" width="3.5546875" customWidth="1"/>
    <col min="6146" max="6146" width="30.77734375" customWidth="1"/>
    <col min="6147" max="6147" width="32.5546875" customWidth="1"/>
    <col min="6148" max="6148" width="27" customWidth="1"/>
    <col min="6149" max="6149" width="29.21875" customWidth="1"/>
    <col min="6150" max="6150" width="28.5546875" customWidth="1"/>
    <col min="6151" max="6151" width="14.77734375" customWidth="1"/>
    <col min="6401" max="6401" width="3.5546875" customWidth="1"/>
    <col min="6402" max="6402" width="30.77734375" customWidth="1"/>
    <col min="6403" max="6403" width="32.5546875" customWidth="1"/>
    <col min="6404" max="6404" width="27" customWidth="1"/>
    <col min="6405" max="6405" width="29.21875" customWidth="1"/>
    <col min="6406" max="6406" width="28.5546875" customWidth="1"/>
    <col min="6407" max="6407" width="14.77734375" customWidth="1"/>
    <col min="6657" max="6657" width="3.5546875" customWidth="1"/>
    <col min="6658" max="6658" width="30.77734375" customWidth="1"/>
    <col min="6659" max="6659" width="32.5546875" customWidth="1"/>
    <col min="6660" max="6660" width="27" customWidth="1"/>
    <col min="6661" max="6661" width="29.21875" customWidth="1"/>
    <col min="6662" max="6662" width="28.5546875" customWidth="1"/>
    <col min="6663" max="6663" width="14.77734375" customWidth="1"/>
    <col min="6913" max="6913" width="3.5546875" customWidth="1"/>
    <col min="6914" max="6914" width="30.77734375" customWidth="1"/>
    <col min="6915" max="6915" width="32.5546875" customWidth="1"/>
    <col min="6916" max="6916" width="27" customWidth="1"/>
    <col min="6917" max="6917" width="29.21875" customWidth="1"/>
    <col min="6918" max="6918" width="28.5546875" customWidth="1"/>
    <col min="6919" max="6919" width="14.77734375" customWidth="1"/>
    <col min="7169" max="7169" width="3.5546875" customWidth="1"/>
    <col min="7170" max="7170" width="30.77734375" customWidth="1"/>
    <col min="7171" max="7171" width="32.5546875" customWidth="1"/>
    <col min="7172" max="7172" width="27" customWidth="1"/>
    <col min="7173" max="7173" width="29.21875" customWidth="1"/>
    <col min="7174" max="7174" width="28.5546875" customWidth="1"/>
    <col min="7175" max="7175" width="14.77734375" customWidth="1"/>
    <col min="7425" max="7425" width="3.5546875" customWidth="1"/>
    <col min="7426" max="7426" width="30.77734375" customWidth="1"/>
    <col min="7427" max="7427" width="32.5546875" customWidth="1"/>
    <col min="7428" max="7428" width="27" customWidth="1"/>
    <col min="7429" max="7429" width="29.21875" customWidth="1"/>
    <col min="7430" max="7430" width="28.5546875" customWidth="1"/>
    <col min="7431" max="7431" width="14.77734375" customWidth="1"/>
    <col min="7681" max="7681" width="3.5546875" customWidth="1"/>
    <col min="7682" max="7682" width="30.77734375" customWidth="1"/>
    <col min="7683" max="7683" width="32.5546875" customWidth="1"/>
    <col min="7684" max="7684" width="27" customWidth="1"/>
    <col min="7685" max="7685" width="29.21875" customWidth="1"/>
    <col min="7686" max="7686" width="28.5546875" customWidth="1"/>
    <col min="7687" max="7687" width="14.77734375" customWidth="1"/>
    <col min="7937" max="7937" width="3.5546875" customWidth="1"/>
    <col min="7938" max="7938" width="30.77734375" customWidth="1"/>
    <col min="7939" max="7939" width="32.5546875" customWidth="1"/>
    <col min="7940" max="7940" width="27" customWidth="1"/>
    <col min="7941" max="7941" width="29.21875" customWidth="1"/>
    <col min="7942" max="7942" width="28.5546875" customWidth="1"/>
    <col min="7943" max="7943" width="14.77734375" customWidth="1"/>
    <col min="8193" max="8193" width="3.5546875" customWidth="1"/>
    <col min="8194" max="8194" width="30.77734375" customWidth="1"/>
    <col min="8195" max="8195" width="32.5546875" customWidth="1"/>
    <col min="8196" max="8196" width="27" customWidth="1"/>
    <col min="8197" max="8197" width="29.21875" customWidth="1"/>
    <col min="8198" max="8198" width="28.5546875" customWidth="1"/>
    <col min="8199" max="8199" width="14.77734375" customWidth="1"/>
    <col min="8449" max="8449" width="3.5546875" customWidth="1"/>
    <col min="8450" max="8450" width="30.77734375" customWidth="1"/>
    <col min="8451" max="8451" width="32.5546875" customWidth="1"/>
    <col min="8452" max="8452" width="27" customWidth="1"/>
    <col min="8453" max="8453" width="29.21875" customWidth="1"/>
    <col min="8454" max="8454" width="28.5546875" customWidth="1"/>
    <col min="8455" max="8455" width="14.77734375" customWidth="1"/>
    <col min="8705" max="8705" width="3.5546875" customWidth="1"/>
    <col min="8706" max="8706" width="30.77734375" customWidth="1"/>
    <col min="8707" max="8707" width="32.5546875" customWidth="1"/>
    <col min="8708" max="8708" width="27" customWidth="1"/>
    <col min="8709" max="8709" width="29.21875" customWidth="1"/>
    <col min="8710" max="8710" width="28.5546875" customWidth="1"/>
    <col min="8711" max="8711" width="14.77734375" customWidth="1"/>
    <col min="8961" max="8961" width="3.5546875" customWidth="1"/>
    <col min="8962" max="8962" width="30.77734375" customWidth="1"/>
    <col min="8963" max="8963" width="32.5546875" customWidth="1"/>
    <col min="8964" max="8964" width="27" customWidth="1"/>
    <col min="8965" max="8965" width="29.21875" customWidth="1"/>
    <col min="8966" max="8966" width="28.5546875" customWidth="1"/>
    <col min="8967" max="8967" width="14.77734375" customWidth="1"/>
    <col min="9217" max="9217" width="3.5546875" customWidth="1"/>
    <col min="9218" max="9218" width="30.77734375" customWidth="1"/>
    <col min="9219" max="9219" width="32.5546875" customWidth="1"/>
    <col min="9220" max="9220" width="27" customWidth="1"/>
    <col min="9221" max="9221" width="29.21875" customWidth="1"/>
    <col min="9222" max="9222" width="28.5546875" customWidth="1"/>
    <col min="9223" max="9223" width="14.77734375" customWidth="1"/>
    <col min="9473" max="9473" width="3.5546875" customWidth="1"/>
    <col min="9474" max="9474" width="30.77734375" customWidth="1"/>
    <col min="9475" max="9475" width="32.5546875" customWidth="1"/>
    <col min="9476" max="9476" width="27" customWidth="1"/>
    <col min="9477" max="9477" width="29.21875" customWidth="1"/>
    <col min="9478" max="9478" width="28.5546875" customWidth="1"/>
    <col min="9479" max="9479" width="14.77734375" customWidth="1"/>
    <col min="9729" max="9729" width="3.5546875" customWidth="1"/>
    <col min="9730" max="9730" width="30.77734375" customWidth="1"/>
    <col min="9731" max="9731" width="32.5546875" customWidth="1"/>
    <col min="9732" max="9732" width="27" customWidth="1"/>
    <col min="9733" max="9733" width="29.21875" customWidth="1"/>
    <col min="9734" max="9734" width="28.5546875" customWidth="1"/>
    <col min="9735" max="9735" width="14.77734375" customWidth="1"/>
    <col min="9985" max="9985" width="3.5546875" customWidth="1"/>
    <col min="9986" max="9986" width="30.77734375" customWidth="1"/>
    <col min="9987" max="9987" width="32.5546875" customWidth="1"/>
    <col min="9988" max="9988" width="27" customWidth="1"/>
    <col min="9989" max="9989" width="29.21875" customWidth="1"/>
    <col min="9990" max="9990" width="28.5546875" customWidth="1"/>
    <col min="9991" max="9991" width="14.77734375" customWidth="1"/>
    <col min="10241" max="10241" width="3.5546875" customWidth="1"/>
    <col min="10242" max="10242" width="30.77734375" customWidth="1"/>
    <col min="10243" max="10243" width="32.5546875" customWidth="1"/>
    <col min="10244" max="10244" width="27" customWidth="1"/>
    <col min="10245" max="10245" width="29.21875" customWidth="1"/>
    <col min="10246" max="10246" width="28.5546875" customWidth="1"/>
    <col min="10247" max="10247" width="14.77734375" customWidth="1"/>
    <col min="10497" max="10497" width="3.5546875" customWidth="1"/>
    <col min="10498" max="10498" width="30.77734375" customWidth="1"/>
    <col min="10499" max="10499" width="32.5546875" customWidth="1"/>
    <col min="10500" max="10500" width="27" customWidth="1"/>
    <col min="10501" max="10501" width="29.21875" customWidth="1"/>
    <col min="10502" max="10502" width="28.5546875" customWidth="1"/>
    <col min="10503" max="10503" width="14.77734375" customWidth="1"/>
    <col min="10753" max="10753" width="3.5546875" customWidth="1"/>
    <col min="10754" max="10754" width="30.77734375" customWidth="1"/>
    <col min="10755" max="10755" width="32.5546875" customWidth="1"/>
    <col min="10756" max="10756" width="27" customWidth="1"/>
    <col min="10757" max="10757" width="29.21875" customWidth="1"/>
    <col min="10758" max="10758" width="28.5546875" customWidth="1"/>
    <col min="10759" max="10759" width="14.77734375" customWidth="1"/>
    <col min="11009" max="11009" width="3.5546875" customWidth="1"/>
    <col min="11010" max="11010" width="30.77734375" customWidth="1"/>
    <col min="11011" max="11011" width="32.5546875" customWidth="1"/>
    <col min="11012" max="11012" width="27" customWidth="1"/>
    <col min="11013" max="11013" width="29.21875" customWidth="1"/>
    <col min="11014" max="11014" width="28.5546875" customWidth="1"/>
    <col min="11015" max="11015" width="14.77734375" customWidth="1"/>
    <col min="11265" max="11265" width="3.5546875" customWidth="1"/>
    <col min="11266" max="11266" width="30.77734375" customWidth="1"/>
    <col min="11267" max="11267" width="32.5546875" customWidth="1"/>
    <col min="11268" max="11268" width="27" customWidth="1"/>
    <col min="11269" max="11269" width="29.21875" customWidth="1"/>
    <col min="11270" max="11270" width="28.5546875" customWidth="1"/>
    <col min="11271" max="11271" width="14.77734375" customWidth="1"/>
    <col min="11521" max="11521" width="3.5546875" customWidth="1"/>
    <col min="11522" max="11522" width="30.77734375" customWidth="1"/>
    <col min="11523" max="11523" width="32.5546875" customWidth="1"/>
    <col min="11524" max="11524" width="27" customWidth="1"/>
    <col min="11525" max="11525" width="29.21875" customWidth="1"/>
    <col min="11526" max="11526" width="28.5546875" customWidth="1"/>
    <col min="11527" max="11527" width="14.77734375" customWidth="1"/>
    <col min="11777" max="11777" width="3.5546875" customWidth="1"/>
    <col min="11778" max="11778" width="30.77734375" customWidth="1"/>
    <col min="11779" max="11779" width="32.5546875" customWidth="1"/>
    <col min="11780" max="11780" width="27" customWidth="1"/>
    <col min="11781" max="11781" width="29.21875" customWidth="1"/>
    <col min="11782" max="11782" width="28.5546875" customWidth="1"/>
    <col min="11783" max="11783" width="14.77734375" customWidth="1"/>
    <col min="12033" max="12033" width="3.5546875" customWidth="1"/>
    <col min="12034" max="12034" width="30.77734375" customWidth="1"/>
    <col min="12035" max="12035" width="32.5546875" customWidth="1"/>
    <col min="12036" max="12036" width="27" customWidth="1"/>
    <col min="12037" max="12037" width="29.21875" customWidth="1"/>
    <col min="12038" max="12038" width="28.5546875" customWidth="1"/>
    <col min="12039" max="12039" width="14.77734375" customWidth="1"/>
    <col min="12289" max="12289" width="3.5546875" customWidth="1"/>
    <col min="12290" max="12290" width="30.77734375" customWidth="1"/>
    <col min="12291" max="12291" width="32.5546875" customWidth="1"/>
    <col min="12292" max="12292" width="27" customWidth="1"/>
    <col min="12293" max="12293" width="29.21875" customWidth="1"/>
    <col min="12294" max="12294" width="28.5546875" customWidth="1"/>
    <col min="12295" max="12295" width="14.77734375" customWidth="1"/>
    <col min="12545" max="12545" width="3.5546875" customWidth="1"/>
    <col min="12546" max="12546" width="30.77734375" customWidth="1"/>
    <col min="12547" max="12547" width="32.5546875" customWidth="1"/>
    <col min="12548" max="12548" width="27" customWidth="1"/>
    <col min="12549" max="12549" width="29.21875" customWidth="1"/>
    <col min="12550" max="12550" width="28.5546875" customWidth="1"/>
    <col min="12551" max="12551" width="14.77734375" customWidth="1"/>
    <col min="12801" max="12801" width="3.5546875" customWidth="1"/>
    <col min="12802" max="12802" width="30.77734375" customWidth="1"/>
    <col min="12803" max="12803" width="32.5546875" customWidth="1"/>
    <col min="12804" max="12804" width="27" customWidth="1"/>
    <col min="12805" max="12805" width="29.21875" customWidth="1"/>
    <col min="12806" max="12806" width="28.5546875" customWidth="1"/>
    <col min="12807" max="12807" width="14.77734375" customWidth="1"/>
    <col min="13057" max="13057" width="3.5546875" customWidth="1"/>
    <col min="13058" max="13058" width="30.77734375" customWidth="1"/>
    <col min="13059" max="13059" width="32.5546875" customWidth="1"/>
    <col min="13060" max="13060" width="27" customWidth="1"/>
    <col min="13061" max="13061" width="29.21875" customWidth="1"/>
    <col min="13062" max="13062" width="28.5546875" customWidth="1"/>
    <col min="13063" max="13063" width="14.77734375" customWidth="1"/>
    <col min="13313" max="13313" width="3.5546875" customWidth="1"/>
    <col min="13314" max="13314" width="30.77734375" customWidth="1"/>
    <col min="13315" max="13315" width="32.5546875" customWidth="1"/>
    <col min="13316" max="13316" width="27" customWidth="1"/>
    <col min="13317" max="13317" width="29.21875" customWidth="1"/>
    <col min="13318" max="13318" width="28.5546875" customWidth="1"/>
    <col min="13319" max="13319" width="14.77734375" customWidth="1"/>
    <col min="13569" max="13569" width="3.5546875" customWidth="1"/>
    <col min="13570" max="13570" width="30.77734375" customWidth="1"/>
    <col min="13571" max="13571" width="32.5546875" customWidth="1"/>
    <col min="13572" max="13572" width="27" customWidth="1"/>
    <col min="13573" max="13573" width="29.21875" customWidth="1"/>
    <col min="13574" max="13574" width="28.5546875" customWidth="1"/>
    <col min="13575" max="13575" width="14.77734375" customWidth="1"/>
    <col min="13825" max="13825" width="3.5546875" customWidth="1"/>
    <col min="13826" max="13826" width="30.77734375" customWidth="1"/>
    <col min="13827" max="13827" width="32.5546875" customWidth="1"/>
    <col min="13828" max="13828" width="27" customWidth="1"/>
    <col min="13829" max="13829" width="29.21875" customWidth="1"/>
    <col min="13830" max="13830" width="28.5546875" customWidth="1"/>
    <col min="13831" max="13831" width="14.77734375" customWidth="1"/>
    <col min="14081" max="14081" width="3.5546875" customWidth="1"/>
    <col min="14082" max="14082" width="30.77734375" customWidth="1"/>
    <col min="14083" max="14083" width="32.5546875" customWidth="1"/>
    <col min="14084" max="14084" width="27" customWidth="1"/>
    <col min="14085" max="14085" width="29.21875" customWidth="1"/>
    <col min="14086" max="14086" width="28.5546875" customWidth="1"/>
    <col min="14087" max="14087" width="14.77734375" customWidth="1"/>
    <col min="14337" max="14337" width="3.5546875" customWidth="1"/>
    <col min="14338" max="14338" width="30.77734375" customWidth="1"/>
    <col min="14339" max="14339" width="32.5546875" customWidth="1"/>
    <col min="14340" max="14340" width="27" customWidth="1"/>
    <col min="14341" max="14341" width="29.21875" customWidth="1"/>
    <col min="14342" max="14342" width="28.5546875" customWidth="1"/>
    <col min="14343" max="14343" width="14.77734375" customWidth="1"/>
    <col min="14593" max="14593" width="3.5546875" customWidth="1"/>
    <col min="14594" max="14594" width="30.77734375" customWidth="1"/>
    <col min="14595" max="14595" width="32.5546875" customWidth="1"/>
    <col min="14596" max="14596" width="27" customWidth="1"/>
    <col min="14597" max="14597" width="29.21875" customWidth="1"/>
    <col min="14598" max="14598" width="28.5546875" customWidth="1"/>
    <col min="14599" max="14599" width="14.77734375" customWidth="1"/>
    <col min="14849" max="14849" width="3.5546875" customWidth="1"/>
    <col min="14850" max="14850" width="30.77734375" customWidth="1"/>
    <col min="14851" max="14851" width="32.5546875" customWidth="1"/>
    <col min="14852" max="14852" width="27" customWidth="1"/>
    <col min="14853" max="14853" width="29.21875" customWidth="1"/>
    <col min="14854" max="14854" width="28.5546875" customWidth="1"/>
    <col min="14855" max="14855" width="14.77734375" customWidth="1"/>
    <col min="15105" max="15105" width="3.5546875" customWidth="1"/>
    <col min="15106" max="15106" width="30.77734375" customWidth="1"/>
    <col min="15107" max="15107" width="32.5546875" customWidth="1"/>
    <col min="15108" max="15108" width="27" customWidth="1"/>
    <col min="15109" max="15109" width="29.21875" customWidth="1"/>
    <col min="15110" max="15110" width="28.5546875" customWidth="1"/>
    <col min="15111" max="15111" width="14.77734375" customWidth="1"/>
    <col min="15361" max="15361" width="3.5546875" customWidth="1"/>
    <col min="15362" max="15362" width="30.77734375" customWidth="1"/>
    <col min="15363" max="15363" width="32.5546875" customWidth="1"/>
    <col min="15364" max="15364" width="27" customWidth="1"/>
    <col min="15365" max="15365" width="29.21875" customWidth="1"/>
    <col min="15366" max="15366" width="28.5546875" customWidth="1"/>
    <col min="15367" max="15367" width="14.77734375" customWidth="1"/>
    <col min="15617" max="15617" width="3.5546875" customWidth="1"/>
    <col min="15618" max="15618" width="30.77734375" customWidth="1"/>
    <col min="15619" max="15619" width="32.5546875" customWidth="1"/>
    <col min="15620" max="15620" width="27" customWidth="1"/>
    <col min="15621" max="15621" width="29.21875" customWidth="1"/>
    <col min="15622" max="15622" width="28.5546875" customWidth="1"/>
    <col min="15623" max="15623" width="14.77734375" customWidth="1"/>
    <col min="15873" max="15873" width="3.5546875" customWidth="1"/>
    <col min="15874" max="15874" width="30.77734375" customWidth="1"/>
    <col min="15875" max="15875" width="32.5546875" customWidth="1"/>
    <col min="15876" max="15876" width="27" customWidth="1"/>
    <col min="15877" max="15877" width="29.21875" customWidth="1"/>
    <col min="15878" max="15878" width="28.5546875" customWidth="1"/>
    <col min="15879" max="15879" width="14.77734375" customWidth="1"/>
    <col min="16129" max="16129" width="3.5546875" customWidth="1"/>
    <col min="16130" max="16130" width="30.77734375" customWidth="1"/>
    <col min="16131" max="16131" width="32.5546875" customWidth="1"/>
    <col min="16132" max="16132" width="27" customWidth="1"/>
    <col min="16133" max="16133" width="29.21875" customWidth="1"/>
    <col min="16134" max="16134" width="28.5546875" customWidth="1"/>
    <col min="16135" max="16135" width="14.77734375" customWidth="1"/>
  </cols>
  <sheetData>
    <row r="1" spans="1:7" ht="21" customHeight="1" x14ac:dyDescent="0.3">
      <c r="B1" s="2353" t="s">
        <v>879</v>
      </c>
      <c r="C1" s="2353"/>
      <c r="D1" s="2353"/>
      <c r="E1" s="2353"/>
    </row>
    <row r="2" spans="1:7" ht="21" customHeight="1" x14ac:dyDescent="0.3">
      <c r="B2" s="2353"/>
      <c r="C2" s="2353"/>
      <c r="D2" s="2353"/>
      <c r="E2" s="2353"/>
    </row>
    <row r="3" spans="1:7" ht="33" customHeight="1" x14ac:dyDescent="0.3">
      <c r="B3" s="2354" t="s">
        <v>880</v>
      </c>
      <c r="C3" s="2354"/>
      <c r="D3" s="2354"/>
      <c r="E3" s="2354"/>
    </row>
    <row r="5" spans="1:7" x14ac:dyDescent="0.3">
      <c r="B5" t="s">
        <v>754</v>
      </c>
    </row>
    <row r="6" spans="1:7" x14ac:dyDescent="0.3">
      <c r="B6" s="2144" t="s">
        <v>881</v>
      </c>
      <c r="C6" s="2144" t="s">
        <v>882</v>
      </c>
      <c r="D6" s="2144" t="s">
        <v>883</v>
      </c>
      <c r="F6" s="2145"/>
    </row>
    <row r="7" spans="1:7" x14ac:dyDescent="0.3">
      <c r="B7" s="2146">
        <v>13409.94</v>
      </c>
      <c r="C7" s="2147">
        <v>72.599999999999994</v>
      </c>
      <c r="D7" s="2148">
        <v>0.08</v>
      </c>
    </row>
    <row r="8" spans="1:7" x14ac:dyDescent="0.3">
      <c r="F8" s="2143" t="s">
        <v>884</v>
      </c>
    </row>
    <row r="9" spans="1:7" x14ac:dyDescent="0.3">
      <c r="B9" s="2149"/>
      <c r="C9" s="2149"/>
      <c r="D9" s="2149"/>
    </row>
    <row r="10" spans="1:7" ht="15" thickBot="1" x14ac:dyDescent="0.35">
      <c r="B10" s="2150" t="s">
        <v>885</v>
      </c>
      <c r="C10" s="2151" t="s">
        <v>886</v>
      </c>
      <c r="D10" s="2151" t="s">
        <v>887</v>
      </c>
      <c r="E10" s="2151" t="s">
        <v>888</v>
      </c>
      <c r="F10" s="2152" t="s">
        <v>889</v>
      </c>
    </row>
    <row r="11" spans="1:7" ht="15" thickBot="1" x14ac:dyDescent="0.35">
      <c r="A11">
        <v>0</v>
      </c>
      <c r="E11" s="2153">
        <f>B7</f>
        <v>13409.94</v>
      </c>
      <c r="F11" s="2154">
        <f>E11/$E$11</f>
        <v>1</v>
      </c>
      <c r="G11" s="38"/>
    </row>
    <row r="12" spans="1:7" x14ac:dyDescent="0.3">
      <c r="A12">
        <v>1</v>
      </c>
      <c r="B12" s="2155">
        <f t="shared" ref="B12:B75" si="0">-PMT($D$7/12,$C$7,$E$11,0,0)</f>
        <v>233.60469150995081</v>
      </c>
      <c r="C12" s="2149">
        <f t="shared" ref="C12:C75" si="1">-PPMT($D$7/12,A12,$C$7,$E$11,0)</f>
        <v>144.20509150995079</v>
      </c>
      <c r="D12" s="2149">
        <f>B12-C12</f>
        <v>89.399600000000021</v>
      </c>
      <c r="E12" s="2156">
        <f>E11-C12</f>
        <v>13265.734908490049</v>
      </c>
      <c r="F12" s="2154">
        <f>E12/$E$11</f>
        <v>0.98924640292872668</v>
      </c>
    </row>
    <row r="13" spans="1:7" x14ac:dyDescent="0.3">
      <c r="A13">
        <v>2</v>
      </c>
      <c r="B13" s="2155">
        <f t="shared" si="0"/>
        <v>233.60469150995081</v>
      </c>
      <c r="C13" s="2149">
        <f t="shared" si="1"/>
        <v>145.16645878668379</v>
      </c>
      <c r="D13" s="2149">
        <f t="shared" ref="D13:D76" si="2">B13-C13</f>
        <v>88.438232723267021</v>
      </c>
      <c r="E13" s="2156">
        <f>E12-C13</f>
        <v>13120.568449703365</v>
      </c>
      <c r="F13" s="2154">
        <f t="shared" ref="F13:F76" si="3">E13/$E$11</f>
        <v>0.9784211152103115</v>
      </c>
    </row>
    <row r="14" spans="1:7" x14ac:dyDescent="0.3">
      <c r="A14">
        <v>3</v>
      </c>
      <c r="B14" s="2155">
        <f t="shared" si="0"/>
        <v>233.60469150995081</v>
      </c>
      <c r="C14" s="2149">
        <f t="shared" si="1"/>
        <v>146.13423517859502</v>
      </c>
      <c r="D14" s="2149">
        <f t="shared" si="2"/>
        <v>87.470456331355791</v>
      </c>
      <c r="E14" s="2156">
        <f t="shared" ref="E14:E77" si="4">E13-C14</f>
        <v>12974.43421452477</v>
      </c>
      <c r="F14" s="2154">
        <f t="shared" si="3"/>
        <v>0.9675236589071069</v>
      </c>
    </row>
    <row r="15" spans="1:7" x14ac:dyDescent="0.3">
      <c r="A15">
        <v>4</v>
      </c>
      <c r="B15" s="2155">
        <f t="shared" si="0"/>
        <v>233.60469150995081</v>
      </c>
      <c r="C15" s="2149">
        <f t="shared" si="1"/>
        <v>147.10846341311898</v>
      </c>
      <c r="D15" s="2149">
        <f t="shared" si="2"/>
        <v>86.496228096831828</v>
      </c>
      <c r="E15" s="2156">
        <f t="shared" si="4"/>
        <v>12827.325751111652</v>
      </c>
      <c r="F15" s="2154">
        <f t="shared" si="3"/>
        <v>0.95655355289521438</v>
      </c>
    </row>
    <row r="16" spans="1:7" x14ac:dyDescent="0.3">
      <c r="A16">
        <v>5</v>
      </c>
      <c r="B16" s="2155">
        <f t="shared" si="0"/>
        <v>233.60469150995081</v>
      </c>
      <c r="C16" s="2149">
        <f t="shared" si="1"/>
        <v>148.08918650253977</v>
      </c>
      <c r="D16" s="2149">
        <f t="shared" si="2"/>
        <v>85.515505007411036</v>
      </c>
      <c r="E16" s="2156">
        <f t="shared" si="4"/>
        <v>12679.236564609111</v>
      </c>
      <c r="F16" s="2154">
        <f t="shared" si="3"/>
        <v>0.9455103128432425</v>
      </c>
    </row>
    <row r="17" spans="1:6" x14ac:dyDescent="0.3">
      <c r="A17">
        <v>6</v>
      </c>
      <c r="B17" s="2155">
        <f t="shared" si="0"/>
        <v>233.60469150995081</v>
      </c>
      <c r="C17" s="2149">
        <f t="shared" si="1"/>
        <v>149.07644774589005</v>
      </c>
      <c r="D17" s="2149">
        <f t="shared" si="2"/>
        <v>84.528243764060761</v>
      </c>
      <c r="E17" s="2156">
        <f t="shared" si="4"/>
        <v>12530.160116863221</v>
      </c>
      <c r="F17" s="2154">
        <f t="shared" si="3"/>
        <v>0.9343934511909241</v>
      </c>
    </row>
    <row r="18" spans="1:6" x14ac:dyDescent="0.3">
      <c r="A18">
        <v>7</v>
      </c>
      <c r="B18" s="2155">
        <f t="shared" si="0"/>
        <v>233.60469150995081</v>
      </c>
      <c r="C18" s="2149">
        <f t="shared" si="1"/>
        <v>150.07029073086264</v>
      </c>
      <c r="D18" s="2149">
        <f t="shared" si="2"/>
        <v>83.534400779088173</v>
      </c>
      <c r="E18" s="2156">
        <f t="shared" si="4"/>
        <v>12380.089826132358</v>
      </c>
      <c r="F18" s="2154">
        <f t="shared" si="3"/>
        <v>0.92320247712759029</v>
      </c>
    </row>
    <row r="19" spans="1:6" x14ac:dyDescent="0.3">
      <c r="A19">
        <v>8</v>
      </c>
      <c r="B19" s="2155">
        <f t="shared" si="0"/>
        <v>233.60469150995081</v>
      </c>
      <c r="C19" s="2149">
        <f t="shared" si="1"/>
        <v>151.07075933573503</v>
      </c>
      <c r="D19" s="2149">
        <f t="shared" si="2"/>
        <v>82.533932174215778</v>
      </c>
      <c r="E19" s="2156">
        <f t="shared" si="4"/>
        <v>12229.019066796624</v>
      </c>
      <c r="F19" s="2154">
        <f t="shared" si="3"/>
        <v>0.91193689657050092</v>
      </c>
    </row>
    <row r="20" spans="1:6" x14ac:dyDescent="0.3">
      <c r="A20">
        <v>9</v>
      </c>
      <c r="B20" s="2155">
        <f t="shared" si="0"/>
        <v>233.60469150995081</v>
      </c>
      <c r="C20" s="2149">
        <f t="shared" si="1"/>
        <v>152.07789773130662</v>
      </c>
      <c r="D20" s="2149">
        <f t="shared" si="2"/>
        <v>81.526793778644191</v>
      </c>
      <c r="E20" s="2156">
        <f t="shared" si="4"/>
        <v>12076.941169065318</v>
      </c>
      <c r="F20" s="2154">
        <f t="shared" si="3"/>
        <v>0.90059621214303098</v>
      </c>
    </row>
    <row r="21" spans="1:6" x14ac:dyDescent="0.3">
      <c r="A21">
        <v>10</v>
      </c>
      <c r="B21" s="2155">
        <f t="shared" si="0"/>
        <v>233.60469150995081</v>
      </c>
      <c r="C21" s="2149">
        <f t="shared" si="1"/>
        <v>153.09175038284869</v>
      </c>
      <c r="D21" s="2149">
        <f t="shared" si="2"/>
        <v>80.512941127102124</v>
      </c>
      <c r="E21" s="2156">
        <f t="shared" si="4"/>
        <v>11923.849418682468</v>
      </c>
      <c r="F21" s="2154">
        <f t="shared" si="3"/>
        <v>0.88917992315271122</v>
      </c>
    </row>
    <row r="22" spans="1:6" x14ac:dyDescent="0.3">
      <c r="A22">
        <v>11</v>
      </c>
      <c r="B22" s="2155">
        <f t="shared" si="0"/>
        <v>233.60469150995081</v>
      </c>
      <c r="C22" s="2149">
        <f t="shared" si="1"/>
        <v>154.11236205206765</v>
      </c>
      <c r="D22" s="2149">
        <f t="shared" si="2"/>
        <v>79.492329457883159</v>
      </c>
      <c r="E22" s="2156">
        <f t="shared" si="4"/>
        <v>11769.7370566304</v>
      </c>
      <c r="F22" s="2154">
        <f t="shared" si="3"/>
        <v>0.87768752556912255</v>
      </c>
    </row>
    <row r="23" spans="1:6" x14ac:dyDescent="0.3">
      <c r="A23">
        <v>12</v>
      </c>
      <c r="B23" s="2155">
        <f t="shared" si="0"/>
        <v>233.60469150995081</v>
      </c>
      <c r="C23" s="2149">
        <f t="shared" si="1"/>
        <v>155.13977779908146</v>
      </c>
      <c r="D23" s="2149">
        <f t="shared" si="2"/>
        <v>78.464913710869354</v>
      </c>
      <c r="E23" s="2156">
        <f t="shared" si="4"/>
        <v>11614.597278831319</v>
      </c>
      <c r="F23" s="2154">
        <f t="shared" si="3"/>
        <v>0.86611851200164347</v>
      </c>
    </row>
    <row r="24" spans="1:6" x14ac:dyDescent="0.3">
      <c r="A24">
        <v>13</v>
      </c>
      <c r="B24" s="2155">
        <f t="shared" si="0"/>
        <v>233.60469150995081</v>
      </c>
      <c r="C24" s="2149">
        <f t="shared" si="1"/>
        <v>156.17404298440866</v>
      </c>
      <c r="D24" s="2149">
        <f t="shared" si="2"/>
        <v>77.430648525542153</v>
      </c>
      <c r="E24" s="2156">
        <f t="shared" si="4"/>
        <v>11458.423235846911</v>
      </c>
      <c r="F24" s="2154">
        <f t="shared" si="3"/>
        <v>0.85447237167704782</v>
      </c>
    </row>
    <row r="25" spans="1:6" x14ac:dyDescent="0.3">
      <c r="A25">
        <v>14</v>
      </c>
      <c r="B25" s="2155">
        <f t="shared" si="0"/>
        <v>233.60469150995081</v>
      </c>
      <c r="C25" s="2149">
        <f t="shared" si="1"/>
        <v>157.21520327097139</v>
      </c>
      <c r="D25" s="2149">
        <f t="shared" si="2"/>
        <v>76.389488238979425</v>
      </c>
      <c r="E25" s="2156">
        <f t="shared" si="4"/>
        <v>11301.20803257594</v>
      </c>
      <c r="F25" s="2154">
        <f t="shared" si="3"/>
        <v>0.84274859041695482</v>
      </c>
    </row>
    <row r="26" spans="1:6" x14ac:dyDescent="0.3">
      <c r="A26">
        <v>15</v>
      </c>
      <c r="B26" s="2155">
        <f t="shared" si="0"/>
        <v>233.60469150995081</v>
      </c>
      <c r="C26" s="2149">
        <f t="shared" si="1"/>
        <v>158.26330462611119</v>
      </c>
      <c r="D26" s="2149">
        <f t="shared" si="2"/>
        <v>75.341386883839618</v>
      </c>
      <c r="E26" s="2156">
        <f t="shared" si="4"/>
        <v>11142.944727949829</v>
      </c>
      <c r="F26" s="2154">
        <f t="shared" si="3"/>
        <v>0.83094665061512796</v>
      </c>
    </row>
    <row r="27" spans="1:6" x14ac:dyDescent="0.3">
      <c r="A27">
        <v>16</v>
      </c>
      <c r="B27" s="2155">
        <f t="shared" si="0"/>
        <v>233.60469150995081</v>
      </c>
      <c r="C27" s="2149">
        <f t="shared" si="1"/>
        <v>159.31839332361861</v>
      </c>
      <c r="D27" s="2149">
        <f t="shared" si="2"/>
        <v>74.286298186332203</v>
      </c>
      <c r="E27" s="2156">
        <f t="shared" si="4"/>
        <v>10983.626334626211</v>
      </c>
      <c r="F27" s="2154">
        <f t="shared" si="3"/>
        <v>0.81906603121462218</v>
      </c>
    </row>
    <row r="28" spans="1:6" x14ac:dyDescent="0.3">
      <c r="A28">
        <v>17</v>
      </c>
      <c r="B28" s="2155">
        <f t="shared" si="0"/>
        <v>233.60469150995081</v>
      </c>
      <c r="C28" s="2149">
        <f t="shared" si="1"/>
        <v>160.38051594577604</v>
      </c>
      <c r="D28" s="2149">
        <f t="shared" si="2"/>
        <v>73.224175564174772</v>
      </c>
      <c r="E28" s="2156">
        <f t="shared" si="4"/>
        <v>10823.245818680436</v>
      </c>
      <c r="F28" s="2154">
        <f t="shared" si="3"/>
        <v>0.80710620768477981</v>
      </c>
    </row>
    <row r="29" spans="1:6" x14ac:dyDescent="0.3">
      <c r="A29">
        <v>18</v>
      </c>
      <c r="B29" s="2155">
        <f t="shared" si="0"/>
        <v>233.60469150995081</v>
      </c>
      <c r="C29" s="2149">
        <f t="shared" si="1"/>
        <v>161.44971938541457</v>
      </c>
      <c r="D29" s="2149">
        <f t="shared" si="2"/>
        <v>72.154972124536243</v>
      </c>
      <c r="E29" s="2156">
        <f t="shared" si="4"/>
        <v>10661.796099295021</v>
      </c>
      <c r="F29" s="2154">
        <f t="shared" si="3"/>
        <v>0.79506665199807158</v>
      </c>
    </row>
    <row r="30" spans="1:6" x14ac:dyDescent="0.3">
      <c r="A30">
        <v>19</v>
      </c>
      <c r="B30" s="2155">
        <f t="shared" si="0"/>
        <v>233.60469150995081</v>
      </c>
      <c r="C30" s="2149">
        <f t="shared" si="1"/>
        <v>162.52605084798398</v>
      </c>
      <c r="D30" s="2149">
        <f t="shared" si="2"/>
        <v>71.07864066196683</v>
      </c>
      <c r="E30" s="2156">
        <f t="shared" si="4"/>
        <v>10499.270048447037</v>
      </c>
      <c r="F30" s="2154">
        <f t="shared" si="3"/>
        <v>0.78294683260678544</v>
      </c>
    </row>
    <row r="31" spans="1:6" x14ac:dyDescent="0.3">
      <c r="A31">
        <v>20</v>
      </c>
      <c r="B31" s="2155">
        <f t="shared" si="0"/>
        <v>233.60469150995081</v>
      </c>
      <c r="C31" s="2149">
        <f t="shared" si="1"/>
        <v>163.60955785363723</v>
      </c>
      <c r="D31" s="2149">
        <f t="shared" si="2"/>
        <v>69.995133656313584</v>
      </c>
      <c r="E31" s="2156">
        <f t="shared" si="4"/>
        <v>10335.6604905934</v>
      </c>
      <c r="F31" s="2154">
        <f t="shared" si="3"/>
        <v>0.77074621441955737</v>
      </c>
    </row>
    <row r="32" spans="1:6" x14ac:dyDescent="0.3">
      <c r="A32">
        <v>21</v>
      </c>
      <c r="B32" s="2155">
        <f t="shared" si="0"/>
        <v>233.60469150995081</v>
      </c>
      <c r="C32" s="2149">
        <f t="shared" si="1"/>
        <v>164.70028823932813</v>
      </c>
      <c r="D32" s="2149">
        <f t="shared" si="2"/>
        <v>68.90440327062268</v>
      </c>
      <c r="E32" s="2156">
        <f t="shared" si="4"/>
        <v>10170.960202354072</v>
      </c>
      <c r="F32" s="2154">
        <f t="shared" si="3"/>
        <v>0.75846425877774781</v>
      </c>
    </row>
    <row r="33" spans="1:6" x14ac:dyDescent="0.3">
      <c r="A33">
        <v>22</v>
      </c>
      <c r="B33" s="2155">
        <f t="shared" si="0"/>
        <v>233.60469150995081</v>
      </c>
      <c r="C33" s="2149">
        <f t="shared" si="1"/>
        <v>165.79829016092364</v>
      </c>
      <c r="D33" s="2149">
        <f t="shared" si="2"/>
        <v>67.806401349027169</v>
      </c>
      <c r="E33" s="2156">
        <f t="shared" si="4"/>
        <v>10005.161912193149</v>
      </c>
      <c r="F33" s="2154">
        <f t="shared" si="3"/>
        <v>0.7461004234316595</v>
      </c>
    </row>
    <row r="34" spans="1:6" x14ac:dyDescent="0.3">
      <c r="A34">
        <v>23</v>
      </c>
      <c r="B34" s="2155">
        <f t="shared" si="0"/>
        <v>233.60469150995081</v>
      </c>
      <c r="C34" s="2149">
        <f t="shared" si="1"/>
        <v>166.90361209532981</v>
      </c>
      <c r="D34" s="2149">
        <f t="shared" si="2"/>
        <v>66.701079414621006</v>
      </c>
      <c r="E34" s="2156">
        <f t="shared" si="4"/>
        <v>9838.2583000978193</v>
      </c>
      <c r="F34" s="2154">
        <f t="shared" si="3"/>
        <v>0.73365416251659732</v>
      </c>
    </row>
    <row r="35" spans="1:6" x14ac:dyDescent="0.3">
      <c r="A35">
        <v>24</v>
      </c>
      <c r="B35" s="2155">
        <f t="shared" si="0"/>
        <v>233.60469150995081</v>
      </c>
      <c r="C35" s="2149">
        <f t="shared" si="1"/>
        <v>168.016302842632</v>
      </c>
      <c r="D35" s="2149">
        <f t="shared" si="2"/>
        <v>65.58838866731881</v>
      </c>
      <c r="E35" s="2156">
        <f t="shared" si="4"/>
        <v>9670.241997255187</v>
      </c>
      <c r="F35" s="2154">
        <f t="shared" si="3"/>
        <v>0.72112492652876792</v>
      </c>
    </row>
    <row r="36" spans="1:6" x14ac:dyDescent="0.3">
      <c r="A36">
        <v>25</v>
      </c>
      <c r="B36" s="2155">
        <f t="shared" si="0"/>
        <v>233.60469150995081</v>
      </c>
      <c r="C36" s="2149">
        <f t="shared" si="1"/>
        <v>169.13641152824957</v>
      </c>
      <c r="D36" s="2149">
        <f t="shared" si="2"/>
        <v>64.468279981701244</v>
      </c>
      <c r="E36" s="2156">
        <f t="shared" si="4"/>
        <v>9501.1055857269366</v>
      </c>
      <c r="F36" s="2154">
        <f t="shared" si="3"/>
        <v>0.70851216230101977</v>
      </c>
    </row>
    <row r="37" spans="1:6" x14ac:dyDescent="0.3">
      <c r="A37">
        <v>26</v>
      </c>
      <c r="B37" s="2155">
        <f t="shared" si="0"/>
        <v>233.60469150995081</v>
      </c>
      <c r="C37" s="2149">
        <f t="shared" si="1"/>
        <v>170.26398760510457</v>
      </c>
      <c r="D37" s="2149">
        <f t="shared" si="2"/>
        <v>63.340703904846237</v>
      </c>
      <c r="E37" s="2156">
        <f t="shared" si="4"/>
        <v>9330.8415981218313</v>
      </c>
      <c r="F37" s="2154">
        <f t="shared" si="3"/>
        <v>0.69581531297841981</v>
      </c>
    </row>
    <row r="38" spans="1:6" x14ac:dyDescent="0.3">
      <c r="A38">
        <v>27</v>
      </c>
      <c r="B38" s="2155">
        <f t="shared" si="0"/>
        <v>233.60469150995081</v>
      </c>
      <c r="C38" s="2149">
        <f t="shared" si="1"/>
        <v>171.39908085580527</v>
      </c>
      <c r="D38" s="2149">
        <f t="shared" si="2"/>
        <v>62.205610654145545</v>
      </c>
      <c r="E38" s="2156">
        <f t="shared" si="4"/>
        <v>9159.4425172660267</v>
      </c>
      <c r="F38" s="2154">
        <f t="shared" si="3"/>
        <v>0.68303381799366936</v>
      </c>
    </row>
    <row r="39" spans="1:6" x14ac:dyDescent="0.3">
      <c r="A39">
        <v>28</v>
      </c>
      <c r="B39" s="2155">
        <f t="shared" si="0"/>
        <v>233.60469150995081</v>
      </c>
      <c r="C39" s="2149">
        <f t="shared" si="1"/>
        <v>172.54174139484397</v>
      </c>
      <c r="D39" s="2149">
        <f t="shared" si="2"/>
        <v>61.062950115106844</v>
      </c>
      <c r="E39" s="2156">
        <f t="shared" si="4"/>
        <v>8986.9007758711832</v>
      </c>
      <c r="F39" s="2154">
        <f t="shared" si="3"/>
        <v>0.67016711304235388</v>
      </c>
    </row>
    <row r="40" spans="1:6" x14ac:dyDescent="0.3">
      <c r="A40">
        <v>29</v>
      </c>
      <c r="B40" s="2155">
        <f t="shared" si="0"/>
        <v>233.60469150995081</v>
      </c>
      <c r="C40" s="2149">
        <f t="shared" si="1"/>
        <v>173.6920196708096</v>
      </c>
      <c r="D40" s="2149">
        <f t="shared" si="2"/>
        <v>59.912671839141211</v>
      </c>
      <c r="E40" s="2156">
        <f t="shared" si="4"/>
        <v>8813.2087562003744</v>
      </c>
      <c r="F40" s="2154">
        <f t="shared" si="3"/>
        <v>0.6572146300580296</v>
      </c>
    </row>
    <row r="41" spans="1:6" x14ac:dyDescent="0.3">
      <c r="A41">
        <v>30</v>
      </c>
      <c r="B41" s="2155">
        <f t="shared" si="0"/>
        <v>233.60469150995081</v>
      </c>
      <c r="C41" s="2149">
        <f t="shared" si="1"/>
        <v>174.84996646861498</v>
      </c>
      <c r="D41" s="2149">
        <f t="shared" si="2"/>
        <v>58.754725041335831</v>
      </c>
      <c r="E41" s="2156">
        <f t="shared" si="4"/>
        <v>8638.3587897317593</v>
      </c>
      <c r="F41" s="2154">
        <f t="shared" si="3"/>
        <v>0.64417579718714324</v>
      </c>
    </row>
    <row r="42" spans="1:6" x14ac:dyDescent="0.3">
      <c r="A42">
        <v>31</v>
      </c>
      <c r="B42" s="2155">
        <f t="shared" si="0"/>
        <v>233.60469150995081</v>
      </c>
      <c r="C42" s="2149">
        <f t="shared" si="1"/>
        <v>176.01563291173906</v>
      </c>
      <c r="D42" s="2149">
        <f t="shared" si="2"/>
        <v>57.58905859821175</v>
      </c>
      <c r="E42" s="2156">
        <f t="shared" si="4"/>
        <v>8462.3431568200194</v>
      </c>
      <c r="F42" s="2154">
        <f t="shared" si="3"/>
        <v>0.63105003876378407</v>
      </c>
    </row>
    <row r="43" spans="1:6" x14ac:dyDescent="0.3">
      <c r="A43">
        <v>32</v>
      </c>
      <c r="B43" s="2155">
        <f t="shared" si="0"/>
        <v>233.60469150995081</v>
      </c>
      <c r="C43" s="2149">
        <f t="shared" si="1"/>
        <v>177.18907046448402</v>
      </c>
      <c r="D43" s="2149">
        <f t="shared" si="2"/>
        <v>56.415621045466793</v>
      </c>
      <c r="E43" s="2156">
        <f t="shared" si="4"/>
        <v>8285.1540863555347</v>
      </c>
      <c r="F43" s="2154">
        <f t="shared" si="3"/>
        <v>0.61783677528426928</v>
      </c>
    </row>
    <row r="44" spans="1:6" x14ac:dyDescent="0.3">
      <c r="A44">
        <v>33</v>
      </c>
      <c r="B44" s="2155">
        <f t="shared" si="0"/>
        <v>233.60469150995081</v>
      </c>
      <c r="C44" s="2149">
        <f t="shared" si="1"/>
        <v>178.37033093424725</v>
      </c>
      <c r="D44" s="2149">
        <f t="shared" si="2"/>
        <v>55.234360575703562</v>
      </c>
      <c r="E44" s="2156">
        <f t="shared" si="4"/>
        <v>8106.7837554212874</v>
      </c>
      <c r="F44" s="2154">
        <f t="shared" si="3"/>
        <v>0.60453542338155775</v>
      </c>
    </row>
    <row r="45" spans="1:6" x14ac:dyDescent="0.3">
      <c r="A45">
        <v>34</v>
      </c>
      <c r="B45" s="2155">
        <f t="shared" si="0"/>
        <v>233.60469150995081</v>
      </c>
      <c r="C45" s="2149">
        <f t="shared" si="1"/>
        <v>179.5594664738089</v>
      </c>
      <c r="D45" s="2149">
        <f t="shared" si="2"/>
        <v>54.045225036141915</v>
      </c>
      <c r="E45" s="2156">
        <f t="shared" si="4"/>
        <v>7927.2242889474783</v>
      </c>
      <c r="F45" s="2154">
        <f t="shared" si="3"/>
        <v>0.59114539579949488</v>
      </c>
    </row>
    <row r="46" spans="1:6" x14ac:dyDescent="0.3">
      <c r="A46">
        <v>35</v>
      </c>
      <c r="B46" s="2155">
        <f t="shared" si="0"/>
        <v>233.60469150995081</v>
      </c>
      <c r="C46" s="2149">
        <f t="shared" si="1"/>
        <v>180.75652958363426</v>
      </c>
      <c r="D46" s="2149">
        <f t="shared" si="2"/>
        <v>52.84816192631655</v>
      </c>
      <c r="E46" s="2156">
        <f t="shared" si="4"/>
        <v>7746.4677593638444</v>
      </c>
      <c r="F46" s="2154">
        <f t="shared" si="3"/>
        <v>0.5776661013668849</v>
      </c>
    </row>
    <row r="47" spans="1:6" x14ac:dyDescent="0.3">
      <c r="A47">
        <v>36</v>
      </c>
      <c r="B47" s="2155">
        <f t="shared" si="0"/>
        <v>233.60469150995081</v>
      </c>
      <c r="C47" s="2149">
        <f t="shared" si="1"/>
        <v>181.96157311419185</v>
      </c>
      <c r="D47" s="2149">
        <f t="shared" si="2"/>
        <v>51.643118395758961</v>
      </c>
      <c r="E47" s="2156">
        <f t="shared" si="4"/>
        <v>7564.5061862496523</v>
      </c>
      <c r="F47" s="2154">
        <f t="shared" si="3"/>
        <v>0.56409694497139073</v>
      </c>
    </row>
    <row r="48" spans="1:6" x14ac:dyDescent="0.3">
      <c r="A48">
        <v>37</v>
      </c>
      <c r="B48" s="2155">
        <f t="shared" si="0"/>
        <v>233.60469150995081</v>
      </c>
      <c r="C48" s="2149">
        <f t="shared" si="1"/>
        <v>183.17465026828646</v>
      </c>
      <c r="D48" s="2149">
        <f t="shared" si="2"/>
        <v>50.430041241664355</v>
      </c>
      <c r="E48" s="2156">
        <f t="shared" si="4"/>
        <v>7381.331535981366</v>
      </c>
      <c r="F48" s="2154">
        <f t="shared" si="3"/>
        <v>0.55043732753326013</v>
      </c>
    </row>
    <row r="49" spans="1:6" x14ac:dyDescent="0.3">
      <c r="A49">
        <v>38</v>
      </c>
      <c r="B49" s="2155">
        <f t="shared" si="0"/>
        <v>233.60469150995081</v>
      </c>
      <c r="C49" s="2149">
        <f t="shared" si="1"/>
        <v>184.39581460340835</v>
      </c>
      <c r="D49" s="2149">
        <f t="shared" si="2"/>
        <v>49.208876906542457</v>
      </c>
      <c r="E49" s="2156">
        <f t="shared" si="4"/>
        <v>7196.9357213779576</v>
      </c>
      <c r="F49" s="2154">
        <f t="shared" si="3"/>
        <v>0.53668664597887517</v>
      </c>
    </row>
    <row r="50" spans="1:6" x14ac:dyDescent="0.3">
      <c r="A50">
        <v>39</v>
      </c>
      <c r="B50" s="2155">
        <f t="shared" si="0"/>
        <v>233.60469150995081</v>
      </c>
      <c r="C50" s="2149">
        <f t="shared" si="1"/>
        <v>185.62512003409773</v>
      </c>
      <c r="D50" s="2149">
        <f t="shared" si="2"/>
        <v>47.979571475853078</v>
      </c>
      <c r="E50" s="2156">
        <f t="shared" si="4"/>
        <v>7011.3106013438601</v>
      </c>
      <c r="F50" s="2154">
        <f t="shared" si="3"/>
        <v>0.52284429321412773</v>
      </c>
    </row>
    <row r="51" spans="1:6" x14ac:dyDescent="0.3">
      <c r="A51">
        <v>40</v>
      </c>
      <c r="B51" s="2155">
        <f t="shared" si="0"/>
        <v>233.60469150995081</v>
      </c>
      <c r="C51" s="2149">
        <f t="shared" si="1"/>
        <v>186.86262083432507</v>
      </c>
      <c r="D51" s="2149">
        <f t="shared" si="2"/>
        <v>46.74207067562574</v>
      </c>
      <c r="E51" s="2156">
        <f t="shared" si="4"/>
        <v>6824.4479805095352</v>
      </c>
      <c r="F51" s="2154">
        <f t="shared" si="3"/>
        <v>0.50890965809761524</v>
      </c>
    </row>
    <row r="52" spans="1:6" x14ac:dyDescent="0.3">
      <c r="A52">
        <v>41</v>
      </c>
      <c r="B52" s="2155">
        <f t="shared" si="0"/>
        <v>233.60469150995081</v>
      </c>
      <c r="C52" s="2149">
        <f t="shared" si="1"/>
        <v>188.10837163988722</v>
      </c>
      <c r="D52" s="2149">
        <f t="shared" si="2"/>
        <v>45.496319870063587</v>
      </c>
      <c r="E52" s="2156">
        <f t="shared" si="4"/>
        <v>6636.3396088696481</v>
      </c>
      <c r="F52" s="2154">
        <f t="shared" si="3"/>
        <v>0.49488212541365939</v>
      </c>
    </row>
    <row r="53" spans="1:6" x14ac:dyDescent="0.3">
      <c r="A53">
        <v>42</v>
      </c>
      <c r="B53" s="2155">
        <f t="shared" si="0"/>
        <v>233.60469150995081</v>
      </c>
      <c r="C53" s="2149">
        <f t="shared" si="1"/>
        <v>189.36242745081984</v>
      </c>
      <c r="D53" s="2149">
        <f t="shared" si="2"/>
        <v>44.242264059130974</v>
      </c>
      <c r="E53" s="2156">
        <f t="shared" si="4"/>
        <v>6446.977181418828</v>
      </c>
      <c r="F53" s="2154">
        <f t="shared" si="3"/>
        <v>0.48076107584514383</v>
      </c>
    </row>
    <row r="54" spans="1:6" x14ac:dyDescent="0.3">
      <c r="A54">
        <v>43</v>
      </c>
      <c r="B54" s="2155">
        <f t="shared" si="0"/>
        <v>233.60469150995081</v>
      </c>
      <c r="C54" s="2149">
        <f t="shared" si="1"/>
        <v>190.62484363382529</v>
      </c>
      <c r="D54" s="2149">
        <f t="shared" si="2"/>
        <v>42.979847876125518</v>
      </c>
      <c r="E54" s="2156">
        <f t="shared" si="4"/>
        <v>6256.3523377850024</v>
      </c>
      <c r="F54" s="2154">
        <f t="shared" si="3"/>
        <v>0.46654588594617141</v>
      </c>
    </row>
    <row r="55" spans="1:6" x14ac:dyDescent="0.3">
      <c r="A55">
        <v>44</v>
      </c>
      <c r="B55" s="2155">
        <f t="shared" si="0"/>
        <v>233.60469150995081</v>
      </c>
      <c r="C55" s="2149">
        <f t="shared" si="1"/>
        <v>191.89567592471744</v>
      </c>
      <c r="D55" s="2149">
        <f t="shared" si="2"/>
        <v>41.709015585233374</v>
      </c>
      <c r="E55" s="2156">
        <f t="shared" si="4"/>
        <v>6064.4566618602848</v>
      </c>
      <c r="F55" s="2154">
        <f t="shared" si="3"/>
        <v>0.45223592811453928</v>
      </c>
    </row>
    <row r="56" spans="1:6" x14ac:dyDescent="0.3">
      <c r="A56">
        <v>45</v>
      </c>
      <c r="B56" s="2155">
        <f t="shared" si="0"/>
        <v>233.60469150995081</v>
      </c>
      <c r="C56" s="2149">
        <f t="shared" si="1"/>
        <v>193.17498043088224</v>
      </c>
      <c r="D56" s="2149">
        <f t="shared" si="2"/>
        <v>40.429711079068568</v>
      </c>
      <c r="E56" s="2156">
        <f t="shared" si="4"/>
        <v>5871.2816814294029</v>
      </c>
      <c r="F56" s="2154">
        <f t="shared" si="3"/>
        <v>0.43783057056402958</v>
      </c>
    </row>
    <row r="57" spans="1:6" x14ac:dyDescent="0.3">
      <c r="A57">
        <v>46</v>
      </c>
      <c r="B57" s="2155">
        <f t="shared" si="0"/>
        <v>233.60469150995081</v>
      </c>
      <c r="C57" s="2149">
        <f t="shared" si="1"/>
        <v>194.46281363375476</v>
      </c>
      <c r="D57" s="2149">
        <f t="shared" si="2"/>
        <v>39.141877876196048</v>
      </c>
      <c r="E57" s="2156">
        <f t="shared" si="4"/>
        <v>5676.8188677956477</v>
      </c>
      <c r="F57" s="2154">
        <f t="shared" si="3"/>
        <v>0.42332917729651642</v>
      </c>
    </row>
    <row r="58" spans="1:6" x14ac:dyDescent="0.3">
      <c r="A58">
        <v>47</v>
      </c>
      <c r="B58" s="2155">
        <f t="shared" si="0"/>
        <v>233.60469150995081</v>
      </c>
      <c r="C58" s="2149">
        <f t="shared" si="1"/>
        <v>195.75923239131313</v>
      </c>
      <c r="D58" s="2149">
        <f t="shared" si="2"/>
        <v>37.845459118637677</v>
      </c>
      <c r="E58" s="2156">
        <f t="shared" si="4"/>
        <v>5481.0596354043346</v>
      </c>
      <c r="F58" s="2154">
        <f t="shared" si="3"/>
        <v>0.40873110807388657</v>
      </c>
    </row>
    <row r="59" spans="1:6" x14ac:dyDescent="0.3">
      <c r="A59">
        <v>48</v>
      </c>
      <c r="B59" s="2155">
        <f t="shared" si="0"/>
        <v>233.60469150995081</v>
      </c>
      <c r="C59" s="2149">
        <f t="shared" si="1"/>
        <v>197.06429394058858</v>
      </c>
      <c r="D59" s="2149">
        <f t="shared" si="2"/>
        <v>36.540397569362227</v>
      </c>
      <c r="E59" s="2156">
        <f t="shared" si="4"/>
        <v>5283.9953414637457</v>
      </c>
      <c r="F59" s="2154">
        <f t="shared" si="3"/>
        <v>0.39403571838977247</v>
      </c>
    </row>
    <row r="60" spans="1:6" x14ac:dyDescent="0.3">
      <c r="A60">
        <v>49</v>
      </c>
      <c r="B60" s="2155">
        <f t="shared" si="0"/>
        <v>233.60469150995081</v>
      </c>
      <c r="C60" s="2149">
        <f t="shared" si="1"/>
        <v>198.37805590019249</v>
      </c>
      <c r="D60" s="2149">
        <f t="shared" si="2"/>
        <v>35.226635609758318</v>
      </c>
      <c r="E60" s="2156">
        <f t="shared" si="4"/>
        <v>5085.6172855635532</v>
      </c>
      <c r="F60" s="2154">
        <f t="shared" si="3"/>
        <v>0.37924235944109763</v>
      </c>
    </row>
    <row r="61" spans="1:6" x14ac:dyDescent="0.3">
      <c r="A61">
        <v>50</v>
      </c>
      <c r="B61" s="2155">
        <f t="shared" si="0"/>
        <v>233.60469150995081</v>
      </c>
      <c r="C61" s="2149">
        <f t="shared" si="1"/>
        <v>199.70057627286045</v>
      </c>
      <c r="D61" s="2149">
        <f t="shared" si="2"/>
        <v>33.904115237090366</v>
      </c>
      <c r="E61" s="2156">
        <f t="shared" si="4"/>
        <v>4885.9167092906928</v>
      </c>
      <c r="F61" s="2154">
        <f t="shared" si="3"/>
        <v>0.36435037809943166</v>
      </c>
    </row>
    <row r="62" spans="1:6" x14ac:dyDescent="0.3">
      <c r="A62">
        <v>51</v>
      </c>
      <c r="B62" s="2155">
        <f t="shared" si="0"/>
        <v>233.60469150995081</v>
      </c>
      <c r="C62" s="2149">
        <f t="shared" si="1"/>
        <v>201.03191344801286</v>
      </c>
      <c r="D62" s="2149">
        <f t="shared" si="2"/>
        <v>32.572778061937953</v>
      </c>
      <c r="E62" s="2156">
        <f t="shared" si="4"/>
        <v>4684.8847958426795</v>
      </c>
      <c r="F62" s="2154">
        <f t="shared" si="3"/>
        <v>0.34935911688215454</v>
      </c>
    </row>
    <row r="63" spans="1:6" x14ac:dyDescent="0.3">
      <c r="A63">
        <v>52</v>
      </c>
      <c r="B63" s="2155">
        <f t="shared" si="0"/>
        <v>233.60469150995081</v>
      </c>
      <c r="C63" s="2149">
        <f t="shared" si="1"/>
        <v>202.37212620433294</v>
      </c>
      <c r="D63" s="2149">
        <f t="shared" si="2"/>
        <v>31.232565305617868</v>
      </c>
      <c r="E63" s="2156">
        <f t="shared" si="4"/>
        <v>4482.5126696383468</v>
      </c>
      <c r="F63" s="2154">
        <f t="shared" si="3"/>
        <v>0.33426791392342892</v>
      </c>
    </row>
    <row r="64" spans="1:6" x14ac:dyDescent="0.3">
      <c r="A64">
        <v>53</v>
      </c>
      <c r="B64" s="2155">
        <f t="shared" si="0"/>
        <v>233.60469150995081</v>
      </c>
      <c r="C64" s="2149">
        <f t="shared" si="1"/>
        <v>203.72127371236184</v>
      </c>
      <c r="D64" s="2149">
        <f t="shared" si="2"/>
        <v>29.883417797588976</v>
      </c>
      <c r="E64" s="2156">
        <f t="shared" si="4"/>
        <v>4278.7913959259849</v>
      </c>
      <c r="F64" s="2154">
        <f t="shared" si="3"/>
        <v>0.31907610294497846</v>
      </c>
    </row>
    <row r="65" spans="1:6" x14ac:dyDescent="0.3">
      <c r="A65">
        <v>54</v>
      </c>
      <c r="B65" s="2155">
        <f t="shared" si="0"/>
        <v>233.60469150995081</v>
      </c>
      <c r="C65" s="2149">
        <f t="shared" si="1"/>
        <v>205.07941553711089</v>
      </c>
      <c r="D65" s="2149">
        <f t="shared" si="2"/>
        <v>28.525275972839921</v>
      </c>
      <c r="E65" s="2156">
        <f t="shared" si="4"/>
        <v>4073.7119803888741</v>
      </c>
      <c r="F65" s="2154">
        <f t="shared" si="3"/>
        <v>0.30378301322667173</v>
      </c>
    </row>
    <row r="66" spans="1:6" x14ac:dyDescent="0.3">
      <c r="A66">
        <v>55</v>
      </c>
      <c r="B66" s="2155">
        <f t="shared" si="0"/>
        <v>233.60469150995081</v>
      </c>
      <c r="C66" s="2149">
        <f t="shared" si="1"/>
        <v>206.44661164069163</v>
      </c>
      <c r="D66" s="2149">
        <f t="shared" si="2"/>
        <v>27.158079869259183</v>
      </c>
      <c r="E66" s="2156">
        <f t="shared" si="4"/>
        <v>3867.2653687481825</v>
      </c>
      <c r="F66" s="2154">
        <f t="shared" si="3"/>
        <v>0.28838796957690954</v>
      </c>
    </row>
    <row r="67" spans="1:6" x14ac:dyDescent="0.3">
      <c r="A67">
        <v>56</v>
      </c>
      <c r="B67" s="2155">
        <f t="shared" si="0"/>
        <v>233.60469150995081</v>
      </c>
      <c r="C67" s="2149">
        <f t="shared" si="1"/>
        <v>207.82292238496291</v>
      </c>
      <c r="D67" s="2149">
        <f t="shared" si="2"/>
        <v>25.781769124987903</v>
      </c>
      <c r="E67" s="2156">
        <f t="shared" si="4"/>
        <v>3659.4424463632195</v>
      </c>
      <c r="F67" s="2154">
        <f t="shared" si="3"/>
        <v>0.27289029230281564</v>
      </c>
    </row>
    <row r="68" spans="1:6" x14ac:dyDescent="0.3">
      <c r="A68">
        <v>57</v>
      </c>
      <c r="B68" s="2155">
        <f t="shared" si="0"/>
        <v>233.60469150995081</v>
      </c>
      <c r="C68" s="2149">
        <f t="shared" si="1"/>
        <v>209.20840853419602</v>
      </c>
      <c r="D68" s="2149">
        <f t="shared" si="2"/>
        <v>24.396282975754787</v>
      </c>
      <c r="E68" s="2156">
        <f t="shared" si="4"/>
        <v>3450.2340378290232</v>
      </c>
      <c r="F68" s="2154">
        <f t="shared" si="3"/>
        <v>0.25728929718022775</v>
      </c>
    </row>
    <row r="69" spans="1:6" x14ac:dyDescent="0.3">
      <c r="A69">
        <v>58</v>
      </c>
      <c r="B69" s="2155">
        <f t="shared" si="0"/>
        <v>233.60469150995081</v>
      </c>
      <c r="C69" s="2149">
        <f t="shared" si="1"/>
        <v>210.6031312577573</v>
      </c>
      <c r="D69" s="2149">
        <f t="shared" si="2"/>
        <v>23.001560252193514</v>
      </c>
      <c r="E69" s="2156">
        <f t="shared" si="4"/>
        <v>3239.6309065712658</v>
      </c>
      <c r="F69" s="2154">
        <f t="shared" si="3"/>
        <v>0.24158429542348928</v>
      </c>
    </row>
    <row r="70" spans="1:6" x14ac:dyDescent="0.3">
      <c r="A70">
        <v>59</v>
      </c>
      <c r="B70" s="2155">
        <f t="shared" si="0"/>
        <v>233.60469150995081</v>
      </c>
      <c r="C70" s="2149">
        <f t="shared" si="1"/>
        <v>212.00715213280901</v>
      </c>
      <c r="D70" s="2149">
        <f t="shared" si="2"/>
        <v>21.5975393771418</v>
      </c>
      <c r="E70" s="2156">
        <f t="shared" si="4"/>
        <v>3027.6237544384567</v>
      </c>
      <c r="F70" s="2154">
        <f t="shared" si="3"/>
        <v>0.22577459365503921</v>
      </c>
    </row>
    <row r="71" spans="1:6" x14ac:dyDescent="0.3">
      <c r="A71">
        <v>60</v>
      </c>
      <c r="B71" s="2155">
        <f t="shared" si="0"/>
        <v>233.60469150995081</v>
      </c>
      <c r="C71" s="2149">
        <f t="shared" si="1"/>
        <v>213.42053314702773</v>
      </c>
      <c r="D71" s="2149">
        <f t="shared" si="2"/>
        <v>20.184158362923085</v>
      </c>
      <c r="E71" s="2156">
        <f t="shared" si="4"/>
        <v>2814.2032212914291</v>
      </c>
      <c r="F71" s="2154">
        <f t="shared" si="3"/>
        <v>0.20985949387479952</v>
      </c>
    </row>
    <row r="72" spans="1:6" x14ac:dyDescent="0.3">
      <c r="A72">
        <v>61</v>
      </c>
      <c r="B72" s="2155">
        <f t="shared" si="0"/>
        <v>233.60469150995081</v>
      </c>
      <c r="C72" s="2149">
        <f t="shared" si="1"/>
        <v>214.84333670134129</v>
      </c>
      <c r="D72" s="2149">
        <f t="shared" si="2"/>
        <v>18.761354808609525</v>
      </c>
      <c r="E72" s="2156">
        <f t="shared" si="4"/>
        <v>2599.3598845900879</v>
      </c>
      <c r="F72" s="2154">
        <f t="shared" si="3"/>
        <v>0.19383829342935821</v>
      </c>
    </row>
    <row r="73" spans="1:6" x14ac:dyDescent="0.3">
      <c r="A73">
        <v>62</v>
      </c>
      <c r="B73" s="2155">
        <f t="shared" si="0"/>
        <v>233.60469150995081</v>
      </c>
      <c r="C73" s="2149">
        <f t="shared" si="1"/>
        <v>216.27562561268354</v>
      </c>
      <c r="D73" s="2149">
        <f t="shared" si="2"/>
        <v>17.32906589726727</v>
      </c>
      <c r="E73" s="2156">
        <f t="shared" si="4"/>
        <v>2383.0842589774043</v>
      </c>
      <c r="F73" s="2154">
        <f t="shared" si="3"/>
        <v>0.17771028498094729</v>
      </c>
    </row>
    <row r="74" spans="1:6" x14ac:dyDescent="0.3">
      <c r="A74">
        <v>63</v>
      </c>
      <c r="B74" s="2155">
        <f t="shared" si="0"/>
        <v>233.60469150995081</v>
      </c>
      <c r="C74" s="2149">
        <f t="shared" si="1"/>
        <v>217.7174631167681</v>
      </c>
      <c r="D74" s="2149">
        <f t="shared" si="2"/>
        <v>15.88722839318271</v>
      </c>
      <c r="E74" s="2156">
        <f t="shared" si="4"/>
        <v>2165.3667958606361</v>
      </c>
      <c r="F74" s="2154">
        <f t="shared" si="3"/>
        <v>0.16147475647621362</v>
      </c>
    </row>
    <row r="75" spans="1:6" x14ac:dyDescent="0.3">
      <c r="A75">
        <v>64</v>
      </c>
      <c r="B75" s="2155">
        <f t="shared" si="0"/>
        <v>233.60469150995081</v>
      </c>
      <c r="C75" s="2149">
        <f t="shared" si="1"/>
        <v>219.16891287087989</v>
      </c>
      <c r="D75" s="2149">
        <f t="shared" si="2"/>
        <v>14.435778639070918</v>
      </c>
      <c r="E75" s="2156">
        <f t="shared" si="4"/>
        <v>1946.1978829897562</v>
      </c>
      <c r="F75" s="2154">
        <f t="shared" si="3"/>
        <v>0.14513099111478173</v>
      </c>
    </row>
    <row r="76" spans="1:6" x14ac:dyDescent="0.3">
      <c r="A76">
        <v>65</v>
      </c>
      <c r="B76" s="2155">
        <f t="shared" ref="B76:B132" si="5">-PMT($D$7/12,$C$7,$E$11,0,0)</f>
        <v>233.60469150995081</v>
      </c>
      <c r="C76" s="2149">
        <f t="shared" ref="C76:C132" si="6">-PPMT($D$7/12,A76,$C$7,$E$11,0)</f>
        <v>220.63003895668575</v>
      </c>
      <c r="D76" s="2149">
        <f t="shared" si="2"/>
        <v>12.974652553265059</v>
      </c>
      <c r="E76" s="2156">
        <f t="shared" si="4"/>
        <v>1725.5678440330705</v>
      </c>
      <c r="F76" s="2154">
        <f t="shared" si="3"/>
        <v>0.12867826731760698</v>
      </c>
    </row>
    <row r="77" spans="1:6" x14ac:dyDescent="0.3">
      <c r="A77">
        <v>66</v>
      </c>
      <c r="B77" s="2155">
        <f t="shared" si="5"/>
        <v>233.60469150995081</v>
      </c>
      <c r="C77" s="2149">
        <f t="shared" si="6"/>
        <v>222.10090588306363</v>
      </c>
      <c r="D77" s="2149">
        <f t="shared" ref="D77:D132" si="7">B77-C77</f>
        <v>11.503785626887179</v>
      </c>
      <c r="E77" s="2156">
        <f t="shared" si="4"/>
        <v>1503.4669381500069</v>
      </c>
      <c r="F77" s="2154">
        <f t="shared" ref="F77:F132" si="8">E77/$E$11</f>
        <v>0.11211585869511771</v>
      </c>
    </row>
    <row r="78" spans="1:6" x14ac:dyDescent="0.3">
      <c r="A78">
        <v>67</v>
      </c>
      <c r="B78" s="2155">
        <f t="shared" si="5"/>
        <v>233.60469150995081</v>
      </c>
      <c r="C78" s="2149">
        <f t="shared" si="6"/>
        <v>223.58157858895078</v>
      </c>
      <c r="D78" s="2149">
        <f t="shared" si="7"/>
        <v>10.023112921000035</v>
      </c>
      <c r="E78" s="2156">
        <f t="shared" ref="E78:E132" si="9">E77-C78</f>
        <v>1279.885359561056</v>
      </c>
      <c r="F78" s="2154">
        <f t="shared" si="8"/>
        <v>9.5443034015145187E-2</v>
      </c>
    </row>
    <row r="79" spans="1:6" x14ac:dyDescent="0.3">
      <c r="A79">
        <v>68</v>
      </c>
      <c r="B79" s="2155">
        <f t="shared" si="5"/>
        <v>233.60469150995081</v>
      </c>
      <c r="C79" s="2149">
        <f t="shared" si="6"/>
        <v>225.07212244621044</v>
      </c>
      <c r="D79" s="2149">
        <f t="shared" si="7"/>
        <v>8.5325690637403682</v>
      </c>
      <c r="E79" s="2156">
        <f t="shared" si="9"/>
        <v>1054.8132371148456</v>
      </c>
      <c r="F79" s="2154">
        <f t="shared" si="8"/>
        <v>7.8659057170639507E-2</v>
      </c>
    </row>
    <row r="80" spans="1:6" x14ac:dyDescent="0.3">
      <c r="A80">
        <v>69</v>
      </c>
      <c r="B80" s="2155">
        <f t="shared" si="5"/>
        <v>233.60469150995081</v>
      </c>
      <c r="C80" s="2149">
        <f t="shared" si="6"/>
        <v>226.5726032625185</v>
      </c>
      <c r="D80" s="2149">
        <f t="shared" si="7"/>
        <v>7.0320882474323128</v>
      </c>
      <c r="E80" s="2156">
        <f t="shared" si="9"/>
        <v>828.24063385232716</v>
      </c>
      <c r="F80" s="2154">
        <f t="shared" si="8"/>
        <v>6.1763187147170467E-2</v>
      </c>
    </row>
    <row r="81" spans="1:6" x14ac:dyDescent="0.3">
      <c r="A81">
        <v>70</v>
      </c>
      <c r="B81" s="2155">
        <f t="shared" si="5"/>
        <v>233.60469150995081</v>
      </c>
      <c r="C81" s="2149">
        <f t="shared" si="6"/>
        <v>228.0830872842686</v>
      </c>
      <c r="D81" s="2149">
        <f t="shared" si="7"/>
        <v>5.5216042256822107</v>
      </c>
      <c r="E81" s="2156">
        <f t="shared" si="9"/>
        <v>600.15754656805859</v>
      </c>
      <c r="F81" s="2154">
        <f t="shared" si="8"/>
        <v>4.4754677990211635E-2</v>
      </c>
    </row>
    <row r="82" spans="1:6" x14ac:dyDescent="0.3">
      <c r="A82">
        <v>71</v>
      </c>
      <c r="B82" s="2155">
        <f t="shared" si="5"/>
        <v>233.60469150995081</v>
      </c>
      <c r="C82" s="2149">
        <f t="shared" si="6"/>
        <v>229.60364119949708</v>
      </c>
      <c r="D82" s="2149">
        <f t="shared" si="7"/>
        <v>4.0010503104537349</v>
      </c>
      <c r="E82" s="2156">
        <f t="shared" si="9"/>
        <v>370.55390536856152</v>
      </c>
      <c r="F82" s="2154">
        <f t="shared" si="8"/>
        <v>2.76327787722064E-2</v>
      </c>
    </row>
    <row r="83" spans="1:6" x14ac:dyDescent="0.3">
      <c r="A83">
        <v>72</v>
      </c>
      <c r="B83" s="2155">
        <f t="shared" si="5"/>
        <v>233.60469150995081</v>
      </c>
      <c r="C83" s="2149">
        <f t="shared" si="6"/>
        <v>231.13433214082704</v>
      </c>
      <c r="D83" s="2149">
        <f t="shared" si="7"/>
        <v>2.47035936912377</v>
      </c>
      <c r="E83" s="2156">
        <f t="shared" si="9"/>
        <v>139.41957322773447</v>
      </c>
      <c r="F83" s="2154">
        <f t="shared" si="8"/>
        <v>1.039673355941447E-2</v>
      </c>
    </row>
    <row r="84" spans="1:6" x14ac:dyDescent="0.3">
      <c r="A84">
        <v>73</v>
      </c>
      <c r="B84" s="2155">
        <f t="shared" si="5"/>
        <v>233.60469150995081</v>
      </c>
      <c r="C84" s="2149">
        <f t="shared" si="6"/>
        <v>232.67522768843256</v>
      </c>
      <c r="D84" s="2149">
        <f t="shared" si="7"/>
        <v>0.92946382151825446</v>
      </c>
      <c r="E84" s="2156">
        <f t="shared" si="9"/>
        <v>-93.255654460698082</v>
      </c>
      <c r="F84" s="2154">
        <f t="shared" si="8"/>
        <v>-6.9542186214627414E-3</v>
      </c>
    </row>
    <row r="85" spans="1:6" x14ac:dyDescent="0.3">
      <c r="A85">
        <v>74</v>
      </c>
      <c r="B85" s="2155">
        <f t="shared" si="5"/>
        <v>233.60469150995081</v>
      </c>
      <c r="C85" s="2149" t="e">
        <f t="shared" si="6"/>
        <v>#NUM!</v>
      </c>
      <c r="D85" s="2149" t="e">
        <f t="shared" si="7"/>
        <v>#NUM!</v>
      </c>
      <c r="E85" s="2156" t="e">
        <f t="shared" si="9"/>
        <v>#NUM!</v>
      </c>
      <c r="F85" s="2154" t="e">
        <f t="shared" si="8"/>
        <v>#NUM!</v>
      </c>
    </row>
    <row r="86" spans="1:6" x14ac:dyDescent="0.3">
      <c r="A86">
        <v>75</v>
      </c>
      <c r="B86" s="2155">
        <f t="shared" si="5"/>
        <v>233.60469150995081</v>
      </c>
      <c r="C86" s="2149" t="e">
        <f t="shared" si="6"/>
        <v>#NUM!</v>
      </c>
      <c r="D86" s="2149" t="e">
        <f t="shared" si="7"/>
        <v>#NUM!</v>
      </c>
      <c r="E86" s="2156" t="e">
        <f t="shared" si="9"/>
        <v>#NUM!</v>
      </c>
      <c r="F86" s="2154" t="e">
        <f t="shared" si="8"/>
        <v>#NUM!</v>
      </c>
    </row>
    <row r="87" spans="1:6" x14ac:dyDescent="0.3">
      <c r="A87">
        <v>76</v>
      </c>
      <c r="B87" s="2155">
        <f t="shared" si="5"/>
        <v>233.60469150995081</v>
      </c>
      <c r="C87" s="2149" t="e">
        <f t="shared" si="6"/>
        <v>#NUM!</v>
      </c>
      <c r="D87" s="2149" t="e">
        <f t="shared" si="7"/>
        <v>#NUM!</v>
      </c>
      <c r="E87" s="2156" t="e">
        <f t="shared" si="9"/>
        <v>#NUM!</v>
      </c>
      <c r="F87" s="2154" t="e">
        <f t="shared" si="8"/>
        <v>#NUM!</v>
      </c>
    </row>
    <row r="88" spans="1:6" x14ac:dyDescent="0.3">
      <c r="A88">
        <v>77</v>
      </c>
      <c r="B88" s="2155">
        <f t="shared" si="5"/>
        <v>233.60469150995081</v>
      </c>
      <c r="C88" s="2149" t="e">
        <f t="shared" si="6"/>
        <v>#NUM!</v>
      </c>
      <c r="D88" s="2149" t="e">
        <f t="shared" si="7"/>
        <v>#NUM!</v>
      </c>
      <c r="E88" s="2156" t="e">
        <f t="shared" si="9"/>
        <v>#NUM!</v>
      </c>
      <c r="F88" s="2154" t="e">
        <f t="shared" si="8"/>
        <v>#NUM!</v>
      </c>
    </row>
    <row r="89" spans="1:6" x14ac:dyDescent="0.3">
      <c r="A89">
        <v>78</v>
      </c>
      <c r="B89" s="2155">
        <f t="shared" si="5"/>
        <v>233.60469150995081</v>
      </c>
      <c r="C89" s="2149" t="e">
        <f t="shared" si="6"/>
        <v>#NUM!</v>
      </c>
      <c r="D89" s="2149" t="e">
        <f t="shared" si="7"/>
        <v>#NUM!</v>
      </c>
      <c r="E89" s="2156" t="e">
        <f t="shared" si="9"/>
        <v>#NUM!</v>
      </c>
      <c r="F89" s="2154" t="e">
        <f t="shared" si="8"/>
        <v>#NUM!</v>
      </c>
    </row>
    <row r="90" spans="1:6" x14ac:dyDescent="0.3">
      <c r="A90">
        <v>79</v>
      </c>
      <c r="B90" s="2155">
        <f t="shared" si="5"/>
        <v>233.60469150995081</v>
      </c>
      <c r="C90" s="2149" t="e">
        <f t="shared" si="6"/>
        <v>#NUM!</v>
      </c>
      <c r="D90" s="2149" t="e">
        <f t="shared" si="7"/>
        <v>#NUM!</v>
      </c>
      <c r="E90" s="2156" t="e">
        <f t="shared" si="9"/>
        <v>#NUM!</v>
      </c>
      <c r="F90" s="2154" t="e">
        <f t="shared" si="8"/>
        <v>#NUM!</v>
      </c>
    </row>
    <row r="91" spans="1:6" x14ac:dyDescent="0.3">
      <c r="A91">
        <v>80</v>
      </c>
      <c r="B91" s="2155">
        <f t="shared" si="5"/>
        <v>233.60469150995081</v>
      </c>
      <c r="C91" s="2149" t="e">
        <f t="shared" si="6"/>
        <v>#NUM!</v>
      </c>
      <c r="D91" s="2149" t="e">
        <f t="shared" si="7"/>
        <v>#NUM!</v>
      </c>
      <c r="E91" s="2156" t="e">
        <f t="shared" si="9"/>
        <v>#NUM!</v>
      </c>
      <c r="F91" s="2154" t="e">
        <f t="shared" si="8"/>
        <v>#NUM!</v>
      </c>
    </row>
    <row r="92" spans="1:6" x14ac:dyDescent="0.3">
      <c r="A92">
        <v>81</v>
      </c>
      <c r="B92" s="2155">
        <f t="shared" si="5"/>
        <v>233.60469150995081</v>
      </c>
      <c r="C92" s="2149" t="e">
        <f t="shared" si="6"/>
        <v>#NUM!</v>
      </c>
      <c r="D92" s="2149" t="e">
        <f t="shared" si="7"/>
        <v>#NUM!</v>
      </c>
      <c r="E92" s="2156" t="e">
        <f t="shared" si="9"/>
        <v>#NUM!</v>
      </c>
      <c r="F92" s="2154" t="e">
        <f t="shared" si="8"/>
        <v>#NUM!</v>
      </c>
    </row>
    <row r="93" spans="1:6" x14ac:dyDescent="0.3">
      <c r="A93">
        <v>82</v>
      </c>
      <c r="B93" s="2155">
        <f t="shared" si="5"/>
        <v>233.60469150995081</v>
      </c>
      <c r="C93" s="2149" t="e">
        <f t="shared" si="6"/>
        <v>#NUM!</v>
      </c>
      <c r="D93" s="2149" t="e">
        <f t="shared" si="7"/>
        <v>#NUM!</v>
      </c>
      <c r="E93" s="2156" t="e">
        <f t="shared" si="9"/>
        <v>#NUM!</v>
      </c>
      <c r="F93" s="2154" t="e">
        <f t="shared" si="8"/>
        <v>#NUM!</v>
      </c>
    </row>
    <row r="94" spans="1:6" x14ac:dyDescent="0.3">
      <c r="A94">
        <v>83</v>
      </c>
      <c r="B94" s="2155">
        <f t="shared" si="5"/>
        <v>233.60469150995081</v>
      </c>
      <c r="C94" s="2149" t="e">
        <f t="shared" si="6"/>
        <v>#NUM!</v>
      </c>
      <c r="D94" s="2149" t="e">
        <f t="shared" si="7"/>
        <v>#NUM!</v>
      </c>
      <c r="E94" s="2156" t="e">
        <f t="shared" si="9"/>
        <v>#NUM!</v>
      </c>
      <c r="F94" s="2154" t="e">
        <f t="shared" si="8"/>
        <v>#NUM!</v>
      </c>
    </row>
    <row r="95" spans="1:6" x14ac:dyDescent="0.3">
      <c r="A95">
        <v>84</v>
      </c>
      <c r="B95" s="2155">
        <f t="shared" si="5"/>
        <v>233.60469150995081</v>
      </c>
      <c r="C95" s="2149" t="e">
        <f t="shared" si="6"/>
        <v>#NUM!</v>
      </c>
      <c r="D95" s="2149" t="e">
        <f t="shared" si="7"/>
        <v>#NUM!</v>
      </c>
      <c r="E95" s="2156" t="e">
        <f t="shared" si="9"/>
        <v>#NUM!</v>
      </c>
      <c r="F95" s="2154" t="e">
        <f t="shared" si="8"/>
        <v>#NUM!</v>
      </c>
    </row>
    <row r="96" spans="1:6" x14ac:dyDescent="0.3">
      <c r="A96">
        <v>85</v>
      </c>
      <c r="B96" s="2155">
        <f t="shared" si="5"/>
        <v>233.60469150995081</v>
      </c>
      <c r="C96" s="2149" t="e">
        <f t="shared" si="6"/>
        <v>#NUM!</v>
      </c>
      <c r="D96" s="2149" t="e">
        <f t="shared" si="7"/>
        <v>#NUM!</v>
      </c>
      <c r="E96" s="2156" t="e">
        <f t="shared" si="9"/>
        <v>#NUM!</v>
      </c>
      <c r="F96" s="2154" t="e">
        <f t="shared" si="8"/>
        <v>#NUM!</v>
      </c>
    </row>
    <row r="97" spans="1:6" x14ac:dyDescent="0.3">
      <c r="A97">
        <v>86</v>
      </c>
      <c r="B97" s="2155">
        <f t="shared" si="5"/>
        <v>233.60469150995081</v>
      </c>
      <c r="C97" s="2149" t="e">
        <f t="shared" si="6"/>
        <v>#NUM!</v>
      </c>
      <c r="D97" s="2149" t="e">
        <f t="shared" si="7"/>
        <v>#NUM!</v>
      </c>
      <c r="E97" s="2156" t="e">
        <f t="shared" si="9"/>
        <v>#NUM!</v>
      </c>
      <c r="F97" s="2154" t="e">
        <f t="shared" si="8"/>
        <v>#NUM!</v>
      </c>
    </row>
    <row r="98" spans="1:6" x14ac:dyDescent="0.3">
      <c r="A98">
        <v>87</v>
      </c>
      <c r="B98" s="2155">
        <f t="shared" si="5"/>
        <v>233.60469150995081</v>
      </c>
      <c r="C98" s="2149" t="e">
        <f t="shared" si="6"/>
        <v>#NUM!</v>
      </c>
      <c r="D98" s="2149" t="e">
        <f t="shared" si="7"/>
        <v>#NUM!</v>
      </c>
      <c r="E98" s="2156" t="e">
        <f t="shared" si="9"/>
        <v>#NUM!</v>
      </c>
      <c r="F98" s="2154" t="e">
        <f t="shared" si="8"/>
        <v>#NUM!</v>
      </c>
    </row>
    <row r="99" spans="1:6" x14ac:dyDescent="0.3">
      <c r="A99">
        <v>88</v>
      </c>
      <c r="B99" s="2155">
        <f t="shared" si="5"/>
        <v>233.60469150995081</v>
      </c>
      <c r="C99" s="2149" t="e">
        <f t="shared" si="6"/>
        <v>#NUM!</v>
      </c>
      <c r="D99" s="2149" t="e">
        <f t="shared" si="7"/>
        <v>#NUM!</v>
      </c>
      <c r="E99" s="2156" t="e">
        <f t="shared" si="9"/>
        <v>#NUM!</v>
      </c>
      <c r="F99" s="2154" t="e">
        <f t="shared" si="8"/>
        <v>#NUM!</v>
      </c>
    </row>
    <row r="100" spans="1:6" x14ac:dyDescent="0.3">
      <c r="A100">
        <v>89</v>
      </c>
      <c r="B100" s="2155">
        <f t="shared" si="5"/>
        <v>233.60469150995081</v>
      </c>
      <c r="C100" s="2149" t="e">
        <f t="shared" si="6"/>
        <v>#NUM!</v>
      </c>
      <c r="D100" s="2149" t="e">
        <f t="shared" si="7"/>
        <v>#NUM!</v>
      </c>
      <c r="E100" s="2156" t="e">
        <f t="shared" si="9"/>
        <v>#NUM!</v>
      </c>
      <c r="F100" s="2154" t="e">
        <f t="shared" si="8"/>
        <v>#NUM!</v>
      </c>
    </row>
    <row r="101" spans="1:6" x14ac:dyDescent="0.3">
      <c r="A101">
        <v>90</v>
      </c>
      <c r="B101" s="2155">
        <f t="shared" si="5"/>
        <v>233.60469150995081</v>
      </c>
      <c r="C101" s="2149" t="e">
        <f t="shared" si="6"/>
        <v>#NUM!</v>
      </c>
      <c r="D101" s="2149" t="e">
        <f t="shared" si="7"/>
        <v>#NUM!</v>
      </c>
      <c r="E101" s="2156" t="e">
        <f t="shared" si="9"/>
        <v>#NUM!</v>
      </c>
      <c r="F101" s="2154" t="e">
        <f t="shared" si="8"/>
        <v>#NUM!</v>
      </c>
    </row>
    <row r="102" spans="1:6" x14ac:dyDescent="0.3">
      <c r="A102">
        <v>91</v>
      </c>
      <c r="B102" s="2155">
        <f t="shared" si="5"/>
        <v>233.60469150995081</v>
      </c>
      <c r="C102" s="2149" t="e">
        <f t="shared" si="6"/>
        <v>#NUM!</v>
      </c>
      <c r="D102" s="2149" t="e">
        <f t="shared" si="7"/>
        <v>#NUM!</v>
      </c>
      <c r="E102" s="2156" t="e">
        <f t="shared" si="9"/>
        <v>#NUM!</v>
      </c>
      <c r="F102" s="2154" t="e">
        <f t="shared" si="8"/>
        <v>#NUM!</v>
      </c>
    </row>
    <row r="103" spans="1:6" x14ac:dyDescent="0.3">
      <c r="A103">
        <v>92</v>
      </c>
      <c r="B103" s="2155">
        <f t="shared" si="5"/>
        <v>233.60469150995081</v>
      </c>
      <c r="C103" s="2149" t="e">
        <f t="shared" si="6"/>
        <v>#NUM!</v>
      </c>
      <c r="D103" s="2149" t="e">
        <f t="shared" si="7"/>
        <v>#NUM!</v>
      </c>
      <c r="E103" s="2156" t="e">
        <f t="shared" si="9"/>
        <v>#NUM!</v>
      </c>
      <c r="F103" s="2154" t="e">
        <f t="shared" si="8"/>
        <v>#NUM!</v>
      </c>
    </row>
    <row r="104" spans="1:6" x14ac:dyDescent="0.3">
      <c r="A104">
        <v>93</v>
      </c>
      <c r="B104" s="2155">
        <f t="shared" si="5"/>
        <v>233.60469150995081</v>
      </c>
      <c r="C104" s="2149" t="e">
        <f t="shared" si="6"/>
        <v>#NUM!</v>
      </c>
      <c r="D104" s="2149" t="e">
        <f t="shared" si="7"/>
        <v>#NUM!</v>
      </c>
      <c r="E104" s="2156" t="e">
        <f t="shared" si="9"/>
        <v>#NUM!</v>
      </c>
      <c r="F104" s="2154" t="e">
        <f t="shared" si="8"/>
        <v>#NUM!</v>
      </c>
    </row>
    <row r="105" spans="1:6" x14ac:dyDescent="0.3">
      <c r="A105">
        <v>94</v>
      </c>
      <c r="B105" s="2155">
        <f t="shared" si="5"/>
        <v>233.60469150995081</v>
      </c>
      <c r="C105" s="2149" t="e">
        <f t="shared" si="6"/>
        <v>#NUM!</v>
      </c>
      <c r="D105" s="2149" t="e">
        <f t="shared" si="7"/>
        <v>#NUM!</v>
      </c>
      <c r="E105" s="2156" t="e">
        <f t="shared" si="9"/>
        <v>#NUM!</v>
      </c>
      <c r="F105" s="2154" t="e">
        <f t="shared" si="8"/>
        <v>#NUM!</v>
      </c>
    </row>
    <row r="106" spans="1:6" x14ac:dyDescent="0.3">
      <c r="A106">
        <v>95</v>
      </c>
      <c r="B106" s="2155">
        <f t="shared" si="5"/>
        <v>233.60469150995081</v>
      </c>
      <c r="C106" s="2149" t="e">
        <f t="shared" si="6"/>
        <v>#NUM!</v>
      </c>
      <c r="D106" s="2149" t="e">
        <f t="shared" si="7"/>
        <v>#NUM!</v>
      </c>
      <c r="E106" s="2156" t="e">
        <f t="shared" si="9"/>
        <v>#NUM!</v>
      </c>
      <c r="F106" s="2154" t="e">
        <f t="shared" si="8"/>
        <v>#NUM!</v>
      </c>
    </row>
    <row r="107" spans="1:6" x14ac:dyDescent="0.3">
      <c r="A107">
        <v>96</v>
      </c>
      <c r="B107" s="2155">
        <f t="shared" si="5"/>
        <v>233.60469150995081</v>
      </c>
      <c r="C107" s="2149" t="e">
        <f t="shared" si="6"/>
        <v>#NUM!</v>
      </c>
      <c r="D107" s="2149" t="e">
        <f t="shared" si="7"/>
        <v>#NUM!</v>
      </c>
      <c r="E107" s="2156" t="e">
        <f t="shared" si="9"/>
        <v>#NUM!</v>
      </c>
      <c r="F107" s="2154" t="e">
        <f t="shared" si="8"/>
        <v>#NUM!</v>
      </c>
    </row>
    <row r="108" spans="1:6" x14ac:dyDescent="0.3">
      <c r="A108">
        <v>97</v>
      </c>
      <c r="B108" s="2155">
        <f t="shared" si="5"/>
        <v>233.60469150995081</v>
      </c>
      <c r="C108" s="2149" t="e">
        <f t="shared" si="6"/>
        <v>#NUM!</v>
      </c>
      <c r="D108" s="2149" t="e">
        <f t="shared" si="7"/>
        <v>#NUM!</v>
      </c>
      <c r="E108" s="2156" t="e">
        <f t="shared" si="9"/>
        <v>#NUM!</v>
      </c>
      <c r="F108" s="2154" t="e">
        <f t="shared" si="8"/>
        <v>#NUM!</v>
      </c>
    </row>
    <row r="109" spans="1:6" x14ac:dyDescent="0.3">
      <c r="A109">
        <v>98</v>
      </c>
      <c r="B109" s="2155">
        <f t="shared" si="5"/>
        <v>233.60469150995081</v>
      </c>
      <c r="C109" s="2149" t="e">
        <f t="shared" si="6"/>
        <v>#NUM!</v>
      </c>
      <c r="D109" s="2149" t="e">
        <f t="shared" si="7"/>
        <v>#NUM!</v>
      </c>
      <c r="E109" s="2156" t="e">
        <f t="shared" si="9"/>
        <v>#NUM!</v>
      </c>
      <c r="F109" s="2154" t="e">
        <f t="shared" si="8"/>
        <v>#NUM!</v>
      </c>
    </row>
    <row r="110" spans="1:6" x14ac:dyDescent="0.3">
      <c r="A110">
        <v>99</v>
      </c>
      <c r="B110" s="2155">
        <f t="shared" si="5"/>
        <v>233.60469150995081</v>
      </c>
      <c r="C110" s="2149" t="e">
        <f t="shared" si="6"/>
        <v>#NUM!</v>
      </c>
      <c r="D110" s="2149" t="e">
        <f t="shared" si="7"/>
        <v>#NUM!</v>
      </c>
      <c r="E110" s="2156" t="e">
        <f t="shared" si="9"/>
        <v>#NUM!</v>
      </c>
      <c r="F110" s="2154" t="e">
        <f t="shared" si="8"/>
        <v>#NUM!</v>
      </c>
    </row>
    <row r="111" spans="1:6" x14ac:dyDescent="0.3">
      <c r="A111">
        <v>100</v>
      </c>
      <c r="B111" s="2155">
        <f t="shared" si="5"/>
        <v>233.60469150995081</v>
      </c>
      <c r="C111" s="2149" t="e">
        <f t="shared" si="6"/>
        <v>#NUM!</v>
      </c>
      <c r="D111" s="2149" t="e">
        <f t="shared" si="7"/>
        <v>#NUM!</v>
      </c>
      <c r="E111" s="2156" t="e">
        <f t="shared" si="9"/>
        <v>#NUM!</v>
      </c>
      <c r="F111" s="2154" t="e">
        <f t="shared" si="8"/>
        <v>#NUM!</v>
      </c>
    </row>
    <row r="112" spans="1:6" x14ac:dyDescent="0.3">
      <c r="A112">
        <v>101</v>
      </c>
      <c r="B112" s="2155">
        <f t="shared" si="5"/>
        <v>233.60469150995081</v>
      </c>
      <c r="C112" s="2149" t="e">
        <f t="shared" si="6"/>
        <v>#NUM!</v>
      </c>
      <c r="D112" s="2149" t="e">
        <f t="shared" si="7"/>
        <v>#NUM!</v>
      </c>
      <c r="E112" s="2156" t="e">
        <f t="shared" si="9"/>
        <v>#NUM!</v>
      </c>
      <c r="F112" s="2154" t="e">
        <f t="shared" si="8"/>
        <v>#NUM!</v>
      </c>
    </row>
    <row r="113" spans="1:6" x14ac:dyDescent="0.3">
      <c r="A113">
        <v>102</v>
      </c>
      <c r="B113" s="2155">
        <f t="shared" si="5"/>
        <v>233.60469150995081</v>
      </c>
      <c r="C113" s="2149" t="e">
        <f t="shared" si="6"/>
        <v>#NUM!</v>
      </c>
      <c r="D113" s="2149" t="e">
        <f t="shared" si="7"/>
        <v>#NUM!</v>
      </c>
      <c r="E113" s="2156" t="e">
        <f t="shared" si="9"/>
        <v>#NUM!</v>
      </c>
      <c r="F113" s="2154" t="e">
        <f t="shared" si="8"/>
        <v>#NUM!</v>
      </c>
    </row>
    <row r="114" spans="1:6" x14ac:dyDescent="0.3">
      <c r="A114">
        <v>103</v>
      </c>
      <c r="B114" s="2155">
        <f t="shared" si="5"/>
        <v>233.60469150995081</v>
      </c>
      <c r="C114" s="2149" t="e">
        <f t="shared" si="6"/>
        <v>#NUM!</v>
      </c>
      <c r="D114" s="2149" t="e">
        <f t="shared" si="7"/>
        <v>#NUM!</v>
      </c>
      <c r="E114" s="2156" t="e">
        <f t="shared" si="9"/>
        <v>#NUM!</v>
      </c>
      <c r="F114" s="2154" t="e">
        <f t="shared" si="8"/>
        <v>#NUM!</v>
      </c>
    </row>
    <row r="115" spans="1:6" x14ac:dyDescent="0.3">
      <c r="A115">
        <v>104</v>
      </c>
      <c r="B115" s="2155">
        <f t="shared" si="5"/>
        <v>233.60469150995081</v>
      </c>
      <c r="C115" s="2149" t="e">
        <f t="shared" si="6"/>
        <v>#NUM!</v>
      </c>
      <c r="D115" s="2149" t="e">
        <f t="shared" si="7"/>
        <v>#NUM!</v>
      </c>
      <c r="E115" s="2156" t="e">
        <f t="shared" si="9"/>
        <v>#NUM!</v>
      </c>
      <c r="F115" s="2154" t="e">
        <f t="shared" si="8"/>
        <v>#NUM!</v>
      </c>
    </row>
    <row r="116" spans="1:6" x14ac:dyDescent="0.3">
      <c r="A116">
        <v>105</v>
      </c>
      <c r="B116" s="2155">
        <f t="shared" si="5"/>
        <v>233.60469150995081</v>
      </c>
      <c r="C116" s="2149" t="e">
        <f t="shared" si="6"/>
        <v>#NUM!</v>
      </c>
      <c r="D116" s="2149" t="e">
        <f t="shared" si="7"/>
        <v>#NUM!</v>
      </c>
      <c r="E116" s="2156" t="e">
        <f t="shared" si="9"/>
        <v>#NUM!</v>
      </c>
      <c r="F116" s="2154" t="e">
        <f t="shared" si="8"/>
        <v>#NUM!</v>
      </c>
    </row>
    <row r="117" spans="1:6" x14ac:dyDescent="0.3">
      <c r="A117">
        <v>106</v>
      </c>
      <c r="B117" s="2155">
        <f t="shared" si="5"/>
        <v>233.60469150995081</v>
      </c>
      <c r="C117" s="2149" t="e">
        <f t="shared" si="6"/>
        <v>#NUM!</v>
      </c>
      <c r="D117" s="2149" t="e">
        <f t="shared" si="7"/>
        <v>#NUM!</v>
      </c>
      <c r="E117" s="2156" t="e">
        <f t="shared" si="9"/>
        <v>#NUM!</v>
      </c>
      <c r="F117" s="2154" t="e">
        <f t="shared" si="8"/>
        <v>#NUM!</v>
      </c>
    </row>
    <row r="118" spans="1:6" x14ac:dyDescent="0.3">
      <c r="A118">
        <v>107</v>
      </c>
      <c r="B118" s="2155">
        <f t="shared" si="5"/>
        <v>233.60469150995081</v>
      </c>
      <c r="C118" s="2149" t="e">
        <f t="shared" si="6"/>
        <v>#NUM!</v>
      </c>
      <c r="D118" s="2149" t="e">
        <f t="shared" si="7"/>
        <v>#NUM!</v>
      </c>
      <c r="E118" s="2156" t="e">
        <f t="shared" si="9"/>
        <v>#NUM!</v>
      </c>
      <c r="F118" s="2154" t="e">
        <f t="shared" si="8"/>
        <v>#NUM!</v>
      </c>
    </row>
    <row r="119" spans="1:6" x14ac:dyDescent="0.3">
      <c r="A119">
        <v>108</v>
      </c>
      <c r="B119" s="2155">
        <f t="shared" si="5"/>
        <v>233.60469150995081</v>
      </c>
      <c r="C119" s="2149" t="e">
        <f t="shared" si="6"/>
        <v>#NUM!</v>
      </c>
      <c r="D119" s="2149" t="e">
        <f t="shared" si="7"/>
        <v>#NUM!</v>
      </c>
      <c r="E119" s="2156" t="e">
        <f t="shared" si="9"/>
        <v>#NUM!</v>
      </c>
      <c r="F119" s="2154" t="e">
        <f t="shared" si="8"/>
        <v>#NUM!</v>
      </c>
    </row>
    <row r="120" spans="1:6" x14ac:dyDescent="0.3">
      <c r="A120">
        <v>109</v>
      </c>
      <c r="B120" s="2155">
        <f t="shared" si="5"/>
        <v>233.60469150995081</v>
      </c>
      <c r="C120" s="2149" t="e">
        <f t="shared" si="6"/>
        <v>#NUM!</v>
      </c>
      <c r="D120" s="2149" t="e">
        <f t="shared" si="7"/>
        <v>#NUM!</v>
      </c>
      <c r="E120" s="2156" t="e">
        <f t="shared" si="9"/>
        <v>#NUM!</v>
      </c>
      <c r="F120" s="2154" t="e">
        <f t="shared" si="8"/>
        <v>#NUM!</v>
      </c>
    </row>
    <row r="121" spans="1:6" x14ac:dyDescent="0.3">
      <c r="A121">
        <v>110</v>
      </c>
      <c r="B121" s="2155">
        <f t="shared" si="5"/>
        <v>233.60469150995081</v>
      </c>
      <c r="C121" s="2149" t="e">
        <f t="shared" si="6"/>
        <v>#NUM!</v>
      </c>
      <c r="D121" s="2149" t="e">
        <f t="shared" si="7"/>
        <v>#NUM!</v>
      </c>
      <c r="E121" s="2156" t="e">
        <f t="shared" si="9"/>
        <v>#NUM!</v>
      </c>
      <c r="F121" s="2154" t="e">
        <f t="shared" si="8"/>
        <v>#NUM!</v>
      </c>
    </row>
    <row r="122" spans="1:6" x14ac:dyDescent="0.3">
      <c r="A122">
        <v>111</v>
      </c>
      <c r="B122" s="2155">
        <f t="shared" si="5"/>
        <v>233.60469150995081</v>
      </c>
      <c r="C122" s="2149" t="e">
        <f t="shared" si="6"/>
        <v>#NUM!</v>
      </c>
      <c r="D122" s="2149" t="e">
        <f t="shared" si="7"/>
        <v>#NUM!</v>
      </c>
      <c r="E122" s="2156" t="e">
        <f t="shared" si="9"/>
        <v>#NUM!</v>
      </c>
      <c r="F122" s="2154" t="e">
        <f t="shared" si="8"/>
        <v>#NUM!</v>
      </c>
    </row>
    <row r="123" spans="1:6" x14ac:dyDescent="0.3">
      <c r="A123">
        <v>112</v>
      </c>
      <c r="B123" s="2155">
        <f t="shared" si="5"/>
        <v>233.60469150995081</v>
      </c>
      <c r="C123" s="2149" t="e">
        <f t="shared" si="6"/>
        <v>#NUM!</v>
      </c>
      <c r="D123" s="2149" t="e">
        <f t="shared" si="7"/>
        <v>#NUM!</v>
      </c>
      <c r="E123" s="2156" t="e">
        <f t="shared" si="9"/>
        <v>#NUM!</v>
      </c>
      <c r="F123" s="2154" t="e">
        <f t="shared" si="8"/>
        <v>#NUM!</v>
      </c>
    </row>
    <row r="124" spans="1:6" x14ac:dyDescent="0.3">
      <c r="A124">
        <v>113</v>
      </c>
      <c r="B124" s="2155">
        <f t="shared" si="5"/>
        <v>233.60469150995081</v>
      </c>
      <c r="C124" s="2149" t="e">
        <f t="shared" si="6"/>
        <v>#NUM!</v>
      </c>
      <c r="D124" s="2149" t="e">
        <f t="shared" si="7"/>
        <v>#NUM!</v>
      </c>
      <c r="E124" s="2156" t="e">
        <f t="shared" si="9"/>
        <v>#NUM!</v>
      </c>
      <c r="F124" s="2154" t="e">
        <f t="shared" si="8"/>
        <v>#NUM!</v>
      </c>
    </row>
    <row r="125" spans="1:6" x14ac:dyDescent="0.3">
      <c r="A125">
        <v>114</v>
      </c>
      <c r="B125" s="2155">
        <f t="shared" si="5"/>
        <v>233.60469150995081</v>
      </c>
      <c r="C125" s="2149" t="e">
        <f t="shared" si="6"/>
        <v>#NUM!</v>
      </c>
      <c r="D125" s="2149" t="e">
        <f t="shared" si="7"/>
        <v>#NUM!</v>
      </c>
      <c r="E125" s="2156" t="e">
        <f t="shared" si="9"/>
        <v>#NUM!</v>
      </c>
      <c r="F125" s="2154" t="e">
        <f t="shared" si="8"/>
        <v>#NUM!</v>
      </c>
    </row>
    <row r="126" spans="1:6" x14ac:dyDescent="0.3">
      <c r="A126">
        <v>115</v>
      </c>
      <c r="B126" s="2155">
        <f t="shared" si="5"/>
        <v>233.60469150995081</v>
      </c>
      <c r="C126" s="2149" t="e">
        <f t="shared" si="6"/>
        <v>#NUM!</v>
      </c>
      <c r="D126" s="2149" t="e">
        <f t="shared" si="7"/>
        <v>#NUM!</v>
      </c>
      <c r="E126" s="2156" t="e">
        <f t="shared" si="9"/>
        <v>#NUM!</v>
      </c>
      <c r="F126" s="2154" t="e">
        <f t="shared" si="8"/>
        <v>#NUM!</v>
      </c>
    </row>
    <row r="127" spans="1:6" x14ac:dyDescent="0.3">
      <c r="A127">
        <v>116</v>
      </c>
      <c r="B127" s="2155">
        <f t="shared" si="5"/>
        <v>233.60469150995081</v>
      </c>
      <c r="C127" s="2149" t="e">
        <f t="shared" si="6"/>
        <v>#NUM!</v>
      </c>
      <c r="D127" s="2149" t="e">
        <f t="shared" si="7"/>
        <v>#NUM!</v>
      </c>
      <c r="E127" s="2156" t="e">
        <f t="shared" si="9"/>
        <v>#NUM!</v>
      </c>
      <c r="F127" s="2154" t="e">
        <f t="shared" si="8"/>
        <v>#NUM!</v>
      </c>
    </row>
    <row r="128" spans="1:6" x14ac:dyDescent="0.3">
      <c r="A128">
        <v>117</v>
      </c>
      <c r="B128" s="2155">
        <f t="shared" si="5"/>
        <v>233.60469150995081</v>
      </c>
      <c r="C128" s="2149" t="e">
        <f t="shared" si="6"/>
        <v>#NUM!</v>
      </c>
      <c r="D128" s="2149" t="e">
        <f t="shared" si="7"/>
        <v>#NUM!</v>
      </c>
      <c r="E128" s="2156" t="e">
        <f t="shared" si="9"/>
        <v>#NUM!</v>
      </c>
      <c r="F128" s="2154" t="e">
        <f t="shared" si="8"/>
        <v>#NUM!</v>
      </c>
    </row>
    <row r="129" spans="1:6" x14ac:dyDescent="0.3">
      <c r="A129">
        <v>118</v>
      </c>
      <c r="B129" s="2155">
        <f t="shared" si="5"/>
        <v>233.60469150995081</v>
      </c>
      <c r="C129" s="2149" t="e">
        <f t="shared" si="6"/>
        <v>#NUM!</v>
      </c>
      <c r="D129" s="2149" t="e">
        <f t="shared" si="7"/>
        <v>#NUM!</v>
      </c>
      <c r="E129" s="2156" t="e">
        <f t="shared" si="9"/>
        <v>#NUM!</v>
      </c>
      <c r="F129" s="2154" t="e">
        <f t="shared" si="8"/>
        <v>#NUM!</v>
      </c>
    </row>
    <row r="130" spans="1:6" x14ac:dyDescent="0.3">
      <c r="A130">
        <v>119</v>
      </c>
      <c r="B130" s="2155">
        <f t="shared" si="5"/>
        <v>233.60469150995081</v>
      </c>
      <c r="C130" s="2149" t="e">
        <f t="shared" si="6"/>
        <v>#NUM!</v>
      </c>
      <c r="D130" s="2149" t="e">
        <f t="shared" si="7"/>
        <v>#NUM!</v>
      </c>
      <c r="E130" s="2156" t="e">
        <f t="shared" si="9"/>
        <v>#NUM!</v>
      </c>
      <c r="F130" s="2154" t="e">
        <f t="shared" si="8"/>
        <v>#NUM!</v>
      </c>
    </row>
    <row r="131" spans="1:6" x14ac:dyDescent="0.3">
      <c r="A131">
        <v>120</v>
      </c>
      <c r="B131" s="2155">
        <f t="shared" si="5"/>
        <v>233.60469150995081</v>
      </c>
      <c r="C131" s="2149" t="e">
        <f t="shared" si="6"/>
        <v>#NUM!</v>
      </c>
      <c r="D131" s="2149" t="e">
        <f t="shared" si="7"/>
        <v>#NUM!</v>
      </c>
      <c r="E131" s="2156" t="e">
        <f t="shared" si="9"/>
        <v>#NUM!</v>
      </c>
      <c r="F131" s="2154" t="e">
        <f t="shared" si="8"/>
        <v>#NUM!</v>
      </c>
    </row>
    <row r="132" spans="1:6" x14ac:dyDescent="0.3">
      <c r="A132">
        <v>121</v>
      </c>
      <c r="B132" s="2155">
        <f t="shared" si="5"/>
        <v>233.60469150995081</v>
      </c>
      <c r="C132" s="2149" t="e">
        <f t="shared" si="6"/>
        <v>#NUM!</v>
      </c>
      <c r="D132" s="2149" t="e">
        <f t="shared" si="7"/>
        <v>#NUM!</v>
      </c>
      <c r="E132" s="2156" t="e">
        <f t="shared" si="9"/>
        <v>#NUM!</v>
      </c>
      <c r="F132" s="2154" t="e">
        <f t="shared" si="8"/>
        <v>#NUM!</v>
      </c>
    </row>
    <row r="133" spans="1:6" x14ac:dyDescent="0.3">
      <c r="B133" s="2155"/>
      <c r="C133" s="2149"/>
      <c r="D133" s="2149"/>
      <c r="E133" s="2157"/>
    </row>
    <row r="134" spans="1:6" x14ac:dyDescent="0.3">
      <c r="B134" s="2155"/>
      <c r="C134" s="2149"/>
      <c r="D134" s="2149"/>
      <c r="E134" s="2157"/>
    </row>
    <row r="135" spans="1:6" x14ac:dyDescent="0.3">
      <c r="B135" s="2155"/>
      <c r="C135" s="2149"/>
      <c r="D135" s="2149"/>
      <c r="E135" s="2157"/>
    </row>
    <row r="136" spans="1:6" x14ac:dyDescent="0.3">
      <c r="B136" s="2155"/>
      <c r="C136" s="2149"/>
      <c r="D136" s="2149"/>
      <c r="E136" s="2157"/>
    </row>
    <row r="137" spans="1:6" x14ac:dyDescent="0.3">
      <c r="B137" s="2155"/>
      <c r="C137" s="2149"/>
      <c r="D137" s="2149"/>
      <c r="E137" s="2157"/>
    </row>
    <row r="138" spans="1:6" x14ac:dyDescent="0.3">
      <c r="B138" s="2155"/>
      <c r="C138" s="2149"/>
      <c r="D138" s="2149"/>
      <c r="E138" s="2157"/>
    </row>
    <row r="139" spans="1:6" x14ac:dyDescent="0.3">
      <c r="B139" s="2155"/>
      <c r="C139" s="2149"/>
      <c r="D139" s="2149"/>
      <c r="E139" s="2157"/>
    </row>
    <row r="140" spans="1:6" x14ac:dyDescent="0.3">
      <c r="B140" s="2155"/>
      <c r="C140" s="2149"/>
      <c r="D140" s="2149"/>
      <c r="E140" s="2157"/>
    </row>
    <row r="141" spans="1:6" x14ac:dyDescent="0.3">
      <c r="B141" s="2155"/>
      <c r="C141" s="2149"/>
      <c r="D141" s="2149"/>
      <c r="E141" s="2157"/>
    </row>
    <row r="142" spans="1:6" x14ac:dyDescent="0.3">
      <c r="B142" s="2155"/>
      <c r="C142" s="2149"/>
      <c r="D142" s="2149"/>
      <c r="E142" s="2157"/>
    </row>
    <row r="143" spans="1:6" x14ac:dyDescent="0.3">
      <c r="B143" s="2155"/>
      <c r="C143" s="2149"/>
      <c r="D143" s="2149"/>
      <c r="E143" s="2157"/>
    </row>
    <row r="144" spans="1:6" x14ac:dyDescent="0.3">
      <c r="B144" s="2155"/>
      <c r="C144" s="2149"/>
      <c r="D144" s="2149"/>
      <c r="E144" s="2157"/>
    </row>
    <row r="145" spans="2:5" x14ac:dyDescent="0.3">
      <c r="B145" s="2155"/>
      <c r="C145" s="2149"/>
      <c r="D145" s="2149"/>
      <c r="E145" s="2157"/>
    </row>
    <row r="146" spans="2:5" x14ac:dyDescent="0.3">
      <c r="B146" s="2155"/>
      <c r="C146" s="2149"/>
      <c r="D146" s="2149"/>
      <c r="E146" s="2157"/>
    </row>
    <row r="147" spans="2:5" x14ac:dyDescent="0.3">
      <c r="B147" s="2155"/>
      <c r="C147" s="2149"/>
      <c r="D147" s="2149"/>
      <c r="E147" s="2157"/>
    </row>
    <row r="148" spans="2:5" x14ac:dyDescent="0.3">
      <c r="B148" s="2155"/>
      <c r="C148" s="2149"/>
      <c r="D148" s="2149"/>
      <c r="E148" s="2157"/>
    </row>
    <row r="149" spans="2:5" x14ac:dyDescent="0.3">
      <c r="B149" s="2155"/>
      <c r="C149" s="2149"/>
      <c r="D149" s="2149"/>
      <c r="E149" s="2157"/>
    </row>
    <row r="150" spans="2:5" x14ac:dyDescent="0.3">
      <c r="B150" s="2155"/>
      <c r="C150" s="2149"/>
      <c r="D150" s="2149"/>
      <c r="E150" s="2157"/>
    </row>
    <row r="151" spans="2:5" x14ac:dyDescent="0.3">
      <c r="B151" s="2155"/>
      <c r="C151" s="2149"/>
      <c r="D151" s="2149"/>
      <c r="E151" s="2157"/>
    </row>
    <row r="152" spans="2:5" x14ac:dyDescent="0.3">
      <c r="B152" s="2155"/>
      <c r="C152" s="2149"/>
      <c r="D152" s="2149"/>
      <c r="E152" s="2157"/>
    </row>
    <row r="153" spans="2:5" x14ac:dyDescent="0.3">
      <c r="B153" s="2155"/>
      <c r="C153" s="2149"/>
      <c r="D153" s="2149"/>
      <c r="E153" s="2157"/>
    </row>
    <row r="154" spans="2:5" x14ac:dyDescent="0.3">
      <c r="B154" s="2155"/>
      <c r="C154" s="2149"/>
      <c r="D154" s="2149"/>
      <c r="E154" s="2157"/>
    </row>
    <row r="155" spans="2:5" x14ac:dyDescent="0.3">
      <c r="B155" s="2155"/>
      <c r="C155" s="2149"/>
      <c r="D155" s="2149"/>
      <c r="E155" s="2157"/>
    </row>
    <row r="156" spans="2:5" x14ac:dyDescent="0.3">
      <c r="B156" s="2155"/>
      <c r="C156" s="2149"/>
      <c r="D156" s="2149"/>
      <c r="E156" s="2157"/>
    </row>
    <row r="157" spans="2:5" x14ac:dyDescent="0.3">
      <c r="B157" s="2155"/>
      <c r="C157" s="2149"/>
      <c r="D157" s="2149"/>
      <c r="E157" s="2157"/>
    </row>
    <row r="158" spans="2:5" x14ac:dyDescent="0.3">
      <c r="B158" s="2155"/>
      <c r="C158" s="2149"/>
      <c r="D158" s="2149"/>
      <c r="E158" s="2157"/>
    </row>
    <row r="159" spans="2:5" x14ac:dyDescent="0.3">
      <c r="B159" s="2155"/>
      <c r="C159" s="2149"/>
      <c r="D159" s="2149"/>
      <c r="E159" s="2157"/>
    </row>
    <row r="160" spans="2:5" x14ac:dyDescent="0.3">
      <c r="B160" s="2155"/>
      <c r="C160" s="2149"/>
      <c r="D160" s="2149"/>
      <c r="E160" s="2157"/>
    </row>
    <row r="161" spans="2:5" x14ac:dyDescent="0.3">
      <c r="B161" s="2155"/>
      <c r="C161" s="2149"/>
      <c r="D161" s="2149"/>
      <c r="E161" s="2157"/>
    </row>
    <row r="162" spans="2:5" x14ac:dyDescent="0.3">
      <c r="B162" s="2155"/>
      <c r="C162" s="2149"/>
      <c r="D162" s="2149"/>
      <c r="E162" s="2157"/>
    </row>
    <row r="163" spans="2:5" x14ac:dyDescent="0.3">
      <c r="B163" s="2155"/>
      <c r="C163" s="2149"/>
      <c r="D163" s="2149"/>
      <c r="E163" s="2157"/>
    </row>
    <row r="164" spans="2:5" x14ac:dyDescent="0.3">
      <c r="B164" s="2155"/>
      <c r="C164" s="2149"/>
      <c r="D164" s="2149"/>
      <c r="E164" s="2157"/>
    </row>
    <row r="165" spans="2:5" x14ac:dyDescent="0.3">
      <c r="B165" s="2155"/>
      <c r="C165" s="2149"/>
      <c r="D165" s="2149"/>
      <c r="E165" s="2157"/>
    </row>
    <row r="166" spans="2:5" x14ac:dyDescent="0.3">
      <c r="B166" s="2155"/>
      <c r="C166" s="2149"/>
      <c r="D166" s="2149"/>
      <c r="E166" s="2157"/>
    </row>
    <row r="167" spans="2:5" x14ac:dyDescent="0.3">
      <c r="B167" s="2155"/>
      <c r="C167" s="2149"/>
      <c r="D167" s="2149"/>
      <c r="E167" s="2157"/>
    </row>
    <row r="168" spans="2:5" x14ac:dyDescent="0.3">
      <c r="B168" s="2155"/>
      <c r="C168" s="2149"/>
      <c r="D168" s="2149"/>
      <c r="E168" s="2157"/>
    </row>
    <row r="169" spans="2:5" x14ac:dyDescent="0.3">
      <c r="B169" s="2155"/>
      <c r="C169" s="2149"/>
      <c r="D169" s="2149"/>
      <c r="E169" s="2157"/>
    </row>
    <row r="170" spans="2:5" x14ac:dyDescent="0.3">
      <c r="B170" s="2155"/>
      <c r="C170" s="2149"/>
      <c r="D170" s="2149"/>
      <c r="E170" s="2157"/>
    </row>
    <row r="171" spans="2:5" x14ac:dyDescent="0.3">
      <c r="B171" s="2155"/>
      <c r="C171" s="2149"/>
      <c r="D171" s="2149"/>
      <c r="E171" s="2157"/>
    </row>
    <row r="172" spans="2:5" x14ac:dyDescent="0.3">
      <c r="B172" s="2155"/>
      <c r="C172" s="2149"/>
      <c r="D172" s="2149"/>
      <c r="E172" s="2157"/>
    </row>
    <row r="173" spans="2:5" x14ac:dyDescent="0.3">
      <c r="B173" s="2155"/>
      <c r="C173" s="2149"/>
      <c r="D173" s="2149"/>
      <c r="E173" s="2157"/>
    </row>
    <row r="174" spans="2:5" x14ac:dyDescent="0.3">
      <c r="B174" s="2155"/>
      <c r="C174" s="2149"/>
      <c r="D174" s="2149"/>
      <c r="E174" s="2157"/>
    </row>
    <row r="175" spans="2:5" x14ac:dyDescent="0.3">
      <c r="B175" s="2155"/>
      <c r="C175" s="2149"/>
      <c r="D175" s="2149"/>
      <c r="E175" s="2157"/>
    </row>
    <row r="176" spans="2:5" x14ac:dyDescent="0.3">
      <c r="B176" s="2155"/>
      <c r="C176" s="2149"/>
      <c r="D176" s="2149"/>
      <c r="E176" s="2157"/>
    </row>
    <row r="177" spans="2:5" x14ac:dyDescent="0.3">
      <c r="B177" s="2155"/>
      <c r="C177" s="2149"/>
      <c r="D177" s="2149"/>
      <c r="E177" s="2157"/>
    </row>
    <row r="178" spans="2:5" x14ac:dyDescent="0.3">
      <c r="B178" s="2155"/>
      <c r="C178" s="2149"/>
      <c r="D178" s="2149"/>
      <c r="E178" s="2157"/>
    </row>
    <row r="179" spans="2:5" x14ac:dyDescent="0.3">
      <c r="B179" s="2155"/>
      <c r="C179" s="2149"/>
      <c r="D179" s="2149"/>
      <c r="E179" s="2157"/>
    </row>
    <row r="180" spans="2:5" x14ac:dyDescent="0.3">
      <c r="B180" s="2155"/>
      <c r="C180" s="2149"/>
      <c r="D180" s="2149"/>
      <c r="E180" s="2157"/>
    </row>
    <row r="181" spans="2:5" x14ac:dyDescent="0.3">
      <c r="B181" s="2155"/>
      <c r="C181" s="2149"/>
      <c r="D181" s="2149"/>
      <c r="E181" s="2157"/>
    </row>
    <row r="182" spans="2:5" x14ac:dyDescent="0.3">
      <c r="B182" s="2155"/>
      <c r="C182" s="2149"/>
      <c r="D182" s="2149"/>
      <c r="E182" s="2157"/>
    </row>
    <row r="183" spans="2:5" x14ac:dyDescent="0.3">
      <c r="B183" s="2155"/>
      <c r="C183" s="2149"/>
      <c r="D183" s="2149"/>
      <c r="E183" s="2157"/>
    </row>
    <row r="184" spans="2:5" x14ac:dyDescent="0.3">
      <c r="B184" s="2155"/>
      <c r="C184" s="2149"/>
      <c r="D184" s="2149"/>
      <c r="E184" s="2157"/>
    </row>
    <row r="185" spans="2:5" x14ac:dyDescent="0.3">
      <c r="B185" s="2155"/>
      <c r="C185" s="2149"/>
      <c r="D185" s="2149"/>
      <c r="E185" s="2157"/>
    </row>
    <row r="186" spans="2:5" x14ac:dyDescent="0.3">
      <c r="B186" s="2155"/>
      <c r="C186" s="2149"/>
      <c r="D186" s="2149"/>
      <c r="E186" s="2157"/>
    </row>
    <row r="187" spans="2:5" x14ac:dyDescent="0.3">
      <c r="B187" s="2155"/>
      <c r="C187" s="2149"/>
      <c r="D187" s="2149"/>
      <c r="E187" s="2157"/>
    </row>
    <row r="188" spans="2:5" x14ac:dyDescent="0.3">
      <c r="B188" s="2155"/>
      <c r="C188" s="2149"/>
      <c r="D188" s="2149"/>
      <c r="E188" s="2157"/>
    </row>
    <row r="189" spans="2:5" x14ac:dyDescent="0.3">
      <c r="B189" s="2155"/>
      <c r="C189" s="2149"/>
      <c r="D189" s="2149"/>
      <c r="E189" s="2157"/>
    </row>
    <row r="190" spans="2:5" x14ac:dyDescent="0.3">
      <c r="B190" s="2155"/>
      <c r="C190" s="2149"/>
      <c r="D190" s="2149"/>
      <c r="E190" s="2157"/>
    </row>
    <row r="191" spans="2:5" x14ac:dyDescent="0.3">
      <c r="B191" s="2155"/>
      <c r="C191" s="2149"/>
      <c r="D191" s="2149"/>
      <c r="E191" s="2157"/>
    </row>
    <row r="192" spans="2:5" x14ac:dyDescent="0.3">
      <c r="B192" s="2155"/>
      <c r="C192" s="2149"/>
      <c r="D192" s="2149"/>
      <c r="E192" s="2157"/>
    </row>
    <row r="193" spans="2:5" x14ac:dyDescent="0.3">
      <c r="B193" s="2155"/>
      <c r="C193" s="2149"/>
      <c r="D193" s="2149"/>
      <c r="E193" s="2157"/>
    </row>
    <row r="194" spans="2:5" x14ac:dyDescent="0.3">
      <c r="B194" s="2155"/>
      <c r="C194" s="2149"/>
      <c r="D194" s="2149"/>
      <c r="E194" s="2157"/>
    </row>
    <row r="195" spans="2:5" x14ac:dyDescent="0.3">
      <c r="B195" s="2155"/>
      <c r="C195" s="2149"/>
      <c r="D195" s="2149"/>
      <c r="E195" s="2157"/>
    </row>
    <row r="196" spans="2:5" x14ac:dyDescent="0.3">
      <c r="B196" s="2155"/>
      <c r="C196" s="2149"/>
      <c r="D196" s="2149"/>
      <c r="E196" s="2157"/>
    </row>
    <row r="197" spans="2:5" x14ac:dyDescent="0.3">
      <c r="B197" s="2155"/>
      <c r="C197" s="2149"/>
      <c r="D197" s="2149"/>
      <c r="E197" s="2157"/>
    </row>
    <row r="198" spans="2:5" x14ac:dyDescent="0.3">
      <c r="B198" s="2155"/>
      <c r="C198" s="2149"/>
      <c r="D198" s="2149"/>
      <c r="E198" s="2157"/>
    </row>
    <row r="199" spans="2:5" x14ac:dyDescent="0.3">
      <c r="B199" s="2155"/>
      <c r="C199" s="2149"/>
      <c r="D199" s="2149"/>
      <c r="E199" s="2157"/>
    </row>
    <row r="200" spans="2:5" x14ac:dyDescent="0.3">
      <c r="B200" s="2155"/>
      <c r="C200" s="2149"/>
      <c r="D200" s="2149"/>
      <c r="E200" s="2157"/>
    </row>
    <row r="201" spans="2:5" x14ac:dyDescent="0.3">
      <c r="B201" s="2155"/>
      <c r="C201" s="2149"/>
      <c r="D201" s="2149"/>
      <c r="E201" s="2157"/>
    </row>
    <row r="202" spans="2:5" x14ac:dyDescent="0.3">
      <c r="B202" s="2155"/>
      <c r="C202" s="2149"/>
      <c r="D202" s="2149"/>
      <c r="E202" s="2157"/>
    </row>
    <row r="203" spans="2:5" x14ac:dyDescent="0.3">
      <c r="B203" s="2155"/>
      <c r="C203" s="2149"/>
      <c r="D203" s="2149"/>
      <c r="E203" s="2157"/>
    </row>
    <row r="204" spans="2:5" x14ac:dyDescent="0.3">
      <c r="B204" s="2155"/>
      <c r="C204" s="2149"/>
      <c r="D204" s="2149"/>
      <c r="E204" s="2157"/>
    </row>
    <row r="205" spans="2:5" x14ac:dyDescent="0.3">
      <c r="B205" s="2155"/>
      <c r="C205" s="2149"/>
      <c r="D205" s="2149"/>
      <c r="E205" s="2157"/>
    </row>
    <row r="206" spans="2:5" x14ac:dyDescent="0.3">
      <c r="B206" s="2155"/>
      <c r="C206" s="2149"/>
      <c r="D206" s="2149"/>
      <c r="E206" s="2157"/>
    </row>
    <row r="207" spans="2:5" x14ac:dyDescent="0.3">
      <c r="B207" s="2155"/>
      <c r="C207" s="2149"/>
      <c r="D207" s="2149"/>
      <c r="E207" s="2157"/>
    </row>
    <row r="208" spans="2:5" x14ac:dyDescent="0.3">
      <c r="B208" s="2155"/>
      <c r="C208" s="2149"/>
      <c r="D208" s="2149"/>
      <c r="E208" s="2157"/>
    </row>
    <row r="209" spans="2:5" x14ac:dyDescent="0.3">
      <c r="B209" s="2155"/>
      <c r="C209" s="2149"/>
      <c r="D209" s="2149"/>
      <c r="E209" s="2157"/>
    </row>
    <row r="210" spans="2:5" x14ac:dyDescent="0.3">
      <c r="B210" s="2155"/>
      <c r="C210" s="2149"/>
      <c r="D210" s="2149"/>
      <c r="E210" s="2157"/>
    </row>
    <row r="211" spans="2:5" x14ac:dyDescent="0.3">
      <c r="B211" s="2155"/>
      <c r="C211" s="2149"/>
      <c r="D211" s="2149"/>
      <c r="E211" s="2157"/>
    </row>
    <row r="212" spans="2:5" x14ac:dyDescent="0.3">
      <c r="B212" s="2155"/>
      <c r="C212" s="2149"/>
      <c r="D212" s="2149"/>
      <c r="E212" s="2157"/>
    </row>
    <row r="213" spans="2:5" x14ac:dyDescent="0.3">
      <c r="B213" s="2155"/>
      <c r="C213" s="2149"/>
      <c r="D213" s="2149"/>
      <c r="E213" s="2157"/>
    </row>
    <row r="214" spans="2:5" x14ac:dyDescent="0.3">
      <c r="B214" s="2155"/>
      <c r="C214" s="2149"/>
      <c r="D214" s="2149"/>
      <c r="E214" s="2157"/>
    </row>
    <row r="215" spans="2:5" x14ac:dyDescent="0.3">
      <c r="B215" s="2155"/>
      <c r="C215" s="2149"/>
      <c r="D215" s="2149"/>
      <c r="E215" s="2157"/>
    </row>
    <row r="216" spans="2:5" x14ac:dyDescent="0.3">
      <c r="B216" s="2155"/>
      <c r="C216" s="2149"/>
      <c r="D216" s="2149"/>
      <c r="E216" s="2157"/>
    </row>
    <row r="217" spans="2:5" x14ac:dyDescent="0.3">
      <c r="B217" s="2155"/>
      <c r="C217" s="2149"/>
      <c r="D217" s="2149"/>
      <c r="E217" s="2157"/>
    </row>
    <row r="218" spans="2:5" x14ac:dyDescent="0.3">
      <c r="B218" s="2155"/>
      <c r="C218" s="2149"/>
      <c r="D218" s="2149"/>
      <c r="E218" s="2157"/>
    </row>
    <row r="219" spans="2:5" x14ac:dyDescent="0.3">
      <c r="B219" s="2155"/>
      <c r="C219" s="2149"/>
      <c r="D219" s="2149"/>
      <c r="E219" s="2157"/>
    </row>
    <row r="220" spans="2:5" x14ac:dyDescent="0.3">
      <c r="B220" s="2155"/>
      <c r="C220" s="2149"/>
      <c r="D220" s="2149"/>
      <c r="E220" s="2157"/>
    </row>
    <row r="221" spans="2:5" x14ac:dyDescent="0.3">
      <c r="B221" s="2155"/>
      <c r="C221" s="2149"/>
      <c r="D221" s="2149"/>
      <c r="E221" s="2157"/>
    </row>
    <row r="222" spans="2:5" x14ac:dyDescent="0.3">
      <c r="B222" s="2155"/>
      <c r="C222" s="2149"/>
      <c r="D222" s="2149"/>
      <c r="E222" s="2157"/>
    </row>
    <row r="223" spans="2:5" x14ac:dyDescent="0.3">
      <c r="B223" s="2155"/>
      <c r="C223" s="2149"/>
      <c r="D223" s="2149"/>
      <c r="E223" s="2157"/>
    </row>
    <row r="224" spans="2:5" x14ac:dyDescent="0.3">
      <c r="B224" s="2155"/>
      <c r="C224" s="2149"/>
      <c r="D224" s="2149"/>
      <c r="E224" s="2157"/>
    </row>
    <row r="225" spans="2:5" x14ac:dyDescent="0.3">
      <c r="B225" s="2155"/>
      <c r="C225" s="2149"/>
      <c r="D225" s="2149"/>
      <c r="E225" s="2157"/>
    </row>
    <row r="226" spans="2:5" x14ac:dyDescent="0.3">
      <c r="B226" s="2155"/>
      <c r="C226" s="2149"/>
      <c r="D226" s="2149"/>
      <c r="E226" s="2157"/>
    </row>
    <row r="227" spans="2:5" x14ac:dyDescent="0.3">
      <c r="B227" s="2155"/>
      <c r="C227" s="2149"/>
      <c r="D227" s="2149"/>
      <c r="E227" s="2157"/>
    </row>
    <row r="228" spans="2:5" x14ac:dyDescent="0.3">
      <c r="B228" s="2155"/>
      <c r="C228" s="2149"/>
      <c r="D228" s="2149"/>
      <c r="E228" s="2157"/>
    </row>
    <row r="229" spans="2:5" x14ac:dyDescent="0.3">
      <c r="B229" s="2155"/>
      <c r="C229" s="2149"/>
      <c r="D229" s="2149"/>
      <c r="E229" s="2157"/>
    </row>
    <row r="230" spans="2:5" x14ac:dyDescent="0.3">
      <c r="B230" s="2155"/>
      <c r="C230" s="2149"/>
      <c r="D230" s="2149"/>
      <c r="E230" s="2157"/>
    </row>
    <row r="231" spans="2:5" x14ac:dyDescent="0.3">
      <c r="B231" s="2155"/>
      <c r="C231" s="2149"/>
      <c r="D231" s="2149"/>
      <c r="E231" s="2157"/>
    </row>
    <row r="232" spans="2:5" x14ac:dyDescent="0.3">
      <c r="B232" s="2155"/>
      <c r="C232" s="2149"/>
      <c r="D232" s="2149"/>
      <c r="E232" s="2157"/>
    </row>
    <row r="233" spans="2:5" x14ac:dyDescent="0.3">
      <c r="B233" s="2155"/>
      <c r="C233" s="2149"/>
      <c r="D233" s="2149"/>
      <c r="E233" s="2157"/>
    </row>
    <row r="234" spans="2:5" x14ac:dyDescent="0.3">
      <c r="B234" s="2155"/>
      <c r="C234" s="2149"/>
      <c r="D234" s="2149"/>
      <c r="E234" s="2157"/>
    </row>
    <row r="235" spans="2:5" x14ac:dyDescent="0.3">
      <c r="B235" s="2155"/>
      <c r="C235" s="2149"/>
      <c r="D235" s="2149"/>
      <c r="E235" s="2157"/>
    </row>
    <row r="236" spans="2:5" x14ac:dyDescent="0.3">
      <c r="B236" s="2155"/>
      <c r="C236" s="2149"/>
      <c r="D236" s="2149"/>
      <c r="E236" s="2157"/>
    </row>
    <row r="237" spans="2:5" x14ac:dyDescent="0.3">
      <c r="B237" s="2155"/>
      <c r="C237" s="2149"/>
      <c r="D237" s="2149"/>
      <c r="E237" s="2157"/>
    </row>
    <row r="238" spans="2:5" x14ac:dyDescent="0.3">
      <c r="B238" s="2155"/>
      <c r="C238" s="2149"/>
      <c r="D238" s="2149"/>
      <c r="E238" s="2157"/>
    </row>
    <row r="239" spans="2:5" x14ac:dyDescent="0.3">
      <c r="B239" s="2155"/>
      <c r="C239" s="2149"/>
      <c r="D239" s="2149"/>
      <c r="E239" s="2157"/>
    </row>
    <row r="240" spans="2:5" x14ac:dyDescent="0.3">
      <c r="B240" s="2155"/>
      <c r="C240" s="2149"/>
      <c r="D240" s="2149"/>
      <c r="E240" s="2157"/>
    </row>
    <row r="241" spans="2:5" x14ac:dyDescent="0.3">
      <c r="B241" s="2155"/>
      <c r="C241" s="2149"/>
      <c r="D241" s="2149"/>
      <c r="E241" s="2157"/>
    </row>
    <row r="242" spans="2:5" x14ac:dyDescent="0.3">
      <c r="B242" s="2155"/>
      <c r="C242" s="2149"/>
      <c r="D242" s="2149"/>
      <c r="E242" s="2157"/>
    </row>
    <row r="243" spans="2:5" x14ac:dyDescent="0.3">
      <c r="B243" s="2155"/>
      <c r="C243" s="2149"/>
      <c r="D243" s="2149"/>
      <c r="E243" s="2157"/>
    </row>
    <row r="244" spans="2:5" x14ac:dyDescent="0.3">
      <c r="B244" s="2155"/>
      <c r="C244" s="2149"/>
      <c r="D244" s="2149"/>
      <c r="E244" s="2157"/>
    </row>
    <row r="245" spans="2:5" x14ac:dyDescent="0.3">
      <c r="B245" s="2155"/>
      <c r="C245" s="2149"/>
      <c r="D245" s="2149"/>
      <c r="E245" s="2157"/>
    </row>
    <row r="246" spans="2:5" x14ac:dyDescent="0.3">
      <c r="B246" s="2155"/>
      <c r="C246" s="2149"/>
      <c r="D246" s="2149"/>
      <c r="E246" s="2157"/>
    </row>
    <row r="247" spans="2:5" x14ac:dyDescent="0.3">
      <c r="B247" s="2155"/>
      <c r="C247" s="2149"/>
      <c r="D247" s="2149"/>
      <c r="E247" s="2157"/>
    </row>
    <row r="248" spans="2:5" x14ac:dyDescent="0.3">
      <c r="B248" s="2155"/>
      <c r="C248" s="2149"/>
      <c r="D248" s="2149"/>
      <c r="E248" s="2157"/>
    </row>
    <row r="249" spans="2:5" x14ac:dyDescent="0.3">
      <c r="B249" s="2155"/>
      <c r="C249" s="2149"/>
      <c r="D249" s="2149"/>
      <c r="E249" s="2157"/>
    </row>
    <row r="250" spans="2:5" x14ac:dyDescent="0.3">
      <c r="B250" s="2155"/>
      <c r="C250" s="2149"/>
      <c r="D250" s="2149"/>
      <c r="E250" s="2157"/>
    </row>
    <row r="251" spans="2:5" x14ac:dyDescent="0.3">
      <c r="B251" s="2155"/>
      <c r="C251" s="2149"/>
      <c r="D251" s="2149"/>
      <c r="E251" s="2157"/>
    </row>
    <row r="252" spans="2:5" x14ac:dyDescent="0.3">
      <c r="B252" s="2155"/>
      <c r="C252" s="2149"/>
      <c r="D252" s="2149"/>
      <c r="E252" s="2157"/>
    </row>
    <row r="253" spans="2:5" x14ac:dyDescent="0.3">
      <c r="B253" s="2155"/>
      <c r="C253" s="2149"/>
      <c r="D253" s="2149"/>
      <c r="E253" s="2157"/>
    </row>
    <row r="254" spans="2:5" x14ac:dyDescent="0.3">
      <c r="B254" s="2155"/>
      <c r="C254" s="2149"/>
      <c r="D254" s="2149"/>
      <c r="E254" s="2157"/>
    </row>
    <row r="255" spans="2:5" x14ac:dyDescent="0.3">
      <c r="B255" s="2155"/>
      <c r="C255" s="2149"/>
      <c r="D255" s="2149"/>
      <c r="E255" s="2157"/>
    </row>
    <row r="256" spans="2:5" x14ac:dyDescent="0.3">
      <c r="B256" s="2155"/>
      <c r="C256" s="2149"/>
      <c r="D256" s="2149"/>
      <c r="E256" s="2157"/>
    </row>
    <row r="257" spans="2:5" x14ac:dyDescent="0.3">
      <c r="B257" s="2155"/>
      <c r="C257" s="2149"/>
      <c r="D257" s="2149"/>
      <c r="E257" s="2157"/>
    </row>
    <row r="258" spans="2:5" x14ac:dyDescent="0.3">
      <c r="B258" s="2155"/>
      <c r="C258" s="2149"/>
      <c r="D258" s="2149"/>
      <c r="E258" s="2157"/>
    </row>
    <row r="259" spans="2:5" x14ac:dyDescent="0.3">
      <c r="B259" s="2155"/>
      <c r="C259" s="2149"/>
      <c r="D259" s="2149"/>
      <c r="E259" s="2157"/>
    </row>
  </sheetData>
  <mergeCells count="2">
    <mergeCell ref="B1:E2"/>
    <mergeCell ref="B3:E3"/>
  </mergeCells>
  <pageMargins left="0.7" right="0.7" top="0.75" bottom="0.75" header="0.3" footer="0.3"/>
  <pageSetup paperSize="9" orientation="portrait" r:id="rId1"/>
  <headerFooter>
    <oddHeader>&amp;L&amp;"Calibri"&amp;10&amp;K000000Classified as Confidential&amp;1#</oddHead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pageMargins left="0.7" right="0.7" top="0.75" bottom="0.75" header="0.3" footer="0.3"/>
  <pageSetup paperSize="9" orientation="portrait" r:id="rId1"/>
  <headerFooter>
    <oddHeader>&amp;L&amp;"Calibri"&amp;10&amp;K000000Classified as Confidential&amp;1#</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SourcePath xmlns="39197a49-8039-4215-bed9-2038b016d80f"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0A62A6335D5BD49A1D88076F0A7AA40" ma:contentTypeVersion="20" ma:contentTypeDescription="Create a new document." ma:contentTypeScope="" ma:versionID="9da42b0b896bc30bde44bedf25a77f35">
  <xsd:schema xmlns:xsd="http://www.w3.org/2001/XMLSchema" xmlns:xs="http://www.w3.org/2001/XMLSchema" xmlns:p="http://schemas.microsoft.com/office/2006/metadata/properties" xmlns:ns1="http://schemas.microsoft.com/sharepoint/v3" xmlns:ns2="39197a49-8039-4215-bed9-2038b016d80f" xmlns:ns3="6a9497f9-b4cf-4423-a8f6-de8c3ef5b2ce" xmlns:ns4="d4fc3565-86db-4505-9130-283a77cd3fd8" targetNamespace="http://schemas.microsoft.com/office/2006/metadata/properties" ma:root="true" ma:fieldsID="fab140ebf40b957eca9b604f9cb15707" ns1:_="" ns2:_="" ns3:_="" ns4:_="">
    <xsd:import namespace="http://schemas.microsoft.com/sharepoint/v3"/>
    <xsd:import namespace="39197a49-8039-4215-bed9-2038b016d80f"/>
    <xsd:import namespace="6a9497f9-b4cf-4423-a8f6-de8c3ef5b2ce"/>
    <xsd:import namespace="d4fc3565-86db-4505-9130-283a77cd3fd8"/>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1:_ip_UnifiedCompliancePolicyProperties" minOccurs="0"/>
                <xsd:element ref="ns1:_ip_UnifiedCompliancePolicyUIAction" minOccurs="0"/>
                <xsd:element ref="ns2:SourcePath"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9197a49-8039-4215-bed9-2038b016d80f"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ourcePath" ma:index="23" nillable="true" ma:displayName="Source Path" ma:description="Path from file server" ma:indexed="true" ma:internalName="SourcePath">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a9497f9-b4cf-4423-a8f6-de8c3ef5b2ce"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4fc3565-86db-4505-9130-283a77cd3fd8" elementFormDefault="qualified">
    <xsd:import namespace="http://schemas.microsoft.com/office/2006/documentManagement/types"/>
    <xsd:import namespace="http://schemas.microsoft.com/office/infopath/2007/PartnerControls"/>
    <xsd:element name="SharedWithUsers" ma:index="2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file>

<file path=customXml/itemProps1.xml><?xml version="1.0" encoding="utf-8"?>
<ds:datastoreItem xmlns:ds="http://schemas.openxmlformats.org/officeDocument/2006/customXml" ds:itemID="{4CF62000-CD3A-4477-91CB-F694BBBD99E2}">
  <ds:schemaRefs>
    <ds:schemaRef ds:uri="http://schemas.microsoft.com/sharepoint/v3/contenttype/forms"/>
  </ds:schemaRefs>
</ds:datastoreItem>
</file>

<file path=customXml/itemProps2.xml><?xml version="1.0" encoding="utf-8"?>
<ds:datastoreItem xmlns:ds="http://schemas.openxmlformats.org/officeDocument/2006/customXml" ds:itemID="{76069AC3-E17E-4C89-836D-276D1A532D5A}">
  <ds:schemaRefs>
    <ds:schemaRef ds:uri="http://schemas.microsoft.com/sharepoint/v3"/>
    <ds:schemaRef ds:uri="http://purl.org/dc/terms/"/>
    <ds:schemaRef ds:uri="http://www.w3.org/XML/1998/namespace"/>
    <ds:schemaRef ds:uri="http://schemas.microsoft.com/office/infopath/2007/PartnerControls"/>
    <ds:schemaRef ds:uri="http://schemas.microsoft.com/office/2006/documentManagement/types"/>
    <ds:schemaRef ds:uri="http://purl.org/dc/dcmitype/"/>
    <ds:schemaRef ds:uri="http://schemas.openxmlformats.org/package/2006/metadata/core-properties"/>
    <ds:schemaRef ds:uri="d4fc3565-86db-4505-9130-283a77cd3fd8"/>
    <ds:schemaRef ds:uri="6a9497f9-b4cf-4423-a8f6-de8c3ef5b2ce"/>
    <ds:schemaRef ds:uri="39197a49-8039-4215-bed9-2038b016d80f"/>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7F729BF3-983C-4473-82F0-20BCC94B21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9197a49-8039-4215-bed9-2038b016d80f"/>
    <ds:schemaRef ds:uri="6a9497f9-b4cf-4423-a8f6-de8c3ef5b2ce"/>
    <ds:schemaRef ds:uri="d4fc3565-86db-4505-9130-283a77cd3fd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A6EA376-B9AF-4AEE-80AC-D2CFB83168B1}">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9</vt:i4>
      </vt:variant>
      <vt:variant>
        <vt:lpstr>Intervalli denominati</vt:lpstr>
      </vt:variant>
      <vt:variant>
        <vt:i4>1</vt:i4>
      </vt:variant>
    </vt:vector>
  </HeadingPairs>
  <TitlesOfParts>
    <vt:vector size="10" baseType="lpstr">
      <vt:lpstr>Rules - NEW from 18.02.2019</vt:lpstr>
      <vt:lpstr>Loadings issue- CARDIF</vt:lpstr>
      <vt:lpstr>Pricing GAP</vt:lpstr>
      <vt:lpstr>Product Map</vt:lpstr>
      <vt:lpstr>Refund calculator (GAP only)</vt:lpstr>
      <vt:lpstr>Refund calculator (Other) - NEW</vt:lpstr>
      <vt:lpstr>Refund calculator (Leasing)</vt:lpstr>
      <vt:lpstr>Loan simulator-estimates ONLY</vt:lpstr>
      <vt:lpstr>Sheet1</vt:lpstr>
      <vt:lpstr>Duration_Band_GAP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Conor Mcgee</dc:creator>
  <cp:keywords/>
  <dc:description/>
  <cp:lastModifiedBy>Nicola Donadio</cp:lastModifiedBy>
  <cp:revision/>
  <dcterms:created xsi:type="dcterms:W3CDTF">2022-01-12T12:27:56Z</dcterms:created>
  <dcterms:modified xsi:type="dcterms:W3CDTF">2022-02-06T17:07:54Z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0x01010090A62A6335D5BD49A1D88076F0A7AA40</vt:lpwstr>
  </property>
  <property fmtid="{D5CDD505-2E9C-101B-9397-08002B2CF9AE}" pid="3" name="MSIP_Label_90de6db8-1eb5-42b3-9914-7f52cd7641d5_Enabled">
    <vt:lpwstr>true</vt:lpwstr>
  </property>
  <property fmtid="{D5CDD505-2E9C-101B-9397-08002B2CF9AE}" pid="4" name="MSIP_Label_90de6db8-1eb5-42b3-9914-7f52cd7641d5_SetDate">
    <vt:lpwstr>2022-02-03T15:01:21Z</vt:lpwstr>
  </property>
  <property fmtid="{D5CDD505-2E9C-101B-9397-08002B2CF9AE}" pid="5" name="MSIP_Label_90de6db8-1eb5-42b3-9914-7f52cd7641d5_Method">
    <vt:lpwstr>Privileged</vt:lpwstr>
  </property>
  <property fmtid="{D5CDD505-2E9C-101B-9397-08002B2CF9AE}" pid="6" name="MSIP_Label_90de6db8-1eb5-42b3-9914-7f52cd7641d5_Name">
    <vt:lpwstr>Confidential</vt:lpwstr>
  </property>
  <property fmtid="{D5CDD505-2E9C-101B-9397-08002B2CF9AE}" pid="7" name="MSIP_Label_90de6db8-1eb5-42b3-9914-7f52cd7641d5_SiteId">
    <vt:lpwstr>b5fb6849-89bb-4bc1-b93e-c7f3d963cc50</vt:lpwstr>
  </property>
  <property fmtid="{D5CDD505-2E9C-101B-9397-08002B2CF9AE}" pid="8" name="MSIP_Label_90de6db8-1eb5-42b3-9914-7f52cd7641d5_ActionId">
    <vt:lpwstr>f89944eb-9685-4e43-815b-c8a49c1fb737</vt:lpwstr>
  </property>
  <property fmtid="{D5CDD505-2E9C-101B-9397-08002B2CF9AE}" pid="9" name="MSIP_Label_90de6db8-1eb5-42b3-9914-7f52cd7641d5_ContentBits">
    <vt:lpwstr>1</vt:lpwstr>
  </property>
</Properties>
</file>