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eu\Downloads\"/>
    </mc:Choice>
  </mc:AlternateContent>
  <xr:revisionPtr revIDLastSave="0" documentId="13_ncr:1_{DA1CB3EB-8391-41B6-83DE-E8FA763EF29C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PRZYCHODY" sheetId="2" r:id="rId1"/>
    <sheet name="Założenia" sheetId="1" r:id="rId2"/>
    <sheet name="OPEX 0.5" sheetId="4" r:id="rId3"/>
    <sheet name="OPEX 1" sheetId="8" r:id="rId4"/>
    <sheet name="OPEX 2" sheetId="9" r:id="rId5"/>
    <sheet name="OPEX 3" sheetId="10" r:id="rId6"/>
    <sheet name="MODEL" sheetId="5" r:id="rId7"/>
    <sheet name="SKALOWANI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5" l="1"/>
  <c r="H9" i="5"/>
  <c r="I9" i="5"/>
  <c r="J9" i="5"/>
  <c r="K9" i="5"/>
  <c r="L9" i="5"/>
  <c r="M9" i="5"/>
  <c r="B9" i="5" s="1"/>
  <c r="N9" i="5"/>
  <c r="R9" i="5" s="1"/>
  <c r="S9" i="5" s="1"/>
  <c r="F9" i="5"/>
  <c r="F5" i="5" s="1"/>
  <c r="S8" i="5"/>
  <c r="P8" i="5"/>
  <c r="Q8" i="5"/>
  <c r="R8" i="5"/>
  <c r="O8" i="5"/>
  <c r="N8" i="5"/>
  <c r="M8" i="5"/>
  <c r="L8" i="5"/>
  <c r="K8" i="5"/>
  <c r="J8" i="5"/>
  <c r="I8" i="5"/>
  <c r="H8" i="5"/>
  <c r="K5" i="5"/>
  <c r="G8" i="5"/>
  <c r="D8" i="5"/>
  <c r="E8" i="5"/>
  <c r="C8" i="5"/>
  <c r="E17" i="8"/>
  <c r="E9" i="8"/>
  <c r="E8" i="8"/>
  <c r="E20" i="8" s="1"/>
  <c r="E7" i="8"/>
  <c r="E6" i="8"/>
  <c r="E5" i="8"/>
  <c r="E4" i="8"/>
  <c r="E3" i="8"/>
  <c r="E13" i="8"/>
  <c r="E12" i="8"/>
  <c r="E11" i="8"/>
  <c r="E10" i="8"/>
  <c r="E8" i="4"/>
  <c r="E6" i="4"/>
  <c r="E7" i="4"/>
  <c r="E5" i="4"/>
  <c r="E4" i="4"/>
  <c r="E3" i="4"/>
  <c r="E15" i="4"/>
  <c r="E13" i="4"/>
  <c r="E14" i="4"/>
  <c r="L16" i="5"/>
  <c r="M16" i="5"/>
  <c r="N16" i="5" s="1"/>
  <c r="K16" i="5"/>
  <c r="I4" i="5"/>
  <c r="B4" i="5"/>
  <c r="Q9" i="5"/>
  <c r="Q5" i="5" s="1"/>
  <c r="I5" i="5"/>
  <c r="J5" i="5"/>
  <c r="N5" i="5"/>
  <c r="D5" i="5"/>
  <c r="E5" i="5"/>
  <c r="G5" i="5"/>
  <c r="H5" i="5"/>
  <c r="C5" i="5"/>
  <c r="B10" i="5"/>
  <c r="B7" i="5"/>
  <c r="E20" i="10"/>
  <c r="E17" i="10"/>
  <c r="E13" i="10"/>
  <c r="E11" i="10"/>
  <c r="E10" i="10"/>
  <c r="E9" i="10"/>
  <c r="E8" i="10"/>
  <c r="E7" i="10"/>
  <c r="E6" i="10"/>
  <c r="E5" i="10"/>
  <c r="E4" i="10"/>
  <c r="E3" i="10"/>
  <c r="E17" i="9"/>
  <c r="E13" i="9"/>
  <c r="E11" i="9"/>
  <c r="E10" i="9"/>
  <c r="E9" i="9"/>
  <c r="E8" i="9"/>
  <c r="E7" i="9"/>
  <c r="E6" i="9"/>
  <c r="E5" i="9"/>
  <c r="E4" i="9"/>
  <c r="E3" i="9"/>
  <c r="E18" i="4"/>
  <c r="E12" i="4"/>
  <c r="C3" i="6"/>
  <c r="B17" i="2"/>
  <c r="B15" i="2"/>
  <c r="M5" i="5" l="1"/>
  <c r="R5" i="5"/>
  <c r="O9" i="5"/>
  <c r="O5" i="5" s="1"/>
  <c r="P9" i="5"/>
  <c r="P5" i="5" s="1"/>
  <c r="L5" i="5"/>
  <c r="B8" i="5"/>
  <c r="E21" i="4"/>
  <c r="S5" i="5"/>
  <c r="B5" i="5"/>
  <c r="B11" i="5" s="1"/>
  <c r="E20" i="9"/>
  <c r="C4" i="6" l="1"/>
  <c r="C5" i="6" s="1"/>
  <c r="C6" i="6" s="1"/>
  <c r="C7" i="6" s="1"/>
  <c r="C8" i="6" s="1"/>
  <c r="B13" i="5"/>
  <c r="B14" i="5" l="1"/>
  <c r="B15" i="5" s="1"/>
</calcChain>
</file>

<file path=xl/sharedStrings.xml><?xml version="1.0" encoding="utf-8"?>
<sst xmlns="http://schemas.openxmlformats.org/spreadsheetml/2006/main" count="199" uniqueCount="84">
  <si>
    <t>Tabela 1</t>
  </si>
  <si>
    <t>Przychody</t>
  </si>
  <si>
    <t>Okres 3 lat</t>
  </si>
  <si>
    <t>1 rok - miesiącami</t>
  </si>
  <si>
    <t>2 rok - kwartałami</t>
  </si>
  <si>
    <t>3 rok - rocznie</t>
  </si>
  <si>
    <t>Wolumen, cena, kategorie</t>
  </si>
  <si>
    <t>Koszty CAPEX</t>
  </si>
  <si>
    <t>Koszty OPEX</t>
  </si>
  <si>
    <t>Wynik</t>
  </si>
  <si>
    <t>zł</t>
  </si>
  <si>
    <t>Rentowność</t>
  </si>
  <si>
    <t>%</t>
  </si>
  <si>
    <t>Szt</t>
  </si>
  <si>
    <t>cena</t>
  </si>
  <si>
    <t>Przychód</t>
  </si>
  <si>
    <t>Y</t>
  </si>
  <si>
    <t>ZMiE</t>
  </si>
  <si>
    <t>Energia elektryczna</t>
  </si>
  <si>
    <t>200 zł/mc</t>
  </si>
  <si>
    <t>Usługi obce</t>
  </si>
  <si>
    <t>Telefon</t>
  </si>
  <si>
    <t>Biuro Rachunkowe</t>
  </si>
  <si>
    <t>250 zł/mc</t>
  </si>
  <si>
    <t>Wynagrodzenia</t>
  </si>
  <si>
    <t>Prezes</t>
  </si>
  <si>
    <t>Pozostałe koszty</t>
  </si>
  <si>
    <t>1Y</t>
  </si>
  <si>
    <t>2Y</t>
  </si>
  <si>
    <t>3Y</t>
  </si>
  <si>
    <t>1Q</t>
  </si>
  <si>
    <t>2Q</t>
  </si>
  <si>
    <t>3Q</t>
  </si>
  <si>
    <t>4Q</t>
  </si>
  <si>
    <t>PRZYCHODY</t>
  </si>
  <si>
    <t>KOSZTY</t>
  </si>
  <si>
    <t>ZUŻYCIE MATERIAŁÓW I ENERGII</t>
  </si>
  <si>
    <t>USŁUGI OBCE</t>
  </si>
  <si>
    <t xml:space="preserve">WYNAGRODZENIA </t>
  </si>
  <si>
    <t>POZOSTAŁE KOSZTY</t>
  </si>
  <si>
    <t>WYNIK OPERACYJNY (EBIT)</t>
  </si>
  <si>
    <t>Podatek</t>
  </si>
  <si>
    <t>WYNIK NETTO</t>
  </si>
  <si>
    <t>RENTOWNOŚĆ</t>
  </si>
  <si>
    <t>SPRZEDAZ</t>
  </si>
  <si>
    <t>WYNIK OPERCYJNY</t>
  </si>
  <si>
    <t>PODATEK</t>
  </si>
  <si>
    <t>RENTOWNOŚC</t>
  </si>
  <si>
    <t>40 zł/mc</t>
  </si>
  <si>
    <t xml:space="preserve">Marketing </t>
  </si>
  <si>
    <t>FrontEnd Dev</t>
  </si>
  <si>
    <t>6000 zł/mc</t>
  </si>
  <si>
    <t>BackEnd Dev</t>
  </si>
  <si>
    <t>7000 zł/mc</t>
  </si>
  <si>
    <t>Designer</t>
  </si>
  <si>
    <t>Oprogramowanie</t>
  </si>
  <si>
    <t>10000 zł</t>
  </si>
  <si>
    <t>umowa o dzieło</t>
  </si>
  <si>
    <t>b2b</t>
  </si>
  <si>
    <t>500 zł /mc</t>
  </si>
  <si>
    <t>UoP</t>
  </si>
  <si>
    <t>ROK 1 III i IV kwartał</t>
  </si>
  <si>
    <t>Chmura + Serwer</t>
  </si>
  <si>
    <t>470 zł/mc</t>
  </si>
  <si>
    <t>TikTok</t>
  </si>
  <si>
    <t>YouTube</t>
  </si>
  <si>
    <t>GoogleADS</t>
  </si>
  <si>
    <t>Instagram</t>
  </si>
  <si>
    <t>2000 zł/mc</t>
  </si>
  <si>
    <t>10000 zł/mc</t>
  </si>
  <si>
    <t>3500 zł/mc</t>
  </si>
  <si>
    <t>SUMA</t>
  </si>
  <si>
    <t>20000 zł/mc</t>
  </si>
  <si>
    <t>Marketingowiec</t>
  </si>
  <si>
    <t>360 zł/mc</t>
  </si>
  <si>
    <t>1000 zł/mc</t>
  </si>
  <si>
    <t>Reszta pracowników</t>
  </si>
  <si>
    <t>?</t>
  </si>
  <si>
    <t>ROK 2</t>
  </si>
  <si>
    <t>ROK 3</t>
  </si>
  <si>
    <t>12000 zł/mc</t>
  </si>
  <si>
    <t>14000 zł/mc</t>
  </si>
  <si>
    <t>Project Manager</t>
  </si>
  <si>
    <t>ROK 1 I kwartał + 1 miesiac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</si>
</sst>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%"/>
    <numFmt numFmtId="166" formatCode="#,##0.0#"/>
  </numFmts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theme="0"/>
      <name val="Helvetica Neue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4" borderId="8" applyNumberFormat="0" applyAlignment="0" applyProtection="0"/>
  </cellStyleXfs>
  <cellXfs count="3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3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NumberFormat="1" applyFont="1" applyFill="1" applyBorder="1">
      <alignment vertical="top" wrapText="1"/>
    </xf>
    <xf numFmtId="3" fontId="0" fillId="0" borderId="6" xfId="0" applyNumberFormat="1" applyBorder="1">
      <alignment vertical="top" wrapText="1"/>
    </xf>
    <xf numFmtId="3" fontId="0" fillId="0" borderId="4" xfId="0" applyNumberFormat="1" applyBorder="1">
      <alignment vertical="top" wrapText="1"/>
    </xf>
    <xf numFmtId="3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0" fontId="2" fillId="2" borderId="7" xfId="0" applyFont="1" applyFill="1" applyBorder="1">
      <alignment vertical="top" wrapText="1"/>
    </xf>
    <xf numFmtId="49" fontId="2" fillId="2" borderId="7" xfId="0" applyNumberFormat="1" applyFont="1" applyFill="1" applyBorder="1">
      <alignment vertical="top" wrapText="1"/>
    </xf>
    <xf numFmtId="0" fontId="2" fillId="2" borderId="1" xfId="0" applyNumberFormat="1" applyFont="1" applyFill="1" applyBorder="1">
      <alignment vertical="top" wrapText="1"/>
    </xf>
    <xf numFmtId="0" fontId="2" fillId="0" borderId="7" xfId="0" applyFont="1" applyBorder="1">
      <alignment vertical="top" wrapText="1"/>
    </xf>
    <xf numFmtId="49" fontId="0" fillId="3" borderId="5" xfId="0" applyNumberFormat="1" applyFill="1" applyBorder="1">
      <alignment vertical="top" wrapText="1"/>
    </xf>
    <xf numFmtId="9" fontId="0" fillId="0" borderId="6" xfId="0" applyNumberFormat="1" applyBorder="1">
      <alignment vertical="top" wrapText="1"/>
    </xf>
    <xf numFmtId="165" fontId="0" fillId="0" borderId="6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66" fontId="0" fillId="0" borderId="7" xfId="0" applyNumberFormat="1" applyBorder="1">
      <alignment vertical="top" wrapText="1"/>
    </xf>
    <xf numFmtId="0" fontId="3" fillId="4" borderId="8" xfId="1" applyAlignment="1">
      <alignment vertical="top" wrapText="1"/>
    </xf>
    <xf numFmtId="49" fontId="3" fillId="4" borderId="8" xfId="1" applyNumberFormat="1" applyAlignment="1">
      <alignment vertical="top" wrapText="1"/>
    </xf>
    <xf numFmtId="3" fontId="3" fillId="4" borderId="8" xfId="1" applyNumberFormat="1" applyAlignment="1">
      <alignment vertical="top" wrapText="1"/>
    </xf>
    <xf numFmtId="0" fontId="1" fillId="0" borderId="0" xfId="0" applyFont="1" applyAlignment="1">
      <alignment horizontal="center" vertical="center"/>
    </xf>
    <xf numFmtId="2" fontId="0" fillId="0" borderId="7" xfId="0" applyNumberFormat="1" applyBorder="1">
      <alignment vertical="top" wrapText="1"/>
    </xf>
  </cellXfs>
  <cellStyles count="2">
    <cellStyle name="Check Cell" xfId="1" builtinId="2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9.95" customHeight="1"/>
  <cols>
    <col min="1" max="1" width="11.5546875" style="1" customWidth="1"/>
    <col min="2" max="8" width="16.33203125" style="1" customWidth="1"/>
    <col min="9" max="16384" width="16.33203125" style="1"/>
  </cols>
  <sheetData>
    <row r="1" spans="1:7" ht="27.6" customHeight="1">
      <c r="A1" s="36" t="s">
        <v>0</v>
      </c>
      <c r="B1" s="36"/>
      <c r="C1" s="36"/>
      <c r="D1" s="36"/>
      <c r="E1" s="36"/>
      <c r="F1" s="36"/>
      <c r="G1" s="36"/>
    </row>
    <row r="2" spans="1:7" ht="20.25" customHeight="1">
      <c r="A2" s="2"/>
      <c r="B2" s="12" t="s">
        <v>13</v>
      </c>
      <c r="C2" s="2"/>
      <c r="D2" s="2"/>
      <c r="E2" s="2"/>
      <c r="F2" s="2"/>
      <c r="G2" s="2"/>
    </row>
    <row r="3" spans="1:7" ht="20.25" customHeight="1">
      <c r="A3" s="13">
        <v>1</v>
      </c>
      <c r="B3" s="14">
        <v>100</v>
      </c>
      <c r="C3" s="15"/>
      <c r="D3" s="15"/>
      <c r="E3" s="15"/>
      <c r="F3" s="15"/>
      <c r="G3" s="15"/>
    </row>
    <row r="4" spans="1:7" ht="20.100000000000001" customHeight="1">
      <c r="A4" s="16">
        <v>2</v>
      </c>
      <c r="B4" s="17">
        <v>100</v>
      </c>
      <c r="C4" s="9"/>
      <c r="D4" s="9"/>
      <c r="E4" s="9"/>
      <c r="F4" s="9"/>
      <c r="G4" s="9"/>
    </row>
    <row r="5" spans="1:7" ht="20.100000000000001" customHeight="1">
      <c r="A5" s="16">
        <v>3</v>
      </c>
      <c r="B5" s="17">
        <v>300</v>
      </c>
      <c r="C5" s="9"/>
      <c r="D5" s="9"/>
      <c r="E5" s="9"/>
      <c r="F5" s="9"/>
      <c r="G5" s="9"/>
    </row>
    <row r="6" spans="1:7" ht="20.100000000000001" customHeight="1">
      <c r="A6" s="16">
        <v>4</v>
      </c>
      <c r="B6" s="17">
        <v>200</v>
      </c>
      <c r="C6" s="9"/>
      <c r="D6" s="9"/>
      <c r="E6" s="9"/>
      <c r="F6" s="9"/>
      <c r="G6" s="9"/>
    </row>
    <row r="7" spans="1:7" ht="20.100000000000001" customHeight="1">
      <c r="A7" s="16">
        <v>5</v>
      </c>
      <c r="B7" s="17">
        <v>100</v>
      </c>
      <c r="C7" s="9"/>
      <c r="D7" s="9"/>
      <c r="E7" s="9"/>
      <c r="F7" s="9"/>
      <c r="G7" s="9"/>
    </row>
    <row r="8" spans="1:7" ht="20.100000000000001" customHeight="1">
      <c r="A8" s="16">
        <v>6</v>
      </c>
      <c r="B8" s="17">
        <v>100</v>
      </c>
      <c r="C8" s="9"/>
      <c r="D8" s="9"/>
      <c r="E8" s="9"/>
      <c r="F8" s="9"/>
      <c r="G8" s="9"/>
    </row>
    <row r="9" spans="1:7" ht="20.100000000000001" customHeight="1">
      <c r="A9" s="16">
        <v>7</v>
      </c>
      <c r="B9" s="17">
        <v>300</v>
      </c>
      <c r="C9" s="9"/>
      <c r="D9" s="9"/>
      <c r="E9" s="9"/>
      <c r="F9" s="9"/>
      <c r="G9" s="9"/>
    </row>
    <row r="10" spans="1:7" ht="20.100000000000001" customHeight="1">
      <c r="A10" s="16">
        <v>8</v>
      </c>
      <c r="B10" s="17">
        <v>300</v>
      </c>
      <c r="C10" s="9"/>
      <c r="D10" s="9"/>
      <c r="E10" s="9"/>
      <c r="F10" s="9"/>
      <c r="G10" s="9"/>
    </row>
    <row r="11" spans="1:7" ht="20.100000000000001" customHeight="1">
      <c r="A11" s="16">
        <v>9</v>
      </c>
      <c r="B11" s="17">
        <v>200</v>
      </c>
      <c r="C11" s="9"/>
      <c r="D11" s="9"/>
      <c r="E11" s="9"/>
      <c r="F11" s="9"/>
      <c r="G11" s="9"/>
    </row>
    <row r="12" spans="1:7" ht="20.100000000000001" customHeight="1">
      <c r="A12" s="16">
        <v>10</v>
      </c>
      <c r="B12" s="17">
        <v>100</v>
      </c>
      <c r="C12" s="9"/>
      <c r="D12" s="9"/>
      <c r="E12" s="9"/>
      <c r="F12" s="9"/>
      <c r="G12" s="9"/>
    </row>
    <row r="13" spans="1:7" ht="20.100000000000001" customHeight="1">
      <c r="A13" s="16">
        <v>11</v>
      </c>
      <c r="B13" s="17">
        <v>100</v>
      </c>
      <c r="C13" s="9"/>
      <c r="D13" s="9"/>
      <c r="E13" s="9"/>
      <c r="F13" s="9"/>
      <c r="G13" s="9"/>
    </row>
    <row r="14" spans="1:7" ht="20.100000000000001" customHeight="1">
      <c r="A14" s="16">
        <v>12</v>
      </c>
      <c r="B14" s="17">
        <v>100</v>
      </c>
      <c r="C14" s="9"/>
      <c r="D14" s="9"/>
      <c r="E14" s="9"/>
      <c r="F14" s="9"/>
      <c r="G14" s="9"/>
    </row>
    <row r="15" spans="1:7" ht="20.100000000000001" customHeight="1">
      <c r="A15" s="10"/>
      <c r="B15" s="17">
        <f>SUM(B3:B14)</f>
        <v>2000</v>
      </c>
      <c r="C15" s="9"/>
      <c r="D15" s="9"/>
      <c r="E15" s="9"/>
      <c r="F15" s="9"/>
      <c r="G15" s="9"/>
    </row>
    <row r="16" spans="1:7" ht="20.100000000000001" customHeight="1">
      <c r="A16" s="6" t="s">
        <v>14</v>
      </c>
      <c r="B16" s="17">
        <v>85</v>
      </c>
      <c r="C16" s="9"/>
      <c r="D16" s="9"/>
      <c r="E16" s="9"/>
      <c r="F16" s="9"/>
      <c r="G16" s="9"/>
    </row>
    <row r="17" spans="1:7" ht="20.100000000000001" customHeight="1">
      <c r="A17" s="6" t="s">
        <v>15</v>
      </c>
      <c r="B17" s="17">
        <f>B16*B15</f>
        <v>170000</v>
      </c>
      <c r="C17" s="9"/>
      <c r="D17" s="9"/>
      <c r="E17" s="9"/>
      <c r="F17" s="9"/>
      <c r="G17" s="9"/>
    </row>
    <row r="18" spans="1:7" ht="20.100000000000001" customHeight="1">
      <c r="A18" s="10"/>
      <c r="B18" s="17"/>
      <c r="C18" s="9"/>
      <c r="D18" s="9"/>
      <c r="E18" s="9"/>
      <c r="F18" s="9"/>
      <c r="G18" s="9"/>
    </row>
    <row r="19" spans="1:7" ht="20.100000000000001" customHeight="1">
      <c r="A19" s="10"/>
      <c r="B19" s="17"/>
      <c r="C19" s="9"/>
      <c r="D19" s="9"/>
      <c r="E19" s="9"/>
      <c r="F19" s="9"/>
      <c r="G19" s="9"/>
    </row>
    <row r="20" spans="1:7" ht="20.100000000000001" customHeight="1">
      <c r="A20" s="10"/>
      <c r="B20" s="17"/>
      <c r="C20" s="9"/>
      <c r="D20" s="9"/>
      <c r="E20" s="9"/>
      <c r="F20" s="9"/>
      <c r="G20" s="9"/>
    </row>
    <row r="21" spans="1:7" ht="20.100000000000001" customHeight="1">
      <c r="A21" s="10"/>
      <c r="B21" s="17"/>
      <c r="C21" s="9"/>
      <c r="D21" s="9"/>
      <c r="E21" s="9"/>
      <c r="F21" s="9"/>
      <c r="G21" s="9"/>
    </row>
    <row r="22" spans="1:7" ht="20.100000000000001" customHeight="1">
      <c r="A22" s="10"/>
      <c r="B22" s="17"/>
      <c r="C22" s="9"/>
      <c r="D22" s="9"/>
      <c r="E22" s="9"/>
      <c r="F22" s="9"/>
      <c r="G22" s="9"/>
    </row>
    <row r="23" spans="1:7" ht="20.100000000000001" customHeight="1">
      <c r="A23" s="10"/>
      <c r="B23" s="17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12" sqref="C12"/>
    </sheetView>
  </sheetViews>
  <sheetFormatPr defaultColWidth="16.33203125" defaultRowHeight="19.95" customHeight="1"/>
  <cols>
    <col min="1" max="5" width="16.33203125" style="1" customWidth="1"/>
    <col min="6" max="6" width="22.6640625" style="1" customWidth="1"/>
    <col min="7" max="7" width="16.33203125" style="1" customWidth="1"/>
    <col min="8" max="16384" width="16.33203125" style="1"/>
  </cols>
  <sheetData>
    <row r="1" spans="1:6" ht="27.6" customHeight="1">
      <c r="A1" s="36" t="s">
        <v>0</v>
      </c>
      <c r="B1" s="36"/>
      <c r="C1" s="36"/>
      <c r="D1" s="36"/>
      <c r="E1" s="36"/>
      <c r="F1" s="36"/>
    </row>
    <row r="2" spans="1:6" ht="20.25" customHeight="1">
      <c r="A2" s="2"/>
      <c r="B2" s="2"/>
      <c r="C2" s="2"/>
      <c r="D2" s="2"/>
      <c r="E2" s="2"/>
      <c r="F2" s="2"/>
    </row>
    <row r="3" spans="1:6" ht="20.2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20.100000000000001" customHeight="1">
      <c r="A4" s="6" t="s">
        <v>7</v>
      </c>
      <c r="B4" s="7" t="s">
        <v>2</v>
      </c>
      <c r="C4" s="8" t="s">
        <v>3</v>
      </c>
      <c r="D4" s="8" t="s">
        <v>4</v>
      </c>
      <c r="E4" s="8" t="s">
        <v>5</v>
      </c>
      <c r="F4" s="9"/>
    </row>
    <row r="5" spans="1:6" ht="20.100000000000001" customHeight="1">
      <c r="A5" s="6" t="s">
        <v>8</v>
      </c>
      <c r="B5" s="7" t="s">
        <v>2</v>
      </c>
      <c r="C5" s="8" t="s">
        <v>3</v>
      </c>
      <c r="D5" s="8" t="s">
        <v>4</v>
      </c>
      <c r="E5" s="8" t="s">
        <v>5</v>
      </c>
      <c r="F5" s="9"/>
    </row>
    <row r="6" spans="1:6" ht="20.100000000000001" customHeight="1">
      <c r="A6" s="6" t="s">
        <v>9</v>
      </c>
      <c r="B6" s="7" t="s">
        <v>10</v>
      </c>
      <c r="C6" s="9"/>
      <c r="D6" s="9"/>
      <c r="E6" s="9"/>
      <c r="F6" s="9"/>
    </row>
    <row r="7" spans="1:6" ht="20.100000000000001" customHeight="1">
      <c r="A7" s="6" t="s">
        <v>11</v>
      </c>
      <c r="B7" s="7" t="s">
        <v>12</v>
      </c>
      <c r="C7" s="9"/>
      <c r="D7" s="9"/>
      <c r="E7" s="9"/>
      <c r="F7" s="9"/>
    </row>
    <row r="8" spans="1:6" ht="20.100000000000001" customHeight="1">
      <c r="A8" s="10"/>
      <c r="B8" s="11"/>
      <c r="C8" s="9"/>
      <c r="D8" s="9"/>
      <c r="E8" s="9"/>
      <c r="F8" s="9"/>
    </row>
    <row r="9" spans="1:6" ht="20.100000000000001" customHeight="1">
      <c r="A9" s="10"/>
      <c r="B9" s="11"/>
      <c r="C9" s="9"/>
      <c r="D9" s="9"/>
      <c r="E9" s="9"/>
      <c r="F9" s="9"/>
    </row>
    <row r="10" spans="1:6" ht="20.100000000000001" customHeight="1">
      <c r="A10" s="10"/>
      <c r="B10" s="11"/>
      <c r="C10" s="9"/>
      <c r="D10" s="9"/>
      <c r="E10" s="9"/>
      <c r="F10" s="9"/>
    </row>
    <row r="11" spans="1:6" ht="20.100000000000001" customHeight="1">
      <c r="A11" s="10"/>
      <c r="B11" s="11"/>
      <c r="C11" s="9"/>
      <c r="D11" s="9"/>
      <c r="E11" s="9"/>
      <c r="F11" s="9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2"/>
  <sheetViews>
    <sheetView showGridLines="0" zoomScale="119" zoomScaleNormal="158" workbookViewId="0">
      <pane xSplit="1" ySplit="2" topLeftCell="B10" activePane="bottomRight" state="frozen"/>
      <selection pane="topRight"/>
      <selection pane="bottomLeft"/>
      <selection pane="bottomRight" activeCell="F10" sqref="F10"/>
    </sheetView>
  </sheetViews>
  <sheetFormatPr defaultColWidth="16.33203125" defaultRowHeight="19.95" customHeight="1"/>
  <cols>
    <col min="1" max="1" width="16.33203125" style="1" customWidth="1"/>
    <col min="2" max="2" width="19.44140625" style="1" customWidth="1"/>
    <col min="3" max="9" width="16.33203125" style="1" customWidth="1"/>
    <col min="10" max="16384" width="16.33203125" style="1"/>
  </cols>
  <sheetData>
    <row r="1" spans="1:8" ht="27.6" customHeight="1">
      <c r="A1" s="36" t="s">
        <v>83</v>
      </c>
      <c r="B1" s="36"/>
      <c r="C1" s="36"/>
      <c r="D1" s="36"/>
      <c r="E1" s="36"/>
      <c r="F1" s="36"/>
      <c r="G1" s="36"/>
      <c r="H1" s="36"/>
    </row>
    <row r="2" spans="1:8" ht="20.25" customHeight="1">
      <c r="A2" s="2"/>
      <c r="B2" s="2"/>
      <c r="C2" s="2"/>
      <c r="D2" s="2"/>
      <c r="E2" s="12" t="s">
        <v>16</v>
      </c>
      <c r="F2" s="2"/>
      <c r="G2" s="2"/>
      <c r="H2" s="2"/>
    </row>
    <row r="3" spans="1:8" ht="20.25" customHeight="1">
      <c r="A3" s="3" t="s">
        <v>17</v>
      </c>
      <c r="B3" s="4" t="s">
        <v>18</v>
      </c>
      <c r="C3" s="5" t="s">
        <v>48</v>
      </c>
      <c r="D3" s="15"/>
      <c r="E3" s="18">
        <f>40*4</f>
        <v>160</v>
      </c>
      <c r="F3" s="15"/>
      <c r="G3" s="15"/>
      <c r="H3" s="15"/>
    </row>
    <row r="4" spans="1:8" ht="20.100000000000001" customHeight="1">
      <c r="A4" s="6" t="s">
        <v>20</v>
      </c>
      <c r="B4" s="7" t="s">
        <v>21</v>
      </c>
      <c r="C4" s="8" t="s">
        <v>19</v>
      </c>
      <c r="D4" s="9"/>
      <c r="E4" s="19">
        <f>200*4</f>
        <v>800</v>
      </c>
      <c r="F4" s="37"/>
      <c r="G4" s="9"/>
      <c r="H4" s="9"/>
    </row>
    <row r="5" spans="1:8" ht="20.100000000000001" customHeight="1">
      <c r="A5" s="10"/>
      <c r="B5" s="7" t="s">
        <v>22</v>
      </c>
      <c r="C5" s="8" t="s">
        <v>23</v>
      </c>
      <c r="D5" s="9"/>
      <c r="E5" s="19">
        <f>250*4</f>
        <v>1000</v>
      </c>
      <c r="F5" s="20"/>
      <c r="G5" s="20"/>
      <c r="H5" s="21"/>
    </row>
    <row r="6" spans="1:8" ht="20.100000000000001" customHeight="1">
      <c r="A6" s="10"/>
      <c r="B6" s="7" t="s">
        <v>55</v>
      </c>
      <c r="C6" s="8" t="s">
        <v>74</v>
      </c>
      <c r="D6" s="9"/>
      <c r="E6" s="19">
        <f>360*4</f>
        <v>1440</v>
      </c>
      <c r="F6" s="9"/>
      <c r="G6" s="9"/>
      <c r="H6" s="9"/>
    </row>
    <row r="7" spans="1:8" ht="20.100000000000001" customHeight="1">
      <c r="A7" s="10"/>
      <c r="B7" s="7" t="s">
        <v>62</v>
      </c>
      <c r="C7" s="8" t="s">
        <v>63</v>
      </c>
      <c r="D7" s="9"/>
      <c r="E7" s="19">
        <f>470*4</f>
        <v>1880</v>
      </c>
      <c r="F7" s="9"/>
      <c r="G7" s="9"/>
      <c r="H7" s="9"/>
    </row>
    <row r="8" spans="1:8" ht="20.100000000000001" customHeight="1">
      <c r="A8" s="10"/>
      <c r="B8" s="7" t="s">
        <v>64</v>
      </c>
      <c r="C8" s="8" t="s">
        <v>68</v>
      </c>
      <c r="D8" s="9"/>
      <c r="E8" s="19">
        <f>2000</f>
        <v>2000</v>
      </c>
      <c r="F8" s="9"/>
      <c r="G8" s="9"/>
      <c r="H8" s="9"/>
    </row>
    <row r="9" spans="1:8" ht="20.100000000000001" customHeight="1">
      <c r="A9" s="10"/>
      <c r="B9" s="7" t="s">
        <v>65</v>
      </c>
      <c r="C9" s="8" t="s">
        <v>69</v>
      </c>
      <c r="D9" s="9"/>
      <c r="E9" s="19">
        <v>10000</v>
      </c>
      <c r="F9" s="9"/>
      <c r="G9" s="9"/>
      <c r="H9" s="9"/>
    </row>
    <row r="10" spans="1:8" ht="20.100000000000001" customHeight="1">
      <c r="A10" s="10"/>
      <c r="B10" s="7" t="s">
        <v>66</v>
      </c>
      <c r="C10" s="8" t="s">
        <v>70</v>
      </c>
      <c r="D10" s="9"/>
      <c r="E10" s="19">
        <v>3500</v>
      </c>
      <c r="F10" s="9"/>
      <c r="G10" s="9"/>
      <c r="H10" s="9"/>
    </row>
    <row r="11" spans="1:8" ht="20.100000000000001" customHeight="1">
      <c r="A11" s="10"/>
      <c r="B11" s="7" t="s">
        <v>67</v>
      </c>
      <c r="C11" s="8" t="s">
        <v>69</v>
      </c>
      <c r="D11" s="9"/>
      <c r="E11" s="19">
        <v>10000</v>
      </c>
      <c r="F11" s="9"/>
      <c r="G11" s="9"/>
      <c r="H11" s="9"/>
    </row>
    <row r="12" spans="1:8" ht="20.100000000000001" customHeight="1">
      <c r="A12" s="6" t="s">
        <v>24</v>
      </c>
      <c r="B12" s="7" t="s">
        <v>25</v>
      </c>
      <c r="C12" s="8" t="s">
        <v>59</v>
      </c>
      <c r="D12" s="9" t="s">
        <v>60</v>
      </c>
      <c r="E12" s="19">
        <f>500*6</f>
        <v>3000</v>
      </c>
      <c r="F12" s="9"/>
      <c r="G12" s="9"/>
      <c r="H12" s="9"/>
    </row>
    <row r="13" spans="1:8" ht="20.100000000000001" customHeight="1">
      <c r="A13" s="6"/>
      <c r="B13" s="7" t="s">
        <v>50</v>
      </c>
      <c r="C13" s="8" t="s">
        <v>80</v>
      </c>
      <c r="D13" s="8" t="s">
        <v>58</v>
      </c>
      <c r="E13" s="19">
        <f>6000*4*2</f>
        <v>48000</v>
      </c>
      <c r="F13" s="9"/>
      <c r="G13" s="9"/>
      <c r="H13" s="9"/>
    </row>
    <row r="14" spans="1:8" ht="20.100000000000001" customHeight="1">
      <c r="A14" s="10"/>
      <c r="B14" s="7" t="s">
        <v>82</v>
      </c>
      <c r="C14" s="8" t="s">
        <v>69</v>
      </c>
      <c r="D14" s="8" t="s">
        <v>58</v>
      </c>
      <c r="E14" s="19">
        <f>10000*4</f>
        <v>40000</v>
      </c>
      <c r="F14" s="9"/>
      <c r="G14" s="9"/>
      <c r="H14" s="9"/>
    </row>
    <row r="15" spans="1:8" ht="20.100000000000001" customHeight="1">
      <c r="A15" s="10"/>
      <c r="B15" s="7" t="s">
        <v>52</v>
      </c>
      <c r="C15" s="8" t="s">
        <v>81</v>
      </c>
      <c r="D15" s="8" t="s">
        <v>58</v>
      </c>
      <c r="E15" s="19">
        <f>7000*4*2</f>
        <v>56000</v>
      </c>
      <c r="F15" s="9"/>
      <c r="G15" s="9"/>
      <c r="H15" s="9"/>
    </row>
    <row r="16" spans="1:8" ht="20.100000000000001" customHeight="1">
      <c r="A16" s="10"/>
      <c r="B16" s="7"/>
      <c r="C16" s="8"/>
      <c r="D16" s="8"/>
      <c r="E16" s="19"/>
      <c r="F16" s="9"/>
      <c r="G16" s="9"/>
      <c r="H16" s="9"/>
    </row>
    <row r="17" spans="1:8" ht="20.100000000000001" customHeight="1">
      <c r="A17" s="10"/>
      <c r="B17" s="7" t="s">
        <v>73</v>
      </c>
      <c r="C17" s="8" t="s">
        <v>53</v>
      </c>
      <c r="D17" s="8" t="s">
        <v>58</v>
      </c>
      <c r="E17" s="19">
        <v>7000</v>
      </c>
      <c r="F17" s="9"/>
      <c r="G17" s="9"/>
      <c r="H17" s="9"/>
    </row>
    <row r="18" spans="1:8" ht="20.100000000000001" customHeight="1" thickBot="1">
      <c r="A18" s="6" t="s">
        <v>26</v>
      </c>
      <c r="B18" s="7" t="s">
        <v>54</v>
      </c>
      <c r="C18" s="8" t="s">
        <v>56</v>
      </c>
      <c r="D18" s="8" t="s">
        <v>57</v>
      </c>
      <c r="E18" s="19">
        <f>10000</f>
        <v>10000</v>
      </c>
      <c r="F18" s="9"/>
      <c r="G18" s="9"/>
      <c r="H18" s="9"/>
    </row>
    <row r="19" spans="1:8" ht="20.100000000000001" customHeight="1" thickTop="1" thickBot="1">
      <c r="A19" s="33"/>
      <c r="B19" s="34"/>
      <c r="C19" s="34"/>
      <c r="D19" s="34"/>
      <c r="E19" s="35"/>
      <c r="F19" s="33"/>
      <c r="G19" s="33"/>
      <c r="H19" s="33"/>
    </row>
    <row r="20" spans="1:8" ht="32.1" customHeight="1" thickTop="1">
      <c r="A20" s="10"/>
      <c r="B20" s="7"/>
      <c r="C20" s="8"/>
      <c r="D20" s="8"/>
      <c r="E20" s="19"/>
      <c r="F20" s="9"/>
      <c r="G20" s="9"/>
      <c r="H20" s="9"/>
    </row>
    <row r="21" spans="1:8" ht="20.100000000000001" customHeight="1">
      <c r="A21" s="6" t="s">
        <v>71</v>
      </c>
      <c r="B21" s="11"/>
      <c r="C21" s="9"/>
      <c r="D21" s="9"/>
      <c r="E21" s="19">
        <f>SUM(E3:E19)</f>
        <v>194780</v>
      </c>
      <c r="F21" s="9"/>
      <c r="G21" s="9"/>
      <c r="H21" s="9"/>
    </row>
    <row r="22" spans="1:8" ht="20.100000000000001" customHeight="1">
      <c r="A22" s="10"/>
      <c r="B22" s="22"/>
      <c r="C22" s="20"/>
      <c r="D22" s="20"/>
      <c r="E22" s="19"/>
      <c r="F22" s="9"/>
      <c r="G22" s="9"/>
      <c r="H22" s="9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DE0B-E133-42A7-BB46-349BC6A77DEA}">
  <sheetPr>
    <pageSetUpPr fitToPage="1"/>
  </sheetPr>
  <dimension ref="A1:H22"/>
  <sheetViews>
    <sheetView showGridLines="0" zoomScale="131" zoomScaleNormal="160" workbookViewId="0">
      <pane xSplit="1" ySplit="2" topLeftCell="B3" activePane="bottomRight" state="frozen"/>
      <selection pane="topRight"/>
      <selection pane="bottomLeft"/>
      <selection pane="bottomRight" activeCell="E20" sqref="E20"/>
    </sheetView>
  </sheetViews>
  <sheetFormatPr defaultColWidth="16.33203125" defaultRowHeight="19.95" customHeight="1"/>
  <cols>
    <col min="1" max="1" width="16.33203125" style="1" customWidth="1"/>
    <col min="2" max="2" width="19.44140625" style="1" customWidth="1"/>
    <col min="3" max="9" width="16.33203125" style="1" customWidth="1"/>
    <col min="10" max="16384" width="16.33203125" style="1"/>
  </cols>
  <sheetData>
    <row r="1" spans="1:8" ht="27.6" customHeight="1">
      <c r="A1" s="36" t="s">
        <v>61</v>
      </c>
      <c r="B1" s="36"/>
      <c r="C1" s="36"/>
      <c r="D1" s="36"/>
      <c r="E1" s="36"/>
      <c r="F1" s="36"/>
      <c r="G1" s="36"/>
      <c r="H1" s="36"/>
    </row>
    <row r="2" spans="1:8" ht="20.25" customHeight="1">
      <c r="A2" s="2"/>
      <c r="B2" s="2"/>
      <c r="C2" s="2"/>
      <c r="D2" s="2"/>
      <c r="E2" s="12" t="s">
        <v>16</v>
      </c>
      <c r="F2" s="2"/>
      <c r="G2" s="2"/>
      <c r="H2" s="2"/>
    </row>
    <row r="3" spans="1:8" ht="20.25" customHeight="1">
      <c r="A3" s="3" t="s">
        <v>17</v>
      </c>
      <c r="B3" s="4" t="s">
        <v>18</v>
      </c>
      <c r="C3" s="5" t="s">
        <v>48</v>
      </c>
      <c r="D3" s="15"/>
      <c r="E3" s="18">
        <f>40*8</f>
        <v>320</v>
      </c>
      <c r="F3" s="15"/>
      <c r="G3" s="15"/>
      <c r="H3" s="15"/>
    </row>
    <row r="4" spans="1:8" ht="20.100000000000001" customHeight="1">
      <c r="A4" s="6" t="s">
        <v>20</v>
      </c>
      <c r="B4" s="7" t="s">
        <v>49</v>
      </c>
      <c r="C4" s="8" t="s">
        <v>69</v>
      </c>
      <c r="D4" s="9"/>
      <c r="E4" s="19">
        <f>10000*8</f>
        <v>80000</v>
      </c>
      <c r="F4" s="9"/>
      <c r="G4" s="9"/>
      <c r="H4" s="9"/>
    </row>
    <row r="5" spans="1:8" ht="20.100000000000001" customHeight="1">
      <c r="A5" s="10"/>
      <c r="B5" s="7" t="s">
        <v>21</v>
      </c>
      <c r="C5" s="8" t="s">
        <v>19</v>
      </c>
      <c r="D5" s="9"/>
      <c r="E5" s="19">
        <f>200*8</f>
        <v>1600</v>
      </c>
      <c r="F5" s="20"/>
      <c r="G5" s="20"/>
      <c r="H5" s="21"/>
    </row>
    <row r="6" spans="1:8" ht="20.100000000000001" customHeight="1">
      <c r="A6" s="10"/>
      <c r="B6" s="7" t="s">
        <v>22</v>
      </c>
      <c r="C6" s="8" t="s">
        <v>23</v>
      </c>
      <c r="D6" s="9"/>
      <c r="E6" s="19">
        <f>250*8</f>
        <v>2000</v>
      </c>
      <c r="F6" s="9"/>
      <c r="G6" s="9"/>
      <c r="H6" s="9"/>
    </row>
    <row r="7" spans="1:8" ht="20.100000000000001" customHeight="1">
      <c r="A7" s="10"/>
      <c r="B7" s="7" t="s">
        <v>55</v>
      </c>
      <c r="C7" s="8" t="s">
        <v>74</v>
      </c>
      <c r="D7" s="9"/>
      <c r="E7" s="19">
        <f>360*8</f>
        <v>2880</v>
      </c>
      <c r="F7" s="9"/>
      <c r="G7" s="9"/>
      <c r="H7" s="9"/>
    </row>
    <row r="8" spans="1:8" ht="20.100000000000001" customHeight="1">
      <c r="A8" s="10"/>
      <c r="B8" s="7" t="s">
        <v>62</v>
      </c>
      <c r="C8" s="8" t="s">
        <v>63</v>
      </c>
      <c r="D8" s="9"/>
      <c r="E8" s="19">
        <f>470*8</f>
        <v>3760</v>
      </c>
      <c r="F8" s="9"/>
      <c r="G8" s="9"/>
      <c r="H8" s="9"/>
    </row>
    <row r="9" spans="1:8" ht="20.100000000000001" customHeight="1">
      <c r="A9" s="6" t="s">
        <v>24</v>
      </c>
      <c r="B9" s="7" t="s">
        <v>25</v>
      </c>
      <c r="C9" s="8" t="s">
        <v>59</v>
      </c>
      <c r="D9" s="9" t="s">
        <v>60</v>
      </c>
      <c r="E9" s="19">
        <f>500*8</f>
        <v>4000</v>
      </c>
      <c r="F9" s="9"/>
      <c r="G9" s="9"/>
      <c r="H9" s="9"/>
    </row>
    <row r="10" spans="1:8" ht="20.100000000000001" customHeight="1">
      <c r="A10" s="10"/>
      <c r="B10" s="7" t="s">
        <v>50</v>
      </c>
      <c r="C10" s="8" t="s">
        <v>80</v>
      </c>
      <c r="D10" s="8" t="s">
        <v>58</v>
      </c>
      <c r="E10" s="19">
        <f>6000*8*2</f>
        <v>96000</v>
      </c>
      <c r="F10" s="9"/>
      <c r="G10" s="9"/>
      <c r="H10" s="9"/>
    </row>
    <row r="11" spans="1:8" ht="20.100000000000001" customHeight="1">
      <c r="A11" s="10"/>
      <c r="B11" s="7" t="s">
        <v>52</v>
      </c>
      <c r="C11" s="8" t="s">
        <v>81</v>
      </c>
      <c r="D11" s="8" t="s">
        <v>58</v>
      </c>
      <c r="E11" s="19">
        <f>7000*8*2</f>
        <v>112000</v>
      </c>
      <c r="F11" s="9"/>
      <c r="G11" s="9"/>
      <c r="H11" s="9"/>
    </row>
    <row r="12" spans="1:8" ht="20.100000000000001" customHeight="1">
      <c r="A12" s="10"/>
      <c r="B12" s="7" t="s">
        <v>82</v>
      </c>
      <c r="C12" s="8" t="s">
        <v>69</v>
      </c>
      <c r="D12" s="8"/>
      <c r="E12" s="19">
        <f>10000*8</f>
        <v>80000</v>
      </c>
      <c r="F12" s="9"/>
      <c r="G12" s="9"/>
      <c r="H12" s="9"/>
    </row>
    <row r="13" spans="1:8" ht="20.100000000000001" customHeight="1">
      <c r="A13" s="10"/>
      <c r="B13" s="7" t="s">
        <v>73</v>
      </c>
      <c r="C13" s="8" t="s">
        <v>53</v>
      </c>
      <c r="D13" s="8" t="s">
        <v>58</v>
      </c>
      <c r="E13" s="19">
        <f>7000*8</f>
        <v>56000</v>
      </c>
      <c r="F13" s="9"/>
      <c r="G13" s="9"/>
      <c r="H13" s="9"/>
    </row>
    <row r="14" spans="1:8" ht="20.100000000000001" customHeight="1">
      <c r="A14" s="10"/>
      <c r="B14" s="7"/>
      <c r="C14" s="8"/>
      <c r="D14" s="8"/>
      <c r="E14" s="19"/>
      <c r="F14" s="9"/>
      <c r="G14" s="9"/>
      <c r="H14" s="9"/>
    </row>
    <row r="15" spans="1:8" ht="20.100000000000001" customHeight="1">
      <c r="A15" s="10"/>
      <c r="B15" s="7"/>
      <c r="C15" s="8"/>
      <c r="D15" s="8"/>
      <c r="E15" s="19"/>
      <c r="F15" s="9"/>
      <c r="G15" s="9"/>
      <c r="H15" s="9"/>
    </row>
    <row r="16" spans="1:8" ht="20.100000000000001" customHeight="1">
      <c r="A16" s="10"/>
      <c r="B16" s="7"/>
      <c r="C16" s="8"/>
      <c r="D16" s="8"/>
      <c r="E16" s="19"/>
    </row>
    <row r="17" spans="1:8" ht="20.100000000000001" customHeight="1">
      <c r="A17" s="6" t="s">
        <v>26</v>
      </c>
      <c r="B17" s="7" t="s">
        <v>54</v>
      </c>
      <c r="C17" s="8" t="s">
        <v>75</v>
      </c>
      <c r="D17" s="8" t="s">
        <v>58</v>
      </c>
      <c r="E17" s="19">
        <f>1000*8</f>
        <v>8000</v>
      </c>
      <c r="F17" s="9"/>
      <c r="G17" s="9"/>
      <c r="H17" s="9"/>
    </row>
    <row r="18" spans="1:8" ht="20.100000000000001" customHeight="1">
      <c r="A18" s="10"/>
      <c r="B18" s="7"/>
      <c r="C18" s="8"/>
      <c r="D18" s="9"/>
      <c r="E18" s="19"/>
      <c r="F18" s="20"/>
      <c r="G18" s="20"/>
      <c r="H18" s="20"/>
    </row>
    <row r="19" spans="1:8" ht="20.100000000000001" customHeight="1">
      <c r="A19" s="2"/>
      <c r="B19" s="2"/>
      <c r="C19" s="2"/>
      <c r="D19" s="2"/>
      <c r="E19" s="12"/>
      <c r="F19" s="2"/>
      <c r="G19" s="2"/>
      <c r="H19" s="2"/>
    </row>
    <row r="20" spans="1:8" ht="32.1" customHeight="1">
      <c r="A20" s="6"/>
      <c r="B20" s="11"/>
      <c r="C20" s="9"/>
      <c r="D20" s="9"/>
      <c r="E20" s="19">
        <f>SUM(E3:E18)</f>
        <v>446560</v>
      </c>
      <c r="F20" s="9"/>
      <c r="G20" s="9"/>
      <c r="H20" s="9"/>
    </row>
    <row r="21" spans="1:8" ht="20.100000000000001" customHeight="1">
      <c r="A21" s="10"/>
      <c r="B21" s="7"/>
      <c r="C21" s="8"/>
      <c r="D21" s="8"/>
      <c r="E21" s="19"/>
      <c r="F21" s="9"/>
      <c r="G21" s="9"/>
      <c r="H21" s="9"/>
    </row>
    <row r="22" spans="1:8" ht="20.100000000000001" customHeight="1">
      <c r="A22" s="10"/>
      <c r="B22" s="22"/>
      <c r="C22" s="20"/>
      <c r="D22" s="20"/>
      <c r="E22" s="19"/>
      <c r="F22" s="9"/>
      <c r="G22" s="9"/>
      <c r="H22" s="9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51C6-D5C5-43E5-9F3E-1CEFA1B304F9}">
  <sheetPr>
    <pageSetUpPr fitToPage="1"/>
  </sheetPr>
  <dimension ref="A1:H22"/>
  <sheetViews>
    <sheetView showGridLines="0" zoomScale="80" zoomScaleNormal="160" workbookViewId="0">
      <pane xSplit="1" ySplit="2" topLeftCell="B3" activePane="bottomRight" state="frozen"/>
      <selection pane="topRight"/>
      <selection pane="bottomLeft"/>
      <selection pane="bottomRight" activeCell="E18" sqref="E18"/>
    </sheetView>
  </sheetViews>
  <sheetFormatPr defaultColWidth="16.33203125" defaultRowHeight="19.95" customHeight="1"/>
  <cols>
    <col min="1" max="1" width="16.33203125" style="1" customWidth="1"/>
    <col min="2" max="2" width="19.44140625" style="1" customWidth="1"/>
    <col min="3" max="9" width="16.33203125" style="1" customWidth="1"/>
    <col min="10" max="16384" width="16.33203125" style="1"/>
  </cols>
  <sheetData>
    <row r="1" spans="1:8" ht="27.6" customHeight="1">
      <c r="A1" s="36" t="s">
        <v>78</v>
      </c>
      <c r="B1" s="36"/>
      <c r="C1" s="36"/>
      <c r="D1" s="36"/>
      <c r="E1" s="36"/>
      <c r="F1" s="36"/>
      <c r="G1" s="36"/>
      <c r="H1" s="36"/>
    </row>
    <row r="2" spans="1:8" ht="20.25" customHeight="1">
      <c r="A2" s="2"/>
      <c r="B2" s="2"/>
      <c r="C2" s="2"/>
      <c r="D2" s="2"/>
      <c r="E2" s="12" t="s">
        <v>16</v>
      </c>
      <c r="F2" s="2"/>
      <c r="G2" s="2"/>
      <c r="H2" s="2"/>
    </row>
    <row r="3" spans="1:8" ht="20.25" customHeight="1">
      <c r="A3" s="3" t="s">
        <v>17</v>
      </c>
      <c r="B3" s="4" t="s">
        <v>18</v>
      </c>
      <c r="C3" s="5" t="s">
        <v>48</v>
      </c>
      <c r="D3" s="15"/>
      <c r="E3" s="18">
        <f>40*12</f>
        <v>480</v>
      </c>
      <c r="F3" s="15"/>
      <c r="G3" s="15"/>
      <c r="H3" s="15"/>
    </row>
    <row r="4" spans="1:8" ht="20.100000000000001" customHeight="1">
      <c r="A4" s="6" t="s">
        <v>20</v>
      </c>
      <c r="B4" s="7" t="s">
        <v>49</v>
      </c>
      <c r="C4" s="8" t="s">
        <v>72</v>
      </c>
      <c r="D4" s="9"/>
      <c r="E4" s="19">
        <f>10000*12</f>
        <v>120000</v>
      </c>
      <c r="F4" s="9"/>
      <c r="G4" s="9"/>
      <c r="H4" s="9"/>
    </row>
    <row r="5" spans="1:8" ht="20.100000000000001" customHeight="1">
      <c r="A5" s="10"/>
      <c r="B5" s="7" t="s">
        <v>21</v>
      </c>
      <c r="C5" s="8" t="s">
        <v>19</v>
      </c>
      <c r="D5" s="9"/>
      <c r="E5" s="19">
        <f>200*12</f>
        <v>2400</v>
      </c>
      <c r="F5" s="20"/>
      <c r="G5" s="20"/>
      <c r="H5" s="21"/>
    </row>
    <row r="6" spans="1:8" ht="20.100000000000001" customHeight="1">
      <c r="A6" s="10"/>
      <c r="B6" s="7" t="s">
        <v>22</v>
      </c>
      <c r="C6" s="8" t="s">
        <v>23</v>
      </c>
      <c r="D6" s="9"/>
      <c r="E6" s="19">
        <f>250*12</f>
        <v>3000</v>
      </c>
      <c r="F6" s="9"/>
      <c r="G6" s="9"/>
      <c r="H6" s="9"/>
    </row>
    <row r="7" spans="1:8" ht="20.100000000000001" customHeight="1">
      <c r="A7" s="10"/>
      <c r="B7" s="7" t="s">
        <v>55</v>
      </c>
      <c r="C7" s="8" t="s">
        <v>74</v>
      </c>
      <c r="D7" s="9"/>
      <c r="E7" s="19">
        <f>360*12</f>
        <v>4320</v>
      </c>
      <c r="F7" s="9"/>
      <c r="G7" s="9"/>
      <c r="H7" s="9"/>
    </row>
    <row r="8" spans="1:8" ht="20.100000000000001" customHeight="1">
      <c r="A8" s="10"/>
      <c r="B8" s="7" t="s">
        <v>62</v>
      </c>
      <c r="C8" s="8" t="s">
        <v>63</v>
      </c>
      <c r="D8" s="9"/>
      <c r="E8" s="19">
        <f>470*12</f>
        <v>5640</v>
      </c>
      <c r="F8" s="9"/>
      <c r="G8" s="9"/>
      <c r="H8" s="9"/>
    </row>
    <row r="9" spans="1:8" ht="20.100000000000001" customHeight="1">
      <c r="A9" s="6" t="s">
        <v>24</v>
      </c>
      <c r="B9" s="7" t="s">
        <v>25</v>
      </c>
      <c r="C9" s="8" t="s">
        <v>59</v>
      </c>
      <c r="D9" s="9" t="s">
        <v>60</v>
      </c>
      <c r="E9" s="19">
        <f>500*12</f>
        <v>6000</v>
      </c>
      <c r="F9" s="9"/>
      <c r="G9" s="9"/>
      <c r="H9" s="9"/>
    </row>
    <row r="10" spans="1:8" ht="20.100000000000001" customHeight="1">
      <c r="A10" s="10"/>
      <c r="B10" s="7" t="s">
        <v>50</v>
      </c>
      <c r="C10" s="8" t="s">
        <v>51</v>
      </c>
      <c r="D10" s="8" t="s">
        <v>58</v>
      </c>
      <c r="E10" s="19">
        <f>6000*12</f>
        <v>72000</v>
      </c>
      <c r="F10" s="9"/>
      <c r="G10" s="9"/>
      <c r="H10" s="9"/>
    </row>
    <row r="11" spans="1:8" ht="20.100000000000001" customHeight="1">
      <c r="A11" s="10"/>
      <c r="B11" s="7" t="s">
        <v>52</v>
      </c>
      <c r="C11" s="8" t="s">
        <v>53</v>
      </c>
      <c r="D11" s="8" t="s">
        <v>58</v>
      </c>
      <c r="E11" s="19">
        <f>7000*12</f>
        <v>84000</v>
      </c>
      <c r="F11" s="9"/>
      <c r="G11" s="9"/>
      <c r="H11" s="9"/>
    </row>
    <row r="12" spans="1:8" ht="20.100000000000001" customHeight="1">
      <c r="A12" s="10"/>
      <c r="B12" s="7" t="s">
        <v>76</v>
      </c>
      <c r="C12" s="8" t="s">
        <v>77</v>
      </c>
      <c r="D12" s="8"/>
      <c r="E12" s="19"/>
      <c r="F12" s="9"/>
      <c r="G12" s="9"/>
      <c r="H12" s="9"/>
    </row>
    <row r="13" spans="1:8" ht="20.100000000000001" customHeight="1">
      <c r="A13" s="10"/>
      <c r="B13" s="7" t="s">
        <v>73</v>
      </c>
      <c r="C13" s="8" t="s">
        <v>53</v>
      </c>
      <c r="D13" s="8" t="s">
        <v>58</v>
      </c>
      <c r="E13" s="19">
        <f>7000*12</f>
        <v>84000</v>
      </c>
      <c r="F13" s="9"/>
      <c r="G13" s="9"/>
      <c r="H13" s="9"/>
    </row>
    <row r="14" spans="1:8" ht="20.100000000000001" customHeight="1">
      <c r="A14" s="10"/>
      <c r="B14" s="7"/>
      <c r="C14" s="8"/>
      <c r="D14" s="8"/>
      <c r="E14" s="19"/>
      <c r="F14" s="9"/>
      <c r="G14" s="9"/>
      <c r="H14" s="9"/>
    </row>
    <row r="15" spans="1:8" ht="20.100000000000001" customHeight="1">
      <c r="A15" s="10"/>
      <c r="B15" s="7"/>
      <c r="C15" s="8"/>
      <c r="D15" s="8"/>
      <c r="E15" s="19"/>
      <c r="F15" s="9"/>
      <c r="G15" s="9"/>
      <c r="H15" s="9"/>
    </row>
    <row r="16" spans="1:8" ht="20.100000000000001" customHeight="1">
      <c r="A16" s="10"/>
      <c r="B16" s="7"/>
      <c r="C16" s="8"/>
      <c r="D16" s="8"/>
      <c r="E16" s="19"/>
    </row>
    <row r="17" spans="1:8" ht="20.100000000000001" customHeight="1">
      <c r="A17" s="6" t="s">
        <v>26</v>
      </c>
      <c r="B17" s="7" t="s">
        <v>54</v>
      </c>
      <c r="C17" s="8" t="s">
        <v>75</v>
      </c>
      <c r="D17" s="8" t="s">
        <v>58</v>
      </c>
      <c r="E17" s="19">
        <f>6000*2</f>
        <v>12000</v>
      </c>
      <c r="F17" s="9"/>
      <c r="G17" s="9"/>
      <c r="H17" s="9"/>
    </row>
    <row r="18" spans="1:8" ht="20.100000000000001" customHeight="1">
      <c r="A18" s="10"/>
      <c r="B18" s="7"/>
      <c r="C18" s="8"/>
      <c r="D18" s="9"/>
      <c r="E18" s="19"/>
      <c r="F18" s="20"/>
      <c r="G18" s="20"/>
      <c r="H18" s="20"/>
    </row>
    <row r="19" spans="1:8" ht="20.100000000000001" customHeight="1">
      <c r="A19" s="2"/>
      <c r="B19" s="2"/>
      <c r="C19" s="2"/>
      <c r="D19" s="2"/>
      <c r="E19" s="12"/>
      <c r="F19" s="2"/>
      <c r="G19" s="2"/>
      <c r="H19" s="2"/>
    </row>
    <row r="20" spans="1:8" ht="32.1" customHeight="1">
      <c r="A20" s="6"/>
      <c r="B20" s="11"/>
      <c r="C20" s="9"/>
      <c r="D20" s="9"/>
      <c r="E20" s="19">
        <f>SUM(E3:E18)</f>
        <v>393840</v>
      </c>
      <c r="F20" s="9"/>
      <c r="G20" s="9"/>
      <c r="H20" s="9"/>
    </row>
    <row r="21" spans="1:8" ht="20.100000000000001" customHeight="1">
      <c r="A21" s="10"/>
      <c r="B21" s="7"/>
      <c r="C21" s="8"/>
      <c r="D21" s="8"/>
      <c r="E21" s="19"/>
      <c r="F21" s="9"/>
      <c r="G21" s="9"/>
      <c r="H21" s="9"/>
    </row>
    <row r="22" spans="1:8" ht="20.100000000000001" customHeight="1">
      <c r="A22" s="10"/>
      <c r="B22" s="22"/>
      <c r="C22" s="20"/>
      <c r="D22" s="20"/>
      <c r="E22" s="19"/>
      <c r="F22" s="9"/>
      <c r="G22" s="9"/>
      <c r="H22" s="9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60AB-5482-4782-9546-086221BAD2EB}">
  <sheetPr>
    <pageSetUpPr fitToPage="1"/>
  </sheetPr>
  <dimension ref="A1:H22"/>
  <sheetViews>
    <sheetView showGridLines="0" zoomScale="80" zoomScaleNormal="160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ColWidth="16.33203125" defaultRowHeight="19.95" customHeight="1"/>
  <cols>
    <col min="1" max="1" width="16.33203125" style="1" customWidth="1"/>
    <col min="2" max="2" width="19.44140625" style="1" customWidth="1"/>
    <col min="3" max="9" width="16.33203125" style="1" customWidth="1"/>
    <col min="10" max="16384" width="16.33203125" style="1"/>
  </cols>
  <sheetData>
    <row r="1" spans="1:8" ht="27.6" customHeight="1">
      <c r="A1" s="36" t="s">
        <v>79</v>
      </c>
      <c r="B1" s="36"/>
      <c r="C1" s="36"/>
      <c r="D1" s="36"/>
      <c r="E1" s="36"/>
      <c r="F1" s="36"/>
      <c r="G1" s="36"/>
      <c r="H1" s="36"/>
    </row>
    <row r="2" spans="1:8" ht="20.25" customHeight="1">
      <c r="A2" s="2"/>
      <c r="B2" s="2"/>
      <c r="C2" s="2"/>
      <c r="D2" s="2"/>
      <c r="E2" s="12" t="s">
        <v>16</v>
      </c>
      <c r="F2" s="2"/>
      <c r="G2" s="2"/>
      <c r="H2" s="2"/>
    </row>
    <row r="3" spans="1:8" ht="20.25" customHeight="1">
      <c r="A3" s="3" t="s">
        <v>17</v>
      </c>
      <c r="B3" s="4" t="s">
        <v>18</v>
      </c>
      <c r="C3" s="5" t="s">
        <v>48</v>
      </c>
      <c r="D3" s="15"/>
      <c r="E3" s="18">
        <f>40*12</f>
        <v>480</v>
      </c>
      <c r="F3" s="15"/>
      <c r="G3" s="15"/>
      <c r="H3" s="15"/>
    </row>
    <row r="4" spans="1:8" ht="20.100000000000001" customHeight="1">
      <c r="A4" s="6" t="s">
        <v>20</v>
      </c>
      <c r="B4" s="7" t="s">
        <v>49</v>
      </c>
      <c r="C4" s="8" t="s">
        <v>72</v>
      </c>
      <c r="D4" s="9"/>
      <c r="E4" s="19">
        <f>10000*12</f>
        <v>120000</v>
      </c>
      <c r="F4" s="9"/>
      <c r="G4" s="9"/>
      <c r="H4" s="9"/>
    </row>
    <row r="5" spans="1:8" ht="20.100000000000001" customHeight="1">
      <c r="A5" s="10"/>
      <c r="B5" s="7" t="s">
        <v>21</v>
      </c>
      <c r="C5" s="8" t="s">
        <v>19</v>
      </c>
      <c r="D5" s="9"/>
      <c r="E5" s="19">
        <f>200*12</f>
        <v>2400</v>
      </c>
      <c r="F5" s="20"/>
      <c r="G5" s="20"/>
      <c r="H5" s="21"/>
    </row>
    <row r="6" spans="1:8" ht="20.100000000000001" customHeight="1">
      <c r="A6" s="10"/>
      <c r="B6" s="7" t="s">
        <v>22</v>
      </c>
      <c r="C6" s="8" t="s">
        <v>23</v>
      </c>
      <c r="D6" s="9"/>
      <c r="E6" s="19">
        <f>250*12</f>
        <v>3000</v>
      </c>
      <c r="F6" s="9"/>
      <c r="G6" s="9"/>
      <c r="H6" s="9"/>
    </row>
    <row r="7" spans="1:8" ht="20.100000000000001" customHeight="1">
      <c r="A7" s="10"/>
      <c r="B7" s="7" t="s">
        <v>55</v>
      </c>
      <c r="C7" s="8" t="s">
        <v>74</v>
      </c>
      <c r="D7" s="9"/>
      <c r="E7" s="19">
        <f>360*12</f>
        <v>4320</v>
      </c>
      <c r="F7" s="9"/>
      <c r="G7" s="9"/>
      <c r="H7" s="9"/>
    </row>
    <row r="8" spans="1:8" ht="20.100000000000001" customHeight="1">
      <c r="A8" s="10"/>
      <c r="B8" s="7" t="s">
        <v>62</v>
      </c>
      <c r="C8" s="8" t="s">
        <v>63</v>
      </c>
      <c r="D8" s="9"/>
      <c r="E8" s="19">
        <f>470*12</f>
        <v>5640</v>
      </c>
      <c r="F8" s="9"/>
      <c r="G8" s="9"/>
      <c r="H8" s="9"/>
    </row>
    <row r="9" spans="1:8" ht="20.100000000000001" customHeight="1">
      <c r="A9" s="6" t="s">
        <v>24</v>
      </c>
      <c r="B9" s="7" t="s">
        <v>25</v>
      </c>
      <c r="C9" s="8" t="s">
        <v>59</v>
      </c>
      <c r="D9" s="9" t="s">
        <v>60</v>
      </c>
      <c r="E9" s="19">
        <f>500*12</f>
        <v>6000</v>
      </c>
      <c r="F9" s="9"/>
      <c r="G9" s="9"/>
      <c r="H9" s="9"/>
    </row>
    <row r="10" spans="1:8" ht="20.100000000000001" customHeight="1">
      <c r="A10" s="10"/>
      <c r="B10" s="7" t="s">
        <v>50</v>
      </c>
      <c r="C10" s="8" t="s">
        <v>51</v>
      </c>
      <c r="D10" s="8" t="s">
        <v>58</v>
      </c>
      <c r="E10" s="19">
        <f>6000*12</f>
        <v>72000</v>
      </c>
      <c r="F10" s="9"/>
      <c r="G10" s="9"/>
      <c r="H10" s="9"/>
    </row>
    <row r="11" spans="1:8" ht="20.100000000000001" customHeight="1">
      <c r="A11" s="10"/>
      <c r="B11" s="7" t="s">
        <v>52</v>
      </c>
      <c r="C11" s="8" t="s">
        <v>53</v>
      </c>
      <c r="D11" s="8" t="s">
        <v>58</v>
      </c>
      <c r="E11" s="19">
        <f>7000*12</f>
        <v>84000</v>
      </c>
      <c r="F11" s="9"/>
      <c r="G11" s="9"/>
      <c r="H11" s="9"/>
    </row>
    <row r="12" spans="1:8" ht="20.100000000000001" customHeight="1">
      <c r="A12" s="10"/>
      <c r="B12" s="7" t="s">
        <v>76</v>
      </c>
      <c r="C12" s="8" t="s">
        <v>77</v>
      </c>
      <c r="D12" s="8"/>
      <c r="E12" s="19"/>
      <c r="F12" s="9"/>
      <c r="G12" s="9"/>
      <c r="H12" s="9"/>
    </row>
    <row r="13" spans="1:8" ht="20.100000000000001" customHeight="1">
      <c r="A13" s="10"/>
      <c r="B13" s="7" t="s">
        <v>73</v>
      </c>
      <c r="C13" s="8" t="s">
        <v>53</v>
      </c>
      <c r="D13" s="8" t="s">
        <v>58</v>
      </c>
      <c r="E13" s="19">
        <f>7000*12</f>
        <v>84000</v>
      </c>
      <c r="F13" s="9"/>
      <c r="G13" s="9"/>
      <c r="H13" s="9"/>
    </row>
    <row r="14" spans="1:8" ht="20.100000000000001" customHeight="1">
      <c r="A14" s="10"/>
      <c r="B14" s="7"/>
      <c r="C14" s="8"/>
      <c r="D14" s="8"/>
      <c r="E14" s="19"/>
      <c r="F14" s="9"/>
      <c r="G14" s="9"/>
      <c r="H14" s="9"/>
    </row>
    <row r="15" spans="1:8" ht="20.100000000000001" customHeight="1">
      <c r="A15" s="10"/>
      <c r="B15" s="7"/>
      <c r="C15" s="8"/>
      <c r="D15" s="8"/>
      <c r="E15" s="19"/>
      <c r="F15" s="9"/>
      <c r="G15" s="9"/>
      <c r="H15" s="9"/>
    </row>
    <row r="16" spans="1:8" ht="20.100000000000001" customHeight="1">
      <c r="A16" s="10"/>
      <c r="B16" s="7"/>
      <c r="C16" s="8"/>
      <c r="D16" s="8"/>
      <c r="E16" s="19"/>
    </row>
    <row r="17" spans="1:8" ht="20.100000000000001" customHeight="1">
      <c r="A17" s="6" t="s">
        <v>26</v>
      </c>
      <c r="B17" s="7" t="s">
        <v>54</v>
      </c>
      <c r="C17" s="8" t="s">
        <v>75</v>
      </c>
      <c r="D17" s="8" t="s">
        <v>58</v>
      </c>
      <c r="E17" s="19">
        <f>6000*2</f>
        <v>12000</v>
      </c>
      <c r="F17" s="9"/>
      <c r="G17" s="9"/>
      <c r="H17" s="9"/>
    </row>
    <row r="18" spans="1:8" ht="20.100000000000001" customHeight="1">
      <c r="A18" s="10"/>
      <c r="B18" s="7"/>
      <c r="C18" s="8"/>
      <c r="D18" s="9"/>
      <c r="E18" s="19"/>
      <c r="F18" s="20"/>
      <c r="G18" s="20"/>
      <c r="H18" s="20"/>
    </row>
    <row r="19" spans="1:8" ht="20.100000000000001" customHeight="1">
      <c r="A19" s="2"/>
      <c r="B19" s="2"/>
      <c r="C19" s="2"/>
      <c r="D19" s="2"/>
      <c r="E19" s="12"/>
      <c r="F19" s="2"/>
      <c r="G19" s="2"/>
      <c r="H19" s="2"/>
    </row>
    <row r="20" spans="1:8" ht="32.1" customHeight="1">
      <c r="A20" s="6"/>
      <c r="B20" s="11"/>
      <c r="C20" s="9"/>
      <c r="D20" s="9"/>
      <c r="E20" s="19">
        <f>SUM(E3:E18)</f>
        <v>393840</v>
      </c>
      <c r="F20" s="9"/>
      <c r="G20" s="9"/>
      <c r="H20" s="9"/>
    </row>
    <row r="21" spans="1:8" ht="20.100000000000001" customHeight="1">
      <c r="A21" s="10"/>
      <c r="B21" s="7"/>
      <c r="C21" s="8"/>
      <c r="D21" s="8"/>
      <c r="E21" s="19"/>
      <c r="F21" s="9"/>
      <c r="G21" s="9"/>
      <c r="H21" s="9"/>
    </row>
    <row r="22" spans="1:8" ht="20.100000000000001" customHeight="1">
      <c r="A22" s="10"/>
      <c r="B22" s="22"/>
      <c r="C22" s="20"/>
      <c r="D22" s="20"/>
      <c r="E22" s="19"/>
      <c r="F22" s="9"/>
      <c r="G22" s="9"/>
      <c r="H22" s="9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6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C10" sqref="C10"/>
    </sheetView>
  </sheetViews>
  <sheetFormatPr defaultColWidth="16.33203125" defaultRowHeight="19.95" customHeight="1"/>
  <cols>
    <col min="1" max="1" width="35.6640625" style="1" customWidth="1"/>
    <col min="2" max="2" width="9.33203125" style="1" customWidth="1"/>
    <col min="3" max="14" width="6" style="1" bestFit="1" customWidth="1"/>
    <col min="15" max="17" width="7" style="1" bestFit="1" customWidth="1"/>
    <col min="18" max="18" width="8" style="1" bestFit="1" customWidth="1"/>
    <col min="19" max="19" width="7" style="1" bestFit="1" customWidth="1"/>
    <col min="20" max="20" width="16.33203125" style="1" customWidth="1"/>
    <col min="21" max="16384" width="16.33203125" style="1"/>
  </cols>
  <sheetData>
    <row r="1" spans="1:19" ht="27.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20.100000000000001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 t="s">
        <v>27</v>
      </c>
      <c r="O2" s="23"/>
      <c r="P2" s="23"/>
      <c r="Q2" s="23"/>
      <c r="R2" s="24" t="s">
        <v>28</v>
      </c>
      <c r="S2" s="24" t="s">
        <v>29</v>
      </c>
    </row>
    <row r="3" spans="1:19" ht="20.25" customHeight="1">
      <c r="A3" s="2"/>
      <c r="B3" s="12" t="s">
        <v>16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12" t="s">
        <v>30</v>
      </c>
      <c r="P3" s="12" t="s">
        <v>31</v>
      </c>
      <c r="Q3" s="12" t="s">
        <v>32</v>
      </c>
      <c r="R3" s="12" t="s">
        <v>33</v>
      </c>
      <c r="S3" s="2"/>
    </row>
    <row r="4" spans="1:19" ht="20.25" customHeight="1">
      <c r="A4" s="3" t="s">
        <v>34</v>
      </c>
      <c r="B4" s="17">
        <f t="shared" ref="B4:B6" si="0">SUM(C4:N4)</f>
        <v>21635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f>200+1440+19995</f>
        <v>21635</v>
      </c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20.100000000000001" customHeight="1">
      <c r="A5" s="6" t="s">
        <v>35</v>
      </c>
      <c r="B5" s="17">
        <f t="shared" si="0"/>
        <v>648340</v>
      </c>
      <c r="C5" s="26">
        <f>SUM(C7:C10)</f>
        <v>47820</v>
      </c>
      <c r="D5" s="26">
        <f t="shared" ref="D5:S5" si="1">SUM(D7:D10)</f>
        <v>37820</v>
      </c>
      <c r="E5" s="26">
        <f t="shared" si="1"/>
        <v>37820</v>
      </c>
      <c r="F5" s="26">
        <f t="shared" si="1"/>
        <v>70320</v>
      </c>
      <c r="G5" s="26">
        <f t="shared" si="1"/>
        <v>54820</v>
      </c>
      <c r="H5" s="26">
        <f t="shared" si="1"/>
        <v>64820</v>
      </c>
      <c r="I5" s="26">
        <f t="shared" si="1"/>
        <v>55820</v>
      </c>
      <c r="J5" s="26">
        <f t="shared" si="1"/>
        <v>55820</v>
      </c>
      <c r="K5" s="26">
        <f t="shared" si="1"/>
        <v>55820</v>
      </c>
      <c r="L5" s="26">
        <f t="shared" si="1"/>
        <v>55820</v>
      </c>
      <c r="M5" s="26">
        <f t="shared" si="1"/>
        <v>55820</v>
      </c>
      <c r="N5" s="26">
        <f t="shared" si="1"/>
        <v>55820</v>
      </c>
      <c r="O5" s="26">
        <f t="shared" si="1"/>
        <v>167460</v>
      </c>
      <c r="P5" s="26">
        <f t="shared" si="1"/>
        <v>167460</v>
      </c>
      <c r="Q5" s="26">
        <f t="shared" si="1"/>
        <v>167460</v>
      </c>
      <c r="R5" s="26">
        <f t="shared" si="1"/>
        <v>167460</v>
      </c>
      <c r="S5" s="26">
        <f t="shared" si="1"/>
        <v>669840</v>
      </c>
    </row>
    <row r="6" spans="1:19" ht="20.100000000000001" customHeight="1">
      <c r="A6" s="27"/>
      <c r="B6" s="1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20.100000000000001" customHeight="1">
      <c r="A7" s="27" t="s">
        <v>36</v>
      </c>
      <c r="B7" s="17">
        <f>SUM(C7:N7)</f>
        <v>480</v>
      </c>
      <c r="C7" s="9">
        <v>40</v>
      </c>
      <c r="D7" s="9">
        <v>40</v>
      </c>
      <c r="E7" s="9">
        <v>40</v>
      </c>
      <c r="F7" s="9">
        <v>40</v>
      </c>
      <c r="G7" s="9">
        <v>40</v>
      </c>
      <c r="H7" s="9">
        <v>40</v>
      </c>
      <c r="I7" s="9">
        <v>40</v>
      </c>
      <c r="J7" s="9">
        <v>40</v>
      </c>
      <c r="K7" s="9">
        <v>40</v>
      </c>
      <c r="L7" s="9">
        <v>40</v>
      </c>
      <c r="M7" s="9">
        <v>40</v>
      </c>
      <c r="N7" s="9">
        <v>40</v>
      </c>
      <c r="O7" s="9">
        <v>120</v>
      </c>
      <c r="P7" s="9">
        <v>120</v>
      </c>
      <c r="Q7" s="9">
        <v>120</v>
      </c>
      <c r="R7" s="9">
        <v>120</v>
      </c>
      <c r="S7" s="9">
        <v>480</v>
      </c>
    </row>
    <row r="8" spans="1:19" ht="20.100000000000001" customHeight="1">
      <c r="A8" s="27" t="s">
        <v>37</v>
      </c>
      <c r="B8" s="17">
        <f t="shared" ref="B8:B10" si="2">SUM(C8:N8)</f>
        <v>120860</v>
      </c>
      <c r="C8" s="9">
        <f>1640-360</f>
        <v>1280</v>
      </c>
      <c r="D8" s="9">
        <f t="shared" ref="D8:G8" si="3">1640-360</f>
        <v>1280</v>
      </c>
      <c r="E8" s="9">
        <f t="shared" si="3"/>
        <v>1280</v>
      </c>
      <c r="F8" s="9">
        <v>26780</v>
      </c>
      <c r="G8" s="9">
        <f>1280+10000</f>
        <v>11280</v>
      </c>
      <c r="H8" s="9">
        <f t="shared" ref="H8:N8" si="4">1280+10000</f>
        <v>11280</v>
      </c>
      <c r="I8" s="9">
        <f t="shared" si="4"/>
        <v>11280</v>
      </c>
      <c r="J8" s="9">
        <f t="shared" si="4"/>
        <v>11280</v>
      </c>
      <c r="K8" s="9">
        <f t="shared" si="4"/>
        <v>11280</v>
      </c>
      <c r="L8" s="9">
        <f t="shared" si="4"/>
        <v>11280</v>
      </c>
      <c r="M8" s="9">
        <f t="shared" si="4"/>
        <v>11280</v>
      </c>
      <c r="N8" s="9">
        <f t="shared" si="4"/>
        <v>11280</v>
      </c>
      <c r="O8" s="9">
        <f>3*$N8</f>
        <v>33840</v>
      </c>
      <c r="P8" s="9">
        <f t="shared" ref="P8:R8" si="5">3*$N8</f>
        <v>33840</v>
      </c>
      <c r="Q8" s="9">
        <f t="shared" si="5"/>
        <v>33840</v>
      </c>
      <c r="R8" s="9">
        <f t="shared" si="5"/>
        <v>33840</v>
      </c>
      <c r="S8" s="9">
        <f>4*R8</f>
        <v>135360</v>
      </c>
    </row>
    <row r="9" spans="1:19" ht="20.100000000000001" customHeight="1">
      <c r="A9" s="27" t="s">
        <v>38</v>
      </c>
      <c r="B9" s="17">
        <f t="shared" si="2"/>
        <v>501000</v>
      </c>
      <c r="C9" s="9">
        <v>36500</v>
      </c>
      <c r="D9" s="9">
        <v>36500</v>
      </c>
      <c r="E9" s="9">
        <v>36500</v>
      </c>
      <c r="F9" s="9">
        <f>36500+7000</f>
        <v>43500</v>
      </c>
      <c r="G9" s="9">
        <f t="shared" ref="G9:N9" si="6">36500+7000</f>
        <v>43500</v>
      </c>
      <c r="H9" s="9">
        <f t="shared" si="6"/>
        <v>43500</v>
      </c>
      <c r="I9" s="9">
        <f t="shared" si="6"/>
        <v>43500</v>
      </c>
      <c r="J9" s="9">
        <f t="shared" si="6"/>
        <v>43500</v>
      </c>
      <c r="K9" s="9">
        <f t="shared" si="6"/>
        <v>43500</v>
      </c>
      <c r="L9" s="9">
        <f t="shared" si="6"/>
        <v>43500</v>
      </c>
      <c r="M9" s="9">
        <f t="shared" si="6"/>
        <v>43500</v>
      </c>
      <c r="N9" s="9">
        <f t="shared" si="6"/>
        <v>43500</v>
      </c>
      <c r="O9" s="9">
        <f>3*N9</f>
        <v>130500</v>
      </c>
      <c r="P9" s="9">
        <f>3*$N9</f>
        <v>130500</v>
      </c>
      <c r="Q9" s="9">
        <f t="shared" ref="Q9:R9" si="7">3*$N9</f>
        <v>130500</v>
      </c>
      <c r="R9" s="9">
        <f t="shared" si="7"/>
        <v>130500</v>
      </c>
      <c r="S9" s="9">
        <f>4*R9</f>
        <v>522000</v>
      </c>
    </row>
    <row r="10" spans="1:19" ht="20.100000000000001" customHeight="1">
      <c r="A10" s="27" t="s">
        <v>39</v>
      </c>
      <c r="B10" s="17">
        <f t="shared" si="2"/>
        <v>26000</v>
      </c>
      <c r="C10" s="9">
        <v>10000</v>
      </c>
      <c r="D10" s="9">
        <v>0</v>
      </c>
      <c r="E10" s="9">
        <v>0</v>
      </c>
      <c r="F10" s="9">
        <v>0</v>
      </c>
      <c r="G10" s="9">
        <v>0</v>
      </c>
      <c r="H10" s="9">
        <v>10000</v>
      </c>
      <c r="I10" s="9">
        <v>1000</v>
      </c>
      <c r="J10" s="9">
        <v>1000</v>
      </c>
      <c r="K10" s="9">
        <v>1000</v>
      </c>
      <c r="L10" s="9">
        <v>1000</v>
      </c>
      <c r="M10" s="9">
        <v>1000</v>
      </c>
      <c r="N10" s="9">
        <v>1000</v>
      </c>
      <c r="O10" s="9">
        <v>3000</v>
      </c>
      <c r="P10" s="9">
        <v>3000</v>
      </c>
      <c r="Q10" s="9">
        <v>3000</v>
      </c>
      <c r="R10" s="9">
        <v>3000</v>
      </c>
      <c r="S10" s="9">
        <v>12000</v>
      </c>
    </row>
    <row r="11" spans="1:19" ht="20.100000000000001" customHeight="1">
      <c r="A11" s="6" t="s">
        <v>40</v>
      </c>
      <c r="B11" s="17">
        <f>B4-B5</f>
        <v>-626705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20.100000000000001" customHeight="1">
      <c r="A12" s="6" t="s">
        <v>41</v>
      </c>
      <c r="B12" s="28">
        <v>0.09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20.100000000000001" customHeight="1">
      <c r="A13" s="10"/>
      <c r="B13" s="17">
        <f>B12*B11</f>
        <v>-56403.45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20.100000000000001" customHeight="1">
      <c r="A14" s="6" t="s">
        <v>42</v>
      </c>
      <c r="B14" s="17">
        <f>B11-B13</f>
        <v>-570301.55000000005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20.100000000000001" customHeight="1">
      <c r="A15" s="6" t="s">
        <v>43</v>
      </c>
      <c r="B15" s="29">
        <f>B14/B4</f>
        <v>-26.360136353131502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9.95" customHeight="1">
      <c r="I16" s="1">
        <v>10000</v>
      </c>
      <c r="J16" s="1">
        <v>10500</v>
      </c>
      <c r="K16" s="1">
        <f>1.05*J16</f>
        <v>11025</v>
      </c>
      <c r="L16" s="1">
        <f>1.05*K16</f>
        <v>11576.25</v>
      </c>
      <c r="M16" s="1">
        <f>1.05*L16</f>
        <v>12155.0625</v>
      </c>
      <c r="N16" s="1">
        <f>1.05*M16</f>
        <v>12762.815625000001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2" sqref="B12"/>
    </sheetView>
  </sheetViews>
  <sheetFormatPr defaultColWidth="16.33203125" defaultRowHeight="19.95" customHeight="1"/>
  <cols>
    <col min="1" max="1" width="21.44140625" style="1" customWidth="1"/>
    <col min="2" max="6" width="16.33203125" style="1" customWidth="1"/>
    <col min="7" max="16384" width="16.33203125" style="1"/>
  </cols>
  <sheetData>
    <row r="1" spans="1:5" ht="27.6" customHeight="1">
      <c r="A1" s="36" t="s">
        <v>0</v>
      </c>
      <c r="B1" s="36"/>
      <c r="C1" s="36"/>
      <c r="D1" s="36"/>
      <c r="E1" s="36"/>
    </row>
    <row r="2" spans="1:5" ht="20.25" customHeight="1">
      <c r="A2" s="2"/>
      <c r="B2" s="2"/>
      <c r="C2" s="2"/>
      <c r="D2" s="2"/>
      <c r="E2" s="2"/>
    </row>
    <row r="3" spans="1:5" ht="20.25" customHeight="1">
      <c r="A3" s="3" t="s">
        <v>44</v>
      </c>
      <c r="B3" s="30">
        <v>5000</v>
      </c>
      <c r="C3" s="31">
        <f>85*B3</f>
        <v>425000</v>
      </c>
      <c r="D3" s="15"/>
      <c r="E3" s="15"/>
    </row>
    <row r="4" spans="1:5" ht="20.100000000000001" customHeight="1">
      <c r="A4" s="6" t="s">
        <v>35</v>
      </c>
      <c r="B4" s="11"/>
      <c r="C4" s="19">
        <f>MODEL!B5*2.5*0.9</f>
        <v>1458765</v>
      </c>
      <c r="D4" s="9"/>
      <c r="E4" s="9"/>
    </row>
    <row r="5" spans="1:5" ht="20.100000000000001" customHeight="1">
      <c r="A5" s="6" t="s">
        <v>45</v>
      </c>
      <c r="B5" s="11"/>
      <c r="C5" s="19">
        <f>C3-C4</f>
        <v>-1033765</v>
      </c>
      <c r="D5" s="9"/>
      <c r="E5" s="9"/>
    </row>
    <row r="6" spans="1:5" ht="20.100000000000001" customHeight="1">
      <c r="A6" s="6" t="s">
        <v>46</v>
      </c>
      <c r="B6" s="11"/>
      <c r="C6" s="32">
        <f>C5*15%</f>
        <v>-155064.75</v>
      </c>
      <c r="D6" s="9"/>
      <c r="E6" s="9"/>
    </row>
    <row r="7" spans="1:5" ht="20.100000000000001" customHeight="1">
      <c r="A7" s="6" t="s">
        <v>42</v>
      </c>
      <c r="B7" s="11"/>
      <c r="C7" s="32">
        <f>C5-C6</f>
        <v>-878700.25</v>
      </c>
      <c r="D7" s="9"/>
      <c r="E7" s="9"/>
    </row>
    <row r="8" spans="1:5" ht="20.100000000000001" customHeight="1">
      <c r="A8" s="6" t="s">
        <v>47</v>
      </c>
      <c r="B8" s="11"/>
      <c r="C8" s="20">
        <f>C7/C3</f>
        <v>-2.0675300000000001</v>
      </c>
      <c r="D8" s="9"/>
      <c r="E8" s="9"/>
    </row>
    <row r="9" spans="1:5" ht="20.100000000000001" customHeight="1">
      <c r="A9" s="10"/>
      <c r="B9" s="11"/>
      <c r="C9" s="9"/>
      <c r="D9" s="9"/>
      <c r="E9" s="9"/>
    </row>
    <row r="10" spans="1:5" ht="20.100000000000001" customHeight="1">
      <c r="A10" s="10"/>
      <c r="B10" s="11"/>
      <c r="C10" s="9"/>
      <c r="D10" s="9"/>
      <c r="E10" s="9"/>
    </row>
    <row r="11" spans="1:5" ht="20.100000000000001" customHeight="1">
      <c r="A11" s="10"/>
      <c r="B11" s="11"/>
      <c r="C11" s="9"/>
      <c r="D11" s="9"/>
      <c r="E11" s="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55852FED8E0E4AAB394732C6B5C0D5" ma:contentTypeVersion="0" ma:contentTypeDescription="Utwórz nowy dokument." ma:contentTypeScope="" ma:versionID="4adac2126c32d35ba29ff8c63472c31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D9BB6-234D-4BDC-8504-2E63401601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B6EA0E-F1D5-4C04-AF4A-8960C955FA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099CA1-F5E6-4346-861B-641331893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PRZYCHODY</vt:lpstr>
      <vt:lpstr>Założenia</vt:lpstr>
      <vt:lpstr>OPEX 0.5</vt:lpstr>
      <vt:lpstr>OPEX 1</vt:lpstr>
      <vt:lpstr>OPEX 2</vt:lpstr>
      <vt:lpstr>OPEX 3</vt:lpstr>
      <vt:lpstr>MODEL</vt:lpstr>
      <vt:lpstr>SKALOWANIE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Galski</cp:lastModifiedBy>
  <dcterms:modified xsi:type="dcterms:W3CDTF">2024-11-06T16:40:28Z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0x0101009155852FED8E0E4AAB394732C6B5C0D5</vt:lpwstr>
  </property>
</Properties>
</file>