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DonsLaptop\Desktop\BowenTaillard_BoardReplication\missing_SGA\"/>
    </mc:Choice>
  </mc:AlternateContent>
  <xr:revisionPtr revIDLastSave="0" documentId="13_ncr:1_{CD77E4E1-8E3C-4DE4-92E6-E09D7CD22411}" xr6:coauthVersionLast="47" xr6:coauthVersionMax="47" xr10:uidLastSave="{00000000-0000-0000-0000-000000000000}"/>
  <bookViews>
    <workbookView xWindow="-110" yWindow="-110" windowWidth="25820" windowHeight="15500" xr2:uid="{7AF75945-72F5-40C4-949C-0FC1F5DE82AB}"/>
  </bookViews>
  <sheets>
    <sheet name="firm_years_needing_sga_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503" i="1" l="1"/>
  <c r="P500" i="1"/>
  <c r="P497" i="1"/>
  <c r="P493" i="1"/>
  <c r="P488" i="1"/>
  <c r="P487" i="1"/>
  <c r="P451" i="1"/>
  <c r="P450" i="1"/>
  <c r="P449" i="1"/>
  <c r="P448" i="1"/>
  <c r="P447" i="1"/>
  <c r="P446" i="1"/>
  <c r="P423" i="1"/>
  <c r="P422" i="1"/>
  <c r="P421" i="1"/>
  <c r="P420" i="1"/>
  <c r="P419" i="1"/>
  <c r="P418" i="1"/>
  <c r="P417" i="1"/>
  <c r="P416" i="1"/>
  <c r="P415" i="1"/>
  <c r="P384" i="1"/>
  <c r="P383" i="1"/>
  <c r="P382" i="1"/>
  <c r="P381" i="1"/>
  <c r="P380" i="1"/>
  <c r="P379" i="1"/>
  <c r="P378" i="1"/>
  <c r="P377" i="1"/>
  <c r="P376" i="1"/>
  <c r="P375" i="1"/>
  <c r="P366" i="1"/>
  <c r="P365" i="1"/>
  <c r="P364" i="1"/>
  <c r="P363" i="1"/>
  <c r="P362" i="1"/>
  <c r="P361" i="1"/>
  <c r="P360" i="1"/>
  <c r="P359" i="1"/>
  <c r="P358" i="1"/>
  <c r="P357" i="1"/>
  <c r="P356" i="1"/>
  <c r="P355" i="1"/>
  <c r="P344" i="1"/>
  <c r="P338" i="1"/>
  <c r="P337" i="1"/>
  <c r="P336" i="1"/>
  <c r="P335" i="1"/>
  <c r="P334" i="1"/>
  <c r="P333" i="1"/>
  <c r="P332" i="1"/>
  <c r="P331" i="1"/>
  <c r="P330" i="1"/>
  <c r="P329" i="1"/>
  <c r="P327" i="1"/>
  <c r="P84" i="1"/>
  <c r="P61" i="1"/>
  <c r="P60" i="1"/>
  <c r="P55" i="1"/>
  <c r="P52" i="1"/>
  <c r="U160" i="1"/>
  <c r="U161" i="1"/>
  <c r="U162" i="1"/>
  <c r="U163" i="1"/>
  <c r="U159" i="1"/>
  <c r="U39" i="1"/>
  <c r="U40" i="1"/>
  <c r="U41" i="1"/>
  <c r="U38" i="1"/>
  <c r="U6" i="1"/>
  <c r="U7" i="1"/>
  <c r="U8" i="1"/>
  <c r="U9" i="1"/>
  <c r="U10" i="1"/>
  <c r="U11" i="1"/>
  <c r="T2" i="1"/>
  <c r="T3" i="1"/>
  <c r="T4" i="1"/>
  <c r="T5" i="1"/>
  <c r="T6" i="1"/>
  <c r="T7" i="1"/>
  <c r="T8" i="1"/>
  <c r="T9" i="1"/>
  <c r="T10" i="1"/>
  <c r="T11" i="1"/>
  <c r="T12" i="1"/>
  <c r="T13" i="1"/>
  <c r="T14" i="1"/>
  <c r="T15" i="1"/>
  <c r="T16" i="1"/>
  <c r="T17" i="1"/>
  <c r="T18" i="1"/>
  <c r="T19" i="1"/>
  <c r="T20" i="1"/>
  <c r="T21" i="1"/>
  <c r="T32" i="1"/>
  <c r="T33" i="1"/>
  <c r="T34" i="1"/>
  <c r="T35" i="1"/>
  <c r="T36" i="1"/>
  <c r="T37" i="1"/>
  <c r="T38" i="1"/>
  <c r="T39" i="1"/>
  <c r="T40" i="1"/>
  <c r="T41" i="1"/>
  <c r="T42" i="1"/>
  <c r="T43" i="1"/>
  <c r="T44" i="1"/>
  <c r="T45" i="1"/>
  <c r="T46" i="1"/>
  <c r="T47" i="1"/>
  <c r="T48" i="1"/>
  <c r="T49" i="1"/>
  <c r="T50" i="1"/>
  <c r="T51" i="1"/>
  <c r="T53" i="1"/>
  <c r="T54" i="1"/>
  <c r="T62" i="1"/>
  <c r="T63" i="1"/>
  <c r="T64" i="1"/>
  <c r="T65" i="1"/>
  <c r="T66" i="1"/>
  <c r="T67" i="1"/>
  <c r="T68" i="1"/>
  <c r="T69" i="1"/>
  <c r="T70" i="1"/>
  <c r="T71" i="1"/>
  <c r="T72" i="1"/>
  <c r="T73" i="1"/>
  <c r="T74" i="1"/>
  <c r="T75" i="1"/>
  <c r="T76" i="1"/>
  <c r="T77" i="1"/>
  <c r="T78" i="1"/>
  <c r="T79" i="1"/>
  <c r="T80" i="1"/>
  <c r="T81" i="1"/>
  <c r="T89" i="1"/>
  <c r="T90" i="1"/>
  <c r="T91" i="1"/>
  <c r="T92" i="1"/>
  <c r="T93" i="1"/>
  <c r="T94" i="1"/>
  <c r="T95" i="1"/>
  <c r="T96" i="1"/>
  <c r="T97" i="1"/>
  <c r="T98" i="1"/>
  <c r="U111" i="1"/>
  <c r="U112" i="1"/>
  <c r="U113" i="1"/>
  <c r="U114" i="1"/>
  <c r="U115" i="1"/>
  <c r="U151" i="1"/>
  <c r="U152" i="1"/>
  <c r="U153" i="1"/>
  <c r="U150" i="1"/>
  <c r="U140" i="1"/>
  <c r="U141" i="1"/>
  <c r="U142" i="1"/>
  <c r="U143" i="1"/>
  <c r="T106" i="1"/>
  <c r="T107" i="1"/>
  <c r="T108" i="1"/>
  <c r="T109" i="1"/>
  <c r="T110" i="1"/>
  <c r="T111" i="1"/>
  <c r="T112" i="1"/>
  <c r="T113" i="1"/>
  <c r="T114" i="1"/>
  <c r="T11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9" i="1"/>
  <c r="T160" i="1"/>
  <c r="T161" i="1"/>
  <c r="T162" i="1"/>
  <c r="T163" i="1"/>
  <c r="T164" i="1"/>
  <c r="T165" i="1"/>
  <c r="T166" i="1"/>
  <c r="T167" i="1"/>
  <c r="T168" i="1"/>
  <c r="T169" i="1"/>
  <c r="T170" i="1"/>
  <c r="T171" i="1"/>
  <c r="T172" i="1"/>
  <c r="T173" i="1"/>
  <c r="T174" i="1"/>
  <c r="T175" i="1"/>
  <c r="T180" i="1"/>
  <c r="T181" i="1"/>
  <c r="T182" i="1"/>
  <c r="T183" i="1"/>
  <c r="T184" i="1"/>
  <c r="T185" i="1"/>
  <c r="T186" i="1"/>
  <c r="T187" i="1"/>
  <c r="T188" i="1"/>
  <c r="T189" i="1"/>
  <c r="T176" i="1"/>
  <c r="T177" i="1"/>
  <c r="T178" i="1"/>
  <c r="T179" i="1"/>
  <c r="U176" i="1"/>
  <c r="U177" i="1"/>
  <c r="U178" i="1"/>
  <c r="U179" i="1"/>
  <c r="T200" i="1"/>
  <c r="T201" i="1"/>
  <c r="T202" i="1"/>
  <c r="T203" i="1"/>
  <c r="T204" i="1"/>
  <c r="T205" i="1"/>
  <c r="T206" i="1"/>
  <c r="T207" i="1"/>
  <c r="T208" i="1"/>
  <c r="T209" i="1"/>
  <c r="U205" i="1"/>
  <c r="U206" i="1"/>
  <c r="U207" i="1"/>
  <c r="U208" i="1"/>
  <c r="U209" i="1"/>
  <c r="T220" i="1"/>
  <c r="S220" i="1"/>
  <c r="U220" i="1" s="1"/>
  <c r="T229" i="1"/>
  <c r="T226" i="1"/>
  <c r="T227" i="1"/>
  <c r="T228" i="1"/>
  <c r="T225" i="1"/>
  <c r="U225" i="1"/>
  <c r="U226" i="1"/>
  <c r="U227" i="1"/>
  <c r="U228" i="1"/>
  <c r="U229" i="1"/>
  <c r="U272" i="1"/>
  <c r="U273" i="1"/>
  <c r="U274" i="1"/>
  <c r="U275" i="1"/>
  <c r="U276" i="1"/>
  <c r="U277" i="1"/>
  <c r="U287" i="1"/>
  <c r="U286" i="1"/>
  <c r="T286" i="1"/>
  <c r="T287" i="1"/>
  <c r="U299" i="1"/>
  <c r="U300" i="1"/>
  <c r="U301" i="1"/>
  <c r="U302" i="1"/>
  <c r="U303" i="1"/>
  <c r="U304" i="1"/>
  <c r="T298" i="1"/>
  <c r="T299" i="1"/>
  <c r="T300" i="1"/>
  <c r="T301" i="1"/>
  <c r="T302" i="1"/>
  <c r="T303" i="1"/>
  <c r="T304" i="1"/>
  <c r="T310" i="1"/>
  <c r="T311" i="1"/>
  <c r="T312" i="1"/>
  <c r="T313" i="1"/>
  <c r="T314" i="1"/>
  <c r="U310" i="1"/>
  <c r="U311" i="1"/>
  <c r="U312" i="1"/>
  <c r="U313" i="1"/>
  <c r="U314" i="1"/>
  <c r="T374" i="1"/>
  <c r="U519" i="1"/>
  <c r="U520" i="1"/>
  <c r="U521" i="1"/>
  <c r="U522" i="1"/>
  <c r="U518" i="1"/>
  <c r="T519" i="1"/>
  <c r="T520" i="1"/>
  <c r="T521" i="1"/>
  <c r="T522" i="1"/>
  <c r="T518" i="1"/>
  <c r="U478" i="1"/>
  <c r="U461" i="1"/>
  <c r="T434" i="1"/>
  <c r="T435" i="1"/>
  <c r="T436" i="1"/>
  <c r="T437" i="1"/>
  <c r="T438" i="1"/>
  <c r="T439" i="1"/>
  <c r="T440" i="1"/>
  <c r="T441" i="1"/>
  <c r="T442" i="1"/>
  <c r="T443" i="1"/>
  <c r="U433" i="1"/>
  <c r="U431" i="1"/>
  <c r="U432" i="1"/>
  <c r="U430" i="1"/>
  <c r="T424" i="1"/>
  <c r="T425" i="1"/>
  <c r="T426" i="1"/>
  <c r="T427" i="1"/>
  <c r="T428" i="1"/>
  <c r="T429" i="1"/>
  <c r="U350" i="1"/>
  <c r="U351" i="1"/>
  <c r="U352" i="1"/>
  <c r="U353" i="1"/>
  <c r="U354" i="1"/>
  <c r="U349" i="1"/>
  <c r="U360" i="1"/>
  <c r="U361" i="1"/>
  <c r="U362" i="1"/>
  <c r="U363" i="1"/>
  <c r="U364" i="1"/>
  <c r="U359" i="1"/>
  <c r="U340" i="1"/>
  <c r="U341" i="1"/>
  <c r="U342" i="1"/>
  <c r="U343" i="1"/>
  <c r="U344" i="1"/>
  <c r="U339" i="1"/>
  <c r="T325" i="1"/>
  <c r="T326" i="1"/>
  <c r="T328" i="1"/>
  <c r="T339" i="1"/>
  <c r="T340" i="1"/>
  <c r="T341" i="1"/>
  <c r="T342" i="1"/>
  <c r="T343" i="1"/>
  <c r="T349" i="1"/>
  <c r="T350" i="1"/>
  <c r="T351" i="1"/>
  <c r="T352" i="1"/>
  <c r="T353" i="1"/>
  <c r="T354" i="1"/>
  <c r="T369" i="1"/>
  <c r="T370" i="1"/>
  <c r="T371" i="1"/>
  <c r="T372" i="1"/>
  <c r="T373" i="1"/>
  <c r="T385" i="1"/>
  <c r="T391" i="1"/>
  <c r="T392" i="1"/>
  <c r="T393" i="1"/>
  <c r="T394" i="1"/>
  <c r="T400" i="1"/>
  <c r="T401" i="1"/>
  <c r="T402" i="1"/>
  <c r="T390" i="1"/>
  <c r="U390" i="1"/>
  <c r="U391" i="1"/>
  <c r="U392" i="1"/>
  <c r="U393" i="1"/>
  <c r="U394" i="1"/>
  <c r="U395" i="1"/>
  <c r="U383" i="1"/>
  <c r="R517" i="1"/>
  <c r="K517" i="1"/>
  <c r="L517" i="1" s="1"/>
  <c r="N454" i="1"/>
  <c r="N455" i="1"/>
  <c r="N456" i="1"/>
  <c r="N457" i="1"/>
  <c r="N458" i="1"/>
  <c r="N459" i="1"/>
  <c r="N460" i="1"/>
  <c r="N461" i="1"/>
  <c r="N462" i="1"/>
  <c r="N474" i="1"/>
  <c r="N475" i="1"/>
  <c r="N476" i="1"/>
  <c r="N483" i="1"/>
  <c r="N416" i="1"/>
  <c r="N417" i="1"/>
  <c r="N418" i="1"/>
  <c r="N419" i="1"/>
  <c r="N420" i="1"/>
  <c r="N421" i="1"/>
  <c r="N422" i="1"/>
  <c r="N423" i="1"/>
  <c r="N41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90" i="1"/>
  <c r="N391" i="1"/>
  <c r="N392" i="1"/>
  <c r="N393" i="1"/>
  <c r="N394" i="1"/>
  <c r="N395" i="1"/>
  <c r="N396" i="1"/>
  <c r="N397" i="1"/>
  <c r="N398" i="1"/>
  <c r="N399" i="1"/>
  <c r="N400" i="1"/>
  <c r="N401" i="1"/>
  <c r="N402" i="1"/>
  <c r="N325" i="1"/>
  <c r="N299" i="1"/>
  <c r="N300" i="1"/>
  <c r="N301" i="1"/>
  <c r="N302" i="1"/>
  <c r="N303" i="1"/>
  <c r="N304" i="1"/>
  <c r="N310" i="1"/>
  <c r="N311" i="1"/>
  <c r="N312" i="1"/>
  <c r="N313" i="1"/>
  <c r="N314" i="1"/>
  <c r="N298" i="1"/>
  <c r="N220" i="1"/>
  <c r="N222" i="1"/>
  <c r="N223" i="1"/>
  <c r="N224" i="1"/>
  <c r="N225" i="1"/>
  <c r="N226" i="1"/>
  <c r="N227" i="1"/>
  <c r="N228" i="1"/>
  <c r="N229" i="1"/>
  <c r="N200" i="1"/>
  <c r="N201" i="1"/>
  <c r="N202" i="1"/>
  <c r="N203" i="1"/>
  <c r="N204" i="1"/>
  <c r="N205" i="1"/>
  <c r="N206" i="1"/>
  <c r="N207" i="1"/>
  <c r="N208" i="1"/>
  <c r="N209" i="1"/>
  <c r="N164" i="1"/>
  <c r="N165" i="1"/>
  <c r="N166" i="1"/>
  <c r="N167" i="1"/>
  <c r="N168" i="1"/>
  <c r="N169" i="1"/>
  <c r="N159" i="1"/>
  <c r="N160" i="1"/>
  <c r="N161" i="1"/>
  <c r="N162" i="1"/>
  <c r="N163" i="1"/>
  <c r="N117" i="1"/>
  <c r="N118" i="1"/>
  <c r="N119" i="1"/>
  <c r="N120" i="1"/>
  <c r="N121" i="1"/>
  <c r="N122" i="1"/>
  <c r="N123" i="1"/>
  <c r="N124" i="1"/>
  <c r="N125" i="1"/>
  <c r="N116" i="1"/>
  <c r="N100" i="1"/>
  <c r="N101" i="1"/>
  <c r="N102" i="1"/>
  <c r="N103" i="1"/>
  <c r="N104" i="1"/>
  <c r="N105" i="1"/>
  <c r="N99" i="1"/>
  <c r="N87" i="1"/>
  <c r="N53" i="1"/>
  <c r="N54" i="1"/>
  <c r="N55" i="1"/>
  <c r="N52" i="1"/>
  <c r="L504" i="1"/>
  <c r="L505" i="1"/>
  <c r="L506" i="1"/>
  <c r="L507" i="1"/>
  <c r="L508" i="1"/>
  <c r="L509" i="1"/>
  <c r="L510" i="1"/>
  <c r="L511" i="1"/>
  <c r="L512" i="1"/>
  <c r="L513" i="1"/>
  <c r="L514" i="1"/>
  <c r="L515" i="1"/>
  <c r="L516" i="1"/>
  <c r="L518" i="1"/>
  <c r="L519" i="1"/>
  <c r="L520" i="1"/>
  <c r="L521" i="1"/>
  <c r="L522" i="1"/>
  <c r="L405" i="1"/>
  <c r="L406" i="1"/>
  <c r="L407" i="1"/>
  <c r="L408" i="1"/>
  <c r="L409" i="1"/>
  <c r="L410" i="1"/>
  <c r="L411" i="1"/>
  <c r="L412" i="1"/>
  <c r="L413" i="1"/>
  <c r="L414" i="1"/>
  <c r="L424" i="1"/>
  <c r="L425" i="1"/>
  <c r="L426" i="1"/>
  <c r="L427" i="1"/>
  <c r="L428" i="1"/>
  <c r="L429" i="1"/>
  <c r="L434" i="1"/>
  <c r="L435" i="1"/>
  <c r="L436" i="1"/>
  <c r="L437" i="1"/>
  <c r="L438" i="1"/>
  <c r="L439" i="1"/>
  <c r="L440" i="1"/>
  <c r="L441" i="1"/>
  <c r="L442" i="1"/>
  <c r="L443"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10" i="1"/>
  <c r="L311" i="1"/>
  <c r="L312" i="1"/>
  <c r="L313" i="1"/>
  <c r="L314" i="1"/>
  <c r="L315" i="1"/>
  <c r="L316" i="1"/>
  <c r="L317" i="1"/>
  <c r="L318" i="1"/>
  <c r="L319" i="1"/>
  <c r="L320" i="1"/>
  <c r="L321" i="1"/>
  <c r="L322" i="1"/>
  <c r="L323" i="1"/>
  <c r="L324" i="1"/>
  <c r="L325" i="1"/>
  <c r="L326" i="1"/>
  <c r="L328" i="1"/>
  <c r="L339" i="1"/>
  <c r="L340" i="1"/>
  <c r="L341" i="1"/>
  <c r="L342" i="1"/>
  <c r="L343" i="1"/>
  <c r="L349" i="1"/>
  <c r="L350" i="1"/>
  <c r="L351" i="1"/>
  <c r="L352" i="1"/>
  <c r="L353" i="1"/>
  <c r="L354" i="1"/>
  <c r="L369" i="1"/>
  <c r="L370" i="1"/>
  <c r="L371" i="1"/>
  <c r="L372" i="1"/>
  <c r="L373" i="1"/>
  <c r="L374" i="1"/>
  <c r="L385" i="1"/>
  <c r="L390" i="1"/>
  <c r="L391" i="1"/>
  <c r="L392" i="1"/>
  <c r="L393" i="1"/>
  <c r="L394" i="1"/>
  <c r="L400" i="1"/>
  <c r="L401" i="1"/>
  <c r="L402" i="1"/>
  <c r="L264" i="1"/>
  <c r="L265" i="1"/>
  <c r="L266" i="1"/>
  <c r="L267" i="1"/>
  <c r="L278" i="1"/>
  <c r="L279"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200" i="1"/>
  <c r="L201" i="1"/>
  <c r="L202" i="1"/>
  <c r="L203" i="1"/>
  <c r="L204" i="1"/>
  <c r="L205" i="1"/>
  <c r="L206" i="1"/>
  <c r="L207" i="1"/>
  <c r="L208" i="1"/>
  <c r="L209" i="1"/>
  <c r="L210" i="1"/>
  <c r="L211" i="1"/>
  <c r="L212" i="1"/>
  <c r="L213" i="1"/>
  <c r="L214" i="1"/>
  <c r="L215" i="1"/>
  <c r="L216" i="1"/>
  <c r="L217" i="1"/>
  <c r="L218" i="1"/>
  <c r="L219" i="1"/>
  <c r="L220"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106" i="1"/>
  <c r="L107" i="1"/>
  <c r="L108" i="1"/>
  <c r="L109" i="1"/>
  <c r="L110" i="1"/>
  <c r="L111" i="1"/>
  <c r="L112" i="1"/>
  <c r="L113" i="1"/>
  <c r="L114" i="1"/>
  <c r="L11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62" i="1"/>
  <c r="L63" i="1"/>
  <c r="L64" i="1"/>
  <c r="L65" i="1"/>
  <c r="L66" i="1"/>
  <c r="L67" i="1"/>
  <c r="L68" i="1"/>
  <c r="L69" i="1"/>
  <c r="L70" i="1"/>
  <c r="L71" i="1"/>
  <c r="L72" i="1"/>
  <c r="L73" i="1"/>
  <c r="L74" i="1"/>
  <c r="L75" i="1"/>
  <c r="L76" i="1"/>
  <c r="L77" i="1"/>
  <c r="L78" i="1"/>
  <c r="L79" i="1"/>
  <c r="L80" i="1"/>
  <c r="L81" i="1"/>
  <c r="L89" i="1"/>
  <c r="L90" i="1"/>
  <c r="L91" i="1"/>
  <c r="L92" i="1"/>
  <c r="L93" i="1"/>
  <c r="L94" i="1"/>
  <c r="L95" i="1"/>
  <c r="L96" i="1"/>
  <c r="L97" i="1"/>
  <c r="L98" i="1"/>
  <c r="L49" i="1"/>
  <c r="L50" i="1"/>
  <c r="L51" i="1"/>
  <c r="L53" i="1"/>
  <c r="L54" i="1"/>
  <c r="L33" i="1"/>
  <c r="L34" i="1"/>
  <c r="L35" i="1"/>
  <c r="L36" i="1"/>
  <c r="L37" i="1"/>
  <c r="L38" i="1"/>
  <c r="L39" i="1"/>
  <c r="L40" i="1"/>
  <c r="L41" i="1"/>
  <c r="L42" i="1"/>
  <c r="L43" i="1"/>
  <c r="L44" i="1"/>
  <c r="L45" i="1"/>
  <c r="L46" i="1"/>
  <c r="L47" i="1"/>
  <c r="L48" i="1"/>
  <c r="L3" i="1"/>
  <c r="L4" i="1"/>
  <c r="L5" i="1"/>
  <c r="L6" i="1"/>
  <c r="L7" i="1"/>
  <c r="L8" i="1"/>
  <c r="L9" i="1"/>
  <c r="L10" i="1"/>
  <c r="L11" i="1"/>
  <c r="L12" i="1"/>
  <c r="L13" i="1"/>
  <c r="L14" i="1"/>
  <c r="L15" i="1"/>
  <c r="L16" i="1"/>
  <c r="L17" i="1"/>
  <c r="L18" i="1"/>
  <c r="L19" i="1"/>
  <c r="L20" i="1"/>
  <c r="L21" i="1"/>
  <c r="L32" i="1"/>
  <c r="L2" i="1"/>
  <c r="M82" i="1"/>
  <c r="N82" i="1" s="1"/>
  <c r="K82" i="1"/>
  <c r="K83" i="1"/>
  <c r="K84" i="1"/>
  <c r="K85" i="1"/>
  <c r="K86" i="1"/>
  <c r="K87" i="1"/>
  <c r="L87" i="1" s="1"/>
  <c r="M88" i="1"/>
  <c r="N88" i="1" s="1"/>
  <c r="U88" i="1"/>
  <c r="K88" i="1"/>
  <c r="K99" i="1"/>
  <c r="T99" i="1" s="1"/>
  <c r="K100" i="1"/>
  <c r="L100" i="1" s="1"/>
  <c r="K101" i="1"/>
  <c r="T101" i="1" s="1"/>
  <c r="K102" i="1"/>
  <c r="T102" i="1" s="1"/>
  <c r="K103" i="1"/>
  <c r="T103" i="1" s="1"/>
  <c r="K104" i="1"/>
  <c r="L104" i="1" s="1"/>
  <c r="U105" i="1"/>
  <c r="K105" i="1"/>
  <c r="T105" i="1" s="1"/>
  <c r="K116" i="1"/>
  <c r="L116" i="1" s="1"/>
  <c r="K117" i="1"/>
  <c r="L117" i="1" s="1"/>
  <c r="K118" i="1"/>
  <c r="T118" i="1" s="1"/>
  <c r="K119" i="1"/>
  <c r="T119" i="1" s="1"/>
  <c r="K120" i="1"/>
  <c r="T120" i="1" s="1"/>
  <c r="K121" i="1"/>
  <c r="L121" i="1" s="1"/>
  <c r="K122" i="1"/>
  <c r="T122" i="1" s="1"/>
  <c r="K123" i="1"/>
  <c r="L123" i="1" s="1"/>
  <c r="K124" i="1"/>
  <c r="T124" i="1" s="1"/>
  <c r="K125" i="1"/>
  <c r="T125" i="1" s="1"/>
  <c r="U100" i="1"/>
  <c r="U101" i="1"/>
  <c r="U102" i="1"/>
  <c r="U103" i="1"/>
  <c r="U104" i="1"/>
  <c r="U82" i="1"/>
  <c r="U56" i="1"/>
  <c r="K22" i="1"/>
  <c r="K23" i="1"/>
  <c r="K24" i="1"/>
  <c r="K25" i="1"/>
  <c r="M26" i="1"/>
  <c r="N26" i="1" s="1"/>
  <c r="K26" i="1"/>
  <c r="K27" i="1"/>
  <c r="U57" i="1"/>
  <c r="U58" i="1"/>
  <c r="U59" i="1"/>
  <c r="U60" i="1"/>
  <c r="U83" i="1"/>
  <c r="U84" i="1"/>
  <c r="U85" i="1"/>
  <c r="U86" i="1"/>
  <c r="U87" i="1"/>
  <c r="K28" i="1"/>
  <c r="K29" i="1"/>
  <c r="M29" i="1"/>
  <c r="N29" i="1" s="1"/>
  <c r="K30" i="1"/>
  <c r="U30" i="1"/>
  <c r="M30" i="1"/>
  <c r="K31" i="1"/>
  <c r="U29" i="1"/>
  <c r="U31" i="1"/>
  <c r="K431" i="1"/>
  <c r="T431" i="1" s="1"/>
  <c r="K432" i="1"/>
  <c r="T432" i="1" s="1"/>
  <c r="K433" i="1"/>
  <c r="T433" i="1" s="1"/>
  <c r="K430" i="1"/>
  <c r="T430" i="1" s="1"/>
  <c r="M444" i="1"/>
  <c r="N444" i="1" s="1"/>
  <c r="K444" i="1"/>
  <c r="K445" i="1"/>
  <c r="L445" i="1" s="1"/>
  <c r="M445" i="1"/>
  <c r="N445" i="1" s="1"/>
  <c r="K446" i="1"/>
  <c r="O446" i="1"/>
  <c r="M446" i="1"/>
  <c r="N446" i="1" s="1"/>
  <c r="K447" i="1"/>
  <c r="O447" i="1"/>
  <c r="M447" i="1"/>
  <c r="N447" i="1" s="1"/>
  <c r="K448" i="1"/>
  <c r="U448" i="1"/>
  <c r="O448" i="1"/>
  <c r="M448" i="1"/>
  <c r="N448" i="1" s="1"/>
  <c r="O449" i="1"/>
  <c r="M449" i="1"/>
  <c r="N449" i="1" s="1"/>
  <c r="O451" i="1"/>
  <c r="O450" i="1"/>
  <c r="M450" i="1"/>
  <c r="O415" i="1"/>
  <c r="T415" i="1" s="1"/>
  <c r="O416" i="1"/>
  <c r="T416" i="1" s="1"/>
  <c r="O417" i="1"/>
  <c r="T417" i="1" s="1"/>
  <c r="O418" i="1"/>
  <c r="T418" i="1" s="1"/>
  <c r="O419" i="1"/>
  <c r="T419" i="1" s="1"/>
  <c r="O420" i="1"/>
  <c r="L420" i="1" s="1"/>
  <c r="O421" i="1"/>
  <c r="L421" i="1" s="1"/>
  <c r="O422" i="1"/>
  <c r="T422" i="1" s="1"/>
  <c r="O423" i="1"/>
  <c r="T423" i="1" s="1"/>
  <c r="M451" i="1"/>
  <c r="N451" i="1" s="1"/>
  <c r="K451" i="1"/>
  <c r="K452" i="1"/>
  <c r="K453" i="1"/>
  <c r="U453" i="1"/>
  <c r="U444" i="1"/>
  <c r="U445" i="1"/>
  <c r="U446" i="1"/>
  <c r="U447" i="1"/>
  <c r="U452" i="1"/>
  <c r="M452" i="1"/>
  <c r="N452" i="1" s="1"/>
  <c r="M453" i="1"/>
  <c r="N453" i="1" s="1"/>
  <c r="K454" i="1"/>
  <c r="T454" i="1" s="1"/>
  <c r="K455" i="1"/>
  <c r="T455" i="1" s="1"/>
  <c r="K456" i="1"/>
  <c r="T456" i="1" s="1"/>
  <c r="K458" i="1"/>
  <c r="T458" i="1" s="1"/>
  <c r="K457" i="1"/>
  <c r="T457" i="1" s="1"/>
  <c r="K459" i="1"/>
  <c r="T459" i="1" s="1"/>
  <c r="K463" i="1"/>
  <c r="K462" i="1"/>
  <c r="T462" i="1" s="1"/>
  <c r="K461" i="1"/>
  <c r="T461" i="1" s="1"/>
  <c r="K460" i="1"/>
  <c r="T460" i="1" s="1"/>
  <c r="U462" i="1"/>
  <c r="U463" i="1"/>
  <c r="M463" i="1"/>
  <c r="N463" i="1" s="1"/>
  <c r="O464" i="1"/>
  <c r="M464" i="1"/>
  <c r="N464" i="1" s="1"/>
  <c r="O465" i="1"/>
  <c r="M465" i="1"/>
  <c r="N465" i="1" s="1"/>
  <c r="O466" i="1"/>
  <c r="M466" i="1"/>
  <c r="N466" i="1" s="1"/>
  <c r="O468" i="1"/>
  <c r="O467" i="1"/>
  <c r="M467" i="1"/>
  <c r="N467" i="1" s="1"/>
  <c r="K467" i="1"/>
  <c r="M468" i="1"/>
  <c r="O469" i="1"/>
  <c r="M469" i="1"/>
  <c r="O470" i="1"/>
  <c r="K470" i="1"/>
  <c r="M470" i="1"/>
  <c r="N470" i="1" s="1"/>
  <c r="M471" i="1"/>
  <c r="N471" i="1" s="1"/>
  <c r="U464" i="1"/>
  <c r="U465" i="1"/>
  <c r="U466" i="1"/>
  <c r="U467" i="1"/>
  <c r="U471" i="1"/>
  <c r="U472" i="1"/>
  <c r="U473" i="1"/>
  <c r="M472" i="1"/>
  <c r="N472" i="1" s="1"/>
  <c r="M473" i="1"/>
  <c r="N473" i="1" s="1"/>
  <c r="K474" i="1"/>
  <c r="T474" i="1" s="1"/>
  <c r="K475" i="1"/>
  <c r="L475" i="1" s="1"/>
  <c r="K476" i="1"/>
  <c r="T476" i="1" s="1"/>
  <c r="K477" i="1"/>
  <c r="M477" i="1"/>
  <c r="N477" i="1" s="1"/>
  <c r="M478" i="1"/>
  <c r="N478" i="1" s="1"/>
  <c r="M479" i="1"/>
  <c r="T479" i="1" s="1"/>
  <c r="M480" i="1"/>
  <c r="T480" i="1" s="1"/>
  <c r="M481" i="1"/>
  <c r="T481" i="1" s="1"/>
  <c r="M482" i="1"/>
  <c r="T482" i="1" s="1"/>
  <c r="U479" i="1"/>
  <c r="U480" i="1"/>
  <c r="U481" i="1"/>
  <c r="U483" i="1"/>
  <c r="U482" i="1"/>
  <c r="K483" i="1"/>
  <c r="T483" i="1" s="1"/>
  <c r="K484" i="1"/>
  <c r="K485" i="1"/>
  <c r="K486" i="1"/>
  <c r="M484" i="1"/>
  <c r="N484" i="1" s="1"/>
  <c r="M485" i="1"/>
  <c r="N485" i="1" s="1"/>
  <c r="M486" i="1"/>
  <c r="N486" i="1" s="1"/>
  <c r="K487" i="1"/>
  <c r="O487" i="1"/>
  <c r="M487" i="1"/>
  <c r="N487" i="1" s="1"/>
  <c r="K488" i="1"/>
  <c r="O488" i="1"/>
  <c r="M488" i="1"/>
  <c r="N488" i="1" s="1"/>
  <c r="K489" i="1"/>
  <c r="M489" i="1"/>
  <c r="N489" i="1" s="1"/>
  <c r="K490" i="1"/>
  <c r="M490" i="1"/>
  <c r="N490" i="1" s="1"/>
  <c r="K491" i="1"/>
  <c r="M491" i="1"/>
  <c r="N491" i="1" s="1"/>
  <c r="U492" i="1"/>
  <c r="K492" i="1"/>
  <c r="M492" i="1"/>
  <c r="N492" i="1" s="1"/>
  <c r="K493" i="1"/>
  <c r="O493" i="1"/>
  <c r="M493" i="1"/>
  <c r="N493" i="1" s="1"/>
  <c r="K494" i="1"/>
  <c r="L494" i="1" s="1"/>
  <c r="M494" i="1"/>
  <c r="N494" i="1" s="1"/>
  <c r="M495" i="1"/>
  <c r="N495" i="1" s="1"/>
  <c r="K495" i="1"/>
  <c r="K496" i="1"/>
  <c r="M496" i="1"/>
  <c r="N496" i="1" s="1"/>
  <c r="O497" i="1"/>
  <c r="M497" i="1"/>
  <c r="N497" i="1" s="1"/>
  <c r="K497" i="1"/>
  <c r="M498" i="1"/>
  <c r="L498" i="1" s="1"/>
  <c r="M499" i="1"/>
  <c r="L499" i="1" s="1"/>
  <c r="M500" i="1"/>
  <c r="O500" i="1"/>
  <c r="M502" i="1"/>
  <c r="L502" i="1" s="1"/>
  <c r="M501" i="1"/>
  <c r="L501" i="1" s="1"/>
  <c r="U498" i="1"/>
  <c r="U499" i="1"/>
  <c r="U500" i="1"/>
  <c r="U501" i="1"/>
  <c r="U502" i="1"/>
  <c r="U503" i="1"/>
  <c r="O503" i="1"/>
  <c r="M503" i="1"/>
  <c r="N503" i="1" s="1"/>
  <c r="U396" i="1"/>
  <c r="U397" i="1"/>
  <c r="U398" i="1"/>
  <c r="U399" i="1"/>
  <c r="U400" i="1"/>
  <c r="U401" i="1"/>
  <c r="U402" i="1"/>
  <c r="U403" i="1"/>
  <c r="U404" i="1"/>
  <c r="K395" i="1"/>
  <c r="L395" i="1" s="1"/>
  <c r="K396" i="1"/>
  <c r="L396" i="1" s="1"/>
  <c r="K399" i="1"/>
  <c r="T399" i="1" s="1"/>
  <c r="K398" i="1"/>
  <c r="L398" i="1" s="1"/>
  <c r="K397" i="1"/>
  <c r="L397" i="1" s="1"/>
  <c r="M403" i="1"/>
  <c r="N403" i="1" s="1"/>
  <c r="M404" i="1"/>
  <c r="N404" i="1" s="1"/>
  <c r="K386" i="1"/>
  <c r="M386" i="1"/>
  <c r="N386" i="1" s="1"/>
  <c r="K387" i="1"/>
  <c r="M387" i="1"/>
  <c r="N387" i="1" s="1"/>
  <c r="M388" i="1"/>
  <c r="N388" i="1" s="1"/>
  <c r="K388" i="1"/>
  <c r="K389" i="1"/>
  <c r="M389" i="1"/>
  <c r="N389" i="1" s="1"/>
  <c r="O375" i="1"/>
  <c r="L375" i="1" s="1"/>
  <c r="O376" i="1"/>
  <c r="T376" i="1" s="1"/>
  <c r="O377" i="1"/>
  <c r="T377" i="1" s="1"/>
  <c r="O378" i="1"/>
  <c r="T378" i="1" s="1"/>
  <c r="O379" i="1"/>
  <c r="L379" i="1" s="1"/>
  <c r="O380" i="1"/>
  <c r="L380" i="1" s="1"/>
  <c r="O381" i="1"/>
  <c r="L381" i="1" s="1"/>
  <c r="O382" i="1"/>
  <c r="L382" i="1" s="1"/>
  <c r="O383" i="1"/>
  <c r="K383" i="1"/>
  <c r="L383" i="1" s="1"/>
  <c r="K384" i="1"/>
  <c r="T384" i="1" s="1"/>
  <c r="O384" i="1"/>
  <c r="U384" i="1"/>
  <c r="O365" i="1"/>
  <c r="L365" i="1" s="1"/>
  <c r="O366" i="1"/>
  <c r="L366" i="1" s="1"/>
  <c r="K367" i="1"/>
  <c r="T367" i="1" s="1"/>
  <c r="K368" i="1"/>
  <c r="T368" i="1" s="1"/>
  <c r="U369" i="1"/>
  <c r="U370" i="1"/>
  <c r="U371" i="1"/>
  <c r="U372" i="1"/>
  <c r="U373" i="1"/>
  <c r="U374" i="1"/>
  <c r="O355" i="1"/>
  <c r="L355" i="1" s="1"/>
  <c r="O356" i="1"/>
  <c r="L356" i="1" s="1"/>
  <c r="O357" i="1"/>
  <c r="L357" i="1" s="1"/>
  <c r="O358" i="1"/>
  <c r="L358" i="1" s="1"/>
  <c r="O359" i="1"/>
  <c r="K359" i="1"/>
  <c r="O360" i="1"/>
  <c r="K360" i="1"/>
  <c r="O361" i="1"/>
  <c r="T361" i="1" s="1"/>
  <c r="O362" i="1"/>
  <c r="L362" i="1" s="1"/>
  <c r="O363" i="1"/>
  <c r="L363" i="1" s="1"/>
  <c r="O364" i="1"/>
  <c r="L364" i="1" s="1"/>
  <c r="K345" i="1"/>
  <c r="T345" i="1" s="1"/>
  <c r="K346" i="1"/>
  <c r="T346" i="1" s="1"/>
  <c r="K347" i="1"/>
  <c r="L347" i="1" s="1"/>
  <c r="K348" i="1"/>
  <c r="L348" i="1" s="1"/>
  <c r="O335" i="1"/>
  <c r="L335" i="1" s="1"/>
  <c r="O336" i="1"/>
  <c r="T336" i="1" s="1"/>
  <c r="O337" i="1"/>
  <c r="T337" i="1" s="1"/>
  <c r="O338" i="1"/>
  <c r="T338" i="1" s="1"/>
  <c r="O344" i="1"/>
  <c r="T344" i="1" s="1"/>
  <c r="O327" i="1"/>
  <c r="T327" i="1" s="1"/>
  <c r="O329" i="1"/>
  <c r="T329" i="1" s="1"/>
  <c r="O330" i="1"/>
  <c r="T330" i="1" s="1"/>
  <c r="O331" i="1"/>
  <c r="L331" i="1" s="1"/>
  <c r="O332" i="1"/>
  <c r="L332" i="1" s="1"/>
  <c r="O333" i="1"/>
  <c r="L333" i="1" s="1"/>
  <c r="O334" i="1"/>
  <c r="L334" i="1" s="1"/>
  <c r="M305" i="1"/>
  <c r="L305" i="1" s="1"/>
  <c r="M306" i="1"/>
  <c r="L306" i="1" s="1"/>
  <c r="M307" i="1"/>
  <c r="T307" i="1" s="1"/>
  <c r="M308" i="1"/>
  <c r="T308" i="1" s="1"/>
  <c r="M309" i="1"/>
  <c r="T309" i="1" s="1"/>
  <c r="M277" i="1"/>
  <c r="N277" i="1" s="1"/>
  <c r="M276" i="1"/>
  <c r="T276" i="1" s="1"/>
  <c r="M275" i="1"/>
  <c r="N275" i="1" s="1"/>
  <c r="M274" i="1"/>
  <c r="N274" i="1" s="1"/>
  <c r="K274" i="1"/>
  <c r="M273" i="1"/>
  <c r="N273" i="1" s="1"/>
  <c r="K273" i="1"/>
  <c r="M272" i="1"/>
  <c r="T272" i="1" s="1"/>
  <c r="M268" i="1"/>
  <c r="N268" i="1" s="1"/>
  <c r="M269" i="1"/>
  <c r="L269" i="1" s="1"/>
  <c r="M270" i="1"/>
  <c r="L270" i="1" s="1"/>
  <c r="M271" i="1"/>
  <c r="N271" i="1" s="1"/>
  <c r="M221" i="1"/>
  <c r="K221" i="1" s="1"/>
  <c r="L221" i="1" s="1"/>
  <c r="K222" i="1"/>
  <c r="T222" i="1" s="1"/>
  <c r="K223" i="1"/>
  <c r="T223" i="1" s="1"/>
  <c r="K224" i="1"/>
  <c r="L224" i="1" s="1"/>
  <c r="M190" i="1"/>
  <c r="N190" i="1" s="1"/>
  <c r="M191" i="1"/>
  <c r="N191" i="1" s="1"/>
  <c r="M192" i="1"/>
  <c r="L192" i="1" s="1"/>
  <c r="M194" i="1"/>
  <c r="L194" i="1" s="1"/>
  <c r="M193" i="1"/>
  <c r="L193" i="1" s="1"/>
  <c r="M195" i="1"/>
  <c r="L195" i="1" s="1"/>
  <c r="M196" i="1"/>
  <c r="L196" i="1" s="1"/>
  <c r="M197" i="1"/>
  <c r="L197" i="1" s="1"/>
  <c r="M199" i="1"/>
  <c r="N199" i="1" s="1"/>
  <c r="M198" i="1"/>
  <c r="N198" i="1" s="1"/>
  <c r="M156" i="1"/>
  <c r="N156" i="1" s="1"/>
  <c r="M155" i="1"/>
  <c r="N155" i="1" s="1"/>
  <c r="M154" i="1"/>
  <c r="L154" i="1" s="1"/>
  <c r="M157" i="1"/>
  <c r="L157" i="1" s="1"/>
  <c r="M158" i="1"/>
  <c r="N158" i="1" s="1"/>
  <c r="I522" i="1"/>
  <c r="F522" i="1"/>
  <c r="I521" i="1"/>
  <c r="F521" i="1"/>
  <c r="G521" i="1" s="1"/>
  <c r="I520" i="1"/>
  <c r="F520" i="1"/>
  <c r="I519" i="1"/>
  <c r="F519" i="1"/>
  <c r="H519" i="1" s="1"/>
  <c r="I518" i="1"/>
  <c r="F518" i="1"/>
  <c r="I517" i="1"/>
  <c r="F517" i="1"/>
  <c r="H517" i="1" s="1"/>
  <c r="I516" i="1"/>
  <c r="F516" i="1"/>
  <c r="I515" i="1"/>
  <c r="F515" i="1"/>
  <c r="H515" i="1" s="1"/>
  <c r="I514" i="1"/>
  <c r="F514" i="1"/>
  <c r="I513" i="1"/>
  <c r="F513" i="1"/>
  <c r="H513" i="1" s="1"/>
  <c r="I512" i="1"/>
  <c r="F512" i="1"/>
  <c r="I511" i="1"/>
  <c r="F511" i="1"/>
  <c r="H511" i="1" s="1"/>
  <c r="I510" i="1"/>
  <c r="F510" i="1"/>
  <c r="I509" i="1"/>
  <c r="F509" i="1"/>
  <c r="H509" i="1" s="1"/>
  <c r="I508" i="1"/>
  <c r="F508" i="1"/>
  <c r="I507" i="1"/>
  <c r="F507" i="1"/>
  <c r="G507" i="1" s="1"/>
  <c r="I506" i="1"/>
  <c r="F506" i="1"/>
  <c r="I505" i="1"/>
  <c r="F505" i="1"/>
  <c r="H505" i="1" s="1"/>
  <c r="I504" i="1"/>
  <c r="F504" i="1"/>
  <c r="I503" i="1"/>
  <c r="F503" i="1"/>
  <c r="H503" i="1" s="1"/>
  <c r="I502" i="1"/>
  <c r="F502" i="1"/>
  <c r="I501" i="1"/>
  <c r="F501" i="1"/>
  <c r="H501" i="1" s="1"/>
  <c r="I500" i="1"/>
  <c r="F500" i="1"/>
  <c r="I499" i="1"/>
  <c r="F499" i="1"/>
  <c r="H499" i="1" s="1"/>
  <c r="I498" i="1"/>
  <c r="F498" i="1"/>
  <c r="I497" i="1"/>
  <c r="F497" i="1"/>
  <c r="H497" i="1" s="1"/>
  <c r="I496" i="1"/>
  <c r="F496" i="1"/>
  <c r="I495" i="1"/>
  <c r="F495" i="1"/>
  <c r="H495" i="1" s="1"/>
  <c r="I494" i="1"/>
  <c r="F494" i="1"/>
  <c r="I493" i="1"/>
  <c r="F493" i="1"/>
  <c r="H493" i="1" s="1"/>
  <c r="I492" i="1"/>
  <c r="F492" i="1"/>
  <c r="I491" i="1"/>
  <c r="F491" i="1"/>
  <c r="G491" i="1" s="1"/>
  <c r="I490" i="1"/>
  <c r="F490" i="1"/>
  <c r="I489" i="1"/>
  <c r="F489" i="1"/>
  <c r="H489" i="1" s="1"/>
  <c r="I488" i="1"/>
  <c r="F488" i="1"/>
  <c r="I487" i="1"/>
  <c r="F487" i="1"/>
  <c r="H487" i="1" s="1"/>
  <c r="I486" i="1"/>
  <c r="F486" i="1"/>
  <c r="I485" i="1"/>
  <c r="F485" i="1"/>
  <c r="H485" i="1" s="1"/>
  <c r="I484" i="1"/>
  <c r="F484" i="1"/>
  <c r="I483" i="1"/>
  <c r="F483" i="1"/>
  <c r="H483" i="1" s="1"/>
  <c r="I482" i="1"/>
  <c r="F482" i="1"/>
  <c r="I481" i="1"/>
  <c r="F481" i="1"/>
  <c r="H481" i="1" s="1"/>
  <c r="I480" i="1"/>
  <c r="F480" i="1"/>
  <c r="I479" i="1"/>
  <c r="F479" i="1"/>
  <c r="H479" i="1" s="1"/>
  <c r="I478" i="1"/>
  <c r="F478" i="1"/>
  <c r="I477" i="1"/>
  <c r="F477" i="1"/>
  <c r="H477" i="1" s="1"/>
  <c r="I476" i="1"/>
  <c r="F476" i="1"/>
  <c r="I475" i="1"/>
  <c r="F475" i="1"/>
  <c r="G475" i="1" s="1"/>
  <c r="I474" i="1"/>
  <c r="F474" i="1"/>
  <c r="I473" i="1"/>
  <c r="F473" i="1"/>
  <c r="H473" i="1" s="1"/>
  <c r="I472" i="1"/>
  <c r="F472" i="1"/>
  <c r="I471" i="1"/>
  <c r="F471" i="1"/>
  <c r="H471" i="1" s="1"/>
  <c r="I470" i="1"/>
  <c r="F470" i="1"/>
  <c r="I469" i="1"/>
  <c r="F469" i="1"/>
  <c r="H469" i="1" s="1"/>
  <c r="I468" i="1"/>
  <c r="F468" i="1"/>
  <c r="I467" i="1"/>
  <c r="F467" i="1"/>
  <c r="H467" i="1" s="1"/>
  <c r="I466" i="1"/>
  <c r="F466" i="1"/>
  <c r="I465" i="1"/>
  <c r="F465" i="1"/>
  <c r="H465" i="1" s="1"/>
  <c r="I464" i="1"/>
  <c r="F464" i="1"/>
  <c r="I463" i="1"/>
  <c r="F463" i="1"/>
  <c r="H463" i="1" s="1"/>
  <c r="I462" i="1"/>
  <c r="F462" i="1"/>
  <c r="I461" i="1"/>
  <c r="F461" i="1"/>
  <c r="H461" i="1" s="1"/>
  <c r="I460" i="1"/>
  <c r="F460" i="1"/>
  <c r="I459" i="1"/>
  <c r="F459" i="1"/>
  <c r="G459" i="1" s="1"/>
  <c r="I458" i="1"/>
  <c r="F458" i="1"/>
  <c r="I457" i="1"/>
  <c r="F457" i="1"/>
  <c r="H457" i="1" s="1"/>
  <c r="I456" i="1"/>
  <c r="F456" i="1"/>
  <c r="I455" i="1"/>
  <c r="F455" i="1"/>
  <c r="H455" i="1" s="1"/>
  <c r="I454" i="1"/>
  <c r="F454" i="1"/>
  <c r="I453" i="1"/>
  <c r="F453" i="1"/>
  <c r="H453" i="1" s="1"/>
  <c r="I452" i="1"/>
  <c r="F452" i="1"/>
  <c r="I451" i="1"/>
  <c r="F451" i="1"/>
  <c r="H451" i="1" s="1"/>
  <c r="I450" i="1"/>
  <c r="F450" i="1"/>
  <c r="I449" i="1"/>
  <c r="F449" i="1"/>
  <c r="H449" i="1" s="1"/>
  <c r="I448" i="1"/>
  <c r="F448" i="1"/>
  <c r="I447" i="1"/>
  <c r="F447" i="1"/>
  <c r="H447" i="1" s="1"/>
  <c r="I446" i="1"/>
  <c r="F446" i="1"/>
  <c r="I445" i="1"/>
  <c r="F445" i="1"/>
  <c r="H445" i="1" s="1"/>
  <c r="I444" i="1"/>
  <c r="F444" i="1"/>
  <c r="G444" i="1" s="1"/>
  <c r="I443" i="1"/>
  <c r="F443" i="1"/>
  <c r="G443" i="1" s="1"/>
  <c r="I442" i="1"/>
  <c r="F442" i="1"/>
  <c r="G442" i="1" s="1"/>
  <c r="I441" i="1"/>
  <c r="F441" i="1"/>
  <c r="G441" i="1" s="1"/>
  <c r="I440" i="1"/>
  <c r="F440" i="1"/>
  <c r="G440" i="1" s="1"/>
  <c r="I439" i="1"/>
  <c r="F439" i="1"/>
  <c r="H439" i="1" s="1"/>
  <c r="I438" i="1"/>
  <c r="F438" i="1"/>
  <c r="G438" i="1" s="1"/>
  <c r="I437" i="1"/>
  <c r="F437" i="1"/>
  <c r="H437" i="1" s="1"/>
  <c r="I436" i="1"/>
  <c r="F436" i="1"/>
  <c r="G436" i="1" s="1"/>
  <c r="I435" i="1"/>
  <c r="F435" i="1"/>
  <c r="I434" i="1"/>
  <c r="F434" i="1"/>
  <c r="I433" i="1"/>
  <c r="F433" i="1"/>
  <c r="H433" i="1" s="1"/>
  <c r="I432" i="1"/>
  <c r="F432" i="1"/>
  <c r="G432" i="1" s="1"/>
  <c r="I431" i="1"/>
  <c r="F431" i="1"/>
  <c r="H431" i="1" s="1"/>
  <c r="I430" i="1"/>
  <c r="F430" i="1"/>
  <c r="G430" i="1" s="1"/>
  <c r="I429" i="1"/>
  <c r="F429" i="1"/>
  <c r="H429" i="1" s="1"/>
  <c r="I428" i="1"/>
  <c r="F428" i="1"/>
  <c r="I427" i="1"/>
  <c r="F427" i="1"/>
  <c r="H427" i="1" s="1"/>
  <c r="I426" i="1"/>
  <c r="F426" i="1"/>
  <c r="G426" i="1" s="1"/>
  <c r="I425" i="1"/>
  <c r="F425" i="1"/>
  <c r="G425" i="1" s="1"/>
  <c r="I424" i="1"/>
  <c r="F424" i="1"/>
  <c r="G424" i="1" s="1"/>
  <c r="I423" i="1"/>
  <c r="F423" i="1"/>
  <c r="H423" i="1" s="1"/>
  <c r="I422" i="1"/>
  <c r="F422" i="1"/>
  <c r="G422" i="1" s="1"/>
  <c r="I421" i="1"/>
  <c r="F421" i="1"/>
  <c r="H421" i="1" s="1"/>
  <c r="I420" i="1"/>
  <c r="F420" i="1"/>
  <c r="G420" i="1" s="1"/>
  <c r="I419" i="1"/>
  <c r="F419" i="1"/>
  <c r="H419" i="1" s="1"/>
  <c r="I418" i="1"/>
  <c r="F418" i="1"/>
  <c r="I417" i="1"/>
  <c r="F417" i="1"/>
  <c r="I416" i="1"/>
  <c r="F416" i="1"/>
  <c r="G416" i="1" s="1"/>
  <c r="I415" i="1"/>
  <c r="F415" i="1"/>
  <c r="H415" i="1" s="1"/>
  <c r="I414" i="1"/>
  <c r="F414" i="1"/>
  <c r="I413" i="1"/>
  <c r="F413" i="1"/>
  <c r="H413" i="1" s="1"/>
  <c r="I412" i="1"/>
  <c r="F412" i="1"/>
  <c r="G412" i="1" s="1"/>
  <c r="I411" i="1"/>
  <c r="F411" i="1"/>
  <c r="H411" i="1" s="1"/>
  <c r="I410" i="1"/>
  <c r="F410" i="1"/>
  <c r="I409" i="1"/>
  <c r="F409" i="1"/>
  <c r="H409" i="1" s="1"/>
  <c r="I408" i="1"/>
  <c r="F408" i="1"/>
  <c r="G408" i="1" s="1"/>
  <c r="I407" i="1"/>
  <c r="F407" i="1"/>
  <c r="H407" i="1" s="1"/>
  <c r="I406" i="1"/>
  <c r="F406" i="1"/>
  <c r="G406" i="1" s="1"/>
  <c r="I405" i="1"/>
  <c r="F405" i="1"/>
  <c r="H405" i="1" s="1"/>
  <c r="I404" i="1"/>
  <c r="F404" i="1"/>
  <c r="G404" i="1" s="1"/>
  <c r="I403" i="1"/>
  <c r="F403" i="1"/>
  <c r="H403" i="1" s="1"/>
  <c r="I402" i="1"/>
  <c r="F402" i="1"/>
  <c r="I401" i="1"/>
  <c r="F401" i="1"/>
  <c r="H401" i="1" s="1"/>
  <c r="I400" i="1"/>
  <c r="F400" i="1"/>
  <c r="G400" i="1" s="1"/>
  <c r="I399" i="1"/>
  <c r="F399" i="1"/>
  <c r="I398" i="1"/>
  <c r="F398" i="1"/>
  <c r="G398" i="1" s="1"/>
  <c r="I397" i="1"/>
  <c r="F397" i="1"/>
  <c r="H397" i="1" s="1"/>
  <c r="I396" i="1"/>
  <c r="F396" i="1"/>
  <c r="G396" i="1" s="1"/>
  <c r="I395" i="1"/>
  <c r="F395" i="1"/>
  <c r="G395" i="1" s="1"/>
  <c r="I394" i="1"/>
  <c r="F394" i="1"/>
  <c r="G394" i="1" s="1"/>
  <c r="I393" i="1"/>
  <c r="F393" i="1"/>
  <c r="H393" i="1" s="1"/>
  <c r="I392" i="1"/>
  <c r="F392" i="1"/>
  <c r="I391" i="1"/>
  <c r="F391" i="1"/>
  <c r="H391" i="1" s="1"/>
  <c r="I390" i="1"/>
  <c r="F390" i="1"/>
  <c r="G390" i="1" s="1"/>
  <c r="I389" i="1"/>
  <c r="F389" i="1"/>
  <c r="G389" i="1" s="1"/>
  <c r="I388" i="1"/>
  <c r="F388" i="1"/>
  <c r="G388" i="1" s="1"/>
  <c r="I387" i="1"/>
  <c r="F387" i="1"/>
  <c r="H387" i="1" s="1"/>
  <c r="I386" i="1"/>
  <c r="F386" i="1"/>
  <c r="G386" i="1" s="1"/>
  <c r="I385" i="1"/>
  <c r="F385" i="1"/>
  <c r="H385" i="1" s="1"/>
  <c r="I384" i="1"/>
  <c r="F384" i="1"/>
  <c r="G384" i="1" s="1"/>
  <c r="I383" i="1"/>
  <c r="F383" i="1"/>
  <c r="G383" i="1" s="1"/>
  <c r="I382" i="1"/>
  <c r="F382" i="1"/>
  <c r="I381" i="1"/>
  <c r="F381" i="1"/>
  <c r="G381" i="1" s="1"/>
  <c r="I380" i="1"/>
  <c r="F380" i="1"/>
  <c r="G380" i="1" s="1"/>
  <c r="I379" i="1"/>
  <c r="F379" i="1"/>
  <c r="G379" i="1" s="1"/>
  <c r="I378" i="1"/>
  <c r="F378" i="1"/>
  <c r="G378" i="1" s="1"/>
  <c r="I377" i="1"/>
  <c r="F377" i="1"/>
  <c r="G377" i="1" s="1"/>
  <c r="I376" i="1"/>
  <c r="F376" i="1"/>
  <c r="I375" i="1"/>
  <c r="F375" i="1"/>
  <c r="I374" i="1"/>
  <c r="F374" i="1"/>
  <c r="G374" i="1" s="1"/>
  <c r="I373" i="1"/>
  <c r="F373" i="1"/>
  <c r="H373" i="1" s="1"/>
  <c r="I372" i="1"/>
  <c r="F372" i="1"/>
  <c r="G372" i="1" s="1"/>
  <c r="I371" i="1"/>
  <c r="F371" i="1"/>
  <c r="H371" i="1" s="1"/>
  <c r="I370" i="1"/>
  <c r="F370" i="1"/>
  <c r="G370" i="1" s="1"/>
  <c r="I369" i="1"/>
  <c r="F369" i="1"/>
  <c r="H369" i="1" s="1"/>
  <c r="I368" i="1"/>
  <c r="F368" i="1"/>
  <c r="G368" i="1" s="1"/>
  <c r="I367" i="1"/>
  <c r="F367" i="1"/>
  <c r="G367" i="1" s="1"/>
  <c r="I366" i="1"/>
  <c r="F366" i="1"/>
  <c r="G366" i="1" s="1"/>
  <c r="I365" i="1"/>
  <c r="F365" i="1"/>
  <c r="H365" i="1" s="1"/>
  <c r="I364" i="1"/>
  <c r="F364" i="1"/>
  <c r="G364" i="1" s="1"/>
  <c r="I363" i="1"/>
  <c r="F363" i="1"/>
  <c r="I362" i="1"/>
  <c r="F362" i="1"/>
  <c r="G362" i="1" s="1"/>
  <c r="I361" i="1"/>
  <c r="F361" i="1"/>
  <c r="H361" i="1" s="1"/>
  <c r="I360" i="1"/>
  <c r="F360" i="1"/>
  <c r="I359" i="1"/>
  <c r="F359" i="1"/>
  <c r="H359" i="1" s="1"/>
  <c r="I358" i="1"/>
  <c r="F358" i="1"/>
  <c r="G358" i="1" s="1"/>
  <c r="I357" i="1"/>
  <c r="F357" i="1"/>
  <c r="G357" i="1" s="1"/>
  <c r="I356" i="1"/>
  <c r="F356" i="1"/>
  <c r="G356" i="1" s="1"/>
  <c r="I355" i="1"/>
  <c r="F355" i="1"/>
  <c r="H355" i="1" s="1"/>
  <c r="I354" i="1"/>
  <c r="F354" i="1"/>
  <c r="G354" i="1" s="1"/>
  <c r="I353" i="1"/>
  <c r="F353" i="1"/>
  <c r="H353" i="1" s="1"/>
  <c r="I352" i="1"/>
  <c r="F352" i="1"/>
  <c r="H352" i="1" s="1"/>
  <c r="I351" i="1"/>
  <c r="F351" i="1"/>
  <c r="I350" i="1"/>
  <c r="F350" i="1"/>
  <c r="G350" i="1" s="1"/>
  <c r="I349" i="1"/>
  <c r="F349" i="1"/>
  <c r="H349" i="1" s="1"/>
  <c r="I348" i="1"/>
  <c r="F348" i="1"/>
  <c r="H348" i="1" s="1"/>
  <c r="I347" i="1"/>
  <c r="F347" i="1"/>
  <c r="H347" i="1" s="1"/>
  <c r="I346" i="1"/>
  <c r="F346" i="1"/>
  <c r="G346" i="1" s="1"/>
  <c r="I345" i="1"/>
  <c r="F345" i="1"/>
  <c r="H345" i="1" s="1"/>
  <c r="I344" i="1"/>
  <c r="F344" i="1"/>
  <c r="G344" i="1" s="1"/>
  <c r="I343" i="1"/>
  <c r="F343" i="1"/>
  <c r="H343" i="1" s="1"/>
  <c r="I342" i="1"/>
  <c r="F342" i="1"/>
  <c r="I341" i="1"/>
  <c r="F341" i="1"/>
  <c r="H341" i="1" s="1"/>
  <c r="I340" i="1"/>
  <c r="F340" i="1"/>
  <c r="H340" i="1" s="1"/>
  <c r="I339" i="1"/>
  <c r="F339" i="1"/>
  <c r="H339" i="1" s="1"/>
  <c r="I338" i="1"/>
  <c r="F338" i="1"/>
  <c r="H338" i="1" s="1"/>
  <c r="I337" i="1"/>
  <c r="F337" i="1"/>
  <c r="H337" i="1" s="1"/>
  <c r="I336" i="1"/>
  <c r="F336" i="1"/>
  <c r="H336" i="1" s="1"/>
  <c r="I335" i="1"/>
  <c r="F335" i="1"/>
  <c r="I334" i="1"/>
  <c r="F334" i="1"/>
  <c r="G334" i="1" s="1"/>
  <c r="I333" i="1"/>
  <c r="F333" i="1"/>
  <c r="H333" i="1" s="1"/>
  <c r="I332" i="1"/>
  <c r="F332" i="1"/>
  <c r="H332" i="1" s="1"/>
  <c r="I331" i="1"/>
  <c r="F331" i="1"/>
  <c r="H331" i="1" s="1"/>
  <c r="I330" i="1"/>
  <c r="F330" i="1"/>
  <c r="G330" i="1" s="1"/>
  <c r="I329" i="1"/>
  <c r="F329" i="1"/>
  <c r="H329" i="1" s="1"/>
  <c r="I328" i="1"/>
  <c r="F328" i="1"/>
  <c r="H328" i="1" s="1"/>
  <c r="I327" i="1"/>
  <c r="F327" i="1"/>
  <c r="H327" i="1" s="1"/>
  <c r="I326" i="1"/>
  <c r="F326" i="1"/>
  <c r="I325" i="1"/>
  <c r="F325" i="1"/>
  <c r="H325" i="1" s="1"/>
  <c r="I324" i="1"/>
  <c r="F324" i="1"/>
  <c r="H324" i="1" s="1"/>
  <c r="I323" i="1"/>
  <c r="F323" i="1"/>
  <c r="H323" i="1" s="1"/>
  <c r="I322" i="1"/>
  <c r="F322" i="1"/>
  <c r="H322" i="1" s="1"/>
  <c r="I321" i="1"/>
  <c r="F321" i="1"/>
  <c r="H321" i="1" s="1"/>
  <c r="I320" i="1"/>
  <c r="F320" i="1"/>
  <c r="H320" i="1" s="1"/>
  <c r="I319" i="1"/>
  <c r="F319" i="1"/>
  <c r="I318" i="1"/>
  <c r="F318" i="1"/>
  <c r="H318" i="1" s="1"/>
  <c r="I317" i="1"/>
  <c r="F317" i="1"/>
  <c r="H317" i="1" s="1"/>
  <c r="I316" i="1"/>
  <c r="F316" i="1"/>
  <c r="H316" i="1" s="1"/>
  <c r="I315" i="1"/>
  <c r="F315" i="1"/>
  <c r="H315" i="1" s="1"/>
  <c r="I314" i="1"/>
  <c r="F314" i="1"/>
  <c r="G314" i="1" s="1"/>
  <c r="I313" i="1"/>
  <c r="F313" i="1"/>
  <c r="H313" i="1" s="1"/>
  <c r="I312" i="1"/>
  <c r="F312" i="1"/>
  <c r="H312" i="1" s="1"/>
  <c r="I311" i="1"/>
  <c r="F311" i="1"/>
  <c r="H311" i="1" s="1"/>
  <c r="I310" i="1"/>
  <c r="F310" i="1"/>
  <c r="G310" i="1" s="1"/>
  <c r="I309" i="1"/>
  <c r="F309" i="1"/>
  <c r="H309" i="1" s="1"/>
  <c r="I308" i="1"/>
  <c r="F308" i="1"/>
  <c r="H308" i="1" s="1"/>
  <c r="I307" i="1"/>
  <c r="F307" i="1"/>
  <c r="H307" i="1" s="1"/>
  <c r="I306" i="1"/>
  <c r="F306" i="1"/>
  <c r="I305" i="1"/>
  <c r="F305" i="1"/>
  <c r="H305" i="1" s="1"/>
  <c r="I304" i="1"/>
  <c r="F304" i="1"/>
  <c r="H304" i="1" s="1"/>
  <c r="I303" i="1"/>
  <c r="F303" i="1"/>
  <c r="I302" i="1"/>
  <c r="F302" i="1"/>
  <c r="H302" i="1" s="1"/>
  <c r="I301" i="1"/>
  <c r="F301" i="1"/>
  <c r="H301" i="1" s="1"/>
  <c r="I300" i="1"/>
  <c r="F300" i="1"/>
  <c r="H300" i="1" s="1"/>
  <c r="I299" i="1"/>
  <c r="F299" i="1"/>
  <c r="I298" i="1"/>
  <c r="F298" i="1"/>
  <c r="G298" i="1" s="1"/>
  <c r="I297" i="1"/>
  <c r="F297" i="1"/>
  <c r="H297" i="1" s="1"/>
  <c r="I296" i="1"/>
  <c r="F296" i="1"/>
  <c r="H296" i="1" s="1"/>
  <c r="I295" i="1"/>
  <c r="F295" i="1"/>
  <c r="H295" i="1" s="1"/>
  <c r="I294" i="1"/>
  <c r="F294" i="1"/>
  <c r="G294" i="1" s="1"/>
  <c r="I293" i="1"/>
  <c r="F293" i="1"/>
  <c r="H293" i="1" s="1"/>
  <c r="I292" i="1"/>
  <c r="F292" i="1"/>
  <c r="H292" i="1" s="1"/>
  <c r="I291" i="1"/>
  <c r="F291" i="1"/>
  <c r="H291" i="1" s="1"/>
  <c r="I290" i="1"/>
  <c r="F290" i="1"/>
  <c r="I289" i="1"/>
  <c r="F289" i="1"/>
  <c r="H289" i="1" s="1"/>
  <c r="I288" i="1"/>
  <c r="F288" i="1"/>
  <c r="H288" i="1" s="1"/>
  <c r="I287" i="1"/>
  <c r="F287" i="1"/>
  <c r="I286" i="1"/>
  <c r="F286" i="1"/>
  <c r="H286" i="1" s="1"/>
  <c r="I285" i="1"/>
  <c r="F285" i="1"/>
  <c r="H285" i="1" s="1"/>
  <c r="I284" i="1"/>
  <c r="F284" i="1"/>
  <c r="G284" i="1" s="1"/>
  <c r="I283" i="1"/>
  <c r="F283" i="1"/>
  <c r="I282" i="1"/>
  <c r="F282" i="1"/>
  <c r="G282" i="1" s="1"/>
  <c r="I281" i="1"/>
  <c r="F281" i="1"/>
  <c r="H281" i="1" s="1"/>
  <c r="I280" i="1"/>
  <c r="F280" i="1"/>
  <c r="H280" i="1" s="1"/>
  <c r="I279" i="1"/>
  <c r="F279" i="1"/>
  <c r="H279" i="1" s="1"/>
  <c r="I278" i="1"/>
  <c r="F278" i="1"/>
  <c r="G278" i="1" s="1"/>
  <c r="I277" i="1"/>
  <c r="F277" i="1"/>
  <c r="H277" i="1" s="1"/>
  <c r="I276" i="1"/>
  <c r="F276" i="1"/>
  <c r="H276" i="1" s="1"/>
  <c r="I275" i="1"/>
  <c r="F275" i="1"/>
  <c r="H275" i="1" s="1"/>
  <c r="I274" i="1"/>
  <c r="F274" i="1"/>
  <c r="I273" i="1"/>
  <c r="F273" i="1"/>
  <c r="H273" i="1" s="1"/>
  <c r="I272" i="1"/>
  <c r="F272" i="1"/>
  <c r="H272" i="1" s="1"/>
  <c r="I271" i="1"/>
  <c r="F271" i="1"/>
  <c r="I270" i="1"/>
  <c r="F270" i="1"/>
  <c r="H270" i="1" s="1"/>
  <c r="I269" i="1"/>
  <c r="F269" i="1"/>
  <c r="H269" i="1" s="1"/>
  <c r="I268" i="1"/>
  <c r="F268" i="1"/>
  <c r="H268" i="1" s="1"/>
  <c r="I267" i="1"/>
  <c r="F267" i="1"/>
  <c r="I266" i="1"/>
  <c r="F266" i="1"/>
  <c r="G266" i="1" s="1"/>
  <c r="I265" i="1"/>
  <c r="F265" i="1"/>
  <c r="H265" i="1" s="1"/>
  <c r="I264" i="1"/>
  <c r="F264" i="1"/>
  <c r="G264" i="1" s="1"/>
  <c r="I263" i="1"/>
  <c r="F263" i="1"/>
  <c r="H263" i="1" s="1"/>
  <c r="I262" i="1"/>
  <c r="F262" i="1"/>
  <c r="G262" i="1" s="1"/>
  <c r="I261" i="1"/>
  <c r="F261" i="1"/>
  <c r="H261" i="1" s="1"/>
  <c r="I260" i="1"/>
  <c r="F260" i="1"/>
  <c r="H260" i="1" s="1"/>
  <c r="I259" i="1"/>
  <c r="F259" i="1"/>
  <c r="H259" i="1" s="1"/>
  <c r="I258" i="1"/>
  <c r="F258" i="1"/>
  <c r="I257" i="1"/>
  <c r="F257" i="1"/>
  <c r="H257" i="1" s="1"/>
  <c r="I256" i="1"/>
  <c r="F256" i="1"/>
  <c r="H256" i="1" s="1"/>
  <c r="I255" i="1"/>
  <c r="F255" i="1"/>
  <c r="I254" i="1"/>
  <c r="F254" i="1"/>
  <c r="H254" i="1" s="1"/>
  <c r="I253" i="1"/>
  <c r="F253" i="1"/>
  <c r="H253" i="1" s="1"/>
  <c r="I252" i="1"/>
  <c r="F252" i="1"/>
  <c r="H252" i="1" s="1"/>
  <c r="I251" i="1"/>
  <c r="F251" i="1"/>
  <c r="I250" i="1"/>
  <c r="F250" i="1"/>
  <c r="G250" i="1" s="1"/>
  <c r="I249" i="1"/>
  <c r="F249" i="1"/>
  <c r="H249" i="1" s="1"/>
  <c r="I248" i="1"/>
  <c r="F248" i="1"/>
  <c r="H248" i="1" s="1"/>
  <c r="I247" i="1"/>
  <c r="F247" i="1"/>
  <c r="I246" i="1"/>
  <c r="F246" i="1"/>
  <c r="G246" i="1" s="1"/>
  <c r="I245" i="1"/>
  <c r="F245" i="1"/>
  <c r="H245" i="1" s="1"/>
  <c r="I244" i="1"/>
  <c r="F244" i="1"/>
  <c r="H244" i="1" s="1"/>
  <c r="I243" i="1"/>
  <c r="F243" i="1"/>
  <c r="I242" i="1"/>
  <c r="F242" i="1"/>
  <c r="G242" i="1" s="1"/>
  <c r="I241" i="1"/>
  <c r="F241" i="1"/>
  <c r="H241" i="1" s="1"/>
  <c r="I240" i="1"/>
  <c r="F240" i="1"/>
  <c r="H240" i="1" s="1"/>
  <c r="I239" i="1"/>
  <c r="F239" i="1"/>
  <c r="I238" i="1"/>
  <c r="F238" i="1"/>
  <c r="G238" i="1" s="1"/>
  <c r="I237" i="1"/>
  <c r="F237" i="1"/>
  <c r="H237" i="1" s="1"/>
  <c r="I236" i="1"/>
  <c r="F236" i="1"/>
  <c r="H236" i="1" s="1"/>
  <c r="I235" i="1"/>
  <c r="F235" i="1"/>
  <c r="H235" i="1" s="1"/>
  <c r="I234" i="1"/>
  <c r="F234" i="1"/>
  <c r="H234" i="1" s="1"/>
  <c r="I233" i="1"/>
  <c r="F233" i="1"/>
  <c r="H233" i="1" s="1"/>
  <c r="I232" i="1"/>
  <c r="F232" i="1"/>
  <c r="G232" i="1" s="1"/>
  <c r="I231" i="1"/>
  <c r="F231" i="1"/>
  <c r="H231" i="1" s="1"/>
  <c r="I230" i="1"/>
  <c r="F230" i="1"/>
  <c r="H230" i="1" s="1"/>
  <c r="I229" i="1"/>
  <c r="F229" i="1"/>
  <c r="H229" i="1" s="1"/>
  <c r="I228" i="1"/>
  <c r="F228" i="1"/>
  <c r="H228" i="1" s="1"/>
  <c r="I227" i="1"/>
  <c r="F227" i="1"/>
  <c r="H227" i="1" s="1"/>
  <c r="I226" i="1"/>
  <c r="F226" i="1"/>
  <c r="H226" i="1" s="1"/>
  <c r="I225" i="1"/>
  <c r="F225" i="1"/>
  <c r="H225" i="1" s="1"/>
  <c r="I224" i="1"/>
  <c r="F224" i="1"/>
  <c r="H224" i="1" s="1"/>
  <c r="I223" i="1"/>
  <c r="F223" i="1"/>
  <c r="H223" i="1" s="1"/>
  <c r="I222" i="1"/>
  <c r="F222" i="1"/>
  <c r="H222" i="1" s="1"/>
  <c r="I221" i="1"/>
  <c r="F221" i="1"/>
  <c r="H221" i="1" s="1"/>
  <c r="I220" i="1"/>
  <c r="F220" i="1"/>
  <c r="G220" i="1" s="1"/>
  <c r="I219" i="1"/>
  <c r="F219" i="1"/>
  <c r="H219" i="1" s="1"/>
  <c r="I218" i="1"/>
  <c r="F218" i="1"/>
  <c r="H218" i="1" s="1"/>
  <c r="I217" i="1"/>
  <c r="F217" i="1"/>
  <c r="H217" i="1" s="1"/>
  <c r="I216" i="1"/>
  <c r="F216" i="1"/>
  <c r="H216" i="1" s="1"/>
  <c r="I215" i="1"/>
  <c r="F215" i="1"/>
  <c r="H215" i="1" s="1"/>
  <c r="I214" i="1"/>
  <c r="F214" i="1"/>
  <c r="H214" i="1" s="1"/>
  <c r="I213" i="1"/>
  <c r="F213" i="1"/>
  <c r="H213" i="1" s="1"/>
  <c r="I212" i="1"/>
  <c r="F212" i="1"/>
  <c r="H212" i="1" s="1"/>
  <c r="I211" i="1"/>
  <c r="F211" i="1"/>
  <c r="H211" i="1" s="1"/>
  <c r="I210" i="1"/>
  <c r="F210" i="1"/>
  <c r="G210" i="1" s="1"/>
  <c r="I209" i="1"/>
  <c r="F209" i="1"/>
  <c r="H209" i="1" s="1"/>
  <c r="I208" i="1"/>
  <c r="F208" i="1"/>
  <c r="H208" i="1" s="1"/>
  <c r="I207" i="1"/>
  <c r="F207" i="1"/>
  <c r="H207" i="1" s="1"/>
  <c r="I206" i="1"/>
  <c r="F206" i="1"/>
  <c r="H206" i="1" s="1"/>
  <c r="I205" i="1"/>
  <c r="F205" i="1"/>
  <c r="H205" i="1" s="1"/>
  <c r="I204" i="1"/>
  <c r="F204" i="1"/>
  <c r="H204" i="1" s="1"/>
  <c r="I203" i="1"/>
  <c r="F203" i="1"/>
  <c r="H203" i="1" s="1"/>
  <c r="I202" i="1"/>
  <c r="F202" i="1"/>
  <c r="H202" i="1" s="1"/>
  <c r="I201" i="1"/>
  <c r="F201" i="1"/>
  <c r="H201" i="1" s="1"/>
  <c r="I200" i="1"/>
  <c r="F200" i="1"/>
  <c r="H200" i="1" s="1"/>
  <c r="I199" i="1"/>
  <c r="F199" i="1"/>
  <c r="H199" i="1" s="1"/>
  <c r="I198" i="1"/>
  <c r="F198" i="1"/>
  <c r="G198" i="1" s="1"/>
  <c r="I197" i="1"/>
  <c r="F197" i="1"/>
  <c r="H197" i="1" s="1"/>
  <c r="I196" i="1"/>
  <c r="F196" i="1"/>
  <c r="H196" i="1" s="1"/>
  <c r="I195" i="1"/>
  <c r="F195" i="1"/>
  <c r="H195" i="1" s="1"/>
  <c r="I194" i="1"/>
  <c r="F194" i="1"/>
  <c r="H194" i="1" s="1"/>
  <c r="I193" i="1"/>
  <c r="F193" i="1"/>
  <c r="H193" i="1" s="1"/>
  <c r="I192" i="1"/>
  <c r="F192" i="1"/>
  <c r="H192" i="1" s="1"/>
  <c r="I191" i="1"/>
  <c r="F191" i="1"/>
  <c r="H191" i="1" s="1"/>
  <c r="I190" i="1"/>
  <c r="F190" i="1"/>
  <c r="G190" i="1" s="1"/>
  <c r="I189" i="1"/>
  <c r="F189" i="1"/>
  <c r="H189" i="1" s="1"/>
  <c r="I188" i="1"/>
  <c r="F188" i="1"/>
  <c r="H188" i="1" s="1"/>
  <c r="I187" i="1"/>
  <c r="F187" i="1"/>
  <c r="H187" i="1" s="1"/>
  <c r="I186" i="1"/>
  <c r="F186" i="1"/>
  <c r="H186" i="1" s="1"/>
  <c r="I185" i="1"/>
  <c r="F185" i="1"/>
  <c r="H185" i="1" s="1"/>
  <c r="I184" i="1"/>
  <c r="F184" i="1"/>
  <c r="H184" i="1" s="1"/>
  <c r="I183" i="1"/>
  <c r="F183" i="1"/>
  <c r="H183" i="1" s="1"/>
  <c r="I182" i="1"/>
  <c r="F182" i="1"/>
  <c r="G182" i="1" s="1"/>
  <c r="I181" i="1"/>
  <c r="F181" i="1"/>
  <c r="H181" i="1" s="1"/>
  <c r="I180" i="1"/>
  <c r="F180" i="1"/>
  <c r="H180" i="1" s="1"/>
  <c r="I179" i="1"/>
  <c r="F179" i="1"/>
  <c r="H179" i="1" s="1"/>
  <c r="I178" i="1"/>
  <c r="F178" i="1"/>
  <c r="H178" i="1" s="1"/>
  <c r="I177" i="1"/>
  <c r="F177" i="1"/>
  <c r="H177" i="1" s="1"/>
  <c r="I176" i="1"/>
  <c r="F176" i="1"/>
  <c r="G176" i="1" s="1"/>
  <c r="I175" i="1"/>
  <c r="F175" i="1"/>
  <c r="H175" i="1" s="1"/>
  <c r="I174" i="1"/>
  <c r="F174" i="1"/>
  <c r="G174" i="1" s="1"/>
  <c r="I173" i="1"/>
  <c r="F173" i="1"/>
  <c r="H173" i="1" s="1"/>
  <c r="I172" i="1"/>
  <c r="F172" i="1"/>
  <c r="H172" i="1" s="1"/>
  <c r="I171" i="1"/>
  <c r="F171" i="1"/>
  <c r="H171" i="1" s="1"/>
  <c r="I170" i="1"/>
  <c r="F170" i="1"/>
  <c r="H170" i="1" s="1"/>
  <c r="I169" i="1"/>
  <c r="F169" i="1"/>
  <c r="H169" i="1" s="1"/>
  <c r="I168" i="1"/>
  <c r="F168" i="1"/>
  <c r="G168" i="1" s="1"/>
  <c r="I167" i="1"/>
  <c r="F167" i="1"/>
  <c r="H167" i="1" s="1"/>
  <c r="I166" i="1"/>
  <c r="F166" i="1"/>
  <c r="G166" i="1" s="1"/>
  <c r="I165" i="1"/>
  <c r="F165" i="1"/>
  <c r="H165" i="1" s="1"/>
  <c r="I164" i="1"/>
  <c r="F164" i="1"/>
  <c r="H164" i="1" s="1"/>
  <c r="I163" i="1"/>
  <c r="F163" i="1"/>
  <c r="H163" i="1" s="1"/>
  <c r="I162" i="1"/>
  <c r="F162" i="1"/>
  <c r="H162" i="1" s="1"/>
  <c r="I161" i="1"/>
  <c r="F161" i="1"/>
  <c r="H161" i="1" s="1"/>
  <c r="I160" i="1"/>
  <c r="F160" i="1"/>
  <c r="H160" i="1" s="1"/>
  <c r="I159" i="1"/>
  <c r="F159" i="1"/>
  <c r="H159" i="1" s="1"/>
  <c r="I158" i="1"/>
  <c r="F158" i="1"/>
  <c r="G158" i="1" s="1"/>
  <c r="I157" i="1"/>
  <c r="F157" i="1"/>
  <c r="H157" i="1" s="1"/>
  <c r="I156" i="1"/>
  <c r="F156" i="1"/>
  <c r="H156" i="1" s="1"/>
  <c r="I155" i="1"/>
  <c r="F155" i="1"/>
  <c r="H155" i="1" s="1"/>
  <c r="I154" i="1"/>
  <c r="F154" i="1"/>
  <c r="H154" i="1" s="1"/>
  <c r="I153" i="1"/>
  <c r="F153" i="1"/>
  <c r="H153" i="1" s="1"/>
  <c r="I152" i="1"/>
  <c r="F152" i="1"/>
  <c r="H152" i="1" s="1"/>
  <c r="I151" i="1"/>
  <c r="F151" i="1"/>
  <c r="H151" i="1" s="1"/>
  <c r="I150" i="1"/>
  <c r="F150" i="1"/>
  <c r="G150" i="1" s="1"/>
  <c r="I149" i="1"/>
  <c r="F149" i="1"/>
  <c r="H149" i="1" s="1"/>
  <c r="I148" i="1"/>
  <c r="F148" i="1"/>
  <c r="H148" i="1" s="1"/>
  <c r="I147" i="1"/>
  <c r="F147" i="1"/>
  <c r="H147" i="1" s="1"/>
  <c r="I146" i="1"/>
  <c r="F146" i="1"/>
  <c r="H146" i="1" s="1"/>
  <c r="I145" i="1"/>
  <c r="F145" i="1"/>
  <c r="H145" i="1" s="1"/>
  <c r="I144" i="1"/>
  <c r="F144" i="1"/>
  <c r="H144" i="1" s="1"/>
  <c r="I143" i="1"/>
  <c r="F143" i="1"/>
  <c r="H143" i="1" s="1"/>
  <c r="I142" i="1"/>
  <c r="F142" i="1"/>
  <c r="G142" i="1" s="1"/>
  <c r="I141" i="1"/>
  <c r="F141" i="1"/>
  <c r="H141" i="1" s="1"/>
  <c r="I140" i="1"/>
  <c r="F140" i="1"/>
  <c r="H140" i="1" s="1"/>
  <c r="I139" i="1"/>
  <c r="F139" i="1"/>
  <c r="H139" i="1" s="1"/>
  <c r="I138" i="1"/>
  <c r="F138" i="1"/>
  <c r="H138" i="1" s="1"/>
  <c r="I137" i="1"/>
  <c r="F137" i="1"/>
  <c r="H137" i="1" s="1"/>
  <c r="I136" i="1"/>
  <c r="F136" i="1"/>
  <c r="H136" i="1" s="1"/>
  <c r="I135" i="1"/>
  <c r="F135" i="1"/>
  <c r="H135" i="1" s="1"/>
  <c r="I134" i="1"/>
  <c r="F134" i="1"/>
  <c r="G134" i="1" s="1"/>
  <c r="I133" i="1"/>
  <c r="F133" i="1"/>
  <c r="H133" i="1" s="1"/>
  <c r="I132" i="1"/>
  <c r="F132" i="1"/>
  <c r="H132" i="1" s="1"/>
  <c r="I131" i="1"/>
  <c r="F131" i="1"/>
  <c r="H131" i="1" s="1"/>
  <c r="I130" i="1"/>
  <c r="F130" i="1"/>
  <c r="H130" i="1" s="1"/>
  <c r="I129" i="1"/>
  <c r="F129" i="1"/>
  <c r="H129" i="1" s="1"/>
  <c r="I128" i="1"/>
  <c r="F128" i="1"/>
  <c r="H128" i="1" s="1"/>
  <c r="I127" i="1"/>
  <c r="F127" i="1"/>
  <c r="H127" i="1" s="1"/>
  <c r="I126" i="1"/>
  <c r="F126" i="1"/>
  <c r="G126" i="1" s="1"/>
  <c r="I125" i="1"/>
  <c r="F125" i="1"/>
  <c r="G125" i="1" s="1"/>
  <c r="I124" i="1"/>
  <c r="F124" i="1"/>
  <c r="G124" i="1" s="1"/>
  <c r="I123" i="1"/>
  <c r="F123" i="1"/>
  <c r="G123" i="1" s="1"/>
  <c r="I122" i="1"/>
  <c r="F122" i="1"/>
  <c r="G122" i="1" s="1"/>
  <c r="I121" i="1"/>
  <c r="F121" i="1"/>
  <c r="G121" i="1" s="1"/>
  <c r="I120" i="1"/>
  <c r="F120" i="1"/>
  <c r="G120" i="1" s="1"/>
  <c r="I119" i="1"/>
  <c r="F119" i="1"/>
  <c r="G119" i="1" s="1"/>
  <c r="I118" i="1"/>
  <c r="F118" i="1"/>
  <c r="G118" i="1" s="1"/>
  <c r="I117" i="1"/>
  <c r="F117" i="1"/>
  <c r="G117" i="1" s="1"/>
  <c r="I116" i="1"/>
  <c r="F116" i="1"/>
  <c r="G116" i="1" s="1"/>
  <c r="I115" i="1"/>
  <c r="F115" i="1"/>
  <c r="H115" i="1" s="1"/>
  <c r="I114" i="1"/>
  <c r="F114" i="1"/>
  <c r="G114" i="1" s="1"/>
  <c r="I113" i="1"/>
  <c r="F113" i="1"/>
  <c r="H113" i="1" s="1"/>
  <c r="I112" i="1"/>
  <c r="F112" i="1"/>
  <c r="G112" i="1" s="1"/>
  <c r="I111" i="1"/>
  <c r="F111" i="1"/>
  <c r="H111" i="1" s="1"/>
  <c r="I110" i="1"/>
  <c r="F110" i="1"/>
  <c r="G110" i="1" s="1"/>
  <c r="I109" i="1"/>
  <c r="F109" i="1"/>
  <c r="H109" i="1" s="1"/>
  <c r="I108" i="1"/>
  <c r="F108" i="1"/>
  <c r="G108" i="1" s="1"/>
  <c r="I107" i="1"/>
  <c r="F107" i="1"/>
  <c r="H107" i="1" s="1"/>
  <c r="I106" i="1"/>
  <c r="F106" i="1"/>
  <c r="G106" i="1" s="1"/>
  <c r="I105" i="1"/>
  <c r="F105" i="1"/>
  <c r="H105" i="1" s="1"/>
  <c r="I104" i="1"/>
  <c r="F104" i="1"/>
  <c r="G104" i="1" s="1"/>
  <c r="I103" i="1"/>
  <c r="F103" i="1"/>
  <c r="H103" i="1" s="1"/>
  <c r="I102" i="1"/>
  <c r="F102" i="1"/>
  <c r="G102" i="1" s="1"/>
  <c r="I101" i="1"/>
  <c r="F101" i="1"/>
  <c r="H101" i="1" s="1"/>
  <c r="I100" i="1"/>
  <c r="F100" i="1"/>
  <c r="G100" i="1" s="1"/>
  <c r="I99" i="1"/>
  <c r="F99" i="1"/>
  <c r="H99" i="1" s="1"/>
  <c r="I98" i="1"/>
  <c r="F98" i="1"/>
  <c r="G98" i="1" s="1"/>
  <c r="I97" i="1"/>
  <c r="F97" i="1"/>
  <c r="H97" i="1" s="1"/>
  <c r="I96" i="1"/>
  <c r="F96" i="1"/>
  <c r="G96" i="1" s="1"/>
  <c r="I95" i="1"/>
  <c r="F95" i="1"/>
  <c r="H95" i="1" s="1"/>
  <c r="I94" i="1"/>
  <c r="F94" i="1"/>
  <c r="G94" i="1" s="1"/>
  <c r="I93" i="1"/>
  <c r="F93" i="1"/>
  <c r="H93" i="1" s="1"/>
  <c r="I92" i="1"/>
  <c r="F92" i="1"/>
  <c r="G92" i="1" s="1"/>
  <c r="I91" i="1"/>
  <c r="F91" i="1"/>
  <c r="H91" i="1" s="1"/>
  <c r="I90" i="1"/>
  <c r="F90" i="1"/>
  <c r="G90" i="1" s="1"/>
  <c r="I89" i="1"/>
  <c r="F89" i="1"/>
  <c r="H89" i="1" s="1"/>
  <c r="I88" i="1"/>
  <c r="F88" i="1"/>
  <c r="H88" i="1" s="1"/>
  <c r="I87" i="1"/>
  <c r="F87" i="1"/>
  <c r="H87" i="1" s="1"/>
  <c r="M86" i="1"/>
  <c r="L86" i="1" s="1"/>
  <c r="I86" i="1"/>
  <c r="F86" i="1"/>
  <c r="H86" i="1" s="1"/>
  <c r="M85" i="1"/>
  <c r="N85" i="1" s="1"/>
  <c r="I85" i="1"/>
  <c r="F85" i="1"/>
  <c r="G85" i="1" s="1"/>
  <c r="O84" i="1"/>
  <c r="M84" i="1"/>
  <c r="N84" i="1" s="1"/>
  <c r="I84" i="1"/>
  <c r="F84" i="1"/>
  <c r="H84" i="1" s="1"/>
  <c r="M83" i="1"/>
  <c r="I83" i="1"/>
  <c r="F83" i="1"/>
  <c r="G83" i="1" s="1"/>
  <c r="I82" i="1"/>
  <c r="F82" i="1"/>
  <c r="H82" i="1" s="1"/>
  <c r="I81" i="1"/>
  <c r="F81" i="1"/>
  <c r="H81" i="1" s="1"/>
  <c r="I80" i="1"/>
  <c r="F80" i="1"/>
  <c r="H80" i="1" s="1"/>
  <c r="I79" i="1"/>
  <c r="F79" i="1"/>
  <c r="H79" i="1" s="1"/>
  <c r="I78" i="1"/>
  <c r="F78" i="1"/>
  <c r="H78" i="1" s="1"/>
  <c r="I77" i="1"/>
  <c r="F77" i="1"/>
  <c r="H77" i="1" s="1"/>
  <c r="I76" i="1"/>
  <c r="F76" i="1"/>
  <c r="H76" i="1" s="1"/>
  <c r="I75" i="1"/>
  <c r="F75" i="1"/>
  <c r="H75" i="1" s="1"/>
  <c r="I74" i="1"/>
  <c r="F74" i="1"/>
  <c r="H74" i="1" s="1"/>
  <c r="I73" i="1"/>
  <c r="F73" i="1"/>
  <c r="H73" i="1" s="1"/>
  <c r="I72" i="1"/>
  <c r="F72" i="1"/>
  <c r="H72" i="1" s="1"/>
  <c r="I71" i="1"/>
  <c r="F71" i="1"/>
  <c r="H71" i="1" s="1"/>
  <c r="I70" i="1"/>
  <c r="F70" i="1"/>
  <c r="H70" i="1" s="1"/>
  <c r="I69" i="1"/>
  <c r="F69" i="1"/>
  <c r="H69" i="1" s="1"/>
  <c r="I68" i="1"/>
  <c r="F68" i="1"/>
  <c r="H68" i="1" s="1"/>
  <c r="I67" i="1"/>
  <c r="F67" i="1"/>
  <c r="H67" i="1" s="1"/>
  <c r="I66" i="1"/>
  <c r="F66" i="1"/>
  <c r="H66" i="1" s="1"/>
  <c r="I65" i="1"/>
  <c r="F65" i="1"/>
  <c r="H65" i="1" s="1"/>
  <c r="I64" i="1"/>
  <c r="F64" i="1"/>
  <c r="H64" i="1" s="1"/>
  <c r="I63" i="1"/>
  <c r="F63" i="1"/>
  <c r="H63" i="1" s="1"/>
  <c r="I62" i="1"/>
  <c r="F62" i="1"/>
  <c r="H62" i="1" s="1"/>
  <c r="O61" i="1"/>
  <c r="M61" i="1"/>
  <c r="N61" i="1" s="1"/>
  <c r="K61" i="1"/>
  <c r="I61" i="1"/>
  <c r="F61" i="1"/>
  <c r="H61" i="1" s="1"/>
  <c r="O60" i="1"/>
  <c r="M60" i="1"/>
  <c r="N60" i="1" s="1"/>
  <c r="K60" i="1"/>
  <c r="I60" i="1"/>
  <c r="F60" i="1"/>
  <c r="H60" i="1" s="1"/>
  <c r="M59" i="1"/>
  <c r="N59" i="1" s="1"/>
  <c r="K59" i="1"/>
  <c r="I59" i="1"/>
  <c r="F59" i="1"/>
  <c r="H59" i="1" s="1"/>
  <c r="M58" i="1"/>
  <c r="N58" i="1" s="1"/>
  <c r="K58" i="1"/>
  <c r="I58" i="1"/>
  <c r="F58" i="1"/>
  <c r="G58" i="1" s="1"/>
  <c r="M57" i="1"/>
  <c r="N57" i="1" s="1"/>
  <c r="K57" i="1"/>
  <c r="I57" i="1"/>
  <c r="F57" i="1"/>
  <c r="G57" i="1" s="1"/>
  <c r="M56" i="1"/>
  <c r="N56" i="1" s="1"/>
  <c r="K56" i="1"/>
  <c r="I56" i="1"/>
  <c r="F56" i="1"/>
  <c r="H56" i="1" s="1"/>
  <c r="O55" i="1"/>
  <c r="T55" i="1" s="1"/>
  <c r="I55" i="1"/>
  <c r="F55" i="1"/>
  <c r="H55" i="1" s="1"/>
  <c r="I54" i="1"/>
  <c r="F54" i="1"/>
  <c r="H54" i="1" s="1"/>
  <c r="I53" i="1"/>
  <c r="F53" i="1"/>
  <c r="H53" i="1" s="1"/>
  <c r="O52" i="1"/>
  <c r="L52" i="1" s="1"/>
  <c r="I52" i="1"/>
  <c r="F52" i="1"/>
  <c r="H52" i="1" s="1"/>
  <c r="I51" i="1"/>
  <c r="F51" i="1"/>
  <c r="G51" i="1" s="1"/>
  <c r="I50" i="1"/>
  <c r="F50" i="1"/>
  <c r="H50" i="1" s="1"/>
  <c r="I49" i="1"/>
  <c r="F49" i="1"/>
  <c r="G49" i="1" s="1"/>
  <c r="I48" i="1"/>
  <c r="F48" i="1"/>
  <c r="H48" i="1" s="1"/>
  <c r="I47" i="1"/>
  <c r="F47" i="1"/>
  <c r="G47" i="1" s="1"/>
  <c r="I46" i="1"/>
  <c r="F46" i="1"/>
  <c r="H46" i="1" s="1"/>
  <c r="I45" i="1"/>
  <c r="F45" i="1"/>
  <c r="G45" i="1" s="1"/>
  <c r="I44" i="1"/>
  <c r="F44" i="1"/>
  <c r="H44" i="1" s="1"/>
  <c r="I43" i="1"/>
  <c r="F43" i="1"/>
  <c r="G43" i="1" s="1"/>
  <c r="I42" i="1"/>
  <c r="F42" i="1"/>
  <c r="H42" i="1" s="1"/>
  <c r="I41" i="1"/>
  <c r="F41" i="1"/>
  <c r="G41" i="1" s="1"/>
  <c r="I40" i="1"/>
  <c r="F40" i="1"/>
  <c r="H40" i="1" s="1"/>
  <c r="I39" i="1"/>
  <c r="F39" i="1"/>
  <c r="G39" i="1" s="1"/>
  <c r="I38" i="1"/>
  <c r="F38" i="1"/>
  <c r="H38" i="1" s="1"/>
  <c r="I37" i="1"/>
  <c r="F37" i="1"/>
  <c r="G37" i="1" s="1"/>
  <c r="I36" i="1"/>
  <c r="F36" i="1"/>
  <c r="H36" i="1" s="1"/>
  <c r="I35" i="1"/>
  <c r="F35" i="1"/>
  <c r="G35" i="1" s="1"/>
  <c r="I34" i="1"/>
  <c r="F34" i="1"/>
  <c r="H34" i="1" s="1"/>
  <c r="I33" i="1"/>
  <c r="F33" i="1"/>
  <c r="G33" i="1" s="1"/>
  <c r="I32" i="1"/>
  <c r="F32" i="1"/>
  <c r="H32" i="1" s="1"/>
  <c r="M31" i="1"/>
  <c r="N31" i="1" s="1"/>
  <c r="I31" i="1"/>
  <c r="F31" i="1"/>
  <c r="H31" i="1" s="1"/>
  <c r="I30" i="1"/>
  <c r="F30" i="1"/>
  <c r="H30" i="1" s="1"/>
  <c r="I29" i="1"/>
  <c r="F29" i="1"/>
  <c r="H29" i="1" s="1"/>
  <c r="M28" i="1"/>
  <c r="N28" i="1" s="1"/>
  <c r="I28" i="1"/>
  <c r="F28" i="1"/>
  <c r="H28" i="1" s="1"/>
  <c r="M27" i="1"/>
  <c r="I27" i="1"/>
  <c r="F27" i="1"/>
  <c r="H27" i="1" s="1"/>
  <c r="I26" i="1"/>
  <c r="F26" i="1"/>
  <c r="H26" i="1" s="1"/>
  <c r="M25" i="1"/>
  <c r="L25" i="1" s="1"/>
  <c r="I25" i="1"/>
  <c r="F25" i="1"/>
  <c r="H25" i="1" s="1"/>
  <c r="M24" i="1"/>
  <c r="I24" i="1"/>
  <c r="F24" i="1"/>
  <c r="G24" i="1" s="1"/>
  <c r="M23" i="1"/>
  <c r="N23" i="1" s="1"/>
  <c r="I23" i="1"/>
  <c r="F23" i="1"/>
  <c r="H23" i="1" s="1"/>
  <c r="M22" i="1"/>
  <c r="N22" i="1" s="1"/>
  <c r="I22" i="1"/>
  <c r="F22" i="1"/>
  <c r="H22" i="1" s="1"/>
  <c r="I21" i="1"/>
  <c r="F21" i="1"/>
  <c r="H21" i="1" s="1"/>
  <c r="I20" i="1"/>
  <c r="F20" i="1"/>
  <c r="H20" i="1" s="1"/>
  <c r="I19" i="1"/>
  <c r="F19" i="1"/>
  <c r="G19" i="1" s="1"/>
  <c r="I18" i="1"/>
  <c r="F18" i="1"/>
  <c r="H18" i="1" s="1"/>
  <c r="I17" i="1"/>
  <c r="F17" i="1"/>
  <c r="H17" i="1" s="1"/>
  <c r="I16" i="1"/>
  <c r="F16" i="1"/>
  <c r="H16" i="1" s="1"/>
  <c r="I15" i="1"/>
  <c r="F15" i="1"/>
  <c r="G15" i="1" s="1"/>
  <c r="I14" i="1"/>
  <c r="F14" i="1"/>
  <c r="H14" i="1" s="1"/>
  <c r="I13" i="1"/>
  <c r="F13" i="1"/>
  <c r="H13" i="1" s="1"/>
  <c r="I12" i="1"/>
  <c r="F12" i="1"/>
  <c r="H12" i="1" s="1"/>
  <c r="I11" i="1"/>
  <c r="F11" i="1"/>
  <c r="G11" i="1" s="1"/>
  <c r="I10" i="1"/>
  <c r="F10" i="1"/>
  <c r="H10" i="1" s="1"/>
  <c r="I9" i="1"/>
  <c r="F9" i="1"/>
  <c r="G9" i="1" s="1"/>
  <c r="I8" i="1"/>
  <c r="F8" i="1"/>
  <c r="H8" i="1" s="1"/>
  <c r="I7" i="1"/>
  <c r="F7" i="1"/>
  <c r="H7" i="1" s="1"/>
  <c r="I6" i="1"/>
  <c r="F6" i="1"/>
  <c r="H6" i="1" s="1"/>
  <c r="I5" i="1"/>
  <c r="F5" i="1"/>
  <c r="H5" i="1" s="1"/>
  <c r="I4" i="1"/>
  <c r="F4" i="1"/>
  <c r="H4" i="1" s="1"/>
  <c r="I3" i="1"/>
  <c r="F3" i="1"/>
  <c r="G3" i="1" s="1"/>
  <c r="I2" i="1"/>
  <c r="F2" i="1"/>
  <c r="G2" i="1" s="1"/>
  <c r="T359" i="1" l="1"/>
  <c r="T450" i="1"/>
  <c r="L497" i="1"/>
  <c r="T30" i="1"/>
  <c r="L500" i="1"/>
  <c r="L274" i="1"/>
  <c r="L387" i="1"/>
  <c r="N157" i="1"/>
  <c r="L492" i="1"/>
  <c r="L57" i="1"/>
  <c r="T59" i="1"/>
  <c r="L83" i="1"/>
  <c r="T484" i="1"/>
  <c r="T463" i="1"/>
  <c r="T24" i="1"/>
  <c r="T274" i="1"/>
  <c r="T489" i="1"/>
  <c r="L486" i="1"/>
  <c r="T488" i="1"/>
  <c r="T485" i="1"/>
  <c r="T386" i="1"/>
  <c r="T467" i="1"/>
  <c r="T25" i="1"/>
  <c r="T273" i="1"/>
  <c r="T360" i="1"/>
  <c r="L389" i="1"/>
  <c r="T493" i="1"/>
  <c r="L446" i="1"/>
  <c r="L29" i="1"/>
  <c r="T85" i="1"/>
  <c r="L432" i="1"/>
  <c r="L56" i="1"/>
  <c r="L58" i="1"/>
  <c r="L388" i="1"/>
  <c r="T28" i="1"/>
  <c r="T84" i="1"/>
  <c r="L122" i="1"/>
  <c r="L329" i="1"/>
  <c r="T487" i="1"/>
  <c r="L24" i="1"/>
  <c r="L448" i="1"/>
  <c r="T83" i="1"/>
  <c r="L119" i="1"/>
  <c r="L268" i="1"/>
  <c r="L453" i="1"/>
  <c r="T86" i="1"/>
  <c r="L88" i="1"/>
  <c r="L327" i="1"/>
  <c r="T190" i="1"/>
  <c r="L451" i="1"/>
  <c r="L30" i="1"/>
  <c r="L26" i="1"/>
  <c r="T104" i="1"/>
  <c r="L60" i="1"/>
  <c r="L490" i="1"/>
  <c r="T469" i="1"/>
  <c r="L27" i="1"/>
  <c r="L223" i="1"/>
  <c r="L483" i="1"/>
  <c r="N469" i="1"/>
  <c r="T29" i="1"/>
  <c r="L222" i="1"/>
  <c r="L199" i="1"/>
  <c r="L367" i="1"/>
  <c r="L482" i="1"/>
  <c r="L489" i="1"/>
  <c r="T468" i="1"/>
  <c r="L105" i="1"/>
  <c r="L198" i="1"/>
  <c r="L359" i="1"/>
  <c r="L480" i="1"/>
  <c r="T486" i="1"/>
  <c r="T27" i="1"/>
  <c r="L102" i="1"/>
  <c r="L191" i="1"/>
  <c r="L474" i="1"/>
  <c r="T123" i="1"/>
  <c r="T26" i="1"/>
  <c r="L99" i="1"/>
  <c r="L190" i="1"/>
  <c r="L472" i="1"/>
  <c r="L419" i="1"/>
  <c r="N221" i="1"/>
  <c r="L61" i="1"/>
  <c r="L488" i="1"/>
  <c r="L477" i="1"/>
  <c r="L23" i="1"/>
  <c r="L399" i="1"/>
  <c r="L467" i="1"/>
  <c r="L418" i="1"/>
  <c r="T121" i="1"/>
  <c r="L31" i="1"/>
  <c r="L22" i="1"/>
  <c r="L464" i="1"/>
  <c r="L416" i="1"/>
  <c r="T23" i="1"/>
  <c r="L459" i="1"/>
  <c r="T421" i="1"/>
  <c r="T88" i="1"/>
  <c r="T22" i="1"/>
  <c r="L496" i="1"/>
  <c r="L487" i="1"/>
  <c r="L458" i="1"/>
  <c r="T87" i="1"/>
  <c r="L495" i="1"/>
  <c r="L346" i="1"/>
  <c r="T383" i="1"/>
  <c r="T500" i="1"/>
  <c r="T117" i="1"/>
  <c r="L345" i="1"/>
  <c r="T375" i="1"/>
  <c r="T503" i="1"/>
  <c r="T116" i="1"/>
  <c r="L386" i="1"/>
  <c r="T499" i="1"/>
  <c r="T502" i="1"/>
  <c r="L28" i="1"/>
  <c r="T498" i="1"/>
  <c r="T501" i="1"/>
  <c r="T224" i="1"/>
  <c r="T199" i="1"/>
  <c r="T61" i="1"/>
  <c r="L273" i="1"/>
  <c r="L485" i="1"/>
  <c r="L452" i="1"/>
  <c r="N308" i="1"/>
  <c r="T497" i="1"/>
  <c r="T198" i="1"/>
  <c r="T157" i="1"/>
  <c r="T82" i="1"/>
  <c r="T60" i="1"/>
  <c r="L484" i="1"/>
  <c r="T451" i="1"/>
  <c r="L447" i="1"/>
  <c r="L156" i="1"/>
  <c r="L378" i="1"/>
  <c r="T496" i="1"/>
  <c r="T197" i="1"/>
  <c r="T156" i="1"/>
  <c r="L377" i="1"/>
  <c r="N501" i="1"/>
  <c r="T495" i="1"/>
  <c r="T306" i="1"/>
  <c r="T221" i="1"/>
  <c r="T196" i="1"/>
  <c r="T155" i="1"/>
  <c r="T58" i="1"/>
  <c r="L84" i="1"/>
  <c r="L338" i="1"/>
  <c r="N499" i="1"/>
  <c r="T494" i="1"/>
  <c r="T305" i="1"/>
  <c r="T195" i="1"/>
  <c r="T154" i="1"/>
  <c r="T57" i="1"/>
  <c r="L277" i="1"/>
  <c r="L337" i="1"/>
  <c r="L493" i="1"/>
  <c r="N195" i="1"/>
  <c r="T194" i="1"/>
  <c r="T100" i="1"/>
  <c r="T56" i="1"/>
  <c r="L59" i="1"/>
  <c r="L330" i="1"/>
  <c r="T449" i="1"/>
  <c r="T492" i="1"/>
  <c r="T277" i="1"/>
  <c r="T193" i="1"/>
  <c r="T491" i="1"/>
  <c r="T192" i="1"/>
  <c r="L491" i="1"/>
  <c r="T470" i="1"/>
  <c r="L444" i="1"/>
  <c r="T490" i="1"/>
  <c r="T275" i="1"/>
  <c r="T191" i="1"/>
  <c r="T31" i="1"/>
  <c r="T52" i="1"/>
  <c r="T158" i="1"/>
  <c r="L85" i="1"/>
  <c r="L158" i="1"/>
  <c r="L276" i="1"/>
  <c r="L361" i="1"/>
  <c r="L466" i="1"/>
  <c r="L450" i="1"/>
  <c r="N197" i="1"/>
  <c r="N270" i="1"/>
  <c r="T335" i="1"/>
  <c r="T475" i="1"/>
  <c r="T477" i="1"/>
  <c r="L120" i="1"/>
  <c r="L275" i="1"/>
  <c r="L384" i="1"/>
  <c r="L376" i="1"/>
  <c r="L368" i="1"/>
  <c r="L360" i="1"/>
  <c r="L344" i="1"/>
  <c r="L336" i="1"/>
  <c r="L481" i="1"/>
  <c r="L473" i="1"/>
  <c r="L465" i="1"/>
  <c r="L457" i="1"/>
  <c r="L449" i="1"/>
  <c r="L433" i="1"/>
  <c r="L417" i="1"/>
  <c r="L503" i="1"/>
  <c r="N30" i="1"/>
  <c r="N83" i="1"/>
  <c r="N196" i="1"/>
  <c r="N269" i="1"/>
  <c r="N309" i="1"/>
  <c r="N500" i="1"/>
  <c r="N468" i="1"/>
  <c r="T382" i="1"/>
  <c r="T366" i="1"/>
  <c r="T358" i="1"/>
  <c r="T334" i="1"/>
  <c r="T420" i="1"/>
  <c r="T448" i="1"/>
  <c r="T466" i="1"/>
  <c r="T478" i="1"/>
  <c r="L103" i="1"/>
  <c r="L456" i="1"/>
  <c r="N276" i="1"/>
  <c r="T398" i="1"/>
  <c r="T389" i="1"/>
  <c r="T381" i="1"/>
  <c r="T365" i="1"/>
  <c r="T357" i="1"/>
  <c r="T333" i="1"/>
  <c r="T447" i="1"/>
  <c r="T473" i="1"/>
  <c r="T465" i="1"/>
  <c r="L82" i="1"/>
  <c r="L118" i="1"/>
  <c r="L155" i="1"/>
  <c r="L479" i="1"/>
  <c r="L471" i="1"/>
  <c r="L463" i="1"/>
  <c r="L455" i="1"/>
  <c r="L431" i="1"/>
  <c r="L423" i="1"/>
  <c r="L415" i="1"/>
  <c r="N154" i="1"/>
  <c r="N194" i="1"/>
  <c r="N307" i="1"/>
  <c r="N498" i="1"/>
  <c r="N482" i="1"/>
  <c r="N450" i="1"/>
  <c r="T397" i="1"/>
  <c r="T388" i="1"/>
  <c r="T380" i="1"/>
  <c r="T364" i="1"/>
  <c r="T356" i="1"/>
  <c r="T348" i="1"/>
  <c r="T332" i="1"/>
  <c r="T446" i="1"/>
  <c r="T472" i="1"/>
  <c r="T464" i="1"/>
  <c r="L55" i="1"/>
  <c r="L125" i="1"/>
  <c r="L101" i="1"/>
  <c r="L272" i="1"/>
  <c r="L309" i="1"/>
  <c r="L478" i="1"/>
  <c r="L470" i="1"/>
  <c r="L462" i="1"/>
  <c r="L454" i="1"/>
  <c r="L430" i="1"/>
  <c r="L422" i="1"/>
  <c r="N27" i="1"/>
  <c r="N193" i="1"/>
  <c r="N306" i="1"/>
  <c r="N481" i="1"/>
  <c r="T404" i="1"/>
  <c r="T396" i="1"/>
  <c r="T387" i="1"/>
  <c r="T379" i="1"/>
  <c r="T363" i="1"/>
  <c r="T355" i="1"/>
  <c r="T347" i="1"/>
  <c r="T331" i="1"/>
  <c r="T453" i="1"/>
  <c r="T445" i="1"/>
  <c r="T471" i="1"/>
  <c r="L124" i="1"/>
  <c r="L271" i="1"/>
  <c r="L404" i="1"/>
  <c r="L308" i="1"/>
  <c r="L469" i="1"/>
  <c r="L461" i="1"/>
  <c r="N192" i="1"/>
  <c r="N305" i="1"/>
  <c r="N480" i="1"/>
  <c r="T403" i="1"/>
  <c r="T395" i="1"/>
  <c r="T362" i="1"/>
  <c r="T452" i="1"/>
  <c r="T444" i="1"/>
  <c r="L403" i="1"/>
  <c r="L307" i="1"/>
  <c r="L476" i="1"/>
  <c r="L468" i="1"/>
  <c r="L460" i="1"/>
  <c r="N25" i="1"/>
  <c r="N86" i="1"/>
  <c r="N272" i="1"/>
  <c r="N479" i="1"/>
  <c r="N24" i="1"/>
  <c r="N502" i="1"/>
  <c r="G224" i="1"/>
  <c r="G485" i="1"/>
  <c r="H422" i="1"/>
  <c r="G407" i="1"/>
  <c r="H390" i="1"/>
  <c r="H9" i="1"/>
  <c r="G173" i="1"/>
  <c r="H379" i="1"/>
  <c r="G218" i="1"/>
  <c r="H438" i="1"/>
  <c r="G75" i="1"/>
  <c r="G288" i="1"/>
  <c r="H416" i="1"/>
  <c r="G269" i="1"/>
  <c r="G300" i="1"/>
  <c r="G355" i="1"/>
  <c r="H19" i="1"/>
  <c r="H125" i="1"/>
  <c r="G200" i="1"/>
  <c r="H242" i="1"/>
  <c r="G336" i="1"/>
  <c r="G230" i="1"/>
  <c r="H264" i="1"/>
  <c r="H3" i="1"/>
  <c r="G17" i="1"/>
  <c r="H100" i="1"/>
  <c r="G234" i="1"/>
  <c r="G261" i="1"/>
  <c r="G8" i="1"/>
  <c r="H15" i="1"/>
  <c r="G62" i="1"/>
  <c r="H85" i="1"/>
  <c r="H121" i="1"/>
  <c r="G214" i="1"/>
  <c r="G312" i="1"/>
  <c r="H370" i="1"/>
  <c r="G84" i="1"/>
  <c r="G149" i="1"/>
  <c r="G188" i="1"/>
  <c r="G348" i="1"/>
  <c r="G161" i="1"/>
  <c r="G217" i="1"/>
  <c r="G268" i="1"/>
  <c r="G361" i="1"/>
  <c r="H398" i="1"/>
  <c r="G409" i="1"/>
  <c r="G517" i="1"/>
  <c r="G18" i="1"/>
  <c r="G13" i="1"/>
  <c r="H432" i="1"/>
  <c r="G10" i="1"/>
  <c r="G22" i="1"/>
  <c r="G31" i="1"/>
  <c r="G71" i="1"/>
  <c r="G78" i="1"/>
  <c r="H98" i="1"/>
  <c r="H117" i="1"/>
  <c r="H124" i="1"/>
  <c r="G177" i="1"/>
  <c r="G249" i="1"/>
  <c r="G252" i="1"/>
  <c r="G276" i="1"/>
  <c r="G301" i="1"/>
  <c r="G332" i="1"/>
  <c r="H388" i="1"/>
  <c r="G56" i="1"/>
  <c r="G189" i="1"/>
  <c r="G208" i="1"/>
  <c r="G225" i="1"/>
  <c r="G260" i="1"/>
  <c r="G30" i="1"/>
  <c r="G152" i="1"/>
  <c r="H250" i="1"/>
  <c r="G277" i="1"/>
  <c r="G296" i="1"/>
  <c r="G469" i="1"/>
  <c r="G6" i="1"/>
  <c r="G240" i="1"/>
  <c r="H198" i="1"/>
  <c r="G79" i="1"/>
  <c r="H116" i="1"/>
  <c r="G156" i="1"/>
  <c r="G196" i="1"/>
  <c r="G265" i="1"/>
  <c r="H282" i="1"/>
  <c r="G324" i="1"/>
  <c r="H344" i="1"/>
  <c r="H380" i="1"/>
  <c r="H404" i="1"/>
  <c r="G7" i="1"/>
  <c r="G5" i="1"/>
  <c r="G14" i="1"/>
  <c r="G21" i="1"/>
  <c r="G55" i="1"/>
  <c r="H58" i="1"/>
  <c r="G67" i="1"/>
  <c r="G70" i="1"/>
  <c r="H102" i="1"/>
  <c r="H123" i="1"/>
  <c r="G129" i="1"/>
  <c r="G193" i="1"/>
  <c r="G209" i="1"/>
  <c r="G222" i="1"/>
  <c r="G228" i="1"/>
  <c r="G256" i="1"/>
  <c r="G317" i="1"/>
  <c r="G328" i="1"/>
  <c r="G341" i="1"/>
  <c r="H374" i="1"/>
  <c r="H394" i="1"/>
  <c r="G401" i="1"/>
  <c r="G501" i="1"/>
  <c r="H11" i="1"/>
  <c r="G16" i="1"/>
  <c r="G27" i="1"/>
  <c r="G12" i="1"/>
  <c r="G53" i="1"/>
  <c r="G77" i="1"/>
  <c r="H106" i="1"/>
  <c r="G137" i="1"/>
  <c r="G144" i="1"/>
  <c r="H150" i="1"/>
  <c r="G160" i="1"/>
  <c r="G213" i="1"/>
  <c r="H176" i="1"/>
  <c r="G63" i="1"/>
  <c r="H114" i="1"/>
  <c r="G141" i="1"/>
  <c r="G157" i="1"/>
  <c r="G181" i="1"/>
  <c r="G184" i="1"/>
  <c r="G231" i="1"/>
  <c r="G237" i="1"/>
  <c r="G273" i="1"/>
  <c r="G297" i="1"/>
  <c r="G345" i="1"/>
  <c r="G352" i="1"/>
  <c r="H358" i="1"/>
  <c r="G365" i="1"/>
  <c r="G385" i="1"/>
  <c r="G453" i="1"/>
  <c r="G4" i="1"/>
  <c r="G20" i="1"/>
  <c r="G69" i="1"/>
  <c r="H90" i="1"/>
  <c r="G128" i="1"/>
  <c r="G145" i="1"/>
  <c r="G169" i="1"/>
  <c r="H182" i="1"/>
  <c r="G192" i="1"/>
  <c r="G235" i="1"/>
  <c r="G245" i="1"/>
  <c r="G292" i="1"/>
  <c r="G309" i="1"/>
  <c r="G333" i="1"/>
  <c r="G340" i="1"/>
  <c r="H356" i="1"/>
  <c r="H366" i="1"/>
  <c r="G373" i="1"/>
  <c r="G393" i="1"/>
  <c r="G413" i="1"/>
  <c r="G26" i="1"/>
  <c r="G136" i="1"/>
  <c r="G206" i="1"/>
  <c r="H24" i="1"/>
  <c r="H33" i="1"/>
  <c r="H35" i="1"/>
  <c r="H37" i="1"/>
  <c r="H39" i="1"/>
  <c r="H41" i="1"/>
  <c r="H43" i="1"/>
  <c r="H45" i="1"/>
  <c r="H47" i="1"/>
  <c r="H49" i="1"/>
  <c r="H51" i="1"/>
  <c r="H210" i="1"/>
  <c r="H220" i="1"/>
  <c r="H232" i="1"/>
  <c r="H284" i="1"/>
  <c r="G305" i="1"/>
  <c r="H314" i="1"/>
  <c r="G320" i="1"/>
  <c r="G329" i="1"/>
  <c r="G349" i="1"/>
  <c r="H381" i="1"/>
  <c r="H395" i="1"/>
  <c r="H443" i="1"/>
  <c r="H459" i="1"/>
  <c r="H475" i="1"/>
  <c r="H491" i="1"/>
  <c r="H507" i="1"/>
  <c r="H110" i="1"/>
  <c r="G153" i="1"/>
  <c r="G216" i="1"/>
  <c r="G29" i="1"/>
  <c r="G32" i="1"/>
  <c r="G34" i="1"/>
  <c r="G36" i="1"/>
  <c r="G38" i="1"/>
  <c r="G40" i="1"/>
  <c r="G42" i="1"/>
  <c r="G44" i="1"/>
  <c r="G46" i="1"/>
  <c r="G48" i="1"/>
  <c r="G50" i="1"/>
  <c r="G52" i="1"/>
  <c r="H57" i="1"/>
  <c r="G60" i="1"/>
  <c r="G68" i="1"/>
  <c r="G76" i="1"/>
  <c r="H83" i="1"/>
  <c r="H104" i="1"/>
  <c r="H122" i="1"/>
  <c r="H142" i="1"/>
  <c r="G148" i="1"/>
  <c r="H168" i="1"/>
  <c r="H174" i="1"/>
  <c r="G180" i="1"/>
  <c r="G194" i="1"/>
  <c r="G204" i="1"/>
  <c r="G221" i="1"/>
  <c r="G226" i="1"/>
  <c r="G233" i="1"/>
  <c r="G241" i="1"/>
  <c r="G244" i="1"/>
  <c r="G280" i="1"/>
  <c r="G285" i="1"/>
  <c r="G321" i="1"/>
  <c r="H330" i="1"/>
  <c r="H350" i="1"/>
  <c r="G353" i="1"/>
  <c r="H377" i="1"/>
  <c r="G391" i="1"/>
  <c r="G411" i="1"/>
  <c r="H420" i="1"/>
  <c r="G423" i="1"/>
  <c r="G429" i="1"/>
  <c r="G451" i="1"/>
  <c r="G467" i="1"/>
  <c r="G483" i="1"/>
  <c r="G499" i="1"/>
  <c r="G515" i="1"/>
  <c r="H521" i="1"/>
  <c r="G23" i="1"/>
  <c r="G65" i="1"/>
  <c r="H119" i="1"/>
  <c r="G61" i="1"/>
  <c r="H94" i="1"/>
  <c r="G185" i="1"/>
  <c r="G201" i="1"/>
  <c r="H2" i="1"/>
  <c r="G25" i="1"/>
  <c r="G28" i="1"/>
  <c r="G66" i="1"/>
  <c r="G74" i="1"/>
  <c r="G82" i="1"/>
  <c r="H92" i="1"/>
  <c r="H108" i="1"/>
  <c r="H120" i="1"/>
  <c r="H134" i="1"/>
  <c r="G140" i="1"/>
  <c r="H166" i="1"/>
  <c r="G172" i="1"/>
  <c r="G197" i="1"/>
  <c r="G202" i="1"/>
  <c r="G212" i="1"/>
  <c r="G229" i="1"/>
  <c r="G236" i="1"/>
  <c r="G248" i="1"/>
  <c r="G253" i="1"/>
  <c r="G289" i="1"/>
  <c r="H298" i="1"/>
  <c r="G304" i="1"/>
  <c r="G313" i="1"/>
  <c r="G316" i="1"/>
  <c r="G325" i="1"/>
  <c r="G359" i="1"/>
  <c r="H362" i="1"/>
  <c r="H368" i="1"/>
  <c r="H383" i="1"/>
  <c r="H389" i="1"/>
  <c r="G397" i="1"/>
  <c r="G403" i="1"/>
  <c r="H406" i="1"/>
  <c r="G427" i="1"/>
  <c r="H436" i="1"/>
  <c r="G439" i="1"/>
  <c r="G445" i="1"/>
  <c r="G461" i="1"/>
  <c r="G477" i="1"/>
  <c r="G493" i="1"/>
  <c r="G509" i="1"/>
  <c r="G81" i="1"/>
  <c r="G88" i="1"/>
  <c r="G165" i="1"/>
  <c r="G73" i="1"/>
  <c r="G133" i="1"/>
  <c r="G64" i="1"/>
  <c r="G72" i="1"/>
  <c r="G80" i="1"/>
  <c r="H96" i="1"/>
  <c r="H112" i="1"/>
  <c r="H118" i="1"/>
  <c r="H126" i="1"/>
  <c r="G132" i="1"/>
  <c r="H158" i="1"/>
  <c r="G164" i="1"/>
  <c r="H190" i="1"/>
  <c r="G205" i="1"/>
  <c r="G257" i="1"/>
  <c r="H266" i="1"/>
  <c r="G272" i="1"/>
  <c r="G281" i="1"/>
  <c r="G293" i="1"/>
  <c r="G308" i="1"/>
  <c r="H334" i="1"/>
  <c r="G337" i="1"/>
  <c r="H346" i="1"/>
  <c r="H357" i="1"/>
  <c r="G387" i="1"/>
  <c r="H412" i="1"/>
  <c r="H430" i="1"/>
  <c r="G87" i="1"/>
  <c r="G131" i="1"/>
  <c r="G138" i="1"/>
  <c r="G147" i="1"/>
  <c r="G154" i="1"/>
  <c r="G163" i="1"/>
  <c r="G170" i="1"/>
  <c r="G179" i="1"/>
  <c r="G186" i="1"/>
  <c r="G195" i="1"/>
  <c r="G211" i="1"/>
  <c r="G227" i="1"/>
  <c r="H239" i="1"/>
  <c r="G239" i="1"/>
  <c r="H262" i="1"/>
  <c r="H294" i="1"/>
  <c r="H271" i="1"/>
  <c r="G271" i="1"/>
  <c r="H274" i="1"/>
  <c r="G274" i="1"/>
  <c r="H303" i="1"/>
  <c r="G303" i="1"/>
  <c r="H306" i="1"/>
  <c r="G306" i="1"/>
  <c r="H335" i="1"/>
  <c r="G335" i="1"/>
  <c r="G54" i="1"/>
  <c r="G59" i="1"/>
  <c r="G86" i="1"/>
  <c r="G89" i="1"/>
  <c r="G91" i="1"/>
  <c r="G93" i="1"/>
  <c r="G95" i="1"/>
  <c r="G97" i="1"/>
  <c r="G99" i="1"/>
  <c r="G101" i="1"/>
  <c r="G103" i="1"/>
  <c r="G105" i="1"/>
  <c r="G107" i="1"/>
  <c r="G109" i="1"/>
  <c r="G111" i="1"/>
  <c r="G113" i="1"/>
  <c r="G115" i="1"/>
  <c r="G127" i="1"/>
  <c r="G143" i="1"/>
  <c r="G159" i="1"/>
  <c r="G175" i="1"/>
  <c r="G191" i="1"/>
  <c r="G207" i="1"/>
  <c r="G223" i="1"/>
  <c r="H251" i="1"/>
  <c r="G251" i="1"/>
  <c r="H283" i="1"/>
  <c r="G283" i="1"/>
  <c r="G382" i="1"/>
  <c r="H382" i="1"/>
  <c r="G402" i="1"/>
  <c r="H402" i="1"/>
  <c r="H243" i="1"/>
  <c r="G243" i="1"/>
  <c r="H342" i="1"/>
  <c r="G342" i="1"/>
  <c r="H399" i="1"/>
  <c r="G399" i="1"/>
  <c r="H363" i="1"/>
  <c r="G363" i="1"/>
  <c r="G130" i="1"/>
  <c r="G139" i="1"/>
  <c r="G146" i="1"/>
  <c r="G155" i="1"/>
  <c r="G162" i="1"/>
  <c r="G171" i="1"/>
  <c r="G178" i="1"/>
  <c r="G187" i="1"/>
  <c r="G203" i="1"/>
  <c r="G219" i="1"/>
  <c r="H246" i="1"/>
  <c r="H278" i="1"/>
  <c r="H310" i="1"/>
  <c r="H417" i="1"/>
  <c r="G417" i="1"/>
  <c r="H326" i="1"/>
  <c r="G326" i="1"/>
  <c r="H255" i="1"/>
  <c r="G255" i="1"/>
  <c r="H258" i="1"/>
  <c r="G258" i="1"/>
  <c r="H287" i="1"/>
  <c r="G287" i="1"/>
  <c r="H290" i="1"/>
  <c r="G290" i="1"/>
  <c r="H319" i="1"/>
  <c r="G319" i="1"/>
  <c r="H351" i="1"/>
  <c r="G351" i="1"/>
  <c r="G414" i="1"/>
  <c r="H414" i="1"/>
  <c r="G135" i="1"/>
  <c r="G151" i="1"/>
  <c r="G167" i="1"/>
  <c r="G183" i="1"/>
  <c r="G199" i="1"/>
  <c r="G215" i="1"/>
  <c r="H238" i="1"/>
  <c r="H247" i="1"/>
  <c r="G247" i="1"/>
  <c r="H267" i="1"/>
  <c r="G267" i="1"/>
  <c r="H299" i="1"/>
  <c r="G299" i="1"/>
  <c r="H375" i="1"/>
  <c r="G375" i="1"/>
  <c r="G392" i="1"/>
  <c r="H392" i="1"/>
  <c r="H435" i="1"/>
  <c r="G435" i="1"/>
  <c r="G446" i="1"/>
  <c r="H446" i="1"/>
  <c r="G418" i="1"/>
  <c r="H418" i="1"/>
  <c r="G315" i="1"/>
  <c r="G322" i="1"/>
  <c r="G331" i="1"/>
  <c r="G338" i="1"/>
  <c r="G347" i="1"/>
  <c r="H354" i="1"/>
  <c r="G371" i="1"/>
  <c r="H378" i="1"/>
  <c r="H400" i="1"/>
  <c r="G405" i="1"/>
  <c r="G410" i="1"/>
  <c r="H410" i="1"/>
  <c r="G421" i="1"/>
  <c r="H441" i="1"/>
  <c r="G376" i="1"/>
  <c r="H376" i="1"/>
  <c r="G254" i="1"/>
  <c r="G263" i="1"/>
  <c r="G270" i="1"/>
  <c r="G279" i="1"/>
  <c r="G286" i="1"/>
  <c r="G295" i="1"/>
  <c r="G302" i="1"/>
  <c r="G311" i="1"/>
  <c r="G318" i="1"/>
  <c r="G327" i="1"/>
  <c r="G343" i="1"/>
  <c r="H364" i="1"/>
  <c r="G369" i="1"/>
  <c r="H386" i="1"/>
  <c r="G419" i="1"/>
  <c r="G259" i="1"/>
  <c r="G275" i="1"/>
  <c r="G291" i="1"/>
  <c r="G307" i="1"/>
  <c r="G323" i="1"/>
  <c r="G339" i="1"/>
  <c r="G360" i="1"/>
  <c r="H360" i="1"/>
  <c r="H367" i="1"/>
  <c r="H372" i="1"/>
  <c r="H384" i="1"/>
  <c r="H396" i="1"/>
  <c r="H425" i="1"/>
  <c r="G428" i="1"/>
  <c r="H428" i="1"/>
  <c r="G434" i="1"/>
  <c r="H434" i="1"/>
  <c r="G437" i="1"/>
  <c r="H448" i="1"/>
  <c r="G448" i="1"/>
  <c r="H456" i="1"/>
  <c r="G456" i="1"/>
  <c r="H464" i="1"/>
  <c r="G464" i="1"/>
  <c r="H472" i="1"/>
  <c r="G472" i="1"/>
  <c r="H480" i="1"/>
  <c r="G480" i="1"/>
  <c r="H488" i="1"/>
  <c r="G488" i="1"/>
  <c r="H496" i="1"/>
  <c r="G496" i="1"/>
  <c r="H504" i="1"/>
  <c r="G504" i="1"/>
  <c r="H512" i="1"/>
  <c r="G512" i="1"/>
  <c r="H520" i="1"/>
  <c r="G520" i="1"/>
  <c r="H454" i="1"/>
  <c r="G454" i="1"/>
  <c r="H462" i="1"/>
  <c r="G462" i="1"/>
  <c r="H470" i="1"/>
  <c r="G470" i="1"/>
  <c r="H478" i="1"/>
  <c r="G478" i="1"/>
  <c r="H486" i="1"/>
  <c r="G486" i="1"/>
  <c r="H494" i="1"/>
  <c r="G494" i="1"/>
  <c r="H502" i="1"/>
  <c r="G502" i="1"/>
  <c r="H510" i="1"/>
  <c r="G510" i="1"/>
  <c r="H518" i="1"/>
  <c r="G518" i="1"/>
  <c r="H444" i="1"/>
  <c r="G449" i="1"/>
  <c r="G457" i="1"/>
  <c r="G465" i="1"/>
  <c r="G473" i="1"/>
  <c r="G481" i="1"/>
  <c r="G489" i="1"/>
  <c r="G497" i="1"/>
  <c r="G505" i="1"/>
  <c r="G513" i="1"/>
  <c r="H426" i="1"/>
  <c r="G433" i="1"/>
  <c r="H442" i="1"/>
  <c r="H452" i="1"/>
  <c r="G452" i="1"/>
  <c r="H460" i="1"/>
  <c r="G460" i="1"/>
  <c r="H468" i="1"/>
  <c r="G468" i="1"/>
  <c r="H476" i="1"/>
  <c r="G476" i="1"/>
  <c r="H484" i="1"/>
  <c r="G484" i="1"/>
  <c r="H492" i="1"/>
  <c r="G492" i="1"/>
  <c r="H500" i="1"/>
  <c r="G500" i="1"/>
  <c r="H508" i="1"/>
  <c r="G508" i="1"/>
  <c r="H516" i="1"/>
  <c r="G516" i="1"/>
  <c r="H408" i="1"/>
  <c r="G415" i="1"/>
  <c r="H424" i="1"/>
  <c r="G431" i="1"/>
  <c r="H440" i="1"/>
  <c r="G447" i="1"/>
  <c r="G455" i="1"/>
  <c r="G463" i="1"/>
  <c r="G471" i="1"/>
  <c r="G479" i="1"/>
  <c r="G487" i="1"/>
  <c r="G495" i="1"/>
  <c r="G503" i="1"/>
  <c r="G511" i="1"/>
  <c r="G519" i="1"/>
  <c r="H522" i="1"/>
  <c r="G522" i="1"/>
  <c r="H450" i="1"/>
  <c r="G450" i="1"/>
  <c r="H458" i="1"/>
  <c r="G458" i="1"/>
  <c r="H466" i="1"/>
  <c r="G466" i="1"/>
  <c r="H474" i="1"/>
  <c r="G474" i="1"/>
  <c r="H482" i="1"/>
  <c r="G482" i="1"/>
  <c r="H490" i="1"/>
  <c r="G490" i="1"/>
  <c r="H498" i="1"/>
  <c r="G498" i="1"/>
  <c r="H506" i="1"/>
  <c r="G506" i="1"/>
  <c r="H514" i="1"/>
  <c r="G5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tc={3C7C6706-F355-424F-8D98-BDEF784F7085}</author>
    <author>tc={C420406E-0A05-44A6-80EF-A3A276A6FD7D}</author>
    <author>tc={5C95A6CB-64B3-407B-8AB6-743348615108}</author>
    <author>tc={441DC352-BB0B-40F2-9E4B-A4B99DB11D03}</author>
    <author>tc={3CB13136-3D84-493C-A242-4AAAC83CAD2F}</author>
    <author>tc={D60B1F34-0057-4D51-929E-E70F8ECC3094}</author>
    <author>tc={897D9302-CF67-4528-9689-493FA0538054}</author>
    <author>tc={F07DE704-5569-49D9-B7C7-495E5A1EE3B0}</author>
    <author>tc={3F7EAF06-7A72-44B5-90C3-8517CA5B9F1C}</author>
    <author>tc={4778C42C-B7BC-4E9A-AB3B-C846565C6224}</author>
    <author>tc={DDD3BB7D-8598-4359-91AB-B91975BFE588}</author>
    <author>tc={D0235A30-988E-493D-823B-6D49D17E502A}</author>
    <author>tc={62E679FB-745D-4F08-9D5F-91323AE8CB1E}</author>
    <author>tc={EAAAB08D-67A1-465C-A057-B7169FB478C8}</author>
    <author>tc={33DB4AF5-8A97-4E20-BAD9-F03AEBEF08FA}</author>
    <author>tc={E2587F85-8A43-496D-81CF-39BF4A0A878C}</author>
    <author>tc={A21D9504-1CCF-4AF5-AFDE-41F2B54AC59A}</author>
    <author>tc={7266470F-5A6D-4FDB-945C-848E5A63F129}</author>
    <author>Taillard, Jerome</author>
    <author>tc={D2404EE7-5B04-4C65-854A-7AEA6E3D49AF}</author>
    <author>tc={273E498E-945B-4B38-9A2B-FB302086C698}</author>
    <author>tc={F02AA22D-0F62-4874-8DA3-01B1C0B9253E}</author>
    <author>tc={18D0A0AB-2230-43D2-89F0-D8238FC3C944}</author>
    <author>tc={3F1B7314-A820-400D-A445-19B877BF74DA}</author>
    <author>tc={32781E64-F4DA-4AFC-86E9-211EDA96A4D9}</author>
    <author>tc={13CBB02A-CA9B-406F-872F-E31B0B89A175}</author>
    <author>tc={01677A69-7624-49D1-BF4B-0CD0A96BC2BF}</author>
    <author>tc={78751F52-0D65-4769-9607-DFF7B1FE6BA7}</author>
    <author>tc={84CE2890-3557-48F0-AD38-4C8C9BD10C3B}</author>
    <author>tc={3AA3DF33-84C7-416E-BA5B-B10645576479}</author>
    <author>tc={EEA96459-4485-43D2-8974-50C26BC6D782}</author>
    <author>tc={821A1016-A9F8-490D-9786-8B418868E3A9}</author>
    <author>tc={B9828777-014D-4FC6-8918-A5C03CB6B77E}</author>
    <author>tc={67D10884-6CB7-433E-860D-3ADCBB22B042}</author>
    <author>tc={AC8F38BE-B801-401D-993D-C998B517FA6F}</author>
    <author>tc={DD71FD1D-99F5-484F-AC85-9E0C11F242BB}</author>
    <author>tc={8B39A7B7-061C-4CB0-B3DD-A0CA932F2F09}</author>
    <author>tc={F76CB5AA-9868-4BBA-BF53-8B69F5258070}</author>
    <author>tc={ECC28F41-2CBA-4669-A66D-3C5EE759E5E6}</author>
    <author>tc={40E540A8-D668-4BAB-BE2F-71E4FEF9802A}</author>
    <author>tc={5F19DEC1-B591-4FA3-B254-8B7612ED73DD}</author>
    <author>tc={42A1B0A9-93B2-4E7F-9E10-372CEAEC01D5}</author>
    <author>tc={9EABA470-34D4-499F-8E03-5CCEA0900C37}</author>
    <author>tc={0C9F230E-3FE6-41E6-9481-7A05203AC1B2}</author>
    <author>tc={7FF521E9-C1FC-499F-BA0B-847E5D91AA8B}</author>
    <author>tc={5FC0F996-51DF-431F-89A2-5BC9667C449F}</author>
    <author>tc={8FF2F593-B9B1-404B-B17A-6A7E9A0DC1DF}</author>
    <author>tc={48768694-D03E-4AAF-AEF3-0E6D5B31FCD4}</author>
    <author>tc={8D81D2F8-DB2F-4AC6-A081-1A103CEFE995}</author>
    <author>tc={AEBD8EEC-5462-411F-BA6A-52B7C4CA5C18}</author>
    <author>tc={5E263BF6-1142-46AD-AE0A-3637EFC4976E}</author>
    <author>tc={1B44FC00-BEB9-4B5E-9F59-B2F762AF7FC0}</author>
    <author>tc={3F752F05-D116-4A7C-933E-0E2F4AC2BDF9}</author>
    <author>tc={461DDA1F-CEFE-4691-AA0E-80EAB532D94F}</author>
    <author>tc={A6A540B4-84BA-408B-BCE4-9E4E64108629}</author>
    <author>tc={786692DD-F1D5-4102-8EA4-6EF13593D1E7}</author>
    <author>tc={90539E54-2840-416E-A858-378AEDA2DA08}</author>
    <author>tc={02750704-E723-453C-A3B9-63E3B6CDD27E}</author>
    <author>tc={EBEBB996-B3E1-436E-86FB-250D541AABE1}</author>
    <author>tc={1D862792-AE45-41E5-BC26-170B3E208352}</author>
    <author>tc={2CEB2D8E-065A-4B17-B16E-3543377F83EE}</author>
    <author>tc={00A7D7B1-9922-4A97-A436-B38EADF1DC90}</author>
    <author>tc={312D3F73-25A4-446B-9755-AE475F01A52E}</author>
    <author>tc={4AD57641-0609-4881-AB59-60FC31FD0AE7}</author>
    <author>tc={9DA830ED-23DA-48DA-93AB-6F4D79AB3D15}</author>
    <author>tc={2A1AA232-8F37-4D53-BB74-C1599ADD3B2F}</author>
    <author>tc={0B7E8895-D5FB-46E4-8527-060790933FEA}</author>
    <author>tc={5749156E-AD49-4A23-8045-79304C554D08}</author>
    <author>tc={9E9D8C33-A5EF-4A6D-9747-112727156497}</author>
    <author>tc={B63BE51D-710B-4DA5-8A08-A07B709A773F}</author>
    <author>tc={7AB9CD60-600D-4298-BCE2-8C9CE1C2ED82}</author>
    <author>tc={876D471C-0EAD-407D-85C1-BCD7783F820E}</author>
    <author>tc={4C482254-8DD9-42C2-BF98-763720FBC290}</author>
    <author>tc={1BD79BC3-C265-4E8F-A4B2-A1BADFE343ED}</author>
    <author>tc={94FA1F94-F90F-4141-A942-B2E9803B5983}</author>
    <author>tc={A582AB8F-7683-4F66-943D-962E9289BAD6}</author>
    <author>tc={AE56EB34-4DAF-4EE6-B88F-822045D98A39}</author>
    <author>tc={91C904BE-15C6-420E-81C5-9F883BE6D83D}</author>
    <author>tc={36CB5992-B732-4865-B7A3-98BF859D0606}</author>
    <author>tc={4E375A5A-4F3A-448C-881B-47B15C20F9E0}</author>
    <author>tc={A676F6C5-5118-4091-B44A-4F4AD8115E1D}</author>
    <author>tc={24685826-AAA8-4971-A030-F13AA4C2396C}</author>
    <author>tc={63E8E4E2-7294-45DA-A685-D1D7C62F0451}</author>
    <author>tc={E9EFE005-1882-436D-81EF-F259F439181B}</author>
    <author>tc={5980E25C-CE37-40BA-87E1-759AD37D9AAA}</author>
    <author>tc={C6C77B9D-FE89-4661-B497-D42BF746C6DF}</author>
    <author>tc={2C1EDAC1-9208-4FD3-93AF-06281CFABEDF}</author>
    <author>tc={1BAC2E78-8A8E-47A1-AE62-97613A7513B7}</author>
    <author>tc={63DC3DD0-4913-48D0-9CED-865FE6382CEB}</author>
    <author>tc={C2D55B9A-BAED-468E-949A-0F2C0114AC2E}</author>
    <author>tc={543E49B9-9DE5-4A0B-A809-3ACB20715C80}</author>
    <author>tc={7CC4AFD2-881F-4C99-8A9A-4BFEB475678C}</author>
    <author>tc={6894CE6F-7867-4573-9364-429932844F1C}</author>
    <author>tc={8675E31B-CB68-4B63-AE53-11A74175ED4F}</author>
    <author>tc={9BAA9B3D-7C6C-4BB8-B053-70B5C44897C9}</author>
    <author>tc={0B62A1DA-4870-45B4-8AE4-AF4E4B6CF7A5}</author>
    <author>tc={F31FC8DB-2B2B-48EB-B46E-530C6B049CE6}</author>
    <author>tc={566A0BAB-AD49-44EF-975C-3A2FFC7D8AD8}</author>
    <author>tc={5D6C0D4A-ADC6-4D44-9C7D-B3CB8A45F74A}</author>
    <author>tc={DB0D3635-126C-4F10-A8CF-A53AD338248F}</author>
    <author>tc={7385C215-3ABF-4153-8ACF-C555F0642A3F}</author>
    <author>tc={7A82B87E-F28E-4421-AD93-37028121FCCC}</author>
    <author>tc={0C4681E4-E821-4E50-BCA0-2377CC114B95}</author>
    <author>tc={C8B30A42-73F4-40E2-84A7-D1233539DEEE}</author>
    <author>tc={AC708AA9-4548-43E6-A268-87D63463145C}</author>
    <author>tc={5A5D6E1A-A205-495F-8D2D-0A1FE6BFA3B6}</author>
    <author>tc={8CC0946D-D12F-4F99-9A1B-CE8D5F7BB7B9}</author>
    <author>tc={EB8BE053-0CD6-4DEA-826F-DFDACC8916DA}</author>
    <author>tc={4163561E-FF86-4FD1-B0CF-A16E120F1896}</author>
    <author>tc={25FE3E5B-5B8D-43EA-8DFD-4EFF2B83FD9F}</author>
    <author>tc={912255CB-99B1-4FF0-830A-1B10B38973E6}</author>
    <author>tc={A1C17B3C-10FC-4152-8C7B-ECDAFD917E44}</author>
    <author>tc={284DD6AD-1FC8-461F-B866-E08783C32B36}</author>
    <author>tc={8151319A-3BE3-4D39-91DD-60798017C398}</author>
    <author>tc={9BD5AA54-97F8-4CE5-96F1-B218C7616741}</author>
    <author>tc={FBC0D88D-B3FE-4D51-93AF-5362683B0329}</author>
    <author>tc={70ECC375-D258-4C6D-8DC6-358BE4E63361}</author>
    <author>tc={B8713054-BDC1-412B-A505-C4A019F18AD1}</author>
    <author>tc={B616CE10-0207-4528-AA41-FD39A3703ED0}</author>
    <author>tc={76F6C19F-CE83-47EA-BFB4-124ACB8BA3AE}</author>
    <author>tc={9F69148A-4517-44B9-AFD5-FD3B8C0930F1}</author>
    <author>tc={29A9B7FD-9229-4BB7-9315-5D47E8D497D0}</author>
    <author>tc={2D150964-FB9B-4A79-A263-719D7FD6C938}</author>
    <author>tc={CF1BB9E4-B7CB-4C85-84DA-BD3010BE14AB}</author>
    <author>tc={75944940-456C-412F-82AA-85E413D2C4F6}</author>
    <author>tc={EFA1C5E4-8758-4935-9A92-A3088551180D}</author>
    <author>tc={39B8A906-D0B0-47FC-82DB-79D25E0C7578}</author>
    <author>tc={18C9D0C8-39B3-4084-8674-E1EDECBF6510}</author>
    <author>tc={0A87376D-F244-4D99-BC3B-961D009E6835}</author>
    <author>tc={4BAE8C1B-65A0-4C97-B0CA-1F99AF4617D8}</author>
    <author>tc={70600F61-723F-4B62-A876-2EEAF4B4D08D}</author>
    <author>tc={3596192E-A834-4E07-9C79-08C7AFB51C83}</author>
    <author>tc={FF15753B-CD1C-403C-A162-D825093A6EA2}</author>
    <author>tc={6BD5B054-A731-4312-AC1F-CCB20E89BF5F}</author>
    <author>tc={3188FA49-80DF-41CD-94AC-FE11B855E856}</author>
    <author>tc={2E07DBB2-AF48-43B7-81FB-DADC24173C4C}</author>
    <author>tc={615A331B-7FFB-4F36-899C-CDC90075F282}</author>
    <author>tc={C8829EB8-75F8-437C-99DC-6A4B5BBA4615}</author>
    <author>tc={B4C80B7C-F895-4971-811D-5416C93B4398}</author>
    <author>tc={140B2591-3F35-4294-B030-124DDE44DF7F}</author>
    <author>tc={03201234-8FA6-4B25-AC95-8F1070BEC8DC}</author>
    <author>tc={0D4D84E0-DA22-4D59-B53A-33177122D956}</author>
    <author>tc={62583A62-C1DC-4270-AE10-EDEDDA1EE978}</author>
    <author>tc={4C67AE95-86A5-4284-BA84-51565E8598C9}</author>
    <author>tc={4A6B3232-4205-4C8C-AC85-6A1B903E98C6}</author>
    <author>tc={BA5DCC9F-6BA0-4E9F-B6F5-554D5FD46B4A}</author>
    <author>tc={8AAE6AFA-2F56-4ED1-8998-B590590D4405}</author>
    <author>tc={5107C0D0-0DC2-443C-9A69-013C1F6487C9}</author>
    <author>tc={D4F3687B-4C88-4C75-A0C0-5BFC80B4492C}</author>
    <author>tc={222BACFE-E791-4B74-B55D-29D89CC884AA}</author>
    <author>tc={1B377F75-4B79-443B-810F-63815E21C400}</author>
    <author>tc={CDE7BA2C-7FEA-46BF-AC71-1789FE72D604}</author>
    <author>tc={9E564ADB-1362-4594-ABD4-E5897879C594}</author>
    <author>tc={D5D5DBBB-C203-4ACF-9891-2EA6DADC632B}</author>
    <author>tc={ED707565-1D0A-4E32-BDB7-9C01CFF0D328}</author>
    <author>tc={E2CE11CE-2871-4B62-BF9C-EFEEA4B99864}</author>
    <author>tc={1FC5F852-F468-4832-9EEE-8AC1820298C0}</author>
    <author>tc={6CDB1FD9-106D-436F-B811-23EE6A211172}</author>
    <author>tc={09E92CD2-3C5B-4B13-9D34-B075F96B069A}</author>
    <author>tc={41BD1C0E-7283-446C-B6AC-A6FA1E32092A}</author>
    <author>tc={42D4C0BD-BF51-4E30-AE95-9023A07870BF}</author>
    <author>tc={8E8BD0A0-CE1D-490D-942E-4234E781BF06}</author>
    <author>tc={BA665B9B-0E2B-4371-94DA-3810E4F4C361}</author>
    <author>tc={EE3AE5B0-F626-4A8A-BAAD-7939EE26D848}</author>
    <author>tc={A403DAD8-A077-4F50-8CD4-9F505545F5F4}</author>
    <author>tc={CE68D670-B1B1-42C4-91B5-5D1A1F1F414A}</author>
    <author>tc={45C2A76C-1B1C-4D45-A423-0388170918F0}</author>
    <author>tc={FB758D66-83FA-4D86-A163-8E56068B5078}</author>
    <author>tc={97BC3615-6C62-4615-A37F-73E4B65186BB}</author>
    <author>tc={ECFF309E-4192-45A8-B1E8-F799B5D9D1AF}</author>
    <author>tc={B2B56221-07A5-4B4E-8222-E467C38FFF6F}</author>
    <author>tc={DC4340BE-BC25-44C0-B7EE-61DC9AFAE1AA}</author>
    <author>tc={22666C7F-8C45-44E9-86DC-30D13949D506}</author>
    <author>tc={EAA817DA-06EE-49FE-8A9D-AB37AB962155}</author>
    <author>tc={23AFFC8B-9A24-46EA-8F09-287E98C60C19}</author>
    <author>tc={06C1928A-5803-42AE-81DE-DDC726A5AE96}</author>
    <author>tc={EEFDE4B9-C085-49A6-A65B-D44FC363C457}</author>
    <author>tc={5090FC4A-CE9F-46F4-9EFE-78FA71652A99}</author>
    <author>tc={11A6E58B-A3D9-4B6F-9631-9384E5D2CFB5}</author>
    <author>tc={4BE1643D-8BC5-4128-BB2D-B23B26D53294}</author>
    <author>tc={A40C93AB-44BB-44B2-8731-EAD7A55BD48C}</author>
    <author>tc={A7730294-6D0F-437D-A081-C0DFE2347121}</author>
    <author>tc={BD2892CF-F43A-4AB7-B0FC-84485E245DDD}</author>
    <author>tc={563B1507-7863-42ED-AD72-99518DA2EAD4}</author>
    <author>tc={4B482983-4EF2-4B45-AC1D-04CA0453BD72}</author>
    <author>tc={A81E9F12-9138-46CF-9889-9D3E6344A647}</author>
    <author>tc={95C240E3-86D4-40D7-8F9D-2D511C41CCB3}</author>
    <author>tc={263612DC-1C8E-4B28-8594-B9EFE19E50D7}</author>
    <author>tc={DA06C173-1D27-4F72-9051-33C4DF5A8653}</author>
    <author>tc={5B0C07E0-B32F-4517-AB26-B092AE19D90E}</author>
    <author>tc={D768B4F6-F178-409B-8112-13A291C52572}</author>
    <author>tc={3AAF0365-E150-4C24-9480-572FEE462F03}</author>
    <author>tc={708CC13B-B70A-4A70-9D86-F1949FABF1B0}</author>
    <author>tc={EC67B62B-587D-4A40-B8B8-8CCB20C1E0D1}</author>
    <author>tc={98E7AB8C-87EA-495A-8934-EEA901D0B79B}</author>
    <author>tc={7AD13466-ADC4-4A4C-BD1D-2799E6C681B2}</author>
    <author>tc={B13B9ECA-80D0-492A-AE7B-4196B8D0BFAF}</author>
    <author>tc={36074991-B7C8-428F-8427-6ED0EF9EFC73}</author>
    <author>tc={77C25F55-E754-4926-ADE0-88962B99382A}</author>
    <author>tc={602E2519-B506-4403-9C69-7F8E54F228AA}</author>
    <author>tc={A431E96C-C59A-43AB-8966-6F24A25D9F38}</author>
    <author>tc={017F0496-59F8-4A7E-8A6D-313F43A0B8A0}</author>
    <author>tc={73CB0882-C7B2-454B-A6CC-89E603702370}</author>
    <author>tc={D9888441-9D74-4011-BAE3-4FE63450A56A}</author>
    <author>tc={52EABDAA-3692-4EF1-9BAD-41B7A04EFE04}</author>
    <author>tc={0094F79E-68DE-40E3-AD50-D756F849D1C5}</author>
    <author>tc={4DFFE829-E814-4FA4-892D-D389214C678D}</author>
    <author>tc={B8CBE6E3-7EF6-4CAF-B9A1-F7AE379E69DC}</author>
    <author>tc={1F7793B9-C05C-4471-86B1-1EE7AD5B91B8}</author>
    <author>tc={85ACE8C5-E744-4D32-8279-114507C2A091}</author>
    <author>tc={B8E8B579-D95E-47BA-B232-6007C2B0F4EB}</author>
    <author>tc={905A794E-B62F-454D-9F65-A564D410862A}</author>
    <author>tc={CD7820A2-49E9-4FE9-ABD5-B1E74B416C66}</author>
    <author>tc={82DDEEBA-1B53-40CF-9486-1B89B86DCAFA}</author>
    <author>tc={91E6A58C-A63B-40B9-8E52-7822B2126BA0}</author>
    <author>tc={096FA1F6-B1EE-4678-AC28-FAAC62941A6D}</author>
    <author>tc={14F739E2-556B-4AFA-95DE-E8E701A8FEC8}</author>
    <author>tc={7B48E1C3-B582-42B5-B688-6BF61A1C00DA}</author>
    <author>tc={A6FCEA0C-21BB-4473-BFC4-95B06E4F99E7}</author>
    <author>tc={8F1D561F-6DE7-49F2-95F6-7CFF66177993}</author>
    <author>tc={A43F0639-997F-4D72-A6AA-FC906975DD77}</author>
    <author>tc={55099B6F-B236-4899-A9DB-0DBD198A89D3}</author>
    <author>tc={78F23F90-5EA2-43BD-BEA4-A9BA2D93F2A4}</author>
    <author>tc={F68A1988-DB47-4139-ADAC-52A861B3F6AD}</author>
    <author>tc={83DDC9CD-4CDC-4D61-9C94-505D559925FB}</author>
    <author>tc={074A8675-C2B9-4171-8D48-265A73E828D2}</author>
    <author>tc={3D653878-C6EC-46B6-BD93-A0FFBD748B9C}</author>
    <author>tc={CFB693B8-B878-4B83-8F53-A049677C241A}</author>
    <author>tc={989EF5A6-EA54-425D-B688-420BF5E2C00F}</author>
    <author>tc={E5356006-75EC-497B-A183-3BAA85331C8D}</author>
    <author>tc={93D24DA1-5FF1-4C49-AD0C-4281CBAA7554}</author>
    <author>tc={2EDD0A16-F541-4CCA-A7CF-2336CA0CCA16}</author>
    <author>tc={F72A202B-DE9A-4DD6-BAAB-C5F121D103F6}</author>
    <author>tc={08593B2C-00F4-4895-9067-BA622E42ED77}</author>
    <author>tc={DF282A68-785A-4ED2-8E15-224E54573ACA}</author>
    <author>tc={065AB77E-3855-4F6D-B024-1DFA08B35B52}</author>
    <author>tc={A7618C8B-ABFA-454F-A519-C59E3A19FF7F}</author>
    <author>tc={693D87EC-0844-4173-82E4-F3F4EF8F813A}</author>
    <author>tc={436CE78C-E0F7-4473-B015-5B21AC350726}</author>
    <author>tc={4083A042-25F5-4E8F-A217-5AF842EE9472}</author>
    <author>tc={E885124C-DEFE-4FE1-B1FA-DEBF8C10DB51}</author>
    <author>tc={1AC05B2B-B516-4321-8C44-7C3AA2A498D1}</author>
    <author>tc={205C1396-3453-4FB5-A289-AD2D6219CCEB}</author>
    <author>tc={98FF7B50-EBEF-466C-AD19-6ABC0C67E3AA}</author>
    <author>tc={EABE2806-3746-4EFA-9D20-219084FAA530}</author>
    <author>tc={C788D510-D51F-4F35-8926-7F7B0C65589B}</author>
    <author>tc={ABE4F65F-BB8C-4505-86A3-B809D75305ED}</author>
    <author>tc={F4016FC2-7415-4E0B-A8FE-3476074622C9}</author>
    <author>tc={88762715-99B4-4475-BAF3-B1FFCDFAF49C}</author>
    <author>tc={FB23FB7D-4571-436F-AE68-958C1FDCCAF0}</author>
    <author>tc={218DBBF6-FEEB-4494-A902-A0C64608004D}</author>
    <author>tc={4D39B0EC-0391-4123-A7EA-0E735CBC7FC0}</author>
    <author>tc={7C885265-8AA2-47F7-8F8A-B6474A272BBF}</author>
    <author>tc={77F239D9-DEE9-4E9D-94A4-7F3879BD96D2}</author>
    <author>tc={35840CBD-FF23-44D7-9E19-883F56D15978}</author>
    <author>tc={3B6FD15F-5E2F-4B9C-89E4-6284FCB75911}</author>
  </authors>
  <commentList>
    <comment ref="L1" authorId="0" shapeId="0" xr:uid="{3C7C6706-F355-424F-8D98-BDEF784F7085}">
      <text>
        <t>[Threaded comment]
Your version of Excel allows you to read this threaded comment; however, any edits to it will get removed if the file is opened in a newer version of Excel. Learn more: https://go.microsoft.com/fwlink/?linkid=870924
Comment:
    COGS2 is filled for every firm where we only know with confidence operating expenses (OPEX) before Depreciation and Amortization (D&amp;A).
Reply:
    It is not COGS
Reply:
    It is a consistent time series for each firm where it is not empty
Reply:
    Sales -cogs2 should be close to ebitda
However, there could be discrepancies (e.g. restructuring costs not included)</t>
      </text>
    </comment>
    <comment ref="N1" authorId="1" shapeId="0" xr:uid="{C420406E-0A05-44A6-80EF-A3A276A6FD7D}">
      <text>
        <t>[Threaded comment]
Your version of Excel allows you to read this threaded comment; however, any edits to it will get removed if the file is opened in a newer version of Excel. Learn more: https://go.microsoft.com/fwlink/?linkid=870924
Comment:
    SG&amp;A time series, but only when we are confident we have it well measured for all years of a given firm.
Reply:
    Note: many of the old xsga from Compustat included R&amp;D when it was there for only a subset of years. So although we did not augment the data that much, I am MUCH MORE CONFIDENT about the SG&amp;A time series for the firm-years below than what Compustat had partially filled for these firms.</t>
      </text>
    </comment>
    <comment ref="P1" authorId="2" shapeId="0" xr:uid="{5C95A6CB-64B3-407B-8AB6-743348615108}">
      <text>
        <t>[Threaded comment]
Your version of Excel allows you to read this threaded comment; however, any edits to it will get removed if the file is opened in a newer version of Excel. Learn more: https://go.microsoft.com/fwlink/?linkid=870924
Comment:
    This is almost the same as xrd. Two firms were taken out because the time series of R&amp;D could not be consistent across all obs of that firm.</t>
      </text>
    </comment>
    <comment ref="Q2" authorId="3" shapeId="0" xr:uid="{441DC352-BB0B-40F2-9E4B-A4B99DB11D03}">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3" authorId="4" shapeId="0" xr:uid="{3CB13136-3D84-493C-A242-4AAAC83CAD2F}">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4" authorId="5" shapeId="0" xr:uid="{D60B1F34-0057-4D51-929E-E70F8ECC3094}">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5" authorId="6" shapeId="0" xr:uid="{897D9302-CF67-4528-9689-493FA0538054}">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M6" authorId="7" shapeId="0" xr:uid="{F07DE704-5569-49D9-B7C7-495E5A1EE3B0}">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6" authorId="8" shapeId="0" xr:uid="{3F7EAF06-7A72-44B5-90C3-8517CA5B9F1C}">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S6" authorId="9" shapeId="0" xr:uid="{4778C42C-B7BC-4E9A-AB3B-C846565C6224}">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7" authorId="10" shapeId="0" xr:uid="{DDD3BB7D-8598-4359-91AB-B91975BFE588}">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8" authorId="11" shapeId="0" xr:uid="{D0235A30-988E-493D-823B-6D49D17E502A}">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9" authorId="12" shapeId="0" xr:uid="{62E679FB-745D-4F08-9D5F-91323AE8CB1E}">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10" authorId="13" shapeId="0" xr:uid="{EAAAB08D-67A1-465C-A057-B7169FB478C8}">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11" authorId="14" shapeId="0" xr:uid="{33DB4AF5-8A97-4E20-BAD9-F03AEBEF08FA}">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T22" authorId="15" shapeId="0" xr:uid="{E2587F85-8A43-496D-81CF-39BF4A0A878C}">
      <text>
        <t>[Threaded comment]
Your version of Excel allows you to read this threaded comment; however, any edits to it will get removed if the file is opened in a newer version of Excel. Learn more: https://go.microsoft.com/fwlink/?linkid=870924
Comment:
    A bit off and I am not sure why</t>
      </text>
    </comment>
    <comment ref="K29" authorId="16" shapeId="0" xr:uid="{A21D9504-1CCF-4AF5-AFDE-41F2B54AC59A}">
      <text>
        <t>[Threaded comment]
Your version of Excel allows you to read this threaded comment; however, any edits to it will get removed if the file is opened in a newer version of Excel. Learn more: https://go.microsoft.com/fwlink/?linkid=870924
Comment:
    Add commissions, subtract D&amp;A (for this year and all previous years)</t>
      </text>
    </comment>
    <comment ref="R29" authorId="17" shapeId="0" xr:uid="{7266470F-5A6D-4FDB-945C-848E5A63F129}">
      <text>
        <t>[Threaded comment]
Your version of Excel allows you to read this threaded comment; however, any edits to it will get removed if the file is opened in a newer version of Excel. Learn more: https://go.microsoft.com/fwlink/?linkid=870924
Comment:
    Very off and no good explanation</t>
      </text>
    </comment>
    <comment ref="Q32" authorId="18" shapeId="0" xr:uid="{E589D6BD-D590-4FC8-8396-127D41FF243C}">
      <text>
        <r>
          <rPr>
            <b/>
            <sz val="9"/>
            <color indexed="81"/>
            <rFont val="Tahoma"/>
            <family val="2"/>
          </rPr>
          <t>Taillard, Jerome:</t>
        </r>
        <r>
          <rPr>
            <sz val="9"/>
            <color indexed="81"/>
            <rFont val="Tahoma"/>
            <family val="2"/>
          </rPr>
          <t xml:space="preserve">
Salaries
Computer, and other IT equipment
Data costs
Other operating expenses
</t>
        </r>
      </text>
    </comment>
    <comment ref="Q38" authorId="19" shapeId="0" xr:uid="{D2404EE7-5B04-4C65-854A-7AEA6E3D49AF}">
      <text>
        <t>[Threaded comment]
Your version of Excel allows you to read this threaded comment; however, any edits to it will get removed if the file is opened in a newer version of Excel. Learn more: https://go.microsoft.com/fwlink/?linkid=870924
Comment:
    First year with SG&amp;A separated out</t>
      </text>
    </comment>
    <comment ref="Q39" authorId="20" shapeId="0" xr:uid="{273E498E-945B-4B38-9A2B-FB302086C698}">
      <text>
        <t>[Threaded comment]
Your version of Excel allows you to read this threaded comment; however, any edits to it will get removed if the file is opened in a newer version of Excel. Learn more: https://go.microsoft.com/fwlink/?linkid=870924
Comment:
    First year with SG&amp;A separated out</t>
      </text>
    </comment>
    <comment ref="Q40" authorId="21" shapeId="0" xr:uid="{F02AA22D-0F62-4874-8DA3-01B1C0B9253E}">
      <text>
        <t>[Threaded comment]
Your version of Excel allows you to read this threaded comment; however, any edits to it will get removed if the file is opened in a newer version of Excel. Learn more: https://go.microsoft.com/fwlink/?linkid=870924
Comment:
    First year with SG&amp;A separated out</t>
      </text>
    </comment>
    <comment ref="Q41" authorId="22" shapeId="0" xr:uid="{18D0A0AB-2230-43D2-89F0-D8238FC3C944}">
      <text>
        <t>[Threaded comment]
Your version of Excel allows you to read this threaded comment; however, any edits to it will get removed if the file is opened in a newer version of Excel. Learn more: https://go.microsoft.com/fwlink/?linkid=870924
Comment:
    First year with SG&amp;A separated out</t>
      </text>
    </comment>
    <comment ref="K52" authorId="23" shapeId="0" xr:uid="{3F1B7314-A820-400D-A445-19B877BF74DA}">
      <text>
        <t>[Threaded comment]
Your version of Excel allows you to read this threaded comment; however, any edits to it will get removed if the file is opened in a newer version of Excel. Learn more: https://go.microsoft.com/fwlink/?linkid=870924
Comment:
    Commissions and royalties</t>
      </text>
    </comment>
    <comment ref="K53" authorId="24" shapeId="0" xr:uid="{32781E64-F4DA-4AFC-86E9-211EDA96A4D9}">
      <text>
        <t>[Threaded comment]
Your version of Excel allows you to read this threaded comment; however, any edits to it will get removed if the file is opened in a newer version of Excel. Learn more: https://go.microsoft.com/fwlink/?linkid=870924
Comment:
    Commissions and royalties</t>
      </text>
    </comment>
    <comment ref="K54" authorId="25" shapeId="0" xr:uid="{13CBB02A-CA9B-406F-872F-E31B0B89A175}">
      <text>
        <t>[Threaded comment]
Your version of Excel allows you to read this threaded comment; however, any edits to it will get removed if the file is opened in a newer version of Excel. Learn more: https://go.microsoft.com/fwlink/?linkid=870924
Comment:
    Commissions and royalties</t>
      </text>
    </comment>
    <comment ref="K55" authorId="26" shapeId="0" xr:uid="{01677A69-7624-49D1-BF4B-0CD0A96BC2BF}">
      <text>
        <t>[Threaded comment]
Your version of Excel allows you to read this threaded comment; however, any edits to it will get removed if the file is opened in a newer version of Excel. Learn more: https://go.microsoft.com/fwlink/?linkid=870924
Comment:
    Commissions and royalties</t>
      </text>
    </comment>
    <comment ref="K56" authorId="27" shapeId="0" xr:uid="{78751F52-0D65-4769-9607-DFF7B1FE6BA7}">
      <text>
        <t>[Threaded comment]
Your version of Excel allows you to read this threaded comment; however, any edits to it will get removed if the file is opened in a newer version of Excel. Learn more: https://go.microsoft.com/fwlink/?linkid=870924
Comment:
    Commissions and royalties</t>
      </text>
    </comment>
    <comment ref="M56" authorId="28" shapeId="0" xr:uid="{84CE2890-3557-48F0-AD38-4C8C9BD10C3B}">
      <text>
        <t>[Threaded comment]
Your version of Excel allows you to read this threaded comment; however, any edits to it will get removed if the file is opened in a newer version of Excel. Learn more: https://go.microsoft.com/fwlink/?linkid=870924
Comment:
    Includes cost of professional services</t>
      </text>
    </comment>
    <comment ref="K57" authorId="29" shapeId="0" xr:uid="{3AA3DF33-84C7-416E-BA5B-B10645576479}">
      <text>
        <t>[Threaded comment]
Your version of Excel allows you to read this threaded comment; however, any edits to it will get removed if the file is opened in a newer version of Excel. Learn more: https://go.microsoft.com/fwlink/?linkid=870924
Comment:
    Commissions and royalties</t>
      </text>
    </comment>
    <comment ref="M57" authorId="30" shapeId="0" xr:uid="{EEA96459-4485-43D2-8974-50C26BC6D782}">
      <text>
        <t>[Threaded comment]
Your version of Excel allows you to read this threaded comment; however, any edits to it will get removed if the file is opened in a newer version of Excel. Learn more: https://go.microsoft.com/fwlink/?linkid=870924
Comment:
    Includes cost of professional services</t>
      </text>
    </comment>
    <comment ref="K58" authorId="31" shapeId="0" xr:uid="{821A1016-A9F8-490D-9786-8B418868E3A9}">
      <text>
        <t>[Threaded comment]
Your version of Excel allows you to read this threaded comment; however, any edits to it will get removed if the file is opened in a newer version of Excel. Learn more: https://go.microsoft.com/fwlink/?linkid=870924
Comment:
    Commissions and royalties</t>
      </text>
    </comment>
    <comment ref="M58" authorId="32" shapeId="0" xr:uid="{B9828777-014D-4FC6-8918-A5C03CB6B77E}">
      <text>
        <t>[Threaded comment]
Your version of Excel allows you to read this threaded comment; however, any edits to it will get removed if the file is opened in a newer version of Excel. Learn more: https://go.microsoft.com/fwlink/?linkid=870924
Comment:
    Includes cost of professional services</t>
      </text>
    </comment>
    <comment ref="K59" authorId="33" shapeId="0" xr:uid="{67D10884-6CB7-433E-860D-3ADCBB22B042}">
      <text>
        <t>[Threaded comment]
Your version of Excel allows you to read this threaded comment; however, any edits to it will get removed if the file is opened in a newer version of Excel. Learn more: https://go.microsoft.com/fwlink/?linkid=870924
Comment:
    Commissions and royalties</t>
      </text>
    </comment>
    <comment ref="M59" authorId="34" shapeId="0" xr:uid="{AC8F38BE-B801-401D-993D-C998B517FA6F}">
      <text>
        <t>[Threaded comment]
Your version of Excel allows you to read this threaded comment; however, any edits to it will get removed if the file is opened in a newer version of Excel. Learn more: https://go.microsoft.com/fwlink/?linkid=870924
Comment:
    Includes cost of professional services</t>
      </text>
    </comment>
    <comment ref="K60" authorId="35" shapeId="0" xr:uid="{DD71FD1D-99F5-484F-AC85-9E0C11F242BB}">
      <text>
        <t>[Threaded comment]
Your version of Excel allows you to read this threaded comment; however, any edits to it will get removed if the file is opened in a newer version of Excel. Learn more: https://go.microsoft.com/fwlink/?linkid=870924
Comment:
    Commissions and royalties</t>
      </text>
    </comment>
    <comment ref="M60" authorId="36" shapeId="0" xr:uid="{8B39A7B7-061C-4CB0-B3DD-A0CA932F2F09}">
      <text>
        <t>[Threaded comment]
Your version of Excel allows you to read this threaded comment; however, any edits to it will get removed if the file is opened in a newer version of Excel. Learn more: https://go.microsoft.com/fwlink/?linkid=870924
Comment:
    Includes cost of professional services</t>
      </text>
    </comment>
    <comment ref="K61" authorId="37" shapeId="0" xr:uid="{F76CB5AA-9868-4BBA-BF53-8B69F5258070}">
      <text>
        <t>[Threaded comment]
Your version of Excel allows you to read this threaded comment; however, any edits to it will get removed if the file is opened in a newer version of Excel. Learn more: https://go.microsoft.com/fwlink/?linkid=870924
Comment:
    Commissions and royalties</t>
      </text>
    </comment>
    <comment ref="M61" authorId="38" shapeId="0" xr:uid="{ECC28F41-2CBA-4669-A66D-3C5EE759E5E6}">
      <text>
        <t>[Threaded comment]
Your version of Excel allows you to read this threaded comment; however, any edits to it will get removed if the file is opened in a newer version of Excel. Learn more: https://go.microsoft.com/fwlink/?linkid=870924
Comment:
    Includes cost of professional services</t>
      </text>
    </comment>
    <comment ref="Q72" authorId="39" shapeId="0" xr:uid="{40E540A8-D668-4BAB-BE2F-71E4FEF9802A}">
      <text>
        <t xml:space="preserve">[Threaded comment]
Your version of Excel allows you to read this threaded comment; however, any edits to it will get removed if the file is opened in a newer version of Excel. Learn more: https://go.microsoft.com/fwlink/?linkid=870924
Comment:
    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
      </text>
    </comment>
    <comment ref="Q73" authorId="40" shapeId="0" xr:uid="{5F19DEC1-B591-4FA3-B254-8B7612ED73DD}">
      <text>
        <t xml:space="preserve">[Threaded comment]
Your version of Excel allows you to read this threaded comment; however, any edits to it will get removed if the file is opened in a newer version of Excel. Learn more: https://go.microsoft.com/fwlink/?linkid=870924
Comment:
    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
      </text>
    </comment>
    <comment ref="Q74" authorId="41" shapeId="0" xr:uid="{42A1B0A9-93B2-4E7F-9E10-372CEAEC01D5}">
      <text>
        <t xml:space="preserve">[Threaded comment]
Your version of Excel allows you to read this threaded comment; however, any edits to it will get removed if the file is opened in a newer version of Excel. Learn more: https://go.microsoft.com/fwlink/?linkid=870924
Comment:
    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
      </text>
    </comment>
    <comment ref="Q75" authorId="42" shapeId="0" xr:uid="{9EABA470-34D4-499F-8E03-5CCEA0900C37}">
      <text>
        <t xml:space="preserve">[Threaded comment]
Your version of Excel allows you to read this threaded comment; however, any edits to it will get removed if the file is opened in a newer version of Excel. Learn more: https://go.microsoft.com/fwlink/?linkid=870924
Comment:
    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
      </text>
    </comment>
    <comment ref="Q76" authorId="43" shapeId="0" xr:uid="{0C9F230E-3FE6-41E6-9481-7A05203AC1B2}">
      <text>
        <t xml:space="preserve">[Threaded comment]
Your version of Excel allows you to read this threaded comment; however, any edits to it will get removed if the file is opened in a newer version of Excel. Learn more: https://go.microsoft.com/fwlink/?linkid=870924
Comment:
    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
      </text>
    </comment>
    <comment ref="Q77" authorId="44" shapeId="0" xr:uid="{7FF521E9-C1FC-499F-BA0B-847E5D91AA8B}">
      <text>
        <t xml:space="preserve">[Threaded comment]
Your version of Excel allows you to read this threaded comment; however, any edits to it will get removed if the file is opened in a newer version of Excel. Learn more: https://go.microsoft.com/fwlink/?linkid=870924
Comment:
    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
      </text>
    </comment>
    <comment ref="Q78" authorId="45" shapeId="0" xr:uid="{5FC0F996-51DF-431F-89A2-5BC9667C449F}">
      <text>
        <t xml:space="preserve">[Threaded comment]
Your version of Excel allows you to read this threaded comment; however, any edits to it will get removed if the file is opened in a newer version of Excel. Learn more: https://go.microsoft.com/fwlink/?linkid=870924
Comment:
    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
      </text>
    </comment>
    <comment ref="Q79" authorId="46" shapeId="0" xr:uid="{8FF2F593-B9B1-404B-B17A-6A7E9A0DC1DF}">
      <text>
        <t xml:space="preserve">[Threaded comment]
Your version of Excel allows you to read this threaded comment; however, any edits to it will get removed if the file is opened in a newer version of Excel. Learn more: https://go.microsoft.com/fwlink/?linkid=870924
Comment:
    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
      </text>
    </comment>
    <comment ref="Q80" authorId="47" shapeId="0" xr:uid="{48768694-D03E-4AAF-AEF3-0E6D5B31FCD4}">
      <text>
        <t xml:space="preserve">[Threaded comment]
Your version of Excel allows you to read this threaded comment; however, any edits to it will get removed if the file is opened in a newer version of Excel. Learn more: https://go.microsoft.com/fwlink/?linkid=870924
Comment:
    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
      </text>
    </comment>
    <comment ref="Q81" authorId="48" shapeId="0" xr:uid="{8D81D2F8-DB2F-4AC6-A081-1A103CEFE995}">
      <text>
        <t xml:space="preserve">[Threaded comment]
Your version of Excel allows you to read this threaded comment; however, any edits to it will get removed if the file is opened in a newer version of Excel. Learn more: https://go.microsoft.com/fwlink/?linkid=870924
Comment:
    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
      </text>
    </comment>
    <comment ref="Q82" authorId="49" shapeId="0" xr:uid="{AEBD8EEC-5462-411F-BA6A-52B7C4CA5C18}">
      <text>
        <t>[Threaded comment]
Your version of Excel allows you to read this threaded comment; however, any edits to it will get removed if the file is opened in a newer version of Excel. Learn more: https://go.microsoft.com/fwlink/?linkid=870924
Comment:
    I did not include provision for uncollectable accounts receivables.</t>
      </text>
    </comment>
    <comment ref="Q83" authorId="50" shapeId="0" xr:uid="{5E263BF6-1142-46AD-AE0A-3637EFC4976E}">
      <text>
        <t>[Threaded comment]
Your version of Excel allows you to read this threaded comment; however, any edits to it will get removed if the file is opened in a newer version of Excel. Learn more: https://go.microsoft.com/fwlink/?linkid=870924
Comment:
    Compustat added to SG&amp;A both legal expenses and provisions for uncollectible accounts receivables. I excluded them.</t>
      </text>
    </comment>
    <comment ref="Q84" authorId="51" shapeId="0" xr:uid="{1B44FC00-BEB9-4B5E-9F59-B2F762AF7FC0}">
      <text>
        <t>[Threaded comment]
Your version of Excel allows you to read this threaded comment; however, any edits to it will get removed if the file is opened in a newer version of Excel. Learn more: https://go.microsoft.com/fwlink/?linkid=870924
Comment:
    Compustat added to SG&amp;A both legal expenses and provisions for uncollectible accounts receivables. I excluded them.</t>
      </text>
    </comment>
    <comment ref="Q85" authorId="52" shapeId="0" xr:uid="{3F752F05-D116-4A7C-933E-0E2F4AC2BDF9}">
      <text>
        <t>[Threaded comment]
Your version of Excel allows you to read this threaded comment; however, any edits to it will get removed if the file is opened in a newer version of Excel. Learn more: https://go.microsoft.com/fwlink/?linkid=870924
Comment:
    Compustat added to SG&amp;A both legal expenses and provisions for uncollectible accounts receivables. I excluded them.</t>
      </text>
    </comment>
    <comment ref="Q86" authorId="53" shapeId="0" xr:uid="{461DDA1F-CEFE-4691-AA0E-80EAB532D94F}">
      <text>
        <t>[Threaded comment]
Your version of Excel allows you to read this threaded comment; however, any edits to it will get removed if the file is opened in a newer version of Excel. Learn more: https://go.microsoft.com/fwlink/?linkid=870924
Comment:
    Compustat added to SG&amp;A both legal expenses and provisions for uncollectible accounts receivables. I excluded them.</t>
      </text>
    </comment>
    <comment ref="Q87" authorId="54" shapeId="0" xr:uid="{A6A540B4-84BA-408B-BCE4-9E4E64108629}">
      <text>
        <t>[Threaded comment]
Your version of Excel allows you to read this threaded comment; however, any edits to it will get removed if the file is opened in a newer version of Excel. Learn more: https://go.microsoft.com/fwlink/?linkid=870924
Comment:
    Compustat added to SG&amp;A both legal expenses and provisions for uncollectible accounts receivables. I excluded them.</t>
      </text>
    </comment>
    <comment ref="Q88" authorId="55" shapeId="0" xr:uid="{786692DD-F1D5-4102-8EA4-6EF13593D1E7}">
      <text>
        <t>[Threaded comment]
Your version of Excel allows you to read this threaded comment; however, any edits to it will get removed if the file is opened in a newer version of Excel. Learn more: https://go.microsoft.com/fwlink/?linkid=870924
Comment:
    Compustat added to SG&amp;A both legal expenses and provisions for uncollectible accounts receivables. I excluded them.</t>
      </text>
    </comment>
    <comment ref="M94" authorId="56" shapeId="0" xr:uid="{90539E54-2840-416E-A858-378AEDA2DA08}">
      <text>
        <t xml:space="preserve">[Threaded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t>
      </text>
    </comment>
    <comment ref="Q94" authorId="57" shapeId="0" xr:uid="{02750704-E723-453C-A3B9-63E3B6CDD27E}">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S94" authorId="58" shapeId="0" xr:uid="{EBEBB996-B3E1-436E-86FB-250D541AABE1}">
      <text>
        <t xml:space="preserve">[Threaded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t>
      </text>
    </comment>
    <comment ref="Q95" authorId="59" shapeId="0" xr:uid="{1D862792-AE45-41E5-BC26-170B3E208352}">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96" authorId="60" shapeId="0" xr:uid="{2CEB2D8E-065A-4B17-B16E-3543377F83EE}">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97" authorId="61" shapeId="0" xr:uid="{00A7D7B1-9922-4A97-A436-B38EADF1DC90}">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98" authorId="62" shapeId="0" xr:uid="{312D3F73-25A4-446B-9755-AE475F01A52E}">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T102" authorId="63" shapeId="0" xr:uid="{4AD57641-0609-4881-AB59-60FC31FD0AE7}">
      <text>
        <t>[Threaded comment]
Your version of Excel allows you to read this threaded comment; however, any edits to it will get removed if the file is opened in a newer version of Excel. Learn more: https://go.microsoft.com/fwlink/?linkid=870924
Comment:
    Cannot reconcile with Compustat!</t>
      </text>
    </comment>
    <comment ref="T104" authorId="64" shapeId="0" xr:uid="{9DA830ED-23DA-48DA-93AB-6F4D79AB3D15}">
      <text>
        <t>[Threaded comment]
Your version of Excel allows you to read this threaded comment; however, any edits to it will get removed if the file is opened in a newer version of Excel. Learn more: https://go.microsoft.com/fwlink/?linkid=870924
Comment:
    Cannot reconcile with Compustat!</t>
      </text>
    </comment>
    <comment ref="T105" authorId="65" shapeId="0" xr:uid="{2A1AA232-8F37-4D53-BB74-C1599ADD3B2F}">
      <text>
        <t>[Threaded comment]
Your version of Excel allows you to read this threaded comment; however, any edits to it will get removed if the file is opened in a newer version of Excel. Learn more: https://go.microsoft.com/fwlink/?linkid=870924
Comment:
    Cannot reconcile with Compustat!</t>
      </text>
    </comment>
    <comment ref="Q106" authorId="66" shapeId="0" xr:uid="{0B7E8895-D5FB-46E4-8527-060790933FEA}">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107" authorId="67" shapeId="0" xr:uid="{5749156E-AD49-4A23-8045-79304C554D08}">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108" authorId="68" shapeId="0" xr:uid="{9E9D8C33-A5EF-4A6D-9747-112727156497}">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109" authorId="69" shapeId="0" xr:uid="{B63BE51D-710B-4DA5-8A08-A07B709A773F}">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110" authorId="70" shapeId="0" xr:uid="{7AB9CD60-600D-4298-BCE2-8C9CE1C2ED82}">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M111" authorId="71" shapeId="0" xr:uid="{876D471C-0EAD-407D-85C1-BCD7783F820E}">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111" authorId="72" shapeId="0" xr:uid="{4C482254-8DD9-42C2-BF98-763720FBC290}">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S111" authorId="73" shapeId="0" xr:uid="{1BD79BC3-C265-4E8F-A4B2-A1BADFE343ED}">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112" authorId="74" shapeId="0" xr:uid="{94FA1F94-F90F-4141-A942-B2E9803B5983}">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113" authorId="75" shapeId="0" xr:uid="{A582AB8F-7683-4F66-943D-962E9289BAD6}">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114" authorId="76" shapeId="0" xr:uid="{AE56EB34-4DAF-4EE6-B88F-822045D98A39}">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Q115" authorId="77" shapeId="0" xr:uid="{91C904BE-15C6-420E-81C5-9F883BE6D83D}">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t>
      </text>
    </comment>
    <comment ref="O123" authorId="78" shapeId="0" xr:uid="{36CB5992-B732-4865-B7A3-98BF859D0606}">
      <text>
        <t>[Threaded comment]
Your version of Excel allows you to read this threaded comment; however, any edits to it will get removed if the file is opened in a newer version of Excel. Learn more: https://go.microsoft.com/fwlink/?linkid=870924
Comment:
    Last year with defense division</t>
      </text>
    </comment>
    <comment ref="P123" authorId="79" shapeId="0" xr:uid="{4E375A5A-4F3A-448C-881B-47B15C20F9E0}">
      <text>
        <t>[Threaded comment]
Your version of Excel allows you to read this threaded comment; however, any edits to it will get removed if the file is opened in a newer version of Excel. Learn more: https://go.microsoft.com/fwlink/?linkid=870924
Comment:
    Last year with defense division</t>
      </text>
    </comment>
    <comment ref="Q136" authorId="80" shapeId="0" xr:uid="{A676F6C5-5118-4091-B44A-4F4AD8115E1D}">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t>
      </text>
    </comment>
    <comment ref="Q137" authorId="81" shapeId="0" xr:uid="{24685826-AAA8-4971-A030-F13AA4C2396C}">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t>
      </text>
    </comment>
    <comment ref="Q138" authorId="82" shapeId="0" xr:uid="{63E8E4E2-7294-45DA-A685-D1D7C62F0451}">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t>
      </text>
    </comment>
    <comment ref="Q139" authorId="83" shapeId="0" xr:uid="{E9EFE005-1882-436D-81EF-F259F439181B}">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t>
      </text>
    </comment>
    <comment ref="M140" authorId="84" shapeId="0" xr:uid="{5980E25C-CE37-40BA-87E1-759AD37D9AAA}">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t>
      </text>
    </comment>
    <comment ref="Q140" authorId="85" shapeId="0" xr:uid="{C6C77B9D-FE89-4661-B497-D42BF746C6DF}">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t>
      </text>
    </comment>
    <comment ref="S140" authorId="86" shapeId="0" xr:uid="{2C1EDAC1-9208-4FD3-93AF-06281CFABEDF}">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t>
      </text>
    </comment>
    <comment ref="Q141" authorId="87" shapeId="0" xr:uid="{1BAC2E78-8A8E-47A1-AE62-97613A7513B7}">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t>
      </text>
    </comment>
    <comment ref="Q142" authorId="88" shapeId="0" xr:uid="{63DC3DD0-4913-48D0-9CED-865FE6382CEB}">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t>
      </text>
    </comment>
    <comment ref="Q143" authorId="89" shapeId="0" xr:uid="{C2D55B9A-BAED-468E-949A-0F2C0114AC2E}">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t>
      </text>
    </comment>
    <comment ref="Q144" authorId="90" shapeId="0" xr:uid="{543E49B9-9DE5-4A0B-A809-3ACB20715C80}">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
Reply:
    Unclear what COGS is computed either.</t>
      </text>
    </comment>
    <comment ref="Q145" authorId="91" shapeId="0" xr:uid="{7CC4AFD2-881F-4C99-8A9A-4BFEB475678C}">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
Reply:
    Unclear what COGS is computed either.</t>
      </text>
    </comment>
    <comment ref="Q146" authorId="92" shapeId="0" xr:uid="{6894CE6F-7867-4573-9364-429932844F1C}">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
Reply:
    Unclear what COGS is computed either.</t>
      </text>
    </comment>
    <comment ref="Q147" authorId="93" shapeId="0" xr:uid="{8675E31B-CB68-4B63-AE53-11A74175ED4F}">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
Reply:
    Unclear what COGS is computed either.</t>
      </text>
    </comment>
    <comment ref="Q148" authorId="94" shapeId="0" xr:uid="{9BAA9B3D-7C6C-4BB8-B053-70B5C44897C9}">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
Reply:
    Unclear what COGS is computed either.</t>
      </text>
    </comment>
    <comment ref="Q149" authorId="95" shapeId="0" xr:uid="{0B62A1DA-4870-45B4-8AE4-AF4E4B6CF7A5}">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
Reply:
    Unclear what COGS is computed either.</t>
      </text>
    </comment>
    <comment ref="M150" authorId="96" shapeId="0" xr:uid="{F31FC8DB-2B2B-48EB-B46E-530C6B049CE6}">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
Reply:
    Unclear what COGS is computed either.</t>
      </text>
    </comment>
    <comment ref="Q150" authorId="97" shapeId="0" xr:uid="{566A0BAB-AD49-44EF-975C-3A2FFC7D8AD8}">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
Reply:
    Unclear what COGS is computed either.</t>
      </text>
    </comment>
    <comment ref="S150" authorId="98" shapeId="0" xr:uid="{5D6C0D4A-ADC6-4D44-9C7D-B3CB8A45F74A}">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
Reply:
    Unclear what COGS is computed either.</t>
      </text>
    </comment>
    <comment ref="Q151" authorId="99" shapeId="0" xr:uid="{DB0D3635-126C-4F10-A8CF-A53AD338248F}">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
Reply:
    Unclear what COGS is computed either.</t>
      </text>
    </comment>
    <comment ref="Q152" authorId="100" shapeId="0" xr:uid="{7385C215-3ABF-4153-8ACF-C555F0642A3F}">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
Reply:
    Unclear what COGS is computed either.</t>
      </text>
    </comment>
    <comment ref="Q153" authorId="101" shapeId="0" xr:uid="{7A82B87E-F28E-4421-AD93-37028121FCCC}">
      <text>
        <t>[Threaded comment]
Your version of Excel allows you to read this threaded comment; however, any edits to it will get removed if the file is opened in a newer version of Excel. Learn more: https://go.microsoft.com/fwlink/?linkid=870924
Comment:
    Not sure we should keep SG&amp;A years as it is not obvious to me how they got to that number.
Reply:
    Actually in this case, it is “Other” that they reported in SG&amp;A!!
Reply:
    Unclear what COGS is computed either.</t>
      </text>
    </comment>
    <comment ref="Q154" authorId="102" shapeId="0" xr:uid="{0C4681E4-E821-4E50-BCA0-2377CC114B95}">
      <text>
        <t>[Threaded comment]
Your version of Excel allows you to read this threaded comment; however, any edits to it will get removed if the file is opened in a newer version of Excel. Learn more: https://go.microsoft.com/fwlink/?linkid=870924
Comment:
    SG&amp;A is computed as SG&amp;A + corporate general and admin expense
Reply:
    Compustat COGS include financial services and subtracts D&amp;A embedded</t>
      </text>
    </comment>
    <comment ref="Q155" authorId="103" shapeId="0" xr:uid="{C8B30A42-73F4-40E2-84A7-D1233539DEEE}">
      <text>
        <t>[Threaded comment]
Your version of Excel allows you to read this threaded comment; however, any edits to it will get removed if the file is opened in a newer version of Excel. Learn more: https://go.microsoft.com/fwlink/?linkid=870924
Comment:
    SG&amp;A is computed as SG&amp;A + corporate general and admin expense
Reply:
    Compustat COGS include financial services and subtracts D&amp;A embedded</t>
      </text>
    </comment>
    <comment ref="Q156" authorId="104" shapeId="0" xr:uid="{AC708AA9-4548-43E6-A268-87D63463145C}">
      <text>
        <t>[Threaded comment]
Your version of Excel allows you to read this threaded comment; however, any edits to it will get removed if the file is opened in a newer version of Excel. Learn more: https://go.microsoft.com/fwlink/?linkid=870924
Comment:
    SG&amp;A is computed as SG&amp;A + corporate general and admin expense
Reply:
    Compustat COGS include financial services and subtracts D&amp;A embedded</t>
      </text>
    </comment>
    <comment ref="Q157" authorId="105" shapeId="0" xr:uid="{5A5D6E1A-A205-495F-8D2D-0A1FE6BFA3B6}">
      <text>
        <t>[Threaded comment]
Your version of Excel allows you to read this threaded comment; however, any edits to it will get removed if the file is opened in a newer version of Excel. Learn more: https://go.microsoft.com/fwlink/?linkid=870924
Comment:
    SG&amp;A is computed as SG&amp;A + corporate general and admin expense
Reply:
    Compustat COGS include financial services and subtracts D&amp;A embedded</t>
      </text>
    </comment>
    <comment ref="Q158" authorId="106" shapeId="0" xr:uid="{8CC0946D-D12F-4F99-9A1B-CE8D5F7BB7B9}">
      <text>
        <t>[Threaded comment]
Your version of Excel allows you to read this threaded comment; however, any edits to it will get removed if the file is opened in a newer version of Excel. Learn more: https://go.microsoft.com/fwlink/?linkid=870924
Comment:
    SG&amp;A is computed as SG&amp;A + corporate general and admin expense
Reply:
    Compustat COGS include financial services and subtracts D&amp;A embedded</t>
      </text>
    </comment>
    <comment ref="Q159" authorId="107" shapeId="0" xr:uid="{EB8BE053-0CD6-4DEA-826F-DFDACC8916DA}">
      <text>
        <t>[Threaded comment]
Your version of Excel allows you to read this threaded comment; however, any edits to it will get removed if the file is opened in a newer version of Excel. Learn more: https://go.microsoft.com/fwlink/?linkid=870924
Comment:
    SG&amp;A is computed as SG&amp;A + corporate general and admin expense
Reply:
    Compustat COGS include financial services and subtracts D&amp;A embedded</t>
      </text>
    </comment>
    <comment ref="Q160" authorId="108" shapeId="0" xr:uid="{4163561E-FF86-4FD1-B0CF-A16E120F1896}">
      <text>
        <t>[Threaded comment]
Your version of Excel allows you to read this threaded comment; however, any edits to it will get removed if the file is opened in a newer version of Excel. Learn more: https://go.microsoft.com/fwlink/?linkid=870924
Comment:
    SG&amp;A is computed as SG&amp;A + corporate general and admin expense
Reply:
    Compustat COGS include financial services and subtracts D&amp;A embedded</t>
      </text>
    </comment>
    <comment ref="Q161" authorId="109" shapeId="0" xr:uid="{25FE3E5B-5B8D-43EA-8DFD-4EFF2B83FD9F}">
      <text>
        <t>[Threaded comment]
Your version of Excel allows you to read this threaded comment; however, any edits to it will get removed if the file is opened in a newer version of Excel. Learn more: https://go.microsoft.com/fwlink/?linkid=870924
Comment:
    SG&amp;A is computed as SG&amp;A + corporate general and admin expense
Reply:
    Compustat COGS include financial services and subtracts D&amp;A embedded</t>
      </text>
    </comment>
    <comment ref="Q162" authorId="110" shapeId="0" xr:uid="{912255CB-99B1-4FF0-830A-1B10B38973E6}">
      <text>
        <t>[Threaded comment]
Your version of Excel allows you to read this threaded comment; however, any edits to it will get removed if the file is opened in a newer version of Excel. Learn more: https://go.microsoft.com/fwlink/?linkid=870924
Comment:
    SG&amp;A is computed as SG&amp;A + corporate general and admin expense
Reply:
    Compustat COGS include financial services and subtracts D&amp;A embedded</t>
      </text>
    </comment>
    <comment ref="Q163" authorId="111" shapeId="0" xr:uid="{A1C17B3C-10FC-4152-8C7B-ECDAFD917E44}">
      <text>
        <t>[Threaded comment]
Your version of Excel allows you to read this threaded comment; however, any edits to it will get removed if the file is opened in a newer version of Excel. Learn more: https://go.microsoft.com/fwlink/?linkid=870924
Comment:
    SG&amp;A is computed as SG&amp;A + corporate general and admin expense
Reply:
    Compustat COGS include financial services and subtracts D&amp;A embedded</t>
      </text>
    </comment>
    <comment ref="Q164" authorId="112" shapeId="0" xr:uid="{284DD6AD-1FC8-461F-B866-E08783C32B36}">
      <text>
        <t>[Threaded comment]
Your version of Excel allows you to read this threaded comment; however, any edits to it will get removed if the file is opened in a newer version of Excel. Learn more: https://go.microsoft.com/fwlink/?linkid=870924
Comment:
    SG&amp;A data from 2003 filing</t>
      </text>
    </comment>
    <comment ref="Q165" authorId="113" shapeId="0" xr:uid="{8151319A-3BE3-4D39-91DD-60798017C398}">
      <text>
        <t>[Threaded comment]
Your version of Excel allows you to read this threaded comment; however, any edits to it will get removed if the file is opened in a newer version of Excel. Learn more: https://go.microsoft.com/fwlink/?linkid=870924
Comment:
    SG&amp;A data from 2003 filing</t>
      </text>
    </comment>
    <comment ref="M190" authorId="114" shapeId="0" xr:uid="{9BD5AA54-97F8-4CE5-96F1-B218C7616741}">
      <text>
        <t xml:space="preserve">[Threaded comment]
Your version of Excel allows you to read this threaded comment; however, any edits to it will get removed if the file is opened in a newer version of Excel. Learn more: https://go.microsoft.com/fwlink/?linkid=870924
Comment:
    SG&amp;A from trucking + SG&amp;A from financial services
</t>
      </text>
    </comment>
    <comment ref="M191" authorId="115" shapeId="0" xr:uid="{FBC0D88D-B3FE-4D51-93AF-5362683B0329}">
      <text>
        <t xml:space="preserve">[Threaded comment]
Your version of Excel allows you to read this threaded comment; however, any edits to it will get removed if the file is opened in a newer version of Excel. Learn more: https://go.microsoft.com/fwlink/?linkid=870924
Comment:
    SG&amp;A from trucking + SG&amp;A from financial services
</t>
      </text>
    </comment>
    <comment ref="M192" authorId="116" shapeId="0" xr:uid="{70ECC375-D258-4C6D-8DC6-358BE4E63361}">
      <text>
        <t xml:space="preserve">[Threaded comment]
Your version of Excel allows you to read this threaded comment; however, any edits to it will get removed if the file is opened in a newer version of Excel. Learn more: https://go.microsoft.com/fwlink/?linkid=870924
Comment:
    SG&amp;A from trucking + SG&amp;A from financial services
</t>
      </text>
    </comment>
    <comment ref="M193" authorId="117" shapeId="0" xr:uid="{B8713054-BDC1-412B-A505-C4A019F18AD1}">
      <text>
        <t xml:space="preserve">[Threaded comment]
Your version of Excel allows you to read this threaded comment; however, any edits to it will get removed if the file is opened in a newer version of Excel. Learn more: https://go.microsoft.com/fwlink/?linkid=870924
Comment:
    SG&amp;A from trucking + SG&amp;A from financial services
</t>
      </text>
    </comment>
    <comment ref="M194" authorId="118" shapeId="0" xr:uid="{B616CE10-0207-4528-AA41-FD39A3703ED0}">
      <text>
        <t xml:space="preserve">[Threaded comment]
Your version of Excel allows you to read this threaded comment; however, any edits to it will get removed if the file is opened in a newer version of Excel. Learn more: https://go.microsoft.com/fwlink/?linkid=870924
Comment:
    SG&amp;A from trucking + SG&amp;A from financial services
</t>
      </text>
    </comment>
    <comment ref="M195" authorId="119" shapeId="0" xr:uid="{76F6C19F-CE83-47EA-BFB4-124ACB8BA3AE}">
      <text>
        <t xml:space="preserve">[Threaded comment]
Your version of Excel allows you to read this threaded comment; however, any edits to it will get removed if the file is opened in a newer version of Excel. Learn more: https://go.microsoft.com/fwlink/?linkid=870924
Comment:
    SG&amp;A from trucking + SG&amp;A from financial services
</t>
      </text>
    </comment>
    <comment ref="M196" authorId="120" shapeId="0" xr:uid="{9F69148A-4517-44B9-AFD5-FD3B8C0930F1}">
      <text>
        <t xml:space="preserve">[Threaded comment]
Your version of Excel allows you to read this threaded comment; however, any edits to it will get removed if the file is opened in a newer version of Excel. Learn more: https://go.microsoft.com/fwlink/?linkid=870924
Comment:
    SG&amp;A from trucking + SG&amp;A from financial services
</t>
      </text>
    </comment>
    <comment ref="M197" authorId="121" shapeId="0" xr:uid="{29A9B7FD-9229-4BB7-9315-5D47E8D497D0}">
      <text>
        <t xml:space="preserve">[Threaded comment]
Your version of Excel allows you to read this threaded comment; however, any edits to it will get removed if the file is opened in a newer version of Excel. Learn more: https://go.microsoft.com/fwlink/?linkid=870924
Comment:
    SG&amp;A from trucking + SG&amp;A from financial services
</t>
      </text>
    </comment>
    <comment ref="M198" authorId="122" shapeId="0" xr:uid="{2D150964-FB9B-4A79-A263-719D7FD6C938}">
      <text>
        <t xml:space="preserve">[Threaded comment]
Your version of Excel allows you to read this threaded comment; however, any edits to it will get removed if the file is opened in a newer version of Excel. Learn more: https://go.microsoft.com/fwlink/?linkid=870924
Comment:
    SG&amp;A from trucking + SG&amp;A from financial services
</t>
      </text>
    </comment>
    <comment ref="M199" authorId="123" shapeId="0" xr:uid="{CF1BB9E4-B7CB-4C85-84DA-BD3010BE14AB}">
      <text>
        <t xml:space="preserve">[Threaded comment]
Your version of Excel allows you to read this threaded comment; however, any edits to it will get removed if the file is opened in a newer version of Excel. Learn more: https://go.microsoft.com/fwlink/?linkid=870924
Comment:
    SG&amp;A from trucking + SG&amp;A from financial services
</t>
      </text>
    </comment>
    <comment ref="O200" authorId="124" shapeId="0" xr:uid="{75944940-456C-412F-82AA-85E413D2C4F6}">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P200" authorId="125" shapeId="0" xr:uid="{EFA1C5E4-8758-4935-9A92-A3088551180D}">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O201" authorId="126" shapeId="0" xr:uid="{39B8A906-D0B0-47FC-82DB-79D25E0C7578}">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P201" authorId="127" shapeId="0" xr:uid="{18C9D0C8-39B3-4084-8674-E1EDECBF6510}">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O202" authorId="128" shapeId="0" xr:uid="{0A87376D-F244-4D99-BC3B-961D009E6835}">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P202" authorId="129" shapeId="0" xr:uid="{4BAE8C1B-65A0-4C97-B0CA-1F99AF4617D8}">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O203" authorId="130" shapeId="0" xr:uid="{70600F61-723F-4B62-A876-2EEAF4B4D08D}">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P203" authorId="131" shapeId="0" xr:uid="{3596192E-A834-4E07-9C79-08C7AFB51C83}">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O204" authorId="132" shapeId="0" xr:uid="{FF15753B-CD1C-403C-A162-D825093A6EA2}">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P204" authorId="133" shapeId="0" xr:uid="{6BD5B054-A731-4312-AC1F-CCB20E89BF5F}">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O205" authorId="134" shapeId="0" xr:uid="{3188FA49-80DF-41CD-94AC-FE11B855E856}">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P205" authorId="135" shapeId="0" xr:uid="{2E07DBB2-AF48-43B7-81FB-DADC24173C4C}">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O206" authorId="136" shapeId="0" xr:uid="{615A331B-7FFB-4F36-899C-CDC90075F282}">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P206" authorId="137" shapeId="0" xr:uid="{C8829EB8-75F8-437C-99DC-6A4B5BBA4615}">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O207" authorId="138" shapeId="0" xr:uid="{B4C80B7C-F895-4971-811D-5416C93B4398}">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P207" authorId="139" shapeId="0" xr:uid="{140B2591-3F35-4294-B030-124DDE44DF7F}">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O208" authorId="140" shapeId="0" xr:uid="{03201234-8FA6-4B25-AC95-8F1070BEC8DC}">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P208" authorId="141" shapeId="0" xr:uid="{0D4D84E0-DA22-4D59-B53A-33177122D956}">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O209" authorId="142" shapeId="0" xr:uid="{62583A62-C1DC-4270-AE10-EDEDDA1EE978}">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P209" authorId="143" shapeId="0" xr:uid="{4C67AE95-86A5-4284-BA84-51565E8598C9}">
      <text>
        <t>[Threaded comment]
Your version of Excel allows you to read this threaded comment; however, any edits to it will get removed if the file is opened in a newer version of Excel. Learn more: https://go.microsoft.com/fwlink/?linkid=870924
Comment:
    Exploration and Research Expense</t>
      </text>
    </comment>
    <comment ref="M306" authorId="144" shapeId="0" xr:uid="{4A6B3232-4205-4C8C-AC85-6A1B903E98C6}">
      <text>
        <t>[Threaded comment]
Your version of Excel allows you to read this threaded comment; however, any edits to it will get removed if the file is opened in a newer version of Excel. Learn more: https://go.microsoft.com/fwlink/?linkid=870924
Comment:
    I put all the non-cash compensation in SG&amp;A when some should be going into COGS</t>
      </text>
    </comment>
    <comment ref="M307" authorId="145" shapeId="0" xr:uid="{BA5DCC9F-6BA0-4E9F-B6F5-554D5FD46B4A}">
      <text>
        <t>[Threaded comment]
Your version of Excel allows you to read this threaded comment; however, any edits to it will get removed if the file is opened in a newer version of Excel. Learn more: https://go.microsoft.com/fwlink/?linkid=870924
Comment:
    I put all the non-cash compensation in SG&amp;A when some should be going into COGS</t>
      </text>
    </comment>
    <comment ref="M308" authorId="146" shapeId="0" xr:uid="{8AAE6AFA-2F56-4ED1-8998-B590590D4405}">
      <text>
        <t>[Threaded comment]
Your version of Excel allows you to read this threaded comment; however, any edits to it will get removed if the file is opened in a newer version of Excel. Learn more: https://go.microsoft.com/fwlink/?linkid=870924
Comment:
    I put all the non-cash compensation in SG&amp;A when some should be going into COGS</t>
      </text>
    </comment>
    <comment ref="M309" authorId="147" shapeId="0" xr:uid="{5107C0D0-0DC2-443C-9A69-013C1F6487C9}">
      <text>
        <t>[Threaded comment]
Your version of Excel allows you to read this threaded comment; however, any edits to it will get removed if the file is opened in a newer version of Excel. Learn more: https://go.microsoft.com/fwlink/?linkid=870924
Comment:
    I put all the non-cash compensation in SG&amp;A when some should be going into COGS</t>
      </text>
    </comment>
    <comment ref="O325" authorId="148" shapeId="0" xr:uid="{D4F3687B-4C88-4C75-A0C0-5BFC80B4492C}">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P325" authorId="149" shapeId="0" xr:uid="{222BACFE-E791-4B74-B55D-29D89CC884AA}">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O326" authorId="150" shapeId="0" xr:uid="{1B377F75-4B79-443B-810F-63815E21C400}">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P326" authorId="151" shapeId="0" xr:uid="{CDE7BA2C-7FEA-46BF-AC71-1789FE72D604}">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O327" authorId="152" shapeId="0" xr:uid="{9E564ADB-1362-4594-ABD4-E5897879C594}">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P327" authorId="153" shapeId="0" xr:uid="{D5D5DBBB-C203-4ACF-9891-2EA6DADC632B}">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O328" authorId="154" shapeId="0" xr:uid="{ED707565-1D0A-4E32-BDB7-9C01CFF0D328}">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P328" authorId="155" shapeId="0" xr:uid="{E2CE11CE-2871-4B62-BF9C-EFEEA4B99864}">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O329" authorId="156" shapeId="0" xr:uid="{1FC5F852-F468-4832-9EEE-8AC1820298C0}">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P329" authorId="157" shapeId="0" xr:uid="{6CDB1FD9-106D-436F-B811-23EE6A211172}">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O330" authorId="158" shapeId="0" xr:uid="{09E92CD2-3C5B-4B13-9D34-B075F96B069A}">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P330" authorId="159" shapeId="0" xr:uid="{41BD1C0E-7283-446C-B6AC-A6FA1E32092A}">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O331" authorId="160" shapeId="0" xr:uid="{42D4C0BD-BF51-4E30-AE95-9023A07870BF}">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P331" authorId="161" shapeId="0" xr:uid="{8E8BD0A0-CE1D-490D-942E-4234E781BF06}">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O332" authorId="162" shapeId="0" xr:uid="{BA665B9B-0E2B-4371-94DA-3810E4F4C361}">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P332" authorId="163" shapeId="0" xr:uid="{EE3AE5B0-F626-4A8A-BAAD-7939EE26D848}">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O333" authorId="164" shapeId="0" xr:uid="{A403DAD8-A077-4F50-8CD4-9F505545F5F4}">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P333" authorId="165" shapeId="0" xr:uid="{CE68D670-B1B1-42C4-91B5-5D1A1F1F414A}">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O334" authorId="166" shapeId="0" xr:uid="{45C2A76C-1B1C-4D45-A423-0388170918F0}">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P334" authorId="167" shapeId="0" xr:uid="{FB758D66-83FA-4D86-A163-8E56068B5078}">
      <text>
        <t>[Threaded comment]
Your version of Excel allows you to read this threaded comment; however, any edits to it will get removed if the file is opened in a newer version of Excel. Learn more: https://go.microsoft.com/fwlink/?linkid=870924
Comment:
    Almost all D&amp;A is accounted for in R&amp;D (a very minor portion goes to into COGS)
Reply:
    To simplify, I subtracted the whole D&amp;A charge from R&amp;D.</t>
      </text>
    </comment>
    <comment ref="O337" authorId="168" shapeId="0" xr:uid="{97BC3615-6C62-4615-A37F-73E4B65186BB}">
      <text>
        <t>[Threaded comment]
Your version of Excel allows you to read this threaded comment; however, any edits to it will get removed if the file is opened in a newer version of Excel. Learn more: https://go.microsoft.com/fwlink/?linkid=870924
Comment:
    Subtracted D&amp;A to R&amp;D</t>
      </text>
    </comment>
    <comment ref="P337" authorId="169" shapeId="0" xr:uid="{ECFF309E-4192-45A8-B1E8-F799B5D9D1AF}">
      <text>
        <t>[Threaded comment]
Your version of Excel allows you to read this threaded comment; however, any edits to it will get removed if the file is opened in a newer version of Excel. Learn more: https://go.microsoft.com/fwlink/?linkid=870924
Comment:
    Subtracted D&amp;A to R&amp;D</t>
      </text>
    </comment>
    <comment ref="O338" authorId="170" shapeId="0" xr:uid="{B2B56221-07A5-4B4E-8222-E467C38FFF6F}">
      <text>
        <t>[Threaded comment]
Your version of Excel allows you to read this threaded comment; however, any edits to it will get removed if the file is opened in a newer version of Excel. Learn more: https://go.microsoft.com/fwlink/?linkid=870924
Comment:
    Subtracted D&amp;A to R&amp;D</t>
      </text>
    </comment>
    <comment ref="P338" authorId="171" shapeId="0" xr:uid="{DC4340BE-BC25-44C0-B7EE-61DC9AFAE1AA}">
      <text>
        <t>[Threaded comment]
Your version of Excel allows you to read this threaded comment; however, any edits to it will get removed if the file is opened in a newer version of Excel. Learn more: https://go.microsoft.com/fwlink/?linkid=870924
Comment:
    Subtracted D&amp;A to R&amp;D</t>
      </text>
    </comment>
    <comment ref="O341" authorId="172" shapeId="0" xr:uid="{22666C7F-8C45-44E9-86DC-30D13949D506}">
      <text>
        <t>[Threaded comment]
Your version of Excel allows you to read this threaded comment; however, any edits to it will get removed if the file is opened in a newer version of Excel. Learn more: https://go.microsoft.com/fwlink/?linkid=870924
Comment:
    Did not add “acquired in-process R&amp;D”</t>
      </text>
    </comment>
    <comment ref="P341" authorId="173" shapeId="0" xr:uid="{EAA817DA-06EE-49FE-8A9D-AB37AB962155}">
      <text>
        <t>[Threaded comment]
Your version of Excel allows you to read this threaded comment; however, any edits to it will get removed if the file is opened in a newer version of Excel. Learn more: https://go.microsoft.com/fwlink/?linkid=870924
Comment:
    Did not add “acquired in-process R&amp;D”</t>
      </text>
    </comment>
    <comment ref="O342" authorId="174" shapeId="0" xr:uid="{23AFFC8B-9A24-46EA-8F09-287E98C60C19}">
      <text>
        <t>[Threaded comment]
Your version of Excel allows you to read this threaded comment; however, any edits to it will get removed if the file is opened in a newer version of Excel. Learn more: https://go.microsoft.com/fwlink/?linkid=870924
Comment:
    Did not add “acquired in-process R&amp;D”</t>
      </text>
    </comment>
    <comment ref="P342" authorId="175" shapeId="0" xr:uid="{06C1928A-5803-42AE-81DE-DDC726A5AE96}">
      <text>
        <t>[Threaded comment]
Your version of Excel allows you to read this threaded comment; however, any edits to it will get removed if the file is opened in a newer version of Excel. Learn more: https://go.microsoft.com/fwlink/?linkid=870924
Comment:
    Did not add “acquired in-process R&amp;D”</t>
      </text>
    </comment>
    <comment ref="O343" authorId="176" shapeId="0" xr:uid="{EEFDE4B9-C085-49A6-A65B-D44FC363C457}">
      <text>
        <t>[Threaded comment]
Your version of Excel allows you to read this threaded comment; however, any edits to it will get removed if the file is opened in a newer version of Excel. Learn more: https://go.microsoft.com/fwlink/?linkid=870924
Comment:
    Did not add “acquired in-process R&amp;D”</t>
      </text>
    </comment>
    <comment ref="P343" authorId="177" shapeId="0" xr:uid="{5090FC4A-CE9F-46F4-9EFE-78FA71652A99}">
      <text>
        <t>[Threaded comment]
Your version of Excel allows you to read this threaded comment; however, any edits to it will get removed if the file is opened in a newer version of Excel. Learn more: https://go.microsoft.com/fwlink/?linkid=870924
Comment:
    Did not add “acquired in-process R&amp;D”</t>
      </text>
    </comment>
    <comment ref="O344" authorId="178" shapeId="0" xr:uid="{11A6E58B-A3D9-4B6F-9631-9384E5D2CFB5}">
      <text>
        <t>[Threaded comment]
Your version of Excel allows you to read this threaded comment; however, any edits to it will get removed if the file is opened in a newer version of Excel. Learn more: https://go.microsoft.com/fwlink/?linkid=870924
Comment:
    Did not add “acquired in-process R&amp;D”</t>
      </text>
    </comment>
    <comment ref="P344" authorId="179" shapeId="0" xr:uid="{4BE1643D-8BC5-4128-BB2D-B23B26D53294}">
      <text>
        <t>[Threaded comment]
Your version of Excel allows you to read this threaded comment; however, any edits to it will get removed if the file is opened in a newer version of Excel. Learn more: https://go.microsoft.com/fwlink/?linkid=870924
Comment:
    Did not add “acquired in-process R&amp;D”</t>
      </text>
    </comment>
    <comment ref="K357" authorId="180" shapeId="0" xr:uid="{A40C93AB-44BB-44B2-8731-EAD7A55BD48C}">
      <text>
        <t>[Threaded comment]
Your version of Excel allows you to read this threaded comment; however, any edits to it will get removed if the file is opened in a newer version of Excel. Learn more: https://go.microsoft.com/fwlink/?linkid=870924
Comment:
    Royalty payments</t>
      </text>
    </comment>
    <comment ref="O357" authorId="181" shapeId="0" xr:uid="{A7730294-6D0F-437D-A081-C0DFE2347121}">
      <text>
        <t>[Threaded comment]
Your version of Excel allows you to read this threaded comment; however, any edits to it will get removed if the file is opened in a newer version of Excel. Learn more: https://go.microsoft.com/fwlink/?linkid=870924
Comment:
    Subtract D&amp;A from R&amp;D</t>
      </text>
    </comment>
    <comment ref="P357" authorId="182" shapeId="0" xr:uid="{BD2892CF-F43A-4AB7-B0FC-84485E245DDD}">
      <text>
        <t>[Threaded comment]
Your version of Excel allows you to read this threaded comment; however, any edits to it will get removed if the file is opened in a newer version of Excel. Learn more: https://go.microsoft.com/fwlink/?linkid=870924
Comment:
    Subtract D&amp;A from R&amp;D</t>
      </text>
    </comment>
    <comment ref="K358" authorId="183" shapeId="0" xr:uid="{563B1507-7863-42ED-AD72-99518DA2EAD4}">
      <text>
        <t>[Threaded comment]
Your version of Excel allows you to read this threaded comment; however, any edits to it will get removed if the file is opened in a newer version of Excel. Learn more: https://go.microsoft.com/fwlink/?linkid=870924
Comment:
    Royalty payments</t>
      </text>
    </comment>
    <comment ref="O358" authorId="184" shapeId="0" xr:uid="{4B482983-4EF2-4B45-AC1D-04CA0453BD72}">
      <text>
        <t>[Threaded comment]
Your version of Excel allows you to read this threaded comment; however, any edits to it will get removed if the file is opened in a newer version of Excel. Learn more: https://go.microsoft.com/fwlink/?linkid=870924
Comment:
    Subtract D&amp;A from R&amp;D</t>
      </text>
    </comment>
    <comment ref="P358" authorId="185" shapeId="0" xr:uid="{A81E9F12-9138-46CF-9889-9D3E6344A647}">
      <text>
        <t>[Threaded comment]
Your version of Excel allows you to read this threaded comment; however, any edits to it will get removed if the file is opened in a newer version of Excel. Learn more: https://go.microsoft.com/fwlink/?linkid=870924
Comment:
    Subtract D&amp;A from R&amp;D</t>
      </text>
    </comment>
    <comment ref="K359" authorId="186" shapeId="0" xr:uid="{95C240E3-86D4-40D7-8F9D-2D511C41CCB3}">
      <text>
        <t>[Threaded comment]
Your version of Excel allows you to read this threaded comment; however, any edits to it will get removed if the file is opened in a newer version of Excel. Learn more: https://go.microsoft.com/fwlink/?linkid=870924
Comment:
    Royalty payments
Reply:
    With cost of product sold and cost of service revenues</t>
      </text>
    </comment>
    <comment ref="O359" authorId="187" shapeId="0" xr:uid="{263612DC-1C8E-4B28-8594-B9EFE19E50D7}">
      <text>
        <t>[Threaded comment]
Your version of Excel allows you to read this threaded comment; however, any edits to it will get removed if the file is opened in a newer version of Excel. Learn more: https://go.microsoft.com/fwlink/?linkid=870924
Comment:
    Subtract D&amp;A from R&amp;D</t>
      </text>
    </comment>
    <comment ref="P359" authorId="188" shapeId="0" xr:uid="{DA06C173-1D27-4F72-9051-33C4DF5A8653}">
      <text>
        <t>[Threaded comment]
Your version of Excel allows you to read this threaded comment; however, any edits to it will get removed if the file is opened in a newer version of Excel. Learn more: https://go.microsoft.com/fwlink/?linkid=870924
Comment:
    Subtract D&amp;A from R&amp;D</t>
      </text>
    </comment>
    <comment ref="K360" authorId="189" shapeId="0" xr:uid="{5B0C07E0-B32F-4517-AB26-B092AE19D90E}">
      <text>
        <t>[Threaded comment]
Your version of Excel allows you to read this threaded comment; however, any edits to it will get removed if the file is opened in a newer version of Excel. Learn more: https://go.microsoft.com/fwlink/?linkid=870924
Comment:
    Royalty payments
Reply:
    With cost of product sold and cost of service revenues</t>
      </text>
    </comment>
    <comment ref="O360" authorId="190" shapeId="0" xr:uid="{D768B4F6-F178-409B-8112-13A291C52572}">
      <text>
        <t>[Threaded comment]
Your version of Excel allows you to read this threaded comment; however, any edits to it will get removed if the file is opened in a newer version of Excel. Learn more: https://go.microsoft.com/fwlink/?linkid=870924
Comment:
    Subtract D&amp;A from R&amp;D</t>
      </text>
    </comment>
    <comment ref="P360" authorId="191" shapeId="0" xr:uid="{3AAF0365-E150-4C24-9480-572FEE462F03}">
      <text>
        <t>[Threaded comment]
Your version of Excel allows you to read this threaded comment; however, any edits to it will get removed if the file is opened in a newer version of Excel. Learn more: https://go.microsoft.com/fwlink/?linkid=870924
Comment:
    Subtract D&amp;A from R&amp;D</t>
      </text>
    </comment>
    <comment ref="K361" authorId="192" shapeId="0" xr:uid="{708CC13B-B70A-4A70-9D86-F1949FABF1B0}">
      <text>
        <t>[Threaded comment]
Your version of Excel allows you to read this threaded comment; however, any edits to it will get removed if the file is opened in a newer version of Excel. Learn more: https://go.microsoft.com/fwlink/?linkid=870924
Comment:
    Royalty payments</t>
      </text>
    </comment>
    <comment ref="O361" authorId="193" shapeId="0" xr:uid="{EC67B62B-587D-4A40-B8B8-8CCB20C1E0D1}">
      <text>
        <t>[Threaded comment]
Your version of Excel allows you to read this threaded comment; however, any edits to it will get removed if the file is opened in a newer version of Excel. Learn more: https://go.microsoft.com/fwlink/?linkid=870924
Comment:
    Subtract D&amp;A from R&amp;D</t>
      </text>
    </comment>
    <comment ref="P361" authorId="194" shapeId="0" xr:uid="{98E7AB8C-87EA-495A-8934-EEA901D0B79B}">
      <text>
        <t>[Threaded comment]
Your version of Excel allows you to read this threaded comment; however, any edits to it will get removed if the file is opened in a newer version of Excel. Learn more: https://go.microsoft.com/fwlink/?linkid=870924
Comment:
    Subtract D&amp;A from R&amp;D</t>
      </text>
    </comment>
    <comment ref="K362" authorId="195" shapeId="0" xr:uid="{7AD13466-ADC4-4A4C-BD1D-2799E6C681B2}">
      <text>
        <t>[Threaded comment]
Your version of Excel allows you to read this threaded comment; however, any edits to it will get removed if the file is opened in a newer version of Excel. Learn more: https://go.microsoft.com/fwlink/?linkid=870924
Comment:
    Royalty payments</t>
      </text>
    </comment>
    <comment ref="O362" authorId="196" shapeId="0" xr:uid="{B13B9ECA-80D0-492A-AE7B-4196B8D0BFAF}">
      <text>
        <t>[Threaded comment]
Your version of Excel allows you to read this threaded comment; however, any edits to it will get removed if the file is opened in a newer version of Excel. Learn more: https://go.microsoft.com/fwlink/?linkid=870924
Comment:
    Subtract D&amp;A from R&amp;D</t>
      </text>
    </comment>
    <comment ref="P362" authorId="197" shapeId="0" xr:uid="{36074991-B7C8-428F-8427-6ED0EF9EFC73}">
      <text>
        <t>[Threaded comment]
Your version of Excel allows you to read this threaded comment; however, any edits to it will get removed if the file is opened in a newer version of Excel. Learn more: https://go.microsoft.com/fwlink/?linkid=870924
Comment:
    Subtract D&amp;A from R&amp;D</t>
      </text>
    </comment>
    <comment ref="K363" authorId="198" shapeId="0" xr:uid="{77C25F55-E754-4926-ADE0-88962B99382A}">
      <text>
        <t>[Threaded comment]
Your version of Excel allows you to read this threaded comment; however, any edits to it will get removed if the file is opened in a newer version of Excel. Learn more: https://go.microsoft.com/fwlink/?linkid=870924
Comment:
    Royalty payments</t>
      </text>
    </comment>
    <comment ref="O363" authorId="199" shapeId="0" xr:uid="{602E2519-B506-4403-9C69-7F8E54F228AA}">
      <text>
        <t>[Threaded comment]
Your version of Excel allows you to read this threaded comment; however, any edits to it will get removed if the file is opened in a newer version of Excel. Learn more: https://go.microsoft.com/fwlink/?linkid=870924
Comment:
    Subtract D&amp;A from R&amp;D</t>
      </text>
    </comment>
    <comment ref="P363" authorId="200" shapeId="0" xr:uid="{A431E96C-C59A-43AB-8966-6F24A25D9F38}">
      <text>
        <t>[Threaded comment]
Your version of Excel allows you to read this threaded comment; however, any edits to it will get removed if the file is opened in a newer version of Excel. Learn more: https://go.microsoft.com/fwlink/?linkid=870924
Comment:
    Subtract D&amp;A from R&amp;D</t>
      </text>
    </comment>
    <comment ref="K364" authorId="201" shapeId="0" xr:uid="{017F0496-59F8-4A7E-8A6D-313F43A0B8A0}">
      <text>
        <t>[Threaded comment]
Your version of Excel allows you to read this threaded comment; however, any edits to it will get removed if the file is opened in a newer version of Excel. Learn more: https://go.microsoft.com/fwlink/?linkid=870924
Comment:
    Royalty payments</t>
      </text>
    </comment>
    <comment ref="O364" authorId="202" shapeId="0" xr:uid="{73CB0882-C7B2-454B-A6CC-89E603702370}">
      <text>
        <t>[Threaded comment]
Your version of Excel allows you to read this threaded comment; however, any edits to it will get removed if the file is opened in a newer version of Excel. Learn more: https://go.microsoft.com/fwlink/?linkid=870924
Comment:
    Subtract D&amp;A from R&amp;D</t>
      </text>
    </comment>
    <comment ref="P364" authorId="203" shapeId="0" xr:uid="{D9888441-9D74-4011-BAE3-4FE63450A56A}">
      <text>
        <t>[Threaded comment]
Your version of Excel allows you to read this threaded comment; however, any edits to it will get removed if the file is opened in a newer version of Excel. Learn more: https://go.microsoft.com/fwlink/?linkid=870924
Comment:
    Subtract D&amp;A from R&amp;D</t>
      </text>
    </comment>
    <comment ref="O365" authorId="204" shapeId="0" xr:uid="{52EABDAA-3692-4EF1-9BAD-41B7A04EFE04}">
      <text>
        <t xml:space="preserve">[Threaded comment]
Your version of Excel allows you to read this threaded comment; however, any edits to it will get removed if the file is opened in a newer version of Excel. Learn more: https://go.microsoft.com/fwlink/?linkid=870924
Comment:
    Took D&amp;A out of R&amp;D as COGS was lower than D&amp;A amount
</t>
      </text>
    </comment>
    <comment ref="P365" authorId="205" shapeId="0" xr:uid="{0094F79E-68DE-40E3-AD50-D756F849D1C5}">
      <text>
        <t xml:space="preserve">[Threaded comment]
Your version of Excel allows you to read this threaded comment; however, any edits to it will get removed if the file is opened in a newer version of Excel. Learn more: https://go.microsoft.com/fwlink/?linkid=870924
Comment:
    Took D&amp;A out of R&amp;D as COGS was lower than D&amp;A amount
</t>
      </text>
    </comment>
    <comment ref="O366" authorId="206" shapeId="0" xr:uid="{4DFFE829-E814-4FA4-892D-D389214C678D}">
      <text>
        <t>[Threaded comment]
Your version of Excel allows you to read this threaded comment; however, any edits to it will get removed if the file is opened in a newer version of Excel. Learn more: https://go.microsoft.com/fwlink/?linkid=870924
Comment:
    Took D&amp;A out of R&amp;D as COGS was lower than D&amp;A amount</t>
      </text>
    </comment>
    <comment ref="P366" authorId="207" shapeId="0" xr:uid="{B8CBE6E3-7EF6-4CAF-B9A1-F7AE379E69DC}">
      <text>
        <t>[Threaded comment]
Your version of Excel allows you to read this threaded comment; however, any edits to it will get removed if the file is opened in a newer version of Excel. Learn more: https://go.microsoft.com/fwlink/?linkid=870924
Comment:
    Took D&amp;A out of R&amp;D as COGS was lower than D&amp;A amount</t>
      </text>
    </comment>
    <comment ref="O382" authorId="208" shapeId="0" xr:uid="{1F7793B9-C05C-4471-86B1-1EE7AD5B91B8}">
      <text>
        <t>[Threaded comment]
Your version of Excel allows you to read this threaded comment; however, any edits to it will get removed if the file is opened in a newer version of Excel. Learn more: https://go.microsoft.com/fwlink/?linkid=870924
Comment:
    Removed both D&amp;A and amortization of intangible assets</t>
      </text>
    </comment>
    <comment ref="P382" authorId="209" shapeId="0" xr:uid="{85ACE8C5-E744-4D32-8279-114507C2A091}">
      <text>
        <t>[Threaded comment]
Your version of Excel allows you to read this threaded comment; however, any edits to it will get removed if the file is opened in a newer version of Excel. Learn more: https://go.microsoft.com/fwlink/?linkid=870924
Comment:
    Removed both D&amp;A and amortization of intangible assets</t>
      </text>
    </comment>
    <comment ref="K383" authorId="210" shapeId="0" xr:uid="{B8E8B579-D95E-47BA-B232-6007C2B0F4EB}">
      <text>
        <t>[Threaded comment]
Your version of Excel allows you to read this threaded comment; however, any edits to it will get removed if the file is opened in a newer version of Excel. Learn more: https://go.microsoft.com/fwlink/?linkid=870924
Comment:
    Removed Amortization expense that was embedded (see footnote)</t>
      </text>
    </comment>
    <comment ref="O383" authorId="211" shapeId="0" xr:uid="{905A794E-B62F-454D-9F65-A564D410862A}">
      <text>
        <t>[Threaded comment]
Your version of Excel allows you to read this threaded comment; however, any edits to it will get removed if the file is opened in a newer version of Excel. Learn more: https://go.microsoft.com/fwlink/?linkid=870924
Comment:
    Subtract Deprec. from R&amp;D (seems to be where it is)</t>
      </text>
    </comment>
    <comment ref="P383" authorId="212" shapeId="0" xr:uid="{CD7820A2-49E9-4FE9-ABD5-B1E74B416C66}">
      <text>
        <t>[Threaded comment]
Your version of Excel allows you to read this threaded comment; however, any edits to it will get removed if the file is opened in a newer version of Excel. Learn more: https://go.microsoft.com/fwlink/?linkid=870924
Comment:
    Subtract Deprec. from R&amp;D (seems to be where it is)</t>
      </text>
    </comment>
    <comment ref="K384" authorId="213" shapeId="0" xr:uid="{82DDEEBA-1B53-40CF-9486-1B89B86DCAFA}">
      <text>
        <t>[Threaded comment]
Your version of Excel allows you to read this threaded comment; however, any edits to it will get removed if the file is opened in a newer version of Excel. Learn more: https://go.microsoft.com/fwlink/?linkid=870924
Comment:
    Removed Amortization expense that was embedded (see footnote)</t>
      </text>
    </comment>
    <comment ref="O384" authorId="214" shapeId="0" xr:uid="{91E6A58C-A63B-40B9-8E52-7822B2126BA0}">
      <text>
        <t>[Threaded comment]
Your version of Excel allows you to read this threaded comment; however, any edits to it will get removed if the file is opened in a newer version of Excel. Learn more: https://go.microsoft.com/fwlink/?linkid=870924
Comment:
    Subtract Deprec. from R&amp;D (seems to be where it is)</t>
      </text>
    </comment>
    <comment ref="P384" authorId="215" shapeId="0" xr:uid="{096FA1F6-B1EE-4678-AC28-FAAC62941A6D}">
      <text>
        <t>[Threaded comment]
Your version of Excel allows you to read this threaded comment; however, any edits to it will get removed if the file is opened in a newer version of Excel. Learn more: https://go.microsoft.com/fwlink/?linkid=870924
Comment:
    Subtract Deprec. from R&amp;D (seems to be where it is)</t>
      </text>
    </comment>
    <comment ref="K389" authorId="216" shapeId="0" xr:uid="{14F739E2-556B-4AFA-95DE-E8E701A8FEC8}">
      <text>
        <t>[Threaded comment]
Your version of Excel allows you to read this threaded comment; however, any edits to it will get removed if the file is opened in a newer version of Excel. Learn more: https://go.microsoft.com/fwlink/?linkid=870924
Comment:
    COGS - D&amp;A</t>
      </text>
    </comment>
    <comment ref="O419" authorId="217" shapeId="0" xr:uid="{7B48E1C3-B582-42B5-B688-6BF61A1C00DA}">
      <text>
        <t>[Threaded comment]
Your version of Excel allows you to read this threaded comment; however, any edits to it will get removed if the file is opened in a newer version of Excel. Learn more: https://go.microsoft.com/fwlink/?linkid=870924
Comment:
    Took out D&amp;A from R&amp;D</t>
      </text>
    </comment>
    <comment ref="P419" authorId="218" shapeId="0" xr:uid="{A6FCEA0C-21BB-4473-BFC4-95B06E4F99E7}">
      <text>
        <t>[Threaded comment]
Your version of Excel allows you to read this threaded comment; however, any edits to it will get removed if the file is opened in a newer version of Excel. Learn more: https://go.microsoft.com/fwlink/?linkid=870924
Comment:
    Took out D&amp;A from R&amp;D</t>
      </text>
    </comment>
    <comment ref="O420" authorId="219" shapeId="0" xr:uid="{8F1D561F-6DE7-49F2-95F6-7CFF66177993}">
      <text>
        <t>[Threaded comment]
Your version of Excel allows you to read this threaded comment; however, any edits to it will get removed if the file is opened in a newer version of Excel. Learn more: https://go.microsoft.com/fwlink/?linkid=870924
Comment:
    Took out D&amp;A from R&amp;D</t>
      </text>
    </comment>
    <comment ref="P420" authorId="220" shapeId="0" xr:uid="{A43F0639-997F-4D72-A6AA-FC906975DD77}">
      <text>
        <t>[Threaded comment]
Your version of Excel allows you to read this threaded comment; however, any edits to it will get removed if the file is opened in a newer version of Excel. Learn more: https://go.microsoft.com/fwlink/?linkid=870924
Comment:
    Took out D&amp;A from R&amp;D</t>
      </text>
    </comment>
    <comment ref="O421" authorId="221" shapeId="0" xr:uid="{55099B6F-B236-4899-A9DB-0DBD198A89D3}">
      <text>
        <t>[Threaded comment]
Your version of Excel allows you to read this threaded comment; however, any edits to it will get removed if the file is opened in a newer version of Excel. Learn more: https://go.microsoft.com/fwlink/?linkid=870924
Comment:
    Took out D&amp;A from R&amp;D</t>
      </text>
    </comment>
    <comment ref="P421" authorId="222" shapeId="0" xr:uid="{78F23F90-5EA2-43BD-BEA4-A9BA2D93F2A4}">
      <text>
        <t>[Threaded comment]
Your version of Excel allows you to read this threaded comment; however, any edits to it will get removed if the file is opened in a newer version of Excel. Learn more: https://go.microsoft.com/fwlink/?linkid=870924
Comment:
    Took out D&amp;A from R&amp;D</t>
      </text>
    </comment>
    <comment ref="O422" authorId="223" shapeId="0" xr:uid="{F68A1988-DB47-4139-ADAC-52A861B3F6AD}">
      <text>
        <t>[Threaded comment]
Your version of Excel allows you to read this threaded comment; however, any edits to it will get removed if the file is opened in a newer version of Excel. Learn more: https://go.microsoft.com/fwlink/?linkid=870924
Comment:
    Took out D&amp;A from R&amp;D</t>
      </text>
    </comment>
    <comment ref="P422" authorId="224" shapeId="0" xr:uid="{83DDC9CD-4CDC-4D61-9C94-505D559925FB}">
      <text>
        <t>[Threaded comment]
Your version of Excel allows you to read this threaded comment; however, any edits to it will get removed if the file is opened in a newer version of Excel. Learn more: https://go.microsoft.com/fwlink/?linkid=870924
Comment:
    Took out D&amp;A from R&amp;D</t>
      </text>
    </comment>
    <comment ref="O423" authorId="225" shapeId="0" xr:uid="{074A8675-C2B9-4171-8D48-265A73E828D2}">
      <text>
        <t xml:space="preserve">[Threaded comment]
Your version of Excel allows you to read this threaded comment; however, any edits to it will get removed if the file is opened in a newer version of Excel. Learn more: https://go.microsoft.com/fwlink/?linkid=870924
Comment:
    Took out D&amp;A from R&amp;D
</t>
      </text>
    </comment>
    <comment ref="P423" authorId="226" shapeId="0" xr:uid="{3D653878-C6EC-46B6-BD93-A0FFBD748B9C}">
      <text>
        <t xml:space="preserve">[Threaded comment]
Your version of Excel allows you to read this threaded comment; however, any edits to it will get removed if the file is opened in a newer version of Excel. Learn more: https://go.microsoft.com/fwlink/?linkid=870924
Comment:
    Took out D&amp;A from R&amp;D
</t>
      </text>
    </comment>
    <comment ref="K430" authorId="227" shapeId="0" xr:uid="{CFB693B8-B878-4B83-8F53-A049677C241A}">
      <text>
        <t>[Threaded comment]
Your version of Excel allows you to read this threaded comment; however, any edits to it will get removed if the file is opened in a newer version of Excel. Learn more: https://go.microsoft.com/fwlink/?linkid=870924
Comment:
    They had considered “Other Expenses” as SG&amp;A, clearly wrong. So summed up both lines to get Opex (before D&amp;A)</t>
      </text>
    </comment>
    <comment ref="K431" authorId="228" shapeId="0" xr:uid="{989EF5A6-EA54-425D-B688-420BF5E2C00F}">
      <text>
        <t>[Threaded comment]
Your version of Excel allows you to read this threaded comment; however, any edits to it will get removed if the file is opened in a newer version of Excel. Learn more: https://go.microsoft.com/fwlink/?linkid=870924
Comment:
    They had considered “Other Expenses” as SG&amp;A, clearly wrong. So summed up both lines to get Opex (before D&amp;A)</t>
      </text>
    </comment>
    <comment ref="K432" authorId="229" shapeId="0" xr:uid="{E5356006-75EC-497B-A183-3BAA85331C8D}">
      <text>
        <t>[Threaded comment]
Your version of Excel allows you to read this threaded comment; however, any edits to it will get removed if the file is opened in a newer version of Excel. Learn more: https://go.microsoft.com/fwlink/?linkid=870924
Comment:
    They had considered “Other Expenses” as SG&amp;A, clearly wrong. So summed up both lines to get Opex (before D&amp;A)</t>
      </text>
    </comment>
    <comment ref="K433" authorId="230" shapeId="0" xr:uid="{93D24DA1-5FF1-4C49-AD0C-4281CBAA7554}">
      <text>
        <t>[Threaded comment]
Your version of Excel allows you to read this threaded comment; however, any edits to it will get removed if the file is opened in a newer version of Excel. Learn more: https://go.microsoft.com/fwlink/?linkid=870924
Comment:
    They had considered “Other Expenses” as SG&amp;A, clearly wrong. So summed up both lines to get Opex (before D&amp;A)</t>
      </text>
    </comment>
    <comment ref="K448" authorId="231" shapeId="0" xr:uid="{2EDD0A16-F541-4CCA-A7CF-2336CA0CCA16}">
      <text>
        <t>[Threaded comment]
Your version of Excel allows you to read this threaded comment; however, any edits to it will get removed if the file is opened in a newer version of Excel. Learn more: https://go.microsoft.com/fwlink/?linkid=870924
Comment:
    Took D&amp;A from COGS, COGS was high due to a charge for excess inventories</t>
      </text>
    </comment>
    <comment ref="O450" authorId="232" shapeId="0" xr:uid="{F72A202B-DE9A-4DD6-BAAB-C5F121D103F6}">
      <text>
        <t>[Threaded comment]
Your version of Excel allows you to read this threaded comment; however, any edits to it will get removed if the file is opened in a newer version of Excel. Learn more: https://go.microsoft.com/fwlink/?linkid=870924
Comment:
    Took D&amp;A out of R&amp;D</t>
      </text>
    </comment>
    <comment ref="P450" authorId="233" shapeId="0" xr:uid="{08593B2C-00F4-4895-9067-BA622E42ED77}">
      <text>
        <t>[Threaded comment]
Your version of Excel allows you to read this threaded comment; however, any edits to it will get removed if the file is opened in a newer version of Excel. Learn more: https://go.microsoft.com/fwlink/?linkid=870924
Comment:
    Took D&amp;A out of R&amp;D</t>
      </text>
    </comment>
    <comment ref="K451" authorId="234" shapeId="0" xr:uid="{DF282A68-785A-4ED2-8E15-224E54573ACA}">
      <text>
        <t>[Threaded comment]
Your version of Excel allows you to read this threaded comment; however, any edits to it will get removed if the file is opened in a newer version of Excel. Learn more: https://go.microsoft.com/fwlink/?linkid=870924
Comment:
    No D&amp;A taken out (would be negative)</t>
      </text>
    </comment>
    <comment ref="O451" authorId="235" shapeId="0" xr:uid="{065AB77E-3855-4F6D-B024-1DFA08B35B52}">
      <text>
        <t>[Threaded comment]
Your version of Excel allows you to read this threaded comment; however, any edits to it will get removed if the file is opened in a newer version of Excel. Learn more: https://go.microsoft.com/fwlink/?linkid=870924
Comment:
    Took D&amp;A out of R&amp;D</t>
      </text>
    </comment>
    <comment ref="P451" authorId="236" shapeId="0" xr:uid="{A7618C8B-ABFA-454F-A519-C59E3A19FF7F}">
      <text>
        <t>[Threaded comment]
Your version of Excel allows you to read this threaded comment; however, any edits to it will get removed if the file is opened in a newer version of Excel. Learn more: https://go.microsoft.com/fwlink/?linkid=870924
Comment:
    Took D&amp;A out of R&amp;D</t>
      </text>
    </comment>
    <comment ref="K452" authorId="237" shapeId="0" xr:uid="{693D87EC-0844-4173-82E4-F3F4EF8F813A}">
      <text>
        <t>[Threaded comment]
Your version of Excel allows you to read this threaded comment; however, any edits to it will get removed if the file is opened in a newer version of Excel. Learn more: https://go.microsoft.com/fwlink/?linkid=870924
Comment:
    Used the Compustat number (COGS&lt;D&amp;A) and numbers match, but I don’t understand how they figured out COGS.</t>
      </text>
    </comment>
    <comment ref="T458" authorId="238" shapeId="0" xr:uid="{436CE78C-E0F7-4473-B015-5B21AC350726}">
      <text>
        <t>[Threaded comment]
Your version of Excel allows you to read this threaded comment; however, any edits to it will get removed if the file is opened in a newer version of Excel. Learn more: https://go.microsoft.com/fwlink/?linkid=870924
Comment:
    I cannot explain the discrepancy up to that point. This year is the biggest discrepancy.</t>
      </text>
    </comment>
    <comment ref="K460" authorId="239" shapeId="0" xr:uid="{4083A042-25F5-4E8F-A217-5AF842EE9472}">
      <text>
        <t>[Threaded comment]
Your version of Excel allows you to read this threaded comment; however, any edits to it will get removed if the file is opened in a newer version of Excel. Learn more: https://go.microsoft.com/fwlink/?linkid=870924
Comment:
    All D&amp;A taken out from COGS</t>
      </text>
    </comment>
    <comment ref="K461" authorId="240" shapeId="0" xr:uid="{E885124C-DEFE-4FE1-B1FA-DEBF8C10DB51}">
      <text>
        <t>[Threaded comment]
Your version of Excel allows you to read this threaded comment; however, any edits to it will get removed if the file is opened in a newer version of Excel. Learn more: https://go.microsoft.com/fwlink/?linkid=870924
Comment:
    All D&amp;A taken out from COGS</t>
      </text>
    </comment>
    <comment ref="K462" authorId="241" shapeId="0" xr:uid="{1AC05B2B-B516-4321-8C44-7C3AA2A498D1}">
      <text>
        <t>[Threaded comment]
Your version of Excel allows you to read this threaded comment; however, any edits to it will get removed if the file is opened in a newer version of Excel. Learn more: https://go.microsoft.com/fwlink/?linkid=870924
Comment:
    All D&amp;A taken out from COGS</t>
      </text>
    </comment>
    <comment ref="K463" authorId="242" shapeId="0" xr:uid="{205C1396-3453-4FB5-A289-AD2D6219CCEB}">
      <text>
        <t>[Threaded comment]
Your version of Excel allows you to read this threaded comment; however, any edits to it will get removed if the file is opened in a newer version of Excel. Learn more: https://go.microsoft.com/fwlink/?linkid=870924
Comment:
    All D&amp;A taken out from COGS
Reply:
    Amortization was separated out in costs</t>
      </text>
    </comment>
    <comment ref="O464" authorId="243" shapeId="0" xr:uid="{98FF7B50-EBEF-466C-AD19-6ABC0C67E3AA}">
      <text>
        <t xml:space="preserve">[Threaded comment]
Your version of Excel allows you to read this threaded comment; however, any edits to it will get removed if the file is opened in a newer version of Excel. Learn more: https://go.microsoft.com/fwlink/?linkid=870924
Comment:
    Took D&amp;A out of R&amp;D as COGS &lt; D&amp;A
</t>
      </text>
    </comment>
    <comment ref="O465" authorId="244" shapeId="0" xr:uid="{EABE2806-3746-4EFA-9D20-219084FAA530}">
      <text>
        <t xml:space="preserve">[Threaded comment]
Your version of Excel allows you to read this threaded comment; however, any edits to it will get removed if the file is opened in a newer version of Excel. Learn more: https://go.microsoft.com/fwlink/?linkid=870924
Comment:
    Took D&amp;A out of R&amp;D as COGS &lt; D&amp;A
</t>
      </text>
    </comment>
    <comment ref="O466" authorId="245" shapeId="0" xr:uid="{C788D510-D51F-4F35-8926-7F7B0C65589B}">
      <text>
        <t xml:space="preserve">[Threaded comment]
Your version of Excel allows you to read this threaded comment; however, any edits to it will get removed if the file is opened in a newer version of Excel. Learn more: https://go.microsoft.com/fwlink/?linkid=870924
Comment:
    Took D&amp;A out of R&amp;D as COGS &lt; D&amp;A
</t>
      </text>
    </comment>
    <comment ref="O467" authorId="246" shapeId="0" xr:uid="{ABE4F65F-BB8C-4505-86A3-B809D75305ED}">
      <text>
        <t>[Threaded comment]
Your version of Excel allows you to read this threaded comment; however, any edits to it will get removed if the file is opened in a newer version of Excel. Learn more: https://go.microsoft.com/fwlink/?linkid=870924
Comment:
    Took D&amp;A out of R&amp;D as COGS &lt; D&amp;A</t>
      </text>
    </comment>
    <comment ref="O468" authorId="247" shapeId="0" xr:uid="{F4016FC2-7415-4E0B-A8FE-3476074622C9}">
      <text>
        <t xml:space="preserve">[Threaded comment]
Your version of Excel allows you to read this threaded comment; however, any edits to it will get removed if the file is opened in a newer version of Excel. Learn more: https://go.microsoft.com/fwlink/?linkid=870924
Comment:
    Took D&amp;A out of R&amp;D as COGS &lt; D&amp;A
</t>
      </text>
    </comment>
    <comment ref="O469" authorId="248" shapeId="0" xr:uid="{88762715-99B4-4475-BAF3-B1FFCDFAF49C}">
      <text>
        <t xml:space="preserve">[Threaded comment]
Your version of Excel allows you to read this threaded comment; however, any edits to it will get removed if the file is opened in a newer version of Excel. Learn more: https://go.microsoft.com/fwlink/?linkid=870924
Comment:
    Took D&amp;A out of R&amp;D as COGS &lt; D&amp;A
</t>
      </text>
    </comment>
    <comment ref="O470" authorId="249" shapeId="0" xr:uid="{FB23FB7D-4571-436F-AE68-958C1FDCCAF0}">
      <text>
        <t>[Threaded comment]
Your version of Excel allows you to read this threaded comment; however, any edits to it will get removed if the file is opened in a newer version of Excel. Learn more: https://go.microsoft.com/fwlink/?linkid=870924
Comment:
    Took D&amp;A out of R&amp;D as COGS &lt; D&amp;A</t>
      </text>
    </comment>
    <comment ref="T477" authorId="250" shapeId="0" xr:uid="{218DBBF6-FEEB-4494-A902-A0C64608004D}">
      <text>
        <t>[Threaded comment]
Your version of Excel allows you to read this threaded comment; however, any edits to it will get removed if the file is opened in a newer version of Excel. Learn more: https://go.microsoft.com/fwlink/?linkid=870924
Comment:
    Not sure why the discrepancy</t>
      </text>
    </comment>
    <comment ref="U478" authorId="251" shapeId="0" xr:uid="{4D39B0EC-0391-4123-A7EA-0E735CBC7FC0}">
      <text>
        <t>[Threaded comment]
Your version of Excel allows you to read this threaded comment; however, any edits to it will get removed if the file is opened in a newer version of Excel. Learn more: https://go.microsoft.com/fwlink/?linkid=870924
Comment:
    Unclear why the discrepancy</t>
      </text>
    </comment>
    <comment ref="T500" authorId="252" shapeId="0" xr:uid="{7C885265-8AA2-47F7-8F8A-B6474A272BBF}">
      <text>
        <t>[Threaded comment]
Your version of Excel allows you to read this threaded comment; however, any edits to it will get removed if the file is opened in a newer version of Excel. Learn more: https://go.microsoft.com/fwlink/?linkid=870924
Comment:
    I cannot explain discrepancy with Compustat.</t>
      </text>
    </comment>
    <comment ref="M507" authorId="253" shapeId="0" xr:uid="{77F239D9-DEE9-4E9D-94A4-7F3879BD96D2}">
      <text>
        <t>[Threaded comment]
Your version of Excel allows you to read this threaded comment; however, any edits to it will get removed if the file is opened in a newer version of Excel. Learn more: https://go.microsoft.com/fwlink/?linkid=870924
Comment:
    Office and general + Marketing and promotion</t>
      </text>
    </comment>
    <comment ref="S507" authorId="254" shapeId="0" xr:uid="{35840CBD-FF23-44D7-9E19-883F56D15978}">
      <text>
        <t>[Threaded comment]
Your version of Excel allows you to read this threaded comment; however, any edits to it will get removed if the file is opened in a newer version of Excel. Learn more: https://go.microsoft.com/fwlink/?linkid=870924
Comment:
    Office and general + Marketing and promotion</t>
      </text>
    </comment>
    <comment ref="M518" authorId="255" shapeId="0" xr:uid="{3B6FD15F-5E2F-4B9C-89E4-6284FCB75911}">
      <text>
        <t>[Threaded comment]
Your version of Excel allows you to read this threaded comment; however, any edits to it will get removed if the file is opened in a newer version of Excel. Learn more: https://go.microsoft.com/fwlink/?linkid=870924
Comment:
    SG&amp;A is separated out. But in the previous year, SG&amp;A is partially embedded in COGS that seems to include many things. And the scale of COGS relative to SG&amp;A suggest that there is more SG&amp;A embedded in COGS as stated in the footnote in the 2001 10-K.</t>
      </text>
    </comment>
  </commentList>
</comments>
</file>

<file path=xl/sharedStrings.xml><?xml version="1.0" encoding="utf-8"?>
<sst xmlns="http://schemas.openxmlformats.org/spreadsheetml/2006/main" count="1174" uniqueCount="148">
  <si>
    <t>gvkey</t>
  </si>
  <si>
    <t>datadate</t>
  </si>
  <si>
    <t>fyear</t>
  </si>
  <si>
    <t>cusip</t>
  </si>
  <si>
    <t>conm</t>
  </si>
  <si>
    <t>cik</t>
  </si>
  <si>
    <t>cogs</t>
  </si>
  <si>
    <t>xsga</t>
  </si>
  <si>
    <t>ALASKA AIR GROUP INC</t>
  </si>
  <si>
    <t>ARKANSAS BEST CORP</t>
  </si>
  <si>
    <t>80517Q100</t>
  </si>
  <si>
    <t>SAVIENT PHARMACEUTICALS INC</t>
  </si>
  <si>
    <t>ACXIOM CORP</t>
  </si>
  <si>
    <t>COMMONWLTH TELE ENTER</t>
  </si>
  <si>
    <t>12673P105</t>
  </si>
  <si>
    <t>CA INC</t>
  </si>
  <si>
    <t>DST SYSTEMS INC</t>
  </si>
  <si>
    <t>OMNICOM GROUP</t>
  </si>
  <si>
    <t>ENZO BIOCHEM INC</t>
  </si>
  <si>
    <t>EXPEDITORS INTL WASH INC</t>
  </si>
  <si>
    <t>FOREST LABORATORIES  -CL A</t>
  </si>
  <si>
    <t>HUNT (JB) TRANSPRT SVCS INC</t>
  </si>
  <si>
    <t>ITT CORP</t>
  </si>
  <si>
    <t>INTERPUBLIC GROUP OF COS</t>
  </si>
  <si>
    <t>KANSAS CITY SOUTHERN</t>
  </si>
  <si>
    <t>LEE ENTERPRISES INC</t>
  </si>
  <si>
    <t>LENNAR CORP</t>
  </si>
  <si>
    <t>LEUCADIA NATIONAL CORP</t>
  </si>
  <si>
    <t>MDC HOLDINGS INC</t>
  </si>
  <si>
    <t>NORFOLK SOUTHERN CORP</t>
  </si>
  <si>
    <t>PACCAR INC</t>
  </si>
  <si>
    <t>PHELPS DODGE CORP</t>
  </si>
  <si>
    <t>RYDER SYSTEM INC</t>
  </si>
  <si>
    <t>85375C101</t>
  </si>
  <si>
    <t>STANDARD PACIFIC CORP</t>
  </si>
  <si>
    <t>UNITED PARCEL SERVICE INC</t>
  </si>
  <si>
    <t>UNIVERSAL HEALTH SVCS INC</t>
  </si>
  <si>
    <t>WERNER ENTERPRISES INC</t>
  </si>
  <si>
    <t>HEALTH MANAGEMENT ASSOC</t>
  </si>
  <si>
    <t>00724F101</t>
  </si>
  <si>
    <t>ADOBE SYSTEMS INC</t>
  </si>
  <si>
    <t>FISERV INC</t>
  </si>
  <si>
    <t>HEARTLAND EXPRESS INC</t>
  </si>
  <si>
    <t>CELGENE CORP</t>
  </si>
  <si>
    <t>EMMIS COMMUNICATIONS CP-CL A</t>
  </si>
  <si>
    <t>SWIFT TRANSPORTATION CO INC</t>
  </si>
  <si>
    <t>75886F107</t>
  </si>
  <si>
    <t>REGENERON PHARMACEUT</t>
  </si>
  <si>
    <t>CEPHALON INC</t>
  </si>
  <si>
    <t>MEDIMMUNE INC</t>
  </si>
  <si>
    <t>92532F100</t>
  </si>
  <si>
    <t>VERTEX PHARMACEUTICALS INC</t>
  </si>
  <si>
    <t>GILEAD SCIENCES INC</t>
  </si>
  <si>
    <t>69329Y104</t>
  </si>
  <si>
    <t>PDL BIOPHARMA INC</t>
  </si>
  <si>
    <t>23331A109</t>
  </si>
  <si>
    <t>D R HORTON INC</t>
  </si>
  <si>
    <t>CREE INC</t>
  </si>
  <si>
    <t>MARRIOTT INTL INC</t>
  </si>
  <si>
    <t>45337C102</t>
  </si>
  <si>
    <t>INCYTE CORP</t>
  </si>
  <si>
    <t>FORWARD AIR CORP</t>
  </si>
  <si>
    <t>AFFILIATED COMPUTER SERVICES</t>
  </si>
  <si>
    <t>TRANSWITCH CORP</t>
  </si>
  <si>
    <t>RADISYS CORP</t>
  </si>
  <si>
    <t>CITRIX SYSTEMS INC</t>
  </si>
  <si>
    <t>00826T108</t>
  </si>
  <si>
    <t>AFFYMETRIX INC</t>
  </si>
  <si>
    <t>05453N100</t>
  </si>
  <si>
    <t>AWARE INC</t>
  </si>
  <si>
    <t>CYMER INC</t>
  </si>
  <si>
    <t>MONSTER WORLDWIDE INC</t>
  </si>
  <si>
    <t>L-3 COMMUNICATIONS HLDGS INC</t>
  </si>
  <si>
    <t>cik_fyear</t>
  </si>
  <si>
    <t>txt</t>
  </si>
  <si>
    <t>html</t>
  </si>
  <si>
    <t>sec page</t>
  </si>
  <si>
    <t>Comments</t>
  </si>
  <si>
    <t>xrd</t>
  </si>
  <si>
    <t>old cogs</t>
  </si>
  <si>
    <t>old xsga</t>
  </si>
  <si>
    <t>Unusual breakdown (tech) / COGS is equal to total opearting expense (minus D&amp;A)</t>
  </si>
  <si>
    <t>Unusual breakdown (transport/freight) / COGS (and then COGS + SG&amp;A) equal to total opearting expense (minus D&amp;A)</t>
  </si>
  <si>
    <t>Unusual breakdown (advertising agency) / COGS equal to total opearting expense (minus D&amp;A)</t>
  </si>
  <si>
    <t>Unusual breakdown (tech) / COGS + SG&amp;A equal to total operating expense (minus D&amp;A)</t>
  </si>
  <si>
    <t>Unusual breakdown (airline) / COGS (and then COGS + SG&amp;A) equal to total opearting expense (minus D&amp;A)</t>
  </si>
  <si>
    <t>Unusual breakdown (newspaper business, all compensation lumped together) / Not quite sure what COGS (and  SG&amp;A) are equal to in this case!</t>
  </si>
  <si>
    <t>Building/Construction/Financials // Not traditional breakdown but COGS (reported COGS include D&amp;A) and SG&amp;A correct</t>
  </si>
  <si>
    <t>Unusual breakdown (conglomerate with financial services)</t>
  </si>
  <si>
    <t>Building/Construction/Financials // Not traditional breakdown but COGS and SG&amp;A correct</t>
  </si>
  <si>
    <t>Building/Construction/Financials // COGS corresponds to Total costs and expenses (before D&amp;A)</t>
  </si>
  <si>
    <t>Unusual breakdown (transport/freight) / COGS  equals total operating expense (minus D&amp;A)</t>
  </si>
  <si>
    <t>Unusual breakdown (transport/freight) / COGS (and then COGS + SG&amp;A) equal to total operating expense (minus D&amp;A)</t>
  </si>
  <si>
    <t>Unusual breakdown (trucking/financial services) / COGS is close to total operating expenses before depreciation but not exactly</t>
  </si>
  <si>
    <t>Compustat summed SG&amp;A with exploration and research expense (COGS is correct)</t>
  </si>
  <si>
    <t>Compustated summed COGS, SG&amp;A and exploration expense into COGS</t>
  </si>
  <si>
    <t>Unusual breakdown (transport/freight) / COGS approx. equals total operating expense (minus D&amp;A)</t>
  </si>
  <si>
    <t>Unusual breakdown (Homebuilding/Financial services): Compustat COGS included SG&amp;A over 1998-2001 period</t>
  </si>
  <si>
    <t>Unusual breakdown (transport/freight) / COGS equals total operating expense (minus D&amp;A)</t>
  </si>
  <si>
    <t>Unusual breakdown (hospitals/health centers) / COGS approx. equals total operating expense (minus D&amp;A)</t>
  </si>
  <si>
    <t>Compustat seemed to have made mistakes here. COGS is off. R&amp;D not reported, SG&amp;A lumps up other elements.</t>
  </si>
  <si>
    <t>COGS is correct/SG&amp;A not correct</t>
  </si>
  <si>
    <t>Unusual breakdown (tech) / COGS approx. equals total operating expense (minus D&amp;A)</t>
  </si>
  <si>
    <t>COGS lumped it all together</t>
  </si>
  <si>
    <t>SG&amp;A lumped with R&amp;D/COGS has D&amp;A subtracted</t>
  </si>
  <si>
    <t>Unusual breakdown (transport/freight) / COGS equals total operating expense (minus D&amp;A and gains on disposal of PP&amp;E)</t>
  </si>
  <si>
    <t>Unusual breakdown (radio broadcasting) / COGS "Operating expense" / SG&amp;A is "corporate expense" (both outside of D&amp;A, and include non-cash compensation spread across both)</t>
  </si>
  <si>
    <t>Unusual breakdown (radio broadcasting) / COGS includes  "corporate expense" (both outside of D&amp;A, and include non-cash compensation)</t>
  </si>
  <si>
    <t>Unusual breakdown (radio broadcasting) / COGS includes  "corporate expense" (both outside of D&amp;A, and include non-cash compensation) + unusual items this year (not in COGS or SG&amp;A)</t>
  </si>
  <si>
    <t>Unusual breakdown (biotech) / COGS equals total operating expense (minus D&amp;A)</t>
  </si>
  <si>
    <t>Compustat lumped together SG&amp;A and R&amp;D</t>
  </si>
  <si>
    <t>Compustat lumped together SG&amp;A and R&amp;D, and Other/Took D&amp;A out of COGS</t>
  </si>
  <si>
    <t>Biotech / COGS equals total operating expense (minus D&amp;A)</t>
  </si>
  <si>
    <t>Under because we do not add "Other Operating Expenses"</t>
  </si>
  <si>
    <t>Unusual breakdown (biotech) / COGS+SG&amp;A equals total operating expense (minus D&amp;A and restructuring charge)</t>
  </si>
  <si>
    <t>Unusual breakdown (biotech) / COGS+SG&amp;A equals total operating expense (minus D&amp;A and restructuring charge) / COGS includes a portion of R&amp;D</t>
  </si>
  <si>
    <t>Unusual breakdown (tech) / SG&amp;A lumped with R&amp;D / COGS is basically everything else (minus D&amp;A)</t>
  </si>
  <si>
    <t>Unusual breakdown (tech) / COGS is operating expenses (minus D&amp;A)</t>
  </si>
  <si>
    <t>Unusual breakdown (advertising) / COGS is operating expenses (minus D&amp;A)</t>
  </si>
  <si>
    <t xml:space="preserve">Unusual breakdown (advertising) / COGS is "salaries and related" (!) (minus D&amp;A) / SG&amp;A is broken out </t>
  </si>
  <si>
    <t>Compustat lumped together SG&amp;A and R&amp;D / Took D&amp;A out of COGS</t>
  </si>
  <si>
    <t>Compustat put all operating expenses (before D&amp;A) into COGS</t>
  </si>
  <si>
    <t>Compustat lumped together SG&amp;A and R&amp;D / COGS had D&amp;A removed in Compustat (but it was actually only A not D that is in COGS in the firm's reporting)</t>
  </si>
  <si>
    <t>Unusual breakdown (Homebuilding/Financial services): Not 100% clear how they get their numbers. But close to numbers in financials</t>
  </si>
  <si>
    <t>Compustat lumped together SG&amp;A and R&amp;D / COGS had D&amp;A removed in Compustat</t>
  </si>
  <si>
    <t>Compustat lumped together SG&amp;A and R&amp;D and impairment on long-lived assets / COGS had D&amp;A removed in Compustat</t>
  </si>
  <si>
    <t>Unusual breakdown (Hotel business): impossible to separate out neatly the different pieces</t>
  </si>
  <si>
    <t>Compustat lumped together SG&amp;A and R&amp;D / COGS had D&amp;A removed in Compustat (no amortization items)</t>
  </si>
  <si>
    <t>Compustat lumped together SG&amp;A and R&amp;D / COGS had D&amp;A removed in Compustat, but the breakdown was unclear between COGS and R&amp;D</t>
  </si>
  <si>
    <t>Not sure how Compustat computed total expenses in COGS as I have $10M more but D&amp;A is $17M</t>
  </si>
  <si>
    <t>Biotech / COGS is zero, Compustat did not separate SG&amp;A and R&amp;D</t>
  </si>
  <si>
    <t>Not sure how Compustat computed total expenses</t>
  </si>
  <si>
    <t>Compustat lumped together SG&amp;A and R&amp;D / COGS had D&amp;A removed in Compustat, but  unclear how they get to COGS</t>
  </si>
  <si>
    <t>Compustat lumped together SG&amp;A and R&amp;D / Got all to match</t>
  </si>
  <si>
    <t>Unusual breakdown (IT conglomerate): impossible to separate out neatly the different pieces</t>
  </si>
  <si>
    <t>Unusual breakdown (Freight/Logistics): impossible to separate out different line items.</t>
  </si>
  <si>
    <t>Compustat lumped together SG&amp;A and R&amp;D / COGS subtracts D&amp;A</t>
  </si>
  <si>
    <t>OK</t>
  </si>
  <si>
    <t>COGS is correct/SG&amp;A is correct</t>
  </si>
  <si>
    <t>Unusual breakdown (telecom): impossible to separate out different line items.</t>
  </si>
  <si>
    <t>Unusual breakdown (tech): impossible to separate out different line items.</t>
  </si>
  <si>
    <t>Unusual breakdown (tech): tried to separate out but should be viewed as approximative (except for SG&amp;A)</t>
  </si>
  <si>
    <t>check: NEW cogs+xsga+xrd</t>
  </si>
  <si>
    <t>check: OLD xsga+xrd</t>
  </si>
  <si>
    <t>cogs2</t>
  </si>
  <si>
    <t>xsga2</t>
  </si>
  <si>
    <t>Unusual breakdown (tech) / COGS is equal to total operating expense (minus D&amp;A)</t>
  </si>
  <si>
    <t>xrd2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</si>
</sst>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sz val="9"/>
      <color indexed="81"/>
      <name val="Tahoma"/>
      <family val="2"/>
    </font>
    <font>
      <b/>
      <sz val="9"/>
      <color indexed="81"/>
      <name val="Tahoma"/>
      <family val="2"/>
    </font>
    <font>
      <sz val="11"/>
      <name val="Aptos Narrow"/>
      <family val="2"/>
      <scheme val="minor"/>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15" fontId="0" fillId="0" borderId="0" xfId="0" applyNumberFormat="1"/>
    <xf numFmtId="0" fontId="18" fillId="0" borderId="0" xfId="42" applyAlignment="1"/>
    <xf numFmtId="0" fontId="0" fillId="33" borderId="0" xfId="0" applyFill="1"/>
    <xf numFmtId="0" fontId="14" fillId="0" borderId="0" xfId="0" applyFont="1"/>
    <xf numFmtId="0" fontId="21" fillId="33" borderId="0" xfId="0" applyFont="1" applyFill="1"/>
    <xf numFmtId="0" fontId="21" fillId="0" borderId="0" xfId="0" applyFont="1"/>
    <xf numFmtId="0" fontId="14"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erome Taillard" id="{A0483BAC-3883-4381-ACA0-86065B1AA12E}" userId="S::jtaillard1@babson.edu::15d39373-f608-42a8-a172-487cd062444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L1" dT="2024-11-27T02:59:32.09" personId="{A0483BAC-3883-4381-ACA0-86065B1AA12E}" id="{3C7C6706-F355-424F-8D98-BDEF784F7085}">
    <text>COGS2 is filled for every firm where we only know with confidence operating expenses (OPEX) before Depreciation and Amortization (D&amp;A).</text>
  </threadedComment>
  <threadedComment ref="L1" dT="2024-11-27T02:59:39.14" personId="{A0483BAC-3883-4381-ACA0-86065B1AA12E}" id="{3456DFF1-2CA9-4E54-ACB7-E0DA5EB0E825}" parentId="{3C7C6706-F355-424F-8D98-BDEF784F7085}">
    <text>It is not COGS</text>
  </threadedComment>
  <threadedComment ref="L1" dT="2024-11-27T03:00:12.10" personId="{A0483BAC-3883-4381-ACA0-86065B1AA12E}" id="{A3D3560D-B7A6-4486-A92C-359F8400D6FF}" parentId="{3C7C6706-F355-424F-8D98-BDEF784F7085}">
    <text>It is a consistent time series for each firm where it is not empty</text>
  </threadedComment>
  <threadedComment ref="L1" dT="2024-11-27T03:05:23.07" personId="{A0483BAC-3883-4381-ACA0-86065B1AA12E}" id="{BDD50CE2-854B-4665-AB02-3E83714A5C2F}" parentId="{3C7C6706-F355-424F-8D98-BDEF784F7085}">
    <text>Sales -cogs2 should be close to ebitda
However, there could be discrepancies (e.g. restructuring costs not included)</text>
  </threadedComment>
  <threadedComment ref="N1" dT="2024-11-27T03:06:16.30" personId="{A0483BAC-3883-4381-ACA0-86065B1AA12E}" id="{C420406E-0A05-44A6-80EF-A3A276A6FD7D}">
    <text>SG&amp;A time series, but only when we are confident we have it well measured for all years of a given firm.</text>
  </threadedComment>
  <threadedComment ref="N1" dT="2024-11-27T04:13:18.80" personId="{A0483BAC-3883-4381-ACA0-86065B1AA12E}" id="{2A106025-DBFE-4777-856E-20237816E356}" parentId="{C420406E-0A05-44A6-80EF-A3A276A6FD7D}">
    <text>Note: many of the old xsga from Compustat included R&amp;D when it was there for only a subset of years. So although we did not augment the data that much, I am MUCH MORE CONFIDENT about the SG&amp;A time series for the firm-years below than what Compustat had partially filled for these firms.</text>
  </threadedComment>
  <threadedComment ref="P1" dT="2024-12-03T22:14:56.52" personId="{A0483BAC-3883-4381-ACA0-86065B1AA12E}" id="{5C95A6CB-64B3-407B-8AB6-743348615108}">
    <text>This is almost the same as xrd. Two firms were taken out because the time series of R&amp;D could not be consistent across all obs of that firm.</text>
  </threadedComment>
  <threadedComment ref="Q2" dT="2024-11-23T12:18:05.26" personId="{A0483BAC-3883-4381-ACA0-86065B1AA12E}" id="{441DC352-BB0B-40F2-9E4B-A4B99DB11D03}">
    <text>Not sure we should keep SG&amp;A years as it is not obvious to me how they got to that number.</text>
  </threadedComment>
  <threadedComment ref="Q3" dT="2024-11-23T12:18:05.26" personId="{A0483BAC-3883-4381-ACA0-86065B1AA12E}" id="{3CB13136-3D84-493C-A242-4AAAC83CAD2F}">
    <text>Not sure we should keep SG&amp;A years as it is not obvious to me how they got to that number.</text>
  </threadedComment>
  <threadedComment ref="Q4" dT="2024-11-23T12:18:05.26" personId="{A0483BAC-3883-4381-ACA0-86065B1AA12E}" id="{D60B1F34-0057-4D51-929E-E70F8ECC3094}">
    <text>Not sure we should keep SG&amp;A years as it is not obvious to me how they got to that number.</text>
  </threadedComment>
  <threadedComment ref="Q5" dT="2024-11-23T12:18:05.26" personId="{A0483BAC-3883-4381-ACA0-86065B1AA12E}" id="{897D9302-CF67-4528-9689-493FA0538054}">
    <text>Not sure we should keep SG&amp;A years as it is not obvious to me how they got to that number.</text>
  </threadedComment>
  <threadedComment ref="M6" dT="2024-11-27T03:07:32.47" personId="{A0483BAC-3883-4381-ACA0-86065B1AA12E}" id="{F07DE704-5569-49D9-B7C7-495E5A1EE3B0}">
    <text>Not sure we should keep SG&amp;A years as it is not obvious to me how they got to that number.</text>
  </threadedComment>
  <threadedComment ref="Q6" dT="2024-11-23T12:18:05.26" personId="{A0483BAC-3883-4381-ACA0-86065B1AA12E}" id="{3F7EAF06-7A72-44B5-90C3-8517CA5B9F1C}">
    <text>Not sure we should keep SG&amp;A years as it is not obvious to me how they got to that number.</text>
  </threadedComment>
  <threadedComment ref="S6" dT="2024-11-27T03:07:32.47" personId="{A0483BAC-3883-4381-ACA0-86065B1AA12E}" id="{4778C42C-B7BC-4E9A-AB3B-C846565C6224}">
    <text>Not sure we should keep SG&amp;A years as it is not obvious to me how they got to that number.</text>
  </threadedComment>
  <threadedComment ref="Q7" dT="2024-11-23T12:18:05.26" personId="{A0483BAC-3883-4381-ACA0-86065B1AA12E}" id="{DDD3BB7D-8598-4359-91AB-B91975BFE588}">
    <text>Not sure we should keep SG&amp;A years as it is not obvious to me how they got to that number.</text>
  </threadedComment>
  <threadedComment ref="Q8" dT="2024-11-23T12:18:05.26" personId="{A0483BAC-3883-4381-ACA0-86065B1AA12E}" id="{D0235A30-988E-493D-823B-6D49D17E502A}">
    <text>Not sure we should keep SG&amp;A years as it is not obvious to me how they got to that number.</text>
  </threadedComment>
  <threadedComment ref="Q9" dT="2024-11-23T12:18:05.26" personId="{A0483BAC-3883-4381-ACA0-86065B1AA12E}" id="{62E679FB-745D-4F08-9D5F-91323AE8CB1E}">
    <text>Not sure we should keep SG&amp;A years as it is not obvious to me how they got to that number.</text>
  </threadedComment>
  <threadedComment ref="Q10" dT="2024-11-23T12:18:05.26" personId="{A0483BAC-3883-4381-ACA0-86065B1AA12E}" id="{EAAAB08D-67A1-465C-A057-B7169FB478C8}">
    <text>Not sure we should keep SG&amp;A years as it is not obvious to me how they got to that number.</text>
  </threadedComment>
  <threadedComment ref="Q11" dT="2024-11-23T12:18:05.26" personId="{A0483BAC-3883-4381-ACA0-86065B1AA12E}" id="{33DB4AF5-8A97-4E20-BAD9-F03AEBEF08FA}">
    <text>Not sure we should keep SG&amp;A years as it is not obvious to me how they got to that number.</text>
  </threadedComment>
  <threadedComment ref="T22" dT="2024-11-26T05:01:39.33" personId="{A0483BAC-3883-4381-ACA0-86065B1AA12E}" id="{E2587F85-8A43-496D-81CF-39BF4A0A878C}">
    <text>A bit off and I am not sure why</text>
  </threadedComment>
  <threadedComment ref="K29" dT="2024-11-26T04:57:55.94" personId="{A0483BAC-3883-4381-ACA0-86065B1AA12E}" id="{A21D9504-1CCF-4AF5-AFDE-41F2B54AC59A}">
    <text>Add commissions, subtract D&amp;A (for this year and all previous years)</text>
  </threadedComment>
  <threadedComment ref="R29" dT="2024-11-26T04:58:40.43" personId="{A0483BAC-3883-4381-ACA0-86065B1AA12E}" id="{7266470F-5A6D-4FDB-945C-848E5A63F129}">
    <text>Very off and no good explanation</text>
  </threadedComment>
  <threadedComment ref="Q38" dT="2024-11-23T14:22:33.97" personId="{A0483BAC-3883-4381-ACA0-86065B1AA12E}" id="{D2404EE7-5B04-4C65-854A-7AEA6E3D49AF}">
    <text>First year with SG&amp;A separated out</text>
  </threadedComment>
  <threadedComment ref="Q39" dT="2024-11-23T14:22:33.97" personId="{A0483BAC-3883-4381-ACA0-86065B1AA12E}" id="{273E498E-945B-4B38-9A2B-FB302086C698}">
    <text>First year with SG&amp;A separated out</text>
  </threadedComment>
  <threadedComment ref="Q40" dT="2024-11-23T14:22:33.97" personId="{A0483BAC-3883-4381-ACA0-86065B1AA12E}" id="{F02AA22D-0F62-4874-8DA3-01B1C0B9253E}">
    <text>First year with SG&amp;A separated out</text>
  </threadedComment>
  <threadedComment ref="Q41" dT="2024-11-23T14:22:33.97" personId="{A0483BAC-3883-4381-ACA0-86065B1AA12E}" id="{18D0A0AB-2230-43D2-89F0-D8238FC3C944}">
    <text>First year with SG&amp;A separated out</text>
  </threadedComment>
  <threadedComment ref="K52" dT="2024-11-22T21:05:29.15" personId="{A0483BAC-3883-4381-ACA0-86065B1AA12E}" id="{3F1B7314-A820-400D-A445-19B877BF74DA}">
    <text>Commissions and royalties</text>
  </threadedComment>
  <threadedComment ref="K53" dT="2024-11-22T21:00:33.08" personId="{A0483BAC-3883-4381-ACA0-86065B1AA12E}" id="{32781E64-F4DA-4AFC-86E9-211EDA96A4D9}">
    <text>Commissions and royalties</text>
  </threadedComment>
  <threadedComment ref="K54" dT="2024-11-22T21:00:38.22" personId="{A0483BAC-3883-4381-ACA0-86065B1AA12E}" id="{13CBB02A-CA9B-406F-872F-E31B0B89A175}">
    <text>Commissions and royalties</text>
  </threadedComment>
  <threadedComment ref="K55" dT="2024-11-22T21:00:43.47" personId="{A0483BAC-3883-4381-ACA0-86065B1AA12E}" id="{01677A69-7624-49D1-BF4B-0CD0A96BC2BF}">
    <text>Commissions and royalties</text>
  </threadedComment>
  <threadedComment ref="K56" dT="2024-11-23T03:58:56.54" personId="{A0483BAC-3883-4381-ACA0-86065B1AA12E}" id="{78751F52-0D65-4769-9607-DFF7B1FE6BA7}">
    <text>Commissions and royalties</text>
  </threadedComment>
  <threadedComment ref="M56" dT="2024-11-23T03:53:59.80" personId="{A0483BAC-3883-4381-ACA0-86065B1AA12E}" id="{84CE2890-3557-48F0-AD38-4C8C9BD10C3B}">
    <text>Includes cost of professional services</text>
  </threadedComment>
  <threadedComment ref="K57" dT="2024-11-23T03:59:03.95" personId="{A0483BAC-3883-4381-ACA0-86065B1AA12E}" id="{3AA3DF33-84C7-416E-BA5B-B10645576479}">
    <text>Commissions and royalties</text>
  </threadedComment>
  <threadedComment ref="M57" dT="2024-11-23T03:54:09.58" personId="{A0483BAC-3883-4381-ACA0-86065B1AA12E}" id="{EEA96459-4485-43D2-8974-50C26BC6D782}">
    <text>Includes cost of professional services</text>
  </threadedComment>
  <threadedComment ref="K58" dT="2024-11-23T03:59:09.94" personId="{A0483BAC-3883-4381-ACA0-86065B1AA12E}" id="{821A1016-A9F8-490D-9786-8B418868E3A9}">
    <text>Commissions and royalties</text>
  </threadedComment>
  <threadedComment ref="M58" dT="2024-11-23T03:54:32.78" personId="{A0483BAC-3883-4381-ACA0-86065B1AA12E}" id="{B9828777-014D-4FC6-8918-A5C03CB6B77E}">
    <text>Includes cost of professional services</text>
  </threadedComment>
  <threadedComment ref="K59" dT="2024-11-23T03:59:17.14" personId="{A0483BAC-3883-4381-ACA0-86065B1AA12E}" id="{67D10884-6CB7-433E-860D-3ADCBB22B042}">
    <text>Commissions and royalties</text>
  </threadedComment>
  <threadedComment ref="M59" dT="2024-11-23T03:54:39.64" personId="{A0483BAC-3883-4381-ACA0-86065B1AA12E}" id="{AC8F38BE-B801-401D-993D-C998B517FA6F}">
    <text>Includes cost of professional services</text>
  </threadedComment>
  <threadedComment ref="K60" dT="2024-11-23T03:59:23.10" personId="{A0483BAC-3883-4381-ACA0-86065B1AA12E}" id="{DD71FD1D-99F5-484F-AC85-9E0C11F242BB}">
    <text>Commissions and royalties</text>
  </threadedComment>
  <threadedComment ref="M60" dT="2024-11-23T03:57:44.88" personId="{A0483BAC-3883-4381-ACA0-86065B1AA12E}" id="{8B39A7B7-061C-4CB0-B3DD-A0CA932F2F09}">
    <text>Includes cost of professional services</text>
  </threadedComment>
  <threadedComment ref="K61" dT="2024-11-23T03:59:32.06" personId="{A0483BAC-3883-4381-ACA0-86065B1AA12E}" id="{F76CB5AA-9868-4BBA-BF53-8B69F5258070}">
    <text>Commissions and royalties</text>
  </threadedComment>
  <threadedComment ref="M61" dT="2024-11-23T03:57:51.72" personId="{A0483BAC-3883-4381-ACA0-86065B1AA12E}" id="{ECC28F41-2CBA-4669-A66D-3C5EE759E5E6}">
    <text>Includes cost of professional services</text>
  </threadedComment>
  <threadedComment ref="Q72" dT="2024-11-23T04:12:58.98" personId="{A0483BAC-3883-4381-ACA0-86065B1AA12E}" id="{40E540A8-D668-4BAB-BE2F-71E4FEF9802A}">
    <text xml:space="preserve">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ext>
  </threadedComment>
  <threadedComment ref="Q73" dT="2024-11-23T04:12:58.98" personId="{A0483BAC-3883-4381-ACA0-86065B1AA12E}" id="{5F19DEC1-B591-4FA3-B254-8B7612ED73DD}">
    <text xml:space="preserve">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ext>
  </threadedComment>
  <threadedComment ref="Q74" dT="2024-11-23T04:12:58.98" personId="{A0483BAC-3883-4381-ACA0-86065B1AA12E}" id="{42A1B0A9-93B2-4E7F-9E10-372CEAEC01D5}">
    <text xml:space="preserve">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ext>
  </threadedComment>
  <threadedComment ref="Q75" dT="2024-11-23T04:12:58.98" personId="{A0483BAC-3883-4381-ACA0-86065B1AA12E}" id="{9EABA470-34D4-499F-8E03-5CCEA0900C37}">
    <text xml:space="preserve">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ext>
  </threadedComment>
  <threadedComment ref="Q76" dT="2024-11-23T04:12:58.98" personId="{A0483BAC-3883-4381-ACA0-86065B1AA12E}" id="{0C9F230E-3FE6-41E6-9481-7A05203AC1B2}">
    <text xml:space="preserve">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ext>
  </threadedComment>
  <threadedComment ref="Q77" dT="2024-11-23T04:12:58.98" personId="{A0483BAC-3883-4381-ACA0-86065B1AA12E}" id="{7FF521E9-C1FC-499F-BA0B-847E5D91AA8B}">
    <text xml:space="preserve">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ext>
  </threadedComment>
  <threadedComment ref="Q78" dT="2024-11-23T04:12:58.98" personId="{A0483BAC-3883-4381-ACA0-86065B1AA12E}" id="{5FC0F996-51DF-431F-89A2-5BC9667C449F}">
    <text xml:space="preserve">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ext>
  </threadedComment>
  <threadedComment ref="Q79" dT="2024-11-23T04:12:58.98" personId="{A0483BAC-3883-4381-ACA0-86065B1AA12E}" id="{8FF2F593-B9B1-404B-B17A-6A7E9A0DC1DF}">
    <text xml:space="preserve">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ext>
  </threadedComment>
  <threadedComment ref="Q80" dT="2024-11-23T04:12:58.98" personId="{A0483BAC-3883-4381-ACA0-86065B1AA12E}" id="{48768694-D03E-4AAF-AEF3-0E6D5B31FCD4}">
    <text xml:space="preserve">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ext>
  </threadedComment>
  <threadedComment ref="Q81" dT="2024-11-23T04:12:58.98" personId="{A0483BAC-3883-4381-ACA0-86065B1AA12E}" id="{8D81D2F8-DB2F-4AC6-A081-1A103CEFE995}">
    <text xml:space="preserve">We measure operating expenses in two distinct cost categories, salary and service costs, and office and general expenses. Salary and service costs are primarily comprised of employee compensation related costs and office and general expenses are primarily comprised of rent and occupancy costs, technology related costs and depreciation and amortization. </text>
  </threadedComment>
  <threadedComment ref="Q82" dT="2024-11-26T05:42:27.44" personId="{A0483BAC-3883-4381-ACA0-86065B1AA12E}" id="{AEBD8EEC-5462-411F-BA6A-52B7C4CA5C18}">
    <text>I did not include provision for uncollectable accounts receivables.</text>
  </threadedComment>
  <threadedComment ref="Q83" dT="2024-11-26T05:38:15.86" personId="{A0483BAC-3883-4381-ACA0-86065B1AA12E}" id="{5E263BF6-1142-46AD-AE0A-3637EFC4976E}">
    <text>Compustat added to SG&amp;A both legal expenses and provisions for uncollectible accounts receivables. I excluded them.</text>
  </threadedComment>
  <threadedComment ref="Q84" dT="2024-11-26T05:38:15.86" personId="{A0483BAC-3883-4381-ACA0-86065B1AA12E}" id="{1B44FC00-BEB9-4B5E-9F59-B2F762AF7FC0}">
    <text>Compustat added to SG&amp;A both legal expenses and provisions for uncollectible accounts receivables. I excluded them.</text>
  </threadedComment>
  <threadedComment ref="Q85" dT="2024-11-26T05:38:15.86" personId="{A0483BAC-3883-4381-ACA0-86065B1AA12E}" id="{3F752F05-D116-4A7C-933E-0E2F4AC2BDF9}">
    <text>Compustat added to SG&amp;A both legal expenses and provisions for uncollectible accounts receivables. I excluded them.</text>
  </threadedComment>
  <threadedComment ref="Q86" dT="2024-11-26T05:38:15.86" personId="{A0483BAC-3883-4381-ACA0-86065B1AA12E}" id="{461DDA1F-CEFE-4691-AA0E-80EAB532D94F}">
    <text>Compustat added to SG&amp;A both legal expenses and provisions for uncollectible accounts receivables. I excluded them.</text>
  </threadedComment>
  <threadedComment ref="Q87" dT="2024-11-26T05:38:15.86" personId="{A0483BAC-3883-4381-ACA0-86065B1AA12E}" id="{A6A540B4-84BA-408B-BCE4-9E4E64108629}">
    <text>Compustat added to SG&amp;A both legal expenses and provisions for uncollectible accounts receivables. I excluded them.</text>
  </threadedComment>
  <threadedComment ref="Q88" dT="2024-11-26T05:38:15.86" personId="{A0483BAC-3883-4381-ACA0-86065B1AA12E}" id="{786692DD-F1D5-4102-8EA4-6EF13593D1E7}">
    <text>Compustat added to SG&amp;A both legal expenses and provisions for uncollectible accounts receivables. I excluded them.</text>
  </threadedComment>
  <threadedComment ref="M94" dT="2024-11-27T03:08:42.53" personId="{A0483BAC-3883-4381-ACA0-86065B1AA12E}" id="{90539E54-2840-416E-A858-378AEDA2DA08}">
    <text xml:space="preserve">Not sure we should keep SG&amp;A years as it is not obvious to me how they got to that number.
</text>
  </threadedComment>
  <threadedComment ref="Q94" dT="2024-11-23T12:18:05.26" personId="{A0483BAC-3883-4381-ACA0-86065B1AA12E}" id="{02750704-E723-453C-A3B9-63E3B6CDD27E}">
    <text>Not sure we should keep SG&amp;A years as it is not obvious to me how they got to that number.</text>
  </threadedComment>
  <threadedComment ref="S94" dT="2024-11-27T03:08:42.53" personId="{A0483BAC-3883-4381-ACA0-86065B1AA12E}" id="{EBEBB996-B3E1-436E-86FB-250D541AABE1}">
    <text xml:space="preserve">Not sure we should keep SG&amp;A years as it is not obvious to me how they got to that number.
</text>
  </threadedComment>
  <threadedComment ref="Q95" dT="2024-11-23T12:18:05.26" personId="{A0483BAC-3883-4381-ACA0-86065B1AA12E}" id="{1D862792-AE45-41E5-BC26-170B3E208352}">
    <text>Not sure we should keep SG&amp;A years as it is not obvious to me how they got to that number.</text>
  </threadedComment>
  <threadedComment ref="Q96" dT="2024-11-23T12:18:05.26" personId="{A0483BAC-3883-4381-ACA0-86065B1AA12E}" id="{2CEB2D8E-065A-4B17-B16E-3543377F83EE}">
    <text>Not sure we should keep SG&amp;A years as it is not obvious to me how they got to that number.</text>
  </threadedComment>
  <threadedComment ref="Q97" dT="2024-11-23T12:18:05.26" personId="{A0483BAC-3883-4381-ACA0-86065B1AA12E}" id="{00A7D7B1-9922-4A97-A436-B38EADF1DC90}">
    <text>Not sure we should keep SG&amp;A years as it is not obvious to me how they got to that number.</text>
  </threadedComment>
  <threadedComment ref="Q98" dT="2024-11-23T12:18:05.26" personId="{A0483BAC-3883-4381-ACA0-86065B1AA12E}" id="{312D3F73-25A4-446B-9755-AE475F01A52E}">
    <text>Not sure we should keep SG&amp;A years as it is not obvious to me how they got to that number.</text>
  </threadedComment>
  <threadedComment ref="T102" dT="2024-11-26T05:32:04.86" personId="{A0483BAC-3883-4381-ACA0-86065B1AA12E}" id="{4AD57641-0609-4881-AB59-60FC31FD0AE7}">
    <text>Cannot reconcile with Compustat!</text>
  </threadedComment>
  <threadedComment ref="T104" dT="2024-11-26T05:31:47.51" personId="{A0483BAC-3883-4381-ACA0-86065B1AA12E}" id="{9DA830ED-23DA-48DA-93AB-6F4D79AB3D15}">
    <text>Cannot reconcile with Compustat!</text>
  </threadedComment>
  <threadedComment ref="T105" dT="2024-11-26T05:31:42.49" personId="{A0483BAC-3883-4381-ACA0-86065B1AA12E}" id="{2A1AA232-8F37-4D53-BB74-C1599ADD3B2F}">
    <text>Cannot reconcile with Compustat!</text>
  </threadedComment>
  <threadedComment ref="Q106" dT="2024-11-23T12:18:05.26" personId="{A0483BAC-3883-4381-ACA0-86065B1AA12E}" id="{0B7E8895-D5FB-46E4-8527-060790933FEA}">
    <text>Not sure we should keep SG&amp;A years as it is not obvious to me how they got to that number.</text>
  </threadedComment>
  <threadedComment ref="Q107" dT="2024-11-23T12:18:05.26" personId="{A0483BAC-3883-4381-ACA0-86065B1AA12E}" id="{5749156E-AD49-4A23-8045-79304C554D08}">
    <text>Not sure we should keep SG&amp;A years as it is not obvious to me how they got to that number.</text>
  </threadedComment>
  <threadedComment ref="Q108" dT="2024-11-23T12:18:05.26" personId="{A0483BAC-3883-4381-ACA0-86065B1AA12E}" id="{9E9D8C33-A5EF-4A6D-9747-112727156497}">
    <text>Not sure we should keep SG&amp;A years as it is not obvious to me how they got to that number.</text>
  </threadedComment>
  <threadedComment ref="Q109" dT="2024-11-23T12:18:05.26" personId="{A0483BAC-3883-4381-ACA0-86065B1AA12E}" id="{B63BE51D-710B-4DA5-8A08-A07B709A773F}">
    <text>Not sure we should keep SG&amp;A years as it is not obvious to me how they got to that number.</text>
  </threadedComment>
  <threadedComment ref="Q110" dT="2024-11-23T12:18:05.26" personId="{A0483BAC-3883-4381-ACA0-86065B1AA12E}" id="{7AB9CD60-600D-4298-BCE2-8C9CE1C2ED82}">
    <text>Not sure we should keep SG&amp;A years as it is not obvious to me how they got to that number.</text>
  </threadedComment>
  <threadedComment ref="M111" dT="2024-11-27T03:08:54.67" personId="{A0483BAC-3883-4381-ACA0-86065B1AA12E}" id="{876D471C-0EAD-407D-85C1-BCD7783F820E}">
    <text>Not sure we should keep SG&amp;A years as it is not obvious to me how they got to that number.</text>
  </threadedComment>
  <threadedComment ref="Q111" dT="2024-11-23T12:18:05.26" personId="{A0483BAC-3883-4381-ACA0-86065B1AA12E}" id="{4C482254-8DD9-42C2-BF98-763720FBC290}">
    <text>Not sure we should keep SG&amp;A years as it is not obvious to me how they got to that number.</text>
  </threadedComment>
  <threadedComment ref="S111" dT="2024-11-27T03:08:54.67" personId="{A0483BAC-3883-4381-ACA0-86065B1AA12E}" id="{1BD79BC3-C265-4E8F-A4B2-A1BADFE343ED}">
    <text>Not sure we should keep SG&amp;A years as it is not obvious to me how they got to that number.</text>
  </threadedComment>
  <threadedComment ref="Q112" dT="2024-11-23T12:18:05.26" personId="{A0483BAC-3883-4381-ACA0-86065B1AA12E}" id="{94FA1F94-F90F-4141-A942-B2E9803B5983}">
    <text>Not sure we should keep SG&amp;A years as it is not obvious to me how they got to that number.</text>
  </threadedComment>
  <threadedComment ref="Q113" dT="2024-11-23T12:18:05.26" personId="{A0483BAC-3883-4381-ACA0-86065B1AA12E}" id="{A582AB8F-7683-4F66-943D-962E9289BAD6}">
    <text>Not sure we should keep SG&amp;A years as it is not obvious to me how they got to that number.</text>
  </threadedComment>
  <threadedComment ref="Q114" dT="2024-11-23T12:18:05.26" personId="{A0483BAC-3883-4381-ACA0-86065B1AA12E}" id="{AE56EB34-4DAF-4EE6-B88F-822045D98A39}">
    <text>Not sure we should keep SG&amp;A years as it is not obvious to me how they got to that number.</text>
  </threadedComment>
  <threadedComment ref="Q115" dT="2024-11-23T12:18:05.26" personId="{A0483BAC-3883-4381-ACA0-86065B1AA12E}" id="{91C904BE-15C6-420E-81C5-9F883BE6D83D}">
    <text>Not sure we should keep SG&amp;A years as it is not obvious to me how they got to that number.</text>
  </threadedComment>
  <threadedComment ref="O123" dT="2024-11-23T13:08:40.59" personId="{A0483BAC-3883-4381-ACA0-86065B1AA12E}" id="{36CB5992-B732-4865-B7A3-98BF859D0606}">
    <text>Last year with defense division</text>
  </threadedComment>
  <threadedComment ref="P123" dT="2024-11-23T13:08:40.59" personId="{A0483BAC-3883-4381-ACA0-86065B1AA12E}" id="{4E375A5A-4F3A-448C-881B-47B15C20F9E0}">
    <text>Last year with defense division</text>
  </threadedComment>
  <threadedComment ref="Q136" dT="2024-11-23T12:18:05.26" personId="{A0483BAC-3883-4381-ACA0-86065B1AA12E}" id="{A676F6C5-5118-4091-B44A-4F4AD8115E1D}">
    <text>Not sure we should keep SG&amp;A years as it is not obvious to me how they got to that number.</text>
  </threadedComment>
  <threadedComment ref="Q136" dT="2024-11-23T14:17:48.34" personId="{A0483BAC-3883-4381-ACA0-86065B1AA12E}" id="{B5BAD307-14A9-482D-A237-6D083B8935FD}" parentId="{A676F6C5-5118-4091-B44A-4F4AD8115E1D}">
    <text>Actually in this case, it is “Other” that they reported in SG&amp;A!!</text>
  </threadedComment>
  <threadedComment ref="Q137" dT="2024-11-23T12:18:05.26" personId="{A0483BAC-3883-4381-ACA0-86065B1AA12E}" id="{24685826-AAA8-4971-A030-F13AA4C2396C}">
    <text>Not sure we should keep SG&amp;A years as it is not obvious to me how they got to that number.</text>
  </threadedComment>
  <threadedComment ref="Q137" dT="2024-11-23T14:17:48.34" personId="{A0483BAC-3883-4381-ACA0-86065B1AA12E}" id="{F93E0008-CC27-4DAC-94E3-9571FA14938E}" parentId="{24685826-AAA8-4971-A030-F13AA4C2396C}">
    <text>Actually in this case, it is “Other” that they reported in SG&amp;A!!</text>
  </threadedComment>
  <threadedComment ref="Q138" dT="2024-11-23T12:18:05.26" personId="{A0483BAC-3883-4381-ACA0-86065B1AA12E}" id="{63E8E4E2-7294-45DA-A685-D1D7C62F0451}">
    <text>Not sure we should keep SG&amp;A years as it is not obvious to me how they got to that number.</text>
  </threadedComment>
  <threadedComment ref="Q138" dT="2024-11-23T14:17:48.34" personId="{A0483BAC-3883-4381-ACA0-86065B1AA12E}" id="{5C7011E6-C51D-4AC7-8F2B-EB517D849A6D}" parentId="{63E8E4E2-7294-45DA-A685-D1D7C62F0451}">
    <text>Actually in this case, it is “Other” that they reported in SG&amp;A!!</text>
  </threadedComment>
  <threadedComment ref="Q139" dT="2024-11-23T12:18:05.26" personId="{A0483BAC-3883-4381-ACA0-86065B1AA12E}" id="{E9EFE005-1882-436D-81EF-F259F439181B}">
    <text>Not sure we should keep SG&amp;A years as it is not obvious to me how they got to that number.</text>
  </threadedComment>
  <threadedComment ref="Q139" dT="2024-11-23T14:17:48.34" personId="{A0483BAC-3883-4381-ACA0-86065B1AA12E}" id="{49C8459D-9989-4C7F-8EC6-9291C8A77151}" parentId="{E9EFE005-1882-436D-81EF-F259F439181B}">
    <text>Actually in this case, it is “Other” that they reported in SG&amp;A!!</text>
  </threadedComment>
  <threadedComment ref="M140" dT="2024-11-23T12:18:05.26" personId="{A0483BAC-3883-4381-ACA0-86065B1AA12E}" id="{5980E25C-CE37-40BA-87E1-759AD37D9AAA}">
    <text>Not sure we should keep SG&amp;A years as it is not obvious to me how they got to that number.</text>
  </threadedComment>
  <threadedComment ref="M140" dT="2024-11-23T14:17:48.34" personId="{A0483BAC-3883-4381-ACA0-86065B1AA12E}" id="{4D07C292-BAA1-4F67-98DA-76728EBE209F}" parentId="{5980E25C-CE37-40BA-87E1-759AD37D9AAA}">
    <text>Actually in this case, it is “Other” that they reported in SG&amp;A!!</text>
  </threadedComment>
  <threadedComment ref="Q140" dT="2024-11-23T12:18:05.26" personId="{A0483BAC-3883-4381-ACA0-86065B1AA12E}" id="{C6C77B9D-FE89-4661-B497-D42BF746C6DF}">
    <text>Not sure we should keep SG&amp;A years as it is not obvious to me how they got to that number.</text>
  </threadedComment>
  <threadedComment ref="Q140" dT="2024-11-23T14:17:48.34" personId="{A0483BAC-3883-4381-ACA0-86065B1AA12E}" id="{0EF1A235-E59A-430E-8227-565324C2BC90}" parentId="{C6C77B9D-FE89-4661-B497-D42BF746C6DF}">
    <text>Actually in this case, it is “Other” that they reported in SG&amp;A!!</text>
  </threadedComment>
  <threadedComment ref="S140" dT="2024-11-23T12:18:05.26" personId="{A0483BAC-3883-4381-ACA0-86065B1AA12E}" id="{2C1EDAC1-9208-4FD3-93AF-06281CFABEDF}">
    <text>Not sure we should keep SG&amp;A years as it is not obvious to me how they got to that number.</text>
  </threadedComment>
  <threadedComment ref="S140" dT="2024-11-23T14:17:48.34" personId="{A0483BAC-3883-4381-ACA0-86065B1AA12E}" id="{CD277311-7074-499B-B0BE-59B242105A01}" parentId="{2C1EDAC1-9208-4FD3-93AF-06281CFABEDF}">
    <text>Actually in this case, it is “Other” that they reported in SG&amp;A!!</text>
  </threadedComment>
  <threadedComment ref="Q141" dT="2024-11-23T12:18:05.26" personId="{A0483BAC-3883-4381-ACA0-86065B1AA12E}" id="{1BAC2E78-8A8E-47A1-AE62-97613A7513B7}">
    <text>Not sure we should keep SG&amp;A years as it is not obvious to me how they got to that number.</text>
  </threadedComment>
  <threadedComment ref="Q141" dT="2024-11-23T14:17:48.34" personId="{A0483BAC-3883-4381-ACA0-86065B1AA12E}" id="{5235B857-2F0D-4E57-8A9D-AC28450A5E19}" parentId="{1BAC2E78-8A8E-47A1-AE62-97613A7513B7}">
    <text>Actually in this case, it is “Other” that they reported in SG&amp;A!!</text>
  </threadedComment>
  <threadedComment ref="Q142" dT="2024-11-23T12:18:05.26" personId="{A0483BAC-3883-4381-ACA0-86065B1AA12E}" id="{63DC3DD0-4913-48D0-9CED-865FE6382CEB}">
    <text>Not sure we should keep SG&amp;A years as it is not obvious to me how they got to that number.</text>
  </threadedComment>
  <threadedComment ref="Q142" dT="2024-11-23T14:17:48.34" personId="{A0483BAC-3883-4381-ACA0-86065B1AA12E}" id="{9BF09E19-6510-40DF-8C39-663027B8FE6C}" parentId="{63DC3DD0-4913-48D0-9CED-865FE6382CEB}">
    <text>Actually in this case, it is “Other” that they reported in SG&amp;A!!</text>
  </threadedComment>
  <threadedComment ref="Q143" dT="2024-11-23T12:18:05.26" personId="{A0483BAC-3883-4381-ACA0-86065B1AA12E}" id="{C2D55B9A-BAED-468E-949A-0F2C0114AC2E}">
    <text>Not sure we should keep SG&amp;A years as it is not obvious to me how they got to that number.</text>
  </threadedComment>
  <threadedComment ref="Q143" dT="2024-11-23T14:17:48.34" personId="{A0483BAC-3883-4381-ACA0-86065B1AA12E}" id="{477F9AF4-FEAA-4949-A123-14B7546D260D}" parentId="{C2D55B9A-BAED-468E-949A-0F2C0114AC2E}">
    <text>Actually in this case, it is “Other” that they reported in SG&amp;A!!</text>
  </threadedComment>
  <threadedComment ref="Q144" dT="2024-11-23T12:18:05.26" personId="{A0483BAC-3883-4381-ACA0-86065B1AA12E}" id="{543E49B9-9DE5-4A0B-A809-3ACB20715C80}">
    <text>Not sure we should keep SG&amp;A years as it is not obvious to me how they got to that number.</text>
  </threadedComment>
  <threadedComment ref="Q144" dT="2024-11-23T14:17:48.34" personId="{A0483BAC-3883-4381-ACA0-86065B1AA12E}" id="{EFD2C3B3-4C7D-4E06-B71A-2163E1836639}" parentId="{543E49B9-9DE5-4A0B-A809-3ACB20715C80}">
    <text>Actually in this case, it is “Other” that they reported in SG&amp;A!!</text>
  </threadedComment>
  <threadedComment ref="Q144" dT="2024-11-23T15:20:50.85" personId="{A0483BAC-3883-4381-ACA0-86065B1AA12E}" id="{A143577C-9771-4215-8999-3DB2866252A8}" parentId="{543E49B9-9DE5-4A0B-A809-3ACB20715C80}">
    <text>Unclear what COGS is computed either.</text>
  </threadedComment>
  <threadedComment ref="Q145" dT="2024-11-23T12:18:05.26" personId="{A0483BAC-3883-4381-ACA0-86065B1AA12E}" id="{7CC4AFD2-881F-4C99-8A9A-4BFEB475678C}">
    <text>Not sure we should keep SG&amp;A years as it is not obvious to me how they got to that number.</text>
  </threadedComment>
  <threadedComment ref="Q145" dT="2024-11-23T14:17:48.34" personId="{A0483BAC-3883-4381-ACA0-86065B1AA12E}" id="{D42D7D98-3F36-4E22-9DE0-4130915FCA6B}" parentId="{7CC4AFD2-881F-4C99-8A9A-4BFEB475678C}">
    <text>Actually in this case, it is “Other” that they reported in SG&amp;A!!</text>
  </threadedComment>
  <threadedComment ref="Q145" dT="2024-11-23T15:20:50.85" personId="{A0483BAC-3883-4381-ACA0-86065B1AA12E}" id="{BD3C6249-E174-4EE7-8BCC-7C240362F44A}" parentId="{7CC4AFD2-881F-4C99-8A9A-4BFEB475678C}">
    <text>Unclear what COGS is computed either.</text>
  </threadedComment>
  <threadedComment ref="Q146" dT="2024-11-23T12:18:05.26" personId="{A0483BAC-3883-4381-ACA0-86065B1AA12E}" id="{6894CE6F-7867-4573-9364-429932844F1C}">
    <text>Not sure we should keep SG&amp;A years as it is not obvious to me how they got to that number.</text>
  </threadedComment>
  <threadedComment ref="Q146" dT="2024-11-23T14:17:48.34" personId="{A0483BAC-3883-4381-ACA0-86065B1AA12E}" id="{0798CA91-0170-49AE-B4A8-1DDC92DF4AC9}" parentId="{6894CE6F-7867-4573-9364-429932844F1C}">
    <text>Actually in this case, it is “Other” that they reported in SG&amp;A!!</text>
  </threadedComment>
  <threadedComment ref="Q146" dT="2024-11-23T15:20:50.85" personId="{A0483BAC-3883-4381-ACA0-86065B1AA12E}" id="{062FCFDA-5F81-4AEE-AD69-BD949E13E5E9}" parentId="{6894CE6F-7867-4573-9364-429932844F1C}">
    <text>Unclear what COGS is computed either.</text>
  </threadedComment>
  <threadedComment ref="Q147" dT="2024-11-23T12:18:05.26" personId="{A0483BAC-3883-4381-ACA0-86065B1AA12E}" id="{8675E31B-CB68-4B63-AE53-11A74175ED4F}">
    <text>Not sure we should keep SG&amp;A years as it is not obvious to me how they got to that number.</text>
  </threadedComment>
  <threadedComment ref="Q147" dT="2024-11-23T14:17:48.34" personId="{A0483BAC-3883-4381-ACA0-86065B1AA12E}" id="{BC7CA1F4-E751-4AD7-A6C4-26495E55340E}" parentId="{8675E31B-CB68-4B63-AE53-11A74175ED4F}">
    <text>Actually in this case, it is “Other” that they reported in SG&amp;A!!</text>
  </threadedComment>
  <threadedComment ref="Q147" dT="2024-11-23T15:20:50.85" personId="{A0483BAC-3883-4381-ACA0-86065B1AA12E}" id="{83EFA59C-FC02-48F9-9BA1-486AD908A3DD}" parentId="{8675E31B-CB68-4B63-AE53-11A74175ED4F}">
    <text>Unclear what COGS is computed either.</text>
  </threadedComment>
  <threadedComment ref="Q148" dT="2024-11-23T12:18:05.26" personId="{A0483BAC-3883-4381-ACA0-86065B1AA12E}" id="{9BAA9B3D-7C6C-4BB8-B053-70B5C44897C9}">
    <text>Not sure we should keep SG&amp;A years as it is not obvious to me how they got to that number.</text>
  </threadedComment>
  <threadedComment ref="Q148" dT="2024-11-23T14:17:48.34" personId="{A0483BAC-3883-4381-ACA0-86065B1AA12E}" id="{2D3E03F5-8061-4C57-ADBA-BDB31BD28466}" parentId="{9BAA9B3D-7C6C-4BB8-B053-70B5C44897C9}">
    <text>Actually in this case, it is “Other” that they reported in SG&amp;A!!</text>
  </threadedComment>
  <threadedComment ref="Q148" dT="2024-11-23T15:20:50.85" personId="{A0483BAC-3883-4381-ACA0-86065B1AA12E}" id="{1CA040AD-7946-4D9C-B55F-AB320A9A1BBA}" parentId="{9BAA9B3D-7C6C-4BB8-B053-70B5C44897C9}">
    <text>Unclear what COGS is computed either.</text>
  </threadedComment>
  <threadedComment ref="Q149" dT="2024-11-23T12:18:05.26" personId="{A0483BAC-3883-4381-ACA0-86065B1AA12E}" id="{0B62A1DA-4870-45B4-8AE4-AF4E4B6CF7A5}">
    <text>Not sure we should keep SG&amp;A years as it is not obvious to me how they got to that number.</text>
  </threadedComment>
  <threadedComment ref="Q149" dT="2024-11-23T14:17:48.34" personId="{A0483BAC-3883-4381-ACA0-86065B1AA12E}" id="{32E6E958-C64E-4757-8599-9EBF6A48AC86}" parentId="{0B62A1DA-4870-45B4-8AE4-AF4E4B6CF7A5}">
    <text>Actually in this case, it is “Other” that they reported in SG&amp;A!!</text>
  </threadedComment>
  <threadedComment ref="Q149" dT="2024-11-23T15:20:50.85" personId="{A0483BAC-3883-4381-ACA0-86065B1AA12E}" id="{21564F42-3693-49A1-A059-91C59F75BE30}" parentId="{0B62A1DA-4870-45B4-8AE4-AF4E4B6CF7A5}">
    <text>Unclear what COGS is computed either.</text>
  </threadedComment>
  <threadedComment ref="M150" dT="2024-11-23T12:18:05.26" personId="{A0483BAC-3883-4381-ACA0-86065B1AA12E}" id="{F31FC8DB-2B2B-48EB-B46E-530C6B049CE6}">
    <text>Not sure we should keep SG&amp;A years as it is not obvious to me how they got to that number.</text>
  </threadedComment>
  <threadedComment ref="M150" dT="2024-11-23T14:17:48.34" personId="{A0483BAC-3883-4381-ACA0-86065B1AA12E}" id="{D85EB163-F38A-46D3-BF24-16B9D16322EE}" parentId="{F31FC8DB-2B2B-48EB-B46E-530C6B049CE6}">
    <text>Actually in this case, it is “Other” that they reported in SG&amp;A!!</text>
  </threadedComment>
  <threadedComment ref="M150" dT="2024-11-23T15:20:50.85" personId="{A0483BAC-3883-4381-ACA0-86065B1AA12E}" id="{12F71E1F-DFE9-44D4-BDD6-096C33B167E2}" parentId="{F31FC8DB-2B2B-48EB-B46E-530C6B049CE6}">
    <text>Unclear what COGS is computed either.</text>
  </threadedComment>
  <threadedComment ref="Q150" dT="2024-11-23T12:18:05.26" personId="{A0483BAC-3883-4381-ACA0-86065B1AA12E}" id="{566A0BAB-AD49-44EF-975C-3A2FFC7D8AD8}">
    <text>Not sure we should keep SG&amp;A years as it is not obvious to me how they got to that number.</text>
  </threadedComment>
  <threadedComment ref="Q150" dT="2024-11-23T14:17:48.34" personId="{A0483BAC-3883-4381-ACA0-86065B1AA12E}" id="{73F31C20-2B8E-4C7F-A736-C2F4326D49A9}" parentId="{566A0BAB-AD49-44EF-975C-3A2FFC7D8AD8}">
    <text>Actually in this case, it is “Other” that they reported in SG&amp;A!!</text>
  </threadedComment>
  <threadedComment ref="Q150" dT="2024-11-23T15:20:50.85" personId="{A0483BAC-3883-4381-ACA0-86065B1AA12E}" id="{26051B84-79EE-4556-AEAC-72614AE4DD0E}" parentId="{566A0BAB-AD49-44EF-975C-3A2FFC7D8AD8}">
    <text>Unclear what COGS is computed either.</text>
  </threadedComment>
  <threadedComment ref="S150" dT="2024-11-23T12:18:05.26" personId="{A0483BAC-3883-4381-ACA0-86065B1AA12E}" id="{5D6C0D4A-ADC6-4D44-9C7D-B3CB8A45F74A}">
    <text>Not sure we should keep SG&amp;A years as it is not obvious to me how they got to that number.</text>
  </threadedComment>
  <threadedComment ref="S150" dT="2024-11-23T14:17:48.34" personId="{A0483BAC-3883-4381-ACA0-86065B1AA12E}" id="{656D726D-2654-446F-8FB0-62E3C7E0F5D8}" parentId="{5D6C0D4A-ADC6-4D44-9C7D-B3CB8A45F74A}">
    <text>Actually in this case, it is “Other” that they reported in SG&amp;A!!</text>
  </threadedComment>
  <threadedComment ref="S150" dT="2024-11-23T15:20:50.85" personId="{A0483BAC-3883-4381-ACA0-86065B1AA12E}" id="{B5381751-9EE9-43E6-80DA-936A7138B187}" parentId="{5D6C0D4A-ADC6-4D44-9C7D-B3CB8A45F74A}">
    <text>Unclear what COGS is computed either.</text>
  </threadedComment>
  <threadedComment ref="Q151" dT="2024-11-23T12:18:05.26" personId="{A0483BAC-3883-4381-ACA0-86065B1AA12E}" id="{DB0D3635-126C-4F10-A8CF-A53AD338248F}">
    <text>Not sure we should keep SG&amp;A years as it is not obvious to me how they got to that number.</text>
  </threadedComment>
  <threadedComment ref="Q151" dT="2024-11-23T14:17:48.34" personId="{A0483BAC-3883-4381-ACA0-86065B1AA12E}" id="{037C5FF5-140F-4185-9487-BE73239C05A7}" parentId="{DB0D3635-126C-4F10-A8CF-A53AD338248F}">
    <text>Actually in this case, it is “Other” that they reported in SG&amp;A!!</text>
  </threadedComment>
  <threadedComment ref="Q151" dT="2024-11-23T15:20:50.85" personId="{A0483BAC-3883-4381-ACA0-86065B1AA12E}" id="{99360532-1238-41B1-B149-E7F65809AAD6}" parentId="{DB0D3635-126C-4F10-A8CF-A53AD338248F}">
    <text>Unclear what COGS is computed either.</text>
  </threadedComment>
  <threadedComment ref="Q152" dT="2024-11-23T12:18:05.26" personId="{A0483BAC-3883-4381-ACA0-86065B1AA12E}" id="{7385C215-3ABF-4153-8ACF-C555F0642A3F}">
    <text>Not sure we should keep SG&amp;A years as it is not obvious to me how they got to that number.</text>
  </threadedComment>
  <threadedComment ref="Q152" dT="2024-11-23T14:17:48.34" personId="{A0483BAC-3883-4381-ACA0-86065B1AA12E}" id="{D585D88B-D6D9-46DE-A148-EB4EA8B27296}" parentId="{7385C215-3ABF-4153-8ACF-C555F0642A3F}">
    <text>Actually in this case, it is “Other” that they reported in SG&amp;A!!</text>
  </threadedComment>
  <threadedComment ref="Q152" dT="2024-11-23T15:20:50.85" personId="{A0483BAC-3883-4381-ACA0-86065B1AA12E}" id="{4AC48B0A-40B2-4B66-B0D5-09BB6286ABB9}" parentId="{7385C215-3ABF-4153-8ACF-C555F0642A3F}">
    <text>Unclear what COGS is computed either.</text>
  </threadedComment>
  <threadedComment ref="Q153" dT="2024-11-23T12:18:05.26" personId="{A0483BAC-3883-4381-ACA0-86065B1AA12E}" id="{7A82B87E-F28E-4421-AD93-37028121FCCC}">
    <text>Not sure we should keep SG&amp;A years as it is not obvious to me how they got to that number.</text>
  </threadedComment>
  <threadedComment ref="Q153" dT="2024-11-23T14:17:48.34" personId="{A0483BAC-3883-4381-ACA0-86065B1AA12E}" id="{F096013C-A2D7-4BD3-A1E2-451701C33498}" parentId="{7A82B87E-F28E-4421-AD93-37028121FCCC}">
    <text>Actually in this case, it is “Other” that they reported in SG&amp;A!!</text>
  </threadedComment>
  <threadedComment ref="Q153" dT="2024-11-23T15:20:50.85" personId="{A0483BAC-3883-4381-ACA0-86065B1AA12E}" id="{C63E4F01-7F4E-4A65-9A5A-D035BA3BB5CE}" parentId="{7A82B87E-F28E-4421-AD93-37028121FCCC}">
    <text>Unclear what COGS is computed either.</text>
  </threadedComment>
  <threadedComment ref="Q154" dT="2024-11-23T15:31:28.85" personId="{A0483BAC-3883-4381-ACA0-86065B1AA12E}" id="{0C4681E4-E821-4E50-BCA0-2377CC114B95}">
    <text>SG&amp;A is computed as SG&amp;A + corporate general and admin expense</text>
  </threadedComment>
  <threadedComment ref="Q154" dT="2024-11-23T15:47:02.98" personId="{A0483BAC-3883-4381-ACA0-86065B1AA12E}" id="{16A5972C-1792-4AEF-99F9-A650C2CE608A}" parentId="{0C4681E4-E821-4E50-BCA0-2377CC114B95}">
    <text>Compustat COGS include financial services and subtracts D&amp;A embedded</text>
  </threadedComment>
  <threadedComment ref="Q155" dT="2024-11-23T15:31:28.85" personId="{A0483BAC-3883-4381-ACA0-86065B1AA12E}" id="{C8B30A42-73F4-40E2-84A7-D1233539DEEE}">
    <text>SG&amp;A is computed as SG&amp;A + corporate general and admin expense</text>
  </threadedComment>
  <threadedComment ref="Q155" dT="2024-11-23T15:47:02.98" personId="{A0483BAC-3883-4381-ACA0-86065B1AA12E}" id="{2C507EF8-A6F8-4A4F-864F-2B8EFD049D38}" parentId="{C8B30A42-73F4-40E2-84A7-D1233539DEEE}">
    <text>Compustat COGS include financial services and subtracts D&amp;A embedded</text>
  </threadedComment>
  <threadedComment ref="Q156" dT="2024-11-23T15:31:28.85" personId="{A0483BAC-3883-4381-ACA0-86065B1AA12E}" id="{AC708AA9-4548-43E6-A268-87D63463145C}">
    <text>SG&amp;A is computed as SG&amp;A + corporate general and admin expense</text>
  </threadedComment>
  <threadedComment ref="Q156" dT="2024-11-23T15:47:02.98" personId="{A0483BAC-3883-4381-ACA0-86065B1AA12E}" id="{1527798A-F590-45FA-81D3-940ABC1C0BC1}" parentId="{AC708AA9-4548-43E6-A268-87D63463145C}">
    <text>Compustat COGS include financial services and subtracts D&amp;A embedded</text>
  </threadedComment>
  <threadedComment ref="Q157" dT="2024-11-23T15:31:28.85" personId="{A0483BAC-3883-4381-ACA0-86065B1AA12E}" id="{5A5D6E1A-A205-495F-8D2D-0A1FE6BFA3B6}">
    <text>SG&amp;A is computed as SG&amp;A + corporate general and admin expense</text>
  </threadedComment>
  <threadedComment ref="Q157" dT="2024-11-23T15:47:02.98" personId="{A0483BAC-3883-4381-ACA0-86065B1AA12E}" id="{E9FF94A9-E5E5-4E8F-8B99-476E46FE3276}" parentId="{5A5D6E1A-A205-495F-8D2D-0A1FE6BFA3B6}">
    <text>Compustat COGS include financial services and subtracts D&amp;A embedded</text>
  </threadedComment>
  <threadedComment ref="Q158" dT="2024-11-23T15:31:28.85" personId="{A0483BAC-3883-4381-ACA0-86065B1AA12E}" id="{8CC0946D-D12F-4F99-9A1B-CE8D5F7BB7B9}">
    <text>SG&amp;A is computed as SG&amp;A + corporate general and admin expense</text>
  </threadedComment>
  <threadedComment ref="Q158" dT="2024-11-23T15:47:02.98" personId="{A0483BAC-3883-4381-ACA0-86065B1AA12E}" id="{B0190A60-6A88-4729-948F-9897C7D67D6F}" parentId="{8CC0946D-D12F-4F99-9A1B-CE8D5F7BB7B9}">
    <text>Compustat COGS include financial services and subtracts D&amp;A embedded</text>
  </threadedComment>
  <threadedComment ref="Q159" dT="2024-11-23T15:31:28.85" personId="{A0483BAC-3883-4381-ACA0-86065B1AA12E}" id="{EB8BE053-0CD6-4DEA-826F-DFDACC8916DA}">
    <text>SG&amp;A is computed as SG&amp;A + corporate general and admin expense</text>
  </threadedComment>
  <threadedComment ref="Q159" dT="2024-11-23T15:47:02.98" personId="{A0483BAC-3883-4381-ACA0-86065B1AA12E}" id="{BA07F26B-4FD0-4F08-9975-3CB034DEF5E1}" parentId="{EB8BE053-0CD6-4DEA-826F-DFDACC8916DA}">
    <text>Compustat COGS include financial services and subtracts D&amp;A embedded</text>
  </threadedComment>
  <threadedComment ref="Q160" dT="2024-11-23T15:31:28.85" personId="{A0483BAC-3883-4381-ACA0-86065B1AA12E}" id="{4163561E-FF86-4FD1-B0CF-A16E120F1896}">
    <text>SG&amp;A is computed as SG&amp;A + corporate general and admin expense</text>
  </threadedComment>
  <threadedComment ref="Q160" dT="2024-11-23T15:47:02.98" personId="{A0483BAC-3883-4381-ACA0-86065B1AA12E}" id="{901912F5-F812-48C3-AC22-6CC4BF735A19}" parentId="{4163561E-FF86-4FD1-B0CF-A16E120F1896}">
    <text>Compustat COGS include financial services and subtracts D&amp;A embedded</text>
  </threadedComment>
  <threadedComment ref="Q161" dT="2024-11-23T15:31:28.85" personId="{A0483BAC-3883-4381-ACA0-86065B1AA12E}" id="{25FE3E5B-5B8D-43EA-8DFD-4EFF2B83FD9F}">
    <text>SG&amp;A is computed as SG&amp;A + corporate general and admin expense</text>
  </threadedComment>
  <threadedComment ref="Q161" dT="2024-11-23T15:47:02.98" personId="{A0483BAC-3883-4381-ACA0-86065B1AA12E}" id="{5ACF581A-4151-4557-B2BA-3F1035544AD6}" parentId="{25FE3E5B-5B8D-43EA-8DFD-4EFF2B83FD9F}">
    <text>Compustat COGS include financial services and subtracts D&amp;A embedded</text>
  </threadedComment>
  <threadedComment ref="Q162" dT="2024-11-23T15:31:28.85" personId="{A0483BAC-3883-4381-ACA0-86065B1AA12E}" id="{912255CB-99B1-4FF0-830A-1B10B38973E6}">
    <text>SG&amp;A is computed as SG&amp;A + corporate general and admin expense</text>
  </threadedComment>
  <threadedComment ref="Q162" dT="2024-11-23T15:47:02.98" personId="{A0483BAC-3883-4381-ACA0-86065B1AA12E}" id="{7018C4A8-F138-4109-BB35-22078E7A655A}" parentId="{912255CB-99B1-4FF0-830A-1B10B38973E6}">
    <text>Compustat COGS include financial services and subtracts D&amp;A embedded</text>
  </threadedComment>
  <threadedComment ref="Q163" dT="2024-11-23T15:31:28.85" personId="{A0483BAC-3883-4381-ACA0-86065B1AA12E}" id="{A1C17B3C-10FC-4152-8C7B-ECDAFD917E44}">
    <text>SG&amp;A is computed as SG&amp;A + corporate general and admin expense</text>
  </threadedComment>
  <threadedComment ref="Q163" dT="2024-11-23T15:47:02.98" personId="{A0483BAC-3883-4381-ACA0-86065B1AA12E}" id="{A33D8D95-897E-4CB1-9D4F-1D11A822F5F7}" parentId="{A1C17B3C-10FC-4152-8C7B-ECDAFD917E44}">
    <text>Compustat COGS include financial services and subtracts D&amp;A embedded</text>
  </threadedComment>
  <threadedComment ref="Q164" dT="2024-11-23T15:54:04.55" personId="{A0483BAC-3883-4381-ACA0-86065B1AA12E}" id="{284DD6AD-1FC8-461F-B866-E08783C32B36}">
    <text>SG&amp;A data from 2003 filing</text>
  </threadedComment>
  <threadedComment ref="Q165" dT="2024-11-23T15:54:04.55" personId="{A0483BAC-3883-4381-ACA0-86065B1AA12E}" id="{8151319A-3BE3-4D39-91DD-60798017C398}">
    <text>SG&amp;A data from 2003 filing</text>
  </threadedComment>
  <threadedComment ref="M190" dT="2024-11-23T16:08:55.72" personId="{A0483BAC-3883-4381-ACA0-86065B1AA12E}" id="{9BD5AA54-97F8-4CE5-96F1-B218C7616741}">
    <text xml:space="preserve">SG&amp;A from trucking + SG&amp;A from financial services
</text>
  </threadedComment>
  <threadedComment ref="M191" dT="2024-11-23T16:08:55.72" personId="{A0483BAC-3883-4381-ACA0-86065B1AA12E}" id="{FBC0D88D-B3FE-4D51-93AF-5362683B0329}">
    <text xml:space="preserve">SG&amp;A from trucking + SG&amp;A from financial services
</text>
  </threadedComment>
  <threadedComment ref="M192" dT="2024-11-23T16:08:55.72" personId="{A0483BAC-3883-4381-ACA0-86065B1AA12E}" id="{70ECC375-D258-4C6D-8DC6-358BE4E63361}">
    <text xml:space="preserve">SG&amp;A from trucking + SG&amp;A from financial services
</text>
  </threadedComment>
  <threadedComment ref="M193" dT="2024-11-23T16:08:55.72" personId="{A0483BAC-3883-4381-ACA0-86065B1AA12E}" id="{B8713054-BDC1-412B-A505-C4A019F18AD1}">
    <text xml:space="preserve">SG&amp;A from trucking + SG&amp;A from financial services
</text>
  </threadedComment>
  <threadedComment ref="M194" dT="2024-11-23T16:08:55.72" personId="{A0483BAC-3883-4381-ACA0-86065B1AA12E}" id="{B616CE10-0207-4528-AA41-FD39A3703ED0}">
    <text xml:space="preserve">SG&amp;A from trucking + SG&amp;A from financial services
</text>
  </threadedComment>
  <threadedComment ref="M195" dT="2024-11-23T16:08:55.72" personId="{A0483BAC-3883-4381-ACA0-86065B1AA12E}" id="{76F6C19F-CE83-47EA-BFB4-124ACB8BA3AE}">
    <text xml:space="preserve">SG&amp;A from trucking + SG&amp;A from financial services
</text>
  </threadedComment>
  <threadedComment ref="M196" dT="2024-11-23T16:08:55.72" personId="{A0483BAC-3883-4381-ACA0-86065B1AA12E}" id="{9F69148A-4517-44B9-AFD5-FD3B8C0930F1}">
    <text xml:space="preserve">SG&amp;A from trucking + SG&amp;A from financial services
</text>
  </threadedComment>
  <threadedComment ref="M197" dT="2024-11-23T16:08:55.72" personId="{A0483BAC-3883-4381-ACA0-86065B1AA12E}" id="{29A9B7FD-9229-4BB7-9315-5D47E8D497D0}">
    <text xml:space="preserve">SG&amp;A from trucking + SG&amp;A from financial services
</text>
  </threadedComment>
  <threadedComment ref="M198" dT="2024-11-23T16:08:55.72" personId="{A0483BAC-3883-4381-ACA0-86065B1AA12E}" id="{2D150964-FB9B-4A79-A263-719D7FD6C938}">
    <text xml:space="preserve">SG&amp;A from trucking + SG&amp;A from financial services
</text>
  </threadedComment>
  <threadedComment ref="M199" dT="2024-11-23T16:08:55.72" personId="{A0483BAC-3883-4381-ACA0-86065B1AA12E}" id="{CF1BB9E4-B7CB-4C85-84DA-BD3010BE14AB}">
    <text xml:space="preserve">SG&amp;A from trucking + SG&amp;A from financial services
</text>
  </threadedComment>
  <threadedComment ref="O200" dT="2024-11-23T16:38:56.10" personId="{A0483BAC-3883-4381-ACA0-86065B1AA12E}" id="{75944940-456C-412F-82AA-85E413D2C4F6}">
    <text>Exploration and Research Expense</text>
  </threadedComment>
  <threadedComment ref="P200" dT="2024-11-23T16:38:56.10" personId="{A0483BAC-3883-4381-ACA0-86065B1AA12E}" id="{EFA1C5E4-8758-4935-9A92-A3088551180D}">
    <text>Exploration and Research Expense</text>
  </threadedComment>
  <threadedComment ref="O201" dT="2024-11-23T16:38:51.46" personId="{A0483BAC-3883-4381-ACA0-86065B1AA12E}" id="{39B8A906-D0B0-47FC-82DB-79D25E0C7578}">
    <text>Exploration and Research Expense</text>
  </threadedComment>
  <threadedComment ref="P201" dT="2024-11-23T16:38:51.46" personId="{A0483BAC-3883-4381-ACA0-86065B1AA12E}" id="{18C9D0C8-39B3-4084-8674-E1EDECBF6510}">
    <text>Exploration and Research Expense</text>
  </threadedComment>
  <threadedComment ref="O202" dT="2024-11-23T16:38:47.03" personId="{A0483BAC-3883-4381-ACA0-86065B1AA12E}" id="{0A87376D-F244-4D99-BC3B-961D009E6835}">
    <text>Exploration and Research Expense</text>
  </threadedComment>
  <threadedComment ref="P202" dT="2024-11-23T16:38:47.03" personId="{A0483BAC-3883-4381-ACA0-86065B1AA12E}" id="{4BAE8C1B-65A0-4C97-B0CA-1F99AF4617D8}">
    <text>Exploration and Research Expense</text>
  </threadedComment>
  <threadedComment ref="O203" dT="2024-11-23T16:38:42.78" personId="{A0483BAC-3883-4381-ACA0-86065B1AA12E}" id="{70600F61-723F-4B62-A876-2EEAF4B4D08D}">
    <text>Exploration and Research Expense</text>
  </threadedComment>
  <threadedComment ref="P203" dT="2024-11-23T16:38:42.78" personId="{A0483BAC-3883-4381-ACA0-86065B1AA12E}" id="{3596192E-A834-4E07-9C79-08C7AFB51C83}">
    <text>Exploration and Research Expense</text>
  </threadedComment>
  <threadedComment ref="O204" dT="2024-11-23T16:38:35.45" personId="{A0483BAC-3883-4381-ACA0-86065B1AA12E}" id="{FF15753B-CD1C-403C-A162-D825093A6EA2}">
    <text>Exploration and Research Expense</text>
  </threadedComment>
  <threadedComment ref="P204" dT="2024-11-23T16:38:35.45" personId="{A0483BAC-3883-4381-ACA0-86065B1AA12E}" id="{6BD5B054-A731-4312-AC1F-CCB20E89BF5F}">
    <text>Exploration and Research Expense</text>
  </threadedComment>
  <threadedComment ref="O205" dT="2024-11-23T16:31:06.14" personId="{A0483BAC-3883-4381-ACA0-86065B1AA12E}" id="{3188FA49-80DF-41CD-94AC-FE11B855E856}">
    <text>Exploration and Research Expense</text>
  </threadedComment>
  <threadedComment ref="P205" dT="2024-11-23T16:31:06.14" personId="{A0483BAC-3883-4381-ACA0-86065B1AA12E}" id="{2E07DBB2-AF48-43B7-81FB-DADC24173C4C}">
    <text>Exploration and Research Expense</text>
  </threadedComment>
  <threadedComment ref="O206" dT="2024-11-23T16:31:12.55" personId="{A0483BAC-3883-4381-ACA0-86065B1AA12E}" id="{615A331B-7FFB-4F36-899C-CDC90075F282}">
    <text>Exploration and Research Expense</text>
  </threadedComment>
  <threadedComment ref="P206" dT="2024-11-23T16:31:12.55" personId="{A0483BAC-3883-4381-ACA0-86065B1AA12E}" id="{C8829EB8-75F8-437C-99DC-6A4B5BBA4615}">
    <text>Exploration and Research Expense</text>
  </threadedComment>
  <threadedComment ref="O207" dT="2024-11-23T16:31:18.02" personId="{A0483BAC-3883-4381-ACA0-86065B1AA12E}" id="{B4C80B7C-F895-4971-811D-5416C93B4398}">
    <text>Exploration and Research Expense</text>
  </threadedComment>
  <threadedComment ref="P207" dT="2024-11-23T16:31:18.02" personId="{A0483BAC-3883-4381-ACA0-86065B1AA12E}" id="{140B2591-3F35-4294-B030-124DDE44DF7F}">
    <text>Exploration and Research Expense</text>
  </threadedComment>
  <threadedComment ref="O208" dT="2024-11-23T16:31:22.86" personId="{A0483BAC-3883-4381-ACA0-86065B1AA12E}" id="{03201234-8FA6-4B25-AC95-8F1070BEC8DC}">
    <text>Exploration and Research Expense</text>
  </threadedComment>
  <threadedComment ref="P208" dT="2024-11-23T16:31:22.86" personId="{A0483BAC-3883-4381-ACA0-86065B1AA12E}" id="{0D4D84E0-DA22-4D59-B53A-33177122D956}">
    <text>Exploration and Research Expense</text>
  </threadedComment>
  <threadedComment ref="O209" dT="2024-11-23T16:31:28.62" personId="{A0483BAC-3883-4381-ACA0-86065B1AA12E}" id="{62583A62-C1DC-4270-AE10-EDEDDA1EE978}">
    <text>Exploration and Research Expense</text>
  </threadedComment>
  <threadedComment ref="P209" dT="2024-11-23T16:31:28.62" personId="{A0483BAC-3883-4381-ACA0-86065B1AA12E}" id="{4C67AE95-86A5-4284-BA84-51565E8598C9}">
    <text>Exploration and Research Expense</text>
  </threadedComment>
  <threadedComment ref="M306" dT="2024-11-23T23:23:24.07" personId="{A0483BAC-3883-4381-ACA0-86065B1AA12E}" id="{4A6B3232-4205-4C8C-AC85-6A1B903E98C6}">
    <text>I put all the non-cash compensation in SG&amp;A when some should be going into COGS</text>
  </threadedComment>
  <threadedComment ref="M307" dT="2024-11-23T23:23:18.11" personId="{A0483BAC-3883-4381-ACA0-86065B1AA12E}" id="{BA5DCC9F-6BA0-4E9F-B6F5-554D5FD46B4A}">
    <text>I put all the non-cash compensation in SG&amp;A when some should be going into COGS</text>
  </threadedComment>
  <threadedComment ref="M308" dT="2024-11-23T23:23:12.72" personId="{A0483BAC-3883-4381-ACA0-86065B1AA12E}" id="{8AAE6AFA-2F56-4ED1-8998-B590590D4405}">
    <text>I put all the non-cash compensation in SG&amp;A when some should be going into COGS</text>
  </threadedComment>
  <threadedComment ref="M309" dT="2024-11-23T23:18:30.58" personId="{A0483BAC-3883-4381-ACA0-86065B1AA12E}" id="{5107C0D0-0DC2-443C-9A69-013C1F6487C9}">
    <text>I put all the non-cash compensation in SG&amp;A when some should be going into COGS</text>
  </threadedComment>
  <threadedComment ref="O325" dT="2024-11-24T17:31:13.97" personId="{A0483BAC-3883-4381-ACA0-86065B1AA12E}" id="{D4F3687B-4C88-4C75-A0C0-5BFC80B4492C}">
    <text>Almost all D&amp;A is accounted for in R&amp;D (a very minor portion goes to into COGS)</text>
  </threadedComment>
  <threadedComment ref="O325" dT="2024-11-24T17:31:55.09" personId="{A0483BAC-3883-4381-ACA0-86065B1AA12E}" id="{EC213E10-98DE-4E96-852D-7EC55815949A}" parentId="{D4F3687B-4C88-4C75-A0C0-5BFC80B4492C}">
    <text>To simplify, I subtracted the whole D&amp;A charge from R&amp;D.</text>
  </threadedComment>
  <threadedComment ref="P325" dT="2024-11-24T17:31:13.97" personId="{A0483BAC-3883-4381-ACA0-86065B1AA12E}" id="{222BACFE-E791-4B74-B55D-29D89CC884AA}">
    <text>Almost all D&amp;A is accounted for in R&amp;D (a very minor portion goes to into COGS)</text>
  </threadedComment>
  <threadedComment ref="P325" dT="2024-11-24T17:31:55.09" personId="{A0483BAC-3883-4381-ACA0-86065B1AA12E}" id="{65B50107-722A-4E83-A0B2-F8F46EA74DAE}" parentId="{222BACFE-E791-4B74-B55D-29D89CC884AA}">
    <text>To simplify, I subtracted the whole D&amp;A charge from R&amp;D.</text>
  </threadedComment>
  <threadedComment ref="O326" dT="2024-11-24T17:31:13.97" personId="{A0483BAC-3883-4381-ACA0-86065B1AA12E}" id="{1B377F75-4B79-443B-810F-63815E21C400}">
    <text>Almost all D&amp;A is accounted for in R&amp;D (a very minor portion goes to into COGS)</text>
  </threadedComment>
  <threadedComment ref="O326" dT="2024-11-24T17:31:55.09" personId="{A0483BAC-3883-4381-ACA0-86065B1AA12E}" id="{A78A786B-48F2-4547-B991-570F60A31535}" parentId="{1B377F75-4B79-443B-810F-63815E21C400}">
    <text>To simplify, I subtracted the whole D&amp;A charge from R&amp;D.</text>
  </threadedComment>
  <threadedComment ref="P326" dT="2024-11-24T17:31:13.97" personId="{A0483BAC-3883-4381-ACA0-86065B1AA12E}" id="{CDE7BA2C-7FEA-46BF-AC71-1789FE72D604}">
    <text>Almost all D&amp;A is accounted for in R&amp;D (a very minor portion goes to into COGS)</text>
  </threadedComment>
  <threadedComment ref="P326" dT="2024-11-24T17:31:55.09" personId="{A0483BAC-3883-4381-ACA0-86065B1AA12E}" id="{4838B342-D4C9-461D-98A9-87EE22A14FBD}" parentId="{CDE7BA2C-7FEA-46BF-AC71-1789FE72D604}">
    <text>To simplify, I subtracted the whole D&amp;A charge from R&amp;D.</text>
  </threadedComment>
  <threadedComment ref="O327" dT="2024-11-24T17:31:13.97" personId="{A0483BAC-3883-4381-ACA0-86065B1AA12E}" id="{9E564ADB-1362-4594-ABD4-E5897879C594}">
    <text>Almost all D&amp;A is accounted for in R&amp;D (a very minor portion goes to into COGS)</text>
  </threadedComment>
  <threadedComment ref="O327" dT="2024-11-24T17:31:55.09" personId="{A0483BAC-3883-4381-ACA0-86065B1AA12E}" id="{010BA4A9-73C8-4500-9090-DAAE829A0889}" parentId="{9E564ADB-1362-4594-ABD4-E5897879C594}">
    <text>To simplify, I subtracted the whole D&amp;A charge from R&amp;D.</text>
  </threadedComment>
  <threadedComment ref="P327" dT="2024-11-24T17:31:13.97" personId="{A0483BAC-3883-4381-ACA0-86065B1AA12E}" id="{D5D5DBBB-C203-4ACF-9891-2EA6DADC632B}">
    <text>Almost all D&amp;A is accounted for in R&amp;D (a very minor portion goes to into COGS)</text>
  </threadedComment>
  <threadedComment ref="P327" dT="2024-11-24T17:31:55.09" personId="{A0483BAC-3883-4381-ACA0-86065B1AA12E}" id="{068D1B29-6CFE-4B6F-9D7A-75B8C9AD314F}" parentId="{D5D5DBBB-C203-4ACF-9891-2EA6DADC632B}">
    <text>To simplify, I subtracted the whole D&amp;A charge from R&amp;D.</text>
  </threadedComment>
  <threadedComment ref="O328" dT="2024-11-24T17:31:13.97" personId="{A0483BAC-3883-4381-ACA0-86065B1AA12E}" id="{ED707565-1D0A-4E32-BDB7-9C01CFF0D328}">
    <text>Almost all D&amp;A is accounted for in R&amp;D (a very minor portion goes to into COGS)</text>
  </threadedComment>
  <threadedComment ref="O328" dT="2024-11-24T17:31:55.09" personId="{A0483BAC-3883-4381-ACA0-86065B1AA12E}" id="{F02290F5-5599-4457-B0A4-60BE8AD22A84}" parentId="{ED707565-1D0A-4E32-BDB7-9C01CFF0D328}">
    <text>To simplify, I subtracted the whole D&amp;A charge from R&amp;D.</text>
  </threadedComment>
  <threadedComment ref="P328" dT="2024-11-24T17:31:13.97" personId="{A0483BAC-3883-4381-ACA0-86065B1AA12E}" id="{E2CE11CE-2871-4B62-BF9C-EFEEA4B99864}">
    <text>Almost all D&amp;A is accounted for in R&amp;D (a very minor portion goes to into COGS)</text>
  </threadedComment>
  <threadedComment ref="P328" dT="2024-11-24T17:31:55.09" personId="{A0483BAC-3883-4381-ACA0-86065B1AA12E}" id="{42803159-91B2-4563-9C68-F7DD953141BD}" parentId="{E2CE11CE-2871-4B62-BF9C-EFEEA4B99864}">
    <text>To simplify, I subtracted the whole D&amp;A charge from R&amp;D.</text>
  </threadedComment>
  <threadedComment ref="O329" dT="2024-11-24T17:31:13.97" personId="{A0483BAC-3883-4381-ACA0-86065B1AA12E}" id="{1FC5F852-F468-4832-9EEE-8AC1820298C0}">
    <text>Almost all D&amp;A is accounted for in R&amp;D (a very minor portion goes to into COGS)</text>
  </threadedComment>
  <threadedComment ref="O329" dT="2024-11-24T17:31:55.09" personId="{A0483BAC-3883-4381-ACA0-86065B1AA12E}" id="{57E2B9EF-EE37-42CC-BBCE-B1008FB372E8}" parentId="{1FC5F852-F468-4832-9EEE-8AC1820298C0}">
    <text>To simplify, I subtracted the whole D&amp;A charge from R&amp;D.</text>
  </threadedComment>
  <threadedComment ref="P329" dT="2024-11-24T17:31:13.97" personId="{A0483BAC-3883-4381-ACA0-86065B1AA12E}" id="{6CDB1FD9-106D-436F-B811-23EE6A211172}">
    <text>Almost all D&amp;A is accounted for in R&amp;D (a very minor portion goes to into COGS)</text>
  </threadedComment>
  <threadedComment ref="P329" dT="2024-11-24T17:31:55.09" personId="{A0483BAC-3883-4381-ACA0-86065B1AA12E}" id="{3A0E8458-5315-4923-B296-F977B37E2890}" parentId="{6CDB1FD9-106D-436F-B811-23EE6A211172}">
    <text>To simplify, I subtracted the whole D&amp;A charge from R&amp;D.</text>
  </threadedComment>
  <threadedComment ref="O330" dT="2024-11-24T17:31:13.97" personId="{A0483BAC-3883-4381-ACA0-86065B1AA12E}" id="{09E92CD2-3C5B-4B13-9D34-B075F96B069A}">
    <text>Almost all D&amp;A is accounted for in R&amp;D (a very minor portion goes to into COGS)</text>
  </threadedComment>
  <threadedComment ref="O330" dT="2024-11-24T17:31:55.09" personId="{A0483BAC-3883-4381-ACA0-86065B1AA12E}" id="{86AE0A23-BD1F-46EC-BD7C-72A8E44311B9}" parentId="{09E92CD2-3C5B-4B13-9D34-B075F96B069A}">
    <text>To simplify, I subtracted the whole D&amp;A charge from R&amp;D.</text>
  </threadedComment>
  <threadedComment ref="P330" dT="2024-11-24T17:31:13.97" personId="{A0483BAC-3883-4381-ACA0-86065B1AA12E}" id="{41BD1C0E-7283-446C-B6AC-A6FA1E32092A}">
    <text>Almost all D&amp;A is accounted for in R&amp;D (a very minor portion goes to into COGS)</text>
  </threadedComment>
  <threadedComment ref="P330" dT="2024-11-24T17:31:55.09" personId="{A0483BAC-3883-4381-ACA0-86065B1AA12E}" id="{2E92283A-F7E8-45BA-A605-2D8F42786188}" parentId="{41BD1C0E-7283-446C-B6AC-A6FA1E32092A}">
    <text>To simplify, I subtracted the whole D&amp;A charge from R&amp;D.</text>
  </threadedComment>
  <threadedComment ref="O331" dT="2024-11-24T17:31:13.97" personId="{A0483BAC-3883-4381-ACA0-86065B1AA12E}" id="{42D4C0BD-BF51-4E30-AE95-9023A07870BF}">
    <text>Almost all D&amp;A is accounted for in R&amp;D (a very minor portion goes to into COGS)</text>
  </threadedComment>
  <threadedComment ref="O331" dT="2024-11-24T17:31:55.09" personId="{A0483BAC-3883-4381-ACA0-86065B1AA12E}" id="{CF27C6D3-50F8-4150-9F34-676C1B336FF0}" parentId="{42D4C0BD-BF51-4E30-AE95-9023A07870BF}">
    <text>To simplify, I subtracted the whole D&amp;A charge from R&amp;D.</text>
  </threadedComment>
  <threadedComment ref="P331" dT="2024-11-24T17:31:13.97" personId="{A0483BAC-3883-4381-ACA0-86065B1AA12E}" id="{8E8BD0A0-CE1D-490D-942E-4234E781BF06}">
    <text>Almost all D&amp;A is accounted for in R&amp;D (a very minor portion goes to into COGS)</text>
  </threadedComment>
  <threadedComment ref="P331" dT="2024-11-24T17:31:55.09" personId="{A0483BAC-3883-4381-ACA0-86065B1AA12E}" id="{090E16F5-54D1-474B-AD06-1662E9C40470}" parentId="{8E8BD0A0-CE1D-490D-942E-4234E781BF06}">
    <text>To simplify, I subtracted the whole D&amp;A charge from R&amp;D.</text>
  </threadedComment>
  <threadedComment ref="O332" dT="2024-11-24T17:31:13.97" personId="{A0483BAC-3883-4381-ACA0-86065B1AA12E}" id="{BA665B9B-0E2B-4371-94DA-3810E4F4C361}">
    <text>Almost all D&amp;A is accounted for in R&amp;D (a very minor portion goes to into COGS)</text>
  </threadedComment>
  <threadedComment ref="O332" dT="2024-11-24T17:31:55.09" personId="{A0483BAC-3883-4381-ACA0-86065B1AA12E}" id="{FEA4F89F-F8F5-4C68-8440-31B720DB0F9A}" parentId="{BA665B9B-0E2B-4371-94DA-3810E4F4C361}">
    <text>To simplify, I subtracted the whole D&amp;A charge from R&amp;D.</text>
  </threadedComment>
  <threadedComment ref="P332" dT="2024-11-24T17:31:13.97" personId="{A0483BAC-3883-4381-ACA0-86065B1AA12E}" id="{EE3AE5B0-F626-4A8A-BAAD-7939EE26D848}">
    <text>Almost all D&amp;A is accounted for in R&amp;D (a very minor portion goes to into COGS)</text>
  </threadedComment>
  <threadedComment ref="P332" dT="2024-11-24T17:31:55.09" personId="{A0483BAC-3883-4381-ACA0-86065B1AA12E}" id="{41B0E844-8E08-41F1-938D-4A9F358BCE0C}" parentId="{EE3AE5B0-F626-4A8A-BAAD-7939EE26D848}">
    <text>To simplify, I subtracted the whole D&amp;A charge from R&amp;D.</text>
  </threadedComment>
  <threadedComment ref="O333" dT="2024-11-24T17:31:13.97" personId="{A0483BAC-3883-4381-ACA0-86065B1AA12E}" id="{A403DAD8-A077-4F50-8CD4-9F505545F5F4}">
    <text>Almost all D&amp;A is accounted for in R&amp;D (a very minor portion goes to into COGS)</text>
  </threadedComment>
  <threadedComment ref="O333" dT="2024-11-24T17:31:55.09" personId="{A0483BAC-3883-4381-ACA0-86065B1AA12E}" id="{F25A3CC5-0465-4910-9EEB-98D0A52C236F}" parentId="{A403DAD8-A077-4F50-8CD4-9F505545F5F4}">
    <text>To simplify, I subtracted the whole D&amp;A charge from R&amp;D.</text>
  </threadedComment>
  <threadedComment ref="P333" dT="2024-11-24T17:31:13.97" personId="{A0483BAC-3883-4381-ACA0-86065B1AA12E}" id="{CE68D670-B1B1-42C4-91B5-5D1A1F1F414A}">
    <text>Almost all D&amp;A is accounted for in R&amp;D (a very minor portion goes to into COGS)</text>
  </threadedComment>
  <threadedComment ref="P333" dT="2024-11-24T17:31:55.09" personId="{A0483BAC-3883-4381-ACA0-86065B1AA12E}" id="{7B557B01-F628-4E23-AE16-E35378207144}" parentId="{CE68D670-B1B1-42C4-91B5-5D1A1F1F414A}">
    <text>To simplify, I subtracted the whole D&amp;A charge from R&amp;D.</text>
  </threadedComment>
  <threadedComment ref="O334" dT="2024-11-24T17:31:13.97" personId="{A0483BAC-3883-4381-ACA0-86065B1AA12E}" id="{45C2A76C-1B1C-4D45-A423-0388170918F0}">
    <text>Almost all D&amp;A is accounted for in R&amp;D (a very minor portion goes to into COGS)</text>
  </threadedComment>
  <threadedComment ref="O334" dT="2024-11-24T17:31:55.09" personId="{A0483BAC-3883-4381-ACA0-86065B1AA12E}" id="{2F8DEC5D-453A-46BB-8C51-2425F8192BE4}" parentId="{45C2A76C-1B1C-4D45-A423-0388170918F0}">
    <text>To simplify, I subtracted the whole D&amp;A charge from R&amp;D.</text>
  </threadedComment>
  <threadedComment ref="P334" dT="2024-11-24T17:31:13.97" personId="{A0483BAC-3883-4381-ACA0-86065B1AA12E}" id="{FB758D66-83FA-4D86-A163-8E56068B5078}">
    <text>Almost all D&amp;A is accounted for in R&amp;D (a very minor portion goes to into COGS)</text>
  </threadedComment>
  <threadedComment ref="P334" dT="2024-11-24T17:31:55.09" personId="{A0483BAC-3883-4381-ACA0-86065B1AA12E}" id="{AE8AD988-3F34-4210-A7A5-500DFC8985CE}" parentId="{FB758D66-83FA-4D86-A163-8E56068B5078}">
    <text>To simplify, I subtracted the whole D&amp;A charge from R&amp;D.</text>
  </threadedComment>
  <threadedComment ref="O337" dT="2024-11-24T19:49:43.65" personId="{A0483BAC-3883-4381-ACA0-86065B1AA12E}" id="{97BC3615-6C62-4615-A37F-73E4B65186BB}">
    <text>Subtracted D&amp;A to R&amp;D</text>
  </threadedComment>
  <threadedComment ref="P337" dT="2024-11-24T19:49:43.65" personId="{A0483BAC-3883-4381-ACA0-86065B1AA12E}" id="{ECFF309E-4192-45A8-B1E8-F799B5D9D1AF}">
    <text>Subtracted D&amp;A to R&amp;D</text>
  </threadedComment>
  <threadedComment ref="O338" dT="2024-11-24T19:48:23.07" personId="{A0483BAC-3883-4381-ACA0-86065B1AA12E}" id="{B2B56221-07A5-4B4E-8222-E467C38FFF6F}">
    <text>Subtracted D&amp;A to R&amp;D</text>
  </threadedComment>
  <threadedComment ref="P338" dT="2024-11-24T19:48:23.07" personId="{A0483BAC-3883-4381-ACA0-86065B1AA12E}" id="{DC4340BE-BC25-44C0-B7EE-61DC9AFAE1AA}">
    <text>Subtracted D&amp;A to R&amp;D</text>
  </threadedComment>
  <threadedComment ref="O341" dT="2024-11-24T19:41:28.82" personId="{A0483BAC-3883-4381-ACA0-86065B1AA12E}" id="{22666C7F-8C45-44E9-86DC-30D13949D506}">
    <text>Did not add “acquired in-process R&amp;D”</text>
  </threadedComment>
  <threadedComment ref="P341" dT="2024-11-24T19:41:28.82" personId="{A0483BAC-3883-4381-ACA0-86065B1AA12E}" id="{EAA817DA-06EE-49FE-8A9D-AB37AB962155}">
    <text>Did not add “acquired in-process R&amp;D”</text>
  </threadedComment>
  <threadedComment ref="O342" dT="2024-11-24T19:41:28.82" personId="{A0483BAC-3883-4381-ACA0-86065B1AA12E}" id="{23AFFC8B-9A24-46EA-8F09-287E98C60C19}">
    <text>Did not add “acquired in-process R&amp;D”</text>
  </threadedComment>
  <threadedComment ref="P342" dT="2024-11-24T19:41:28.82" personId="{A0483BAC-3883-4381-ACA0-86065B1AA12E}" id="{06C1928A-5803-42AE-81DE-DDC726A5AE96}">
    <text>Did not add “acquired in-process R&amp;D”</text>
  </threadedComment>
  <threadedComment ref="O343" dT="2024-11-24T19:41:28.82" personId="{A0483BAC-3883-4381-ACA0-86065B1AA12E}" id="{EEFDE4B9-C085-49A6-A65B-D44FC363C457}">
    <text>Did not add “acquired in-process R&amp;D”</text>
  </threadedComment>
  <threadedComment ref="P343" dT="2024-11-24T19:41:28.82" personId="{A0483BAC-3883-4381-ACA0-86065B1AA12E}" id="{5090FC4A-CE9F-46F4-9EFE-78FA71652A99}">
    <text>Did not add “acquired in-process R&amp;D”</text>
  </threadedComment>
  <threadedComment ref="O344" dT="2024-11-24T19:41:28.82" personId="{A0483BAC-3883-4381-ACA0-86065B1AA12E}" id="{11A6E58B-A3D9-4B6F-9631-9384E5D2CFB5}">
    <text>Did not add “acquired in-process R&amp;D”</text>
  </threadedComment>
  <threadedComment ref="P344" dT="2024-11-24T19:41:28.82" personId="{A0483BAC-3883-4381-ACA0-86065B1AA12E}" id="{4BE1643D-8BC5-4128-BB2D-B23B26D53294}">
    <text>Did not add “acquired in-process R&amp;D”</text>
  </threadedComment>
  <threadedComment ref="K357" dT="2024-11-24T21:40:13.02" personId="{A0483BAC-3883-4381-ACA0-86065B1AA12E}" id="{A40C93AB-44BB-44B2-8731-EAD7A55BD48C}">
    <text>Royalty payments</text>
  </threadedComment>
  <threadedComment ref="O357" dT="2024-11-24T21:42:49.55" personId="{A0483BAC-3883-4381-ACA0-86065B1AA12E}" id="{A7730294-6D0F-437D-A081-C0DFE2347121}">
    <text>Subtract D&amp;A from R&amp;D</text>
  </threadedComment>
  <threadedComment ref="P357" dT="2024-11-24T21:42:49.55" personId="{A0483BAC-3883-4381-ACA0-86065B1AA12E}" id="{BD2892CF-F43A-4AB7-B0FC-84485E245DDD}">
    <text>Subtract D&amp;A from R&amp;D</text>
  </threadedComment>
  <threadedComment ref="K358" dT="2024-11-24T21:40:13.02" personId="{A0483BAC-3883-4381-ACA0-86065B1AA12E}" id="{563B1507-7863-42ED-AD72-99518DA2EAD4}">
    <text>Royalty payments</text>
  </threadedComment>
  <threadedComment ref="O358" dT="2024-11-24T21:42:55.10" personId="{A0483BAC-3883-4381-ACA0-86065B1AA12E}" id="{4B482983-4EF2-4B45-AC1D-04CA0453BD72}">
    <text>Subtract D&amp;A from R&amp;D</text>
  </threadedComment>
  <threadedComment ref="P358" dT="2024-11-24T21:42:55.10" personId="{A0483BAC-3883-4381-ACA0-86065B1AA12E}" id="{A81E9F12-9138-46CF-9889-9D3E6344A647}">
    <text>Subtract D&amp;A from R&amp;D</text>
  </threadedComment>
  <threadedComment ref="K359" dT="2024-11-24T20:22:49.64" personId="{A0483BAC-3883-4381-ACA0-86065B1AA12E}" id="{95C240E3-86D4-40D7-8F9D-2D511C41CCB3}">
    <text>Royalty payments</text>
  </threadedComment>
  <threadedComment ref="K359" dT="2024-11-24T21:36:18.39" personId="{A0483BAC-3883-4381-ACA0-86065B1AA12E}" id="{EE780F92-B327-401B-9CC1-C0C417A6B4B3}" parentId="{95C240E3-86D4-40D7-8F9D-2D511C41CCB3}">
    <text>With cost of product sold and cost of service revenues</text>
  </threadedComment>
  <threadedComment ref="O359" dT="2024-11-24T20:22:13.78" personId="{A0483BAC-3883-4381-ACA0-86065B1AA12E}" id="{263612DC-1C8E-4B28-8594-B9EFE19E50D7}">
    <text>Subtract D&amp;A from R&amp;D</text>
  </threadedComment>
  <threadedComment ref="P359" dT="2024-11-24T20:22:13.78" personId="{A0483BAC-3883-4381-ACA0-86065B1AA12E}" id="{DA06C173-1D27-4F72-9051-33C4DF5A8653}">
    <text>Subtract D&amp;A from R&amp;D</text>
  </threadedComment>
  <threadedComment ref="K360" dT="2024-11-24T20:22:49.64" personId="{A0483BAC-3883-4381-ACA0-86065B1AA12E}" id="{5B0C07E0-B32F-4517-AB26-B092AE19D90E}">
    <text>Royalty payments</text>
  </threadedComment>
  <threadedComment ref="K360" dT="2024-11-24T21:36:18.39" personId="{A0483BAC-3883-4381-ACA0-86065B1AA12E}" id="{BE14D37F-4E6B-4B22-B657-E6B098095628}" parentId="{5B0C07E0-B32F-4517-AB26-B092AE19D90E}">
    <text>With cost of product sold and cost of service revenues</text>
  </threadedComment>
  <threadedComment ref="O360" dT="2024-11-24T20:22:13.78" personId="{A0483BAC-3883-4381-ACA0-86065B1AA12E}" id="{D768B4F6-F178-409B-8112-13A291C52572}">
    <text>Subtract D&amp;A from R&amp;D</text>
  </threadedComment>
  <threadedComment ref="P360" dT="2024-11-24T20:22:13.78" personId="{A0483BAC-3883-4381-ACA0-86065B1AA12E}" id="{3AAF0365-E150-4C24-9480-572FEE462F03}">
    <text>Subtract D&amp;A from R&amp;D</text>
  </threadedComment>
  <threadedComment ref="K361" dT="2024-11-24T20:22:49.64" personId="{A0483BAC-3883-4381-ACA0-86065B1AA12E}" id="{708CC13B-B70A-4A70-9D86-F1949FABF1B0}">
    <text>Royalty payments</text>
  </threadedComment>
  <threadedComment ref="O361" dT="2024-11-24T20:22:13.78" personId="{A0483BAC-3883-4381-ACA0-86065B1AA12E}" id="{EC67B62B-587D-4A40-B8B8-8CCB20C1E0D1}">
    <text>Subtract D&amp;A from R&amp;D</text>
  </threadedComment>
  <threadedComment ref="P361" dT="2024-11-24T20:22:13.78" personId="{A0483BAC-3883-4381-ACA0-86065B1AA12E}" id="{98E7AB8C-87EA-495A-8934-EEA901D0B79B}">
    <text>Subtract D&amp;A from R&amp;D</text>
  </threadedComment>
  <threadedComment ref="K362" dT="2024-11-24T20:22:49.64" personId="{A0483BAC-3883-4381-ACA0-86065B1AA12E}" id="{7AD13466-ADC4-4A4C-BD1D-2799E6C681B2}">
    <text>Royalty payments</text>
  </threadedComment>
  <threadedComment ref="O362" dT="2024-11-24T20:22:13.78" personId="{A0483BAC-3883-4381-ACA0-86065B1AA12E}" id="{B13B9ECA-80D0-492A-AE7B-4196B8D0BFAF}">
    <text>Subtract D&amp;A from R&amp;D</text>
  </threadedComment>
  <threadedComment ref="P362" dT="2024-11-24T20:22:13.78" personId="{A0483BAC-3883-4381-ACA0-86065B1AA12E}" id="{36074991-B7C8-428F-8427-6ED0EF9EFC73}">
    <text>Subtract D&amp;A from R&amp;D</text>
  </threadedComment>
  <threadedComment ref="K363" dT="2024-11-24T20:22:49.64" personId="{A0483BAC-3883-4381-ACA0-86065B1AA12E}" id="{77C25F55-E754-4926-ADE0-88962B99382A}">
    <text>Royalty payments</text>
  </threadedComment>
  <threadedComment ref="O363" dT="2024-11-24T20:22:13.78" personId="{A0483BAC-3883-4381-ACA0-86065B1AA12E}" id="{602E2519-B506-4403-9C69-7F8E54F228AA}">
    <text>Subtract D&amp;A from R&amp;D</text>
  </threadedComment>
  <threadedComment ref="P363" dT="2024-11-24T20:22:13.78" personId="{A0483BAC-3883-4381-ACA0-86065B1AA12E}" id="{A431E96C-C59A-43AB-8966-6F24A25D9F38}">
    <text>Subtract D&amp;A from R&amp;D</text>
  </threadedComment>
  <threadedComment ref="K364" dT="2024-11-24T20:22:49.64" personId="{A0483BAC-3883-4381-ACA0-86065B1AA12E}" id="{017F0496-59F8-4A7E-8A6D-313F43A0B8A0}">
    <text>Royalty payments</text>
  </threadedComment>
  <threadedComment ref="O364" dT="2024-11-24T20:22:13.78" personId="{A0483BAC-3883-4381-ACA0-86065B1AA12E}" id="{73CB0882-C7B2-454B-A6CC-89E603702370}">
    <text>Subtract D&amp;A from R&amp;D</text>
  </threadedComment>
  <threadedComment ref="P364" dT="2024-11-24T20:22:13.78" personId="{A0483BAC-3883-4381-ACA0-86065B1AA12E}" id="{D9888441-9D74-4011-BAE3-4FE63450A56A}">
    <text>Subtract D&amp;A from R&amp;D</text>
  </threadedComment>
  <threadedComment ref="O365" dT="2024-11-24T22:37:24.47" personId="{A0483BAC-3883-4381-ACA0-86065B1AA12E}" id="{52EABDAA-3692-4EF1-9BAD-41B7A04EFE04}">
    <text xml:space="preserve">Took D&amp;A out of R&amp;D as COGS was lower than D&amp;A amount
</text>
  </threadedComment>
  <threadedComment ref="P365" dT="2024-11-24T22:37:24.47" personId="{A0483BAC-3883-4381-ACA0-86065B1AA12E}" id="{0094F79E-68DE-40E3-AD50-D756F849D1C5}">
    <text xml:space="preserve">Took D&amp;A out of R&amp;D as COGS was lower than D&amp;A amount
</text>
  </threadedComment>
  <threadedComment ref="O366" dT="2024-11-24T22:35:53.71" personId="{A0483BAC-3883-4381-ACA0-86065B1AA12E}" id="{4DFFE829-E814-4FA4-892D-D389214C678D}">
    <text>Took D&amp;A out of R&amp;D as COGS was lower than D&amp;A amount</text>
  </threadedComment>
  <threadedComment ref="P366" dT="2024-11-24T22:35:53.71" personId="{A0483BAC-3883-4381-ACA0-86065B1AA12E}" id="{B8CBE6E3-7EF6-4CAF-B9A1-F7AE379E69DC}">
    <text>Took D&amp;A out of R&amp;D as COGS was lower than D&amp;A amount</text>
  </threadedComment>
  <threadedComment ref="O382" dT="2024-11-25T03:16:34.86" personId="{A0483BAC-3883-4381-ACA0-86065B1AA12E}" id="{1F7793B9-C05C-4471-86B1-1EE7AD5B91B8}">
    <text>Removed both D&amp;A and amortization of intangible assets</text>
  </threadedComment>
  <threadedComment ref="P382" dT="2024-11-25T03:16:34.86" personId="{A0483BAC-3883-4381-ACA0-86065B1AA12E}" id="{85ACE8C5-E744-4D32-8279-114507C2A091}">
    <text>Removed both D&amp;A and amortization of intangible assets</text>
  </threadedComment>
  <threadedComment ref="K383" dT="2024-11-25T03:12:34.67" personId="{A0483BAC-3883-4381-ACA0-86065B1AA12E}" id="{B8E8B579-D95E-47BA-B232-6007C2B0F4EB}">
    <text>Removed Amortization expense that was embedded (see footnote)</text>
  </threadedComment>
  <threadedComment ref="O383" dT="2024-11-25T03:04:13.42" personId="{A0483BAC-3883-4381-ACA0-86065B1AA12E}" id="{905A794E-B62F-454D-9F65-A564D410862A}">
    <text>Subtract Deprec. from R&amp;D (seems to be where it is)</text>
  </threadedComment>
  <threadedComment ref="P383" dT="2024-11-25T03:04:13.42" personId="{A0483BAC-3883-4381-ACA0-86065B1AA12E}" id="{CD7820A2-49E9-4FE9-ABD5-B1E74B416C66}">
    <text>Subtract Deprec. from R&amp;D (seems to be where it is)</text>
  </threadedComment>
  <threadedComment ref="K384" dT="2024-11-25T03:12:34.67" personId="{A0483BAC-3883-4381-ACA0-86065B1AA12E}" id="{82DDEEBA-1B53-40CF-9486-1B89B86DCAFA}">
    <text>Removed Amortization expense that was embedded (see footnote)</text>
  </threadedComment>
  <threadedComment ref="O384" dT="2024-11-25T03:04:13.42" personId="{A0483BAC-3883-4381-ACA0-86065B1AA12E}" id="{91E6A58C-A63B-40B9-8E52-7822B2126BA0}">
    <text>Subtract Deprec. from R&amp;D (seems to be where it is)</text>
  </threadedComment>
  <threadedComment ref="P384" dT="2024-11-25T03:04:13.42" personId="{A0483BAC-3883-4381-ACA0-86065B1AA12E}" id="{096FA1F6-B1EE-4678-AC28-FAAC62941A6D}">
    <text>Subtract Deprec. from R&amp;D (seems to be where it is)</text>
  </threadedComment>
  <threadedComment ref="K389" dT="2024-11-25T03:48:44.33" personId="{A0483BAC-3883-4381-ACA0-86065B1AA12E}" id="{14F739E2-556B-4AFA-95DE-E8E701A8FEC8}">
    <text>COGS - D&amp;A</text>
  </threadedComment>
  <threadedComment ref="O419" dT="2024-11-26T03:30:58.54" personId="{A0483BAC-3883-4381-ACA0-86065B1AA12E}" id="{7B48E1C3-B582-42B5-B688-6BF61A1C00DA}">
    <text>Took out D&amp;A from R&amp;D</text>
  </threadedComment>
  <threadedComment ref="P419" dT="2024-11-26T03:30:58.54" personId="{A0483BAC-3883-4381-ACA0-86065B1AA12E}" id="{A6FCEA0C-21BB-4473-BFC4-95B06E4F99E7}">
    <text>Took out D&amp;A from R&amp;D</text>
  </threadedComment>
  <threadedComment ref="O420" dT="2024-11-26T03:29:25.68" personId="{A0483BAC-3883-4381-ACA0-86065B1AA12E}" id="{8F1D561F-6DE7-49F2-95F6-7CFF66177993}">
    <text>Took out D&amp;A from R&amp;D</text>
  </threadedComment>
  <threadedComment ref="P420" dT="2024-11-26T03:29:25.68" personId="{A0483BAC-3883-4381-ACA0-86065B1AA12E}" id="{A43F0639-997F-4D72-A6AA-FC906975DD77}">
    <text>Took out D&amp;A from R&amp;D</text>
  </threadedComment>
  <threadedComment ref="O421" dT="2024-11-26T03:29:20.34" personId="{A0483BAC-3883-4381-ACA0-86065B1AA12E}" id="{55099B6F-B236-4899-A9DB-0DBD198A89D3}">
    <text>Took out D&amp;A from R&amp;D</text>
  </threadedComment>
  <threadedComment ref="P421" dT="2024-11-26T03:29:20.34" personId="{A0483BAC-3883-4381-ACA0-86065B1AA12E}" id="{78F23F90-5EA2-43BD-BEA4-A9BA2D93F2A4}">
    <text>Took out D&amp;A from R&amp;D</text>
  </threadedComment>
  <threadedComment ref="O422" dT="2024-11-26T03:25:05.35" personId="{A0483BAC-3883-4381-ACA0-86065B1AA12E}" id="{F68A1988-DB47-4139-ADAC-52A861B3F6AD}">
    <text>Took out D&amp;A from R&amp;D</text>
  </threadedComment>
  <threadedComment ref="P422" dT="2024-11-26T03:25:05.35" personId="{A0483BAC-3883-4381-ACA0-86065B1AA12E}" id="{83DDC9CD-4CDC-4D61-9C94-505D559925FB}">
    <text>Took out D&amp;A from R&amp;D</text>
  </threadedComment>
  <threadedComment ref="O423" dT="2024-11-26T03:21:34.20" personId="{A0483BAC-3883-4381-ACA0-86065B1AA12E}" id="{074A8675-C2B9-4171-8D48-265A73E828D2}">
    <text xml:space="preserve">Took out D&amp;A from R&amp;D
</text>
  </threadedComment>
  <threadedComment ref="P423" dT="2024-11-26T03:21:34.20" personId="{A0483BAC-3883-4381-ACA0-86065B1AA12E}" id="{3D653878-C6EC-46B6-BD93-A0FFBD748B9C}">
    <text xml:space="preserve">Took out D&amp;A from R&amp;D
</text>
  </threadedComment>
  <threadedComment ref="K430" dT="2024-11-26T04:22:57.71" personId="{A0483BAC-3883-4381-ACA0-86065B1AA12E}" id="{CFB693B8-B878-4B83-8F53-A049677C241A}">
    <text>They had considered “Other Expenses” as SG&amp;A, clearly wrong. So summed up both lines to get Opex (before D&amp;A)</text>
  </threadedComment>
  <threadedComment ref="K431" dT="2024-11-26T04:23:04.47" personId="{A0483BAC-3883-4381-ACA0-86065B1AA12E}" id="{989EF5A6-EA54-425D-B688-420BF5E2C00F}">
    <text>They had considered “Other Expenses” as SG&amp;A, clearly wrong. So summed up both lines to get Opex (before D&amp;A)</text>
  </threadedComment>
  <threadedComment ref="K432" dT="2024-11-26T04:23:09.37" personId="{A0483BAC-3883-4381-ACA0-86065B1AA12E}" id="{E5356006-75EC-497B-A183-3BAA85331C8D}">
    <text>They had considered “Other Expenses” as SG&amp;A, clearly wrong. So summed up both lines to get Opex (before D&amp;A)</text>
  </threadedComment>
  <threadedComment ref="K433" dT="2024-11-26T04:23:15.25" personId="{A0483BAC-3883-4381-ACA0-86065B1AA12E}" id="{93D24DA1-5FF1-4C49-AD0C-4281CBAA7554}">
    <text>They had considered “Other Expenses” as SG&amp;A, clearly wrong. So summed up both lines to get Opex (before D&amp;A)</text>
  </threadedComment>
  <threadedComment ref="K448" dT="2024-11-26T04:02:19.02" personId="{A0483BAC-3883-4381-ACA0-86065B1AA12E}" id="{2EDD0A16-F541-4CCA-A7CF-2336CA0CCA16}">
    <text>Took D&amp;A from COGS, COGS was high due to a charge for excess inventories</text>
  </threadedComment>
  <threadedComment ref="O450" dT="2024-11-26T03:39:57.05" personId="{A0483BAC-3883-4381-ACA0-86065B1AA12E}" id="{F72A202B-DE9A-4DD6-BAAB-C5F121D103F6}">
    <text>Took D&amp;A out of R&amp;D</text>
  </threadedComment>
  <threadedComment ref="P450" dT="2024-11-26T03:39:57.05" personId="{A0483BAC-3883-4381-ACA0-86065B1AA12E}" id="{08593B2C-00F4-4895-9067-BA622E42ED77}">
    <text>Took D&amp;A out of R&amp;D</text>
  </threadedComment>
  <threadedComment ref="K451" dT="2024-11-26T03:11:42.51" personId="{A0483BAC-3883-4381-ACA0-86065B1AA12E}" id="{DF282A68-785A-4ED2-8E15-224E54573ACA}">
    <text>No D&amp;A taken out (would be negative)</text>
  </threadedComment>
  <threadedComment ref="O451" dT="2024-11-26T03:40:43.96" personId="{A0483BAC-3883-4381-ACA0-86065B1AA12E}" id="{065AB77E-3855-4F6D-B024-1DFA08B35B52}">
    <text>Took D&amp;A out of R&amp;D</text>
  </threadedComment>
  <threadedComment ref="P451" dT="2024-11-26T03:40:43.96" personId="{A0483BAC-3883-4381-ACA0-86065B1AA12E}" id="{A7618C8B-ABFA-454F-A519-C59E3A19FF7F}">
    <text>Took D&amp;A out of R&amp;D</text>
  </threadedComment>
  <threadedComment ref="K452" dT="2024-11-26T03:08:18.69" personId="{A0483BAC-3883-4381-ACA0-86065B1AA12E}" id="{693D87EC-0844-4173-82E4-F3F4EF8F813A}">
    <text>Used the Compustat number (COGS&lt;D&amp;A) and numbers match, but I don’t understand how they figured out COGS.</text>
  </threadedComment>
  <threadedComment ref="T458" dT="2024-11-26T02:57:56.23" personId="{A0483BAC-3883-4381-ACA0-86065B1AA12E}" id="{436CE78C-E0F7-4473-B015-5B21AC350726}">
    <text>I cannot explain the discrepancy up to that point. This year is the biggest discrepancy.</text>
  </threadedComment>
  <threadedComment ref="K460" dT="2024-11-26T02:00:25.94" personId="{A0483BAC-3883-4381-ACA0-86065B1AA12E}" id="{4083A042-25F5-4E8F-A217-5AF842EE9472}">
    <text>All D&amp;A taken out from COGS</text>
  </threadedComment>
  <threadedComment ref="K461" dT="2024-11-26T01:51:13.16" personId="{A0483BAC-3883-4381-ACA0-86065B1AA12E}" id="{E885124C-DEFE-4FE1-B1FA-DEBF8C10DB51}">
    <text>All D&amp;A taken out from COGS</text>
  </threadedComment>
  <threadedComment ref="K462" dT="2024-11-26T01:51:13.16" personId="{A0483BAC-3883-4381-ACA0-86065B1AA12E}" id="{1AC05B2B-B516-4321-8C44-7C3AA2A498D1}">
    <text>All D&amp;A taken out from COGS</text>
  </threadedComment>
  <threadedComment ref="K463" dT="2024-11-26T01:51:13.16" personId="{A0483BAC-3883-4381-ACA0-86065B1AA12E}" id="{205C1396-3453-4FB5-A289-AD2D6219CCEB}">
    <text>All D&amp;A taken out from COGS</text>
  </threadedComment>
  <threadedComment ref="K463" dT="2024-11-26T01:52:57.19" personId="{A0483BAC-3883-4381-ACA0-86065B1AA12E}" id="{C3245BFC-2528-4256-B10D-9DB746E7F2D6}" parentId="{205C1396-3453-4FB5-A289-AD2D6219CCEB}">
    <text>Amortization was separated out in costs</text>
  </threadedComment>
  <threadedComment ref="O464" dT="2024-11-26T01:42:46.32" personId="{A0483BAC-3883-4381-ACA0-86065B1AA12E}" id="{98FF7B50-EBEF-466C-AD19-6ABC0C67E3AA}">
    <text xml:space="preserve">Took D&amp;A out of R&amp;D as COGS &lt; D&amp;A
</text>
  </threadedComment>
  <threadedComment ref="O465" dT="2024-11-26T01:42:46.32" personId="{A0483BAC-3883-4381-ACA0-86065B1AA12E}" id="{EABE2806-3746-4EFA-9D20-219084FAA530}">
    <text xml:space="preserve">Took D&amp;A out of R&amp;D as COGS &lt; D&amp;A
</text>
  </threadedComment>
  <threadedComment ref="O466" dT="2024-11-26T01:40:48.30" personId="{A0483BAC-3883-4381-ACA0-86065B1AA12E}" id="{C788D510-D51F-4F35-8926-7F7B0C65589B}">
    <text xml:space="preserve">Took D&amp;A out of R&amp;D as COGS &lt; D&amp;A
</text>
  </threadedComment>
  <threadedComment ref="O467" dT="2024-11-26T01:38:55.23" personId="{A0483BAC-3883-4381-ACA0-86065B1AA12E}" id="{ABE4F65F-BB8C-4505-86A3-B809D75305ED}">
    <text>Took D&amp;A out of R&amp;D as COGS &lt; D&amp;A</text>
  </threadedComment>
  <threadedComment ref="O468" dT="2024-11-26T01:38:50.15" personId="{A0483BAC-3883-4381-ACA0-86065B1AA12E}" id="{F4016FC2-7415-4E0B-A8FE-3476074622C9}">
    <text xml:space="preserve">Took D&amp;A out of R&amp;D as COGS &lt; D&amp;A
</text>
  </threadedComment>
  <threadedComment ref="O469" dT="2024-11-26T01:35:43.37" personId="{A0483BAC-3883-4381-ACA0-86065B1AA12E}" id="{88762715-99B4-4475-BAF3-B1FFCDFAF49C}">
    <text xml:space="preserve">Took D&amp;A out of R&amp;D as COGS &lt; D&amp;A
</text>
  </threadedComment>
  <threadedComment ref="O470" dT="2024-11-26T01:32:43.03" personId="{A0483BAC-3883-4381-ACA0-86065B1AA12E}" id="{FB23FB7D-4571-436F-AE68-958C1FDCCAF0}">
    <text>Took D&amp;A out of R&amp;D as COGS &lt; D&amp;A</text>
  </threadedComment>
  <threadedComment ref="T477" dT="2024-11-26T00:10:49.06" personId="{A0483BAC-3883-4381-ACA0-86065B1AA12E}" id="{218DBBF6-FEEB-4494-A902-A0C64608004D}">
    <text>Not sure why the discrepancy</text>
  </threadedComment>
  <threadedComment ref="U478" dT="2024-11-26T00:08:19.15" personId="{A0483BAC-3883-4381-ACA0-86065B1AA12E}" id="{4D39B0EC-0391-4123-A7EA-0E735CBC7FC0}">
    <text>Unclear why the discrepancy</text>
  </threadedComment>
  <threadedComment ref="T500" dT="2024-11-25T16:36:35.21" personId="{A0483BAC-3883-4381-ACA0-86065B1AA12E}" id="{7C885265-8AA2-47F7-8F8A-B6474A272BBF}">
    <text>I cannot explain discrepancy with Compustat.</text>
  </threadedComment>
  <threadedComment ref="M507" dT="2024-11-24T22:01:27.56" personId="{A0483BAC-3883-4381-ACA0-86065B1AA12E}" id="{77F239D9-DEE9-4E9D-94A4-7F3879BD96D2}">
    <text>Office and general + Marketing and promotion</text>
  </threadedComment>
  <threadedComment ref="S507" dT="2024-11-24T22:01:27.56" personId="{A0483BAC-3883-4381-ACA0-86065B1AA12E}" id="{35840CBD-FF23-44D7-9E19-883F56D15978}">
    <text>Office and general + Marketing and promotion</text>
  </threadedComment>
  <threadedComment ref="M518" dT="2024-11-27T03:24:43.67" personId="{A0483BAC-3883-4381-ACA0-86065B1AA12E}" id="{3B6FD15F-5E2F-4B9C-89E4-6284FCB75911}">
    <text>SG&amp;A is separated out. But in the previous year, SG&amp;A is partially embedded in COGS that seems to include many things. And the scale of COGS relative to SG&amp;A suggest that there is more SG&amp;A embedded in COGS as stated in the footnote in the 2001 10-K.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314F2-4AE1-4997-A904-3A2CFCCB0AC2}">
  <dimension ref="A1:U522"/>
  <sheetViews>
    <sheetView tabSelected="1" topLeftCell="G1" workbookViewId="0">
      <selection activeCell="P2" sqref="P2"/>
    </sheetView>
  </sheetViews>
  <sheetFormatPr defaultRowHeight="14.5" x14ac:dyDescent="0.35"/>
  <cols>
    <col min="2" max="2" width="9.36328125" bestFit="1" customWidth="1"/>
    <col min="4" max="7" width="8.90625" customWidth="1"/>
    <col min="8" max="8" width="35.453125" customWidth="1"/>
    <col min="9" max="9" width="8.90625" customWidth="1"/>
    <col min="17" max="17" width="67" customWidth="1"/>
    <col min="20" max="20" width="13.36328125" customWidth="1"/>
  </cols>
  <sheetData>
    <row r="1" spans="1:21" x14ac:dyDescent="0.35">
      <c r="A1" t="s">
        <v>0</v>
      </c>
      <c r="B1" t="s">
        <v>1</v>
      </c>
      <c r="C1" t="s">
        <v>2</v>
      </c>
      <c r="D1" t="s">
        <v>3</v>
      </c>
      <c r="E1" t="s">
        <v>4</v>
      </c>
      <c r="F1" t="s">
        <v>73</v>
      </c>
      <c r="G1" t="s">
        <v>75</v>
      </c>
      <c r="H1" t="s">
        <v>74</v>
      </c>
      <c r="I1" t="s">
        <v>76</v>
      </c>
      <c r="J1" t="s">
        <v>5</v>
      </c>
      <c r="K1" t="s">
        <v>6</v>
      </c>
      <c r="L1" t="s">
        <v>144</v>
      </c>
      <c r="M1" t="s">
        <v>7</v>
      </c>
      <c r="N1" t="s">
        <v>145</v>
      </c>
      <c r="O1" t="s">
        <v>78</v>
      </c>
      <c r="P1" t="s">
        <v>147</v>
      </c>
      <c r="Q1" t="s">
        <v>77</v>
      </c>
      <c r="R1" t="s">
        <v>79</v>
      </c>
      <c r="S1" t="s">
        <v>80</v>
      </c>
      <c r="T1" t="s">
        <v>142</v>
      </c>
      <c r="U1" t="s">
        <v>143</v>
      </c>
    </row>
    <row r="2" spans="1:21" x14ac:dyDescent="0.35">
      <c r="A2">
        <v>1230</v>
      </c>
      <c r="B2" s="1">
        <v>35795</v>
      </c>
      <c r="C2">
        <v>1997</v>
      </c>
      <c r="D2">
        <v>11659109</v>
      </c>
      <c r="E2" t="s">
        <v>8</v>
      </c>
      <c r="F2" t="str">
        <f t="shared" ref="F2:F65" si="0">_xlfn.CONCAT(TEXT(J2,0),"_",TEXT(C2,0))</f>
        <v>766421_1997</v>
      </c>
      <c r="G2" s="2" t="str">
        <f>HYPERLINK(_xlfn.CONCAT("extracted_filing/",$F2,"_10-K.html"))</f>
        <v>extracted_filing/766421_1997_10-K.html</v>
      </c>
      <c r="H2" s="2" t="str">
        <f>HYPERLINK(_xlfn.CONCAT("extracted_filing/",$F2,"_10-K.txt"))</f>
        <v>extracted_filing/766421_1997_10-K.txt</v>
      </c>
      <c r="I2" s="2" t="str">
        <f>HYPERLINK(_xlfn.CONCAT("https://www.sec.gov/cgi-bin/browse-edgar?action=getcompany&amp;CIK=",TEXT(J2,0),"&amp;type=10-K&amp;dateb=20080101&amp;owner=exclude&amp;count=40&amp;search_text="))</f>
        <v>https://www.sec.gov/cgi-bin/browse-edgar?action=getcompany&amp;CIK=766421&amp;type=10-K&amp;dateb=20080101&amp;owner=exclude&amp;count=40&amp;search_text=</v>
      </c>
      <c r="J2">
        <v>766421</v>
      </c>
      <c r="K2">
        <v>1498.9</v>
      </c>
      <c r="L2">
        <f>K2+M2+O2</f>
        <v>1498.9</v>
      </c>
      <c r="Q2" t="s">
        <v>85</v>
      </c>
      <c r="R2" s="6">
        <v>1498.9</v>
      </c>
      <c r="T2">
        <f>SUM(K2,M2,O2)</f>
        <v>1498.9</v>
      </c>
    </row>
    <row r="3" spans="1:21" x14ac:dyDescent="0.35">
      <c r="A3">
        <v>1230</v>
      </c>
      <c r="B3" s="1">
        <v>36160</v>
      </c>
      <c r="C3">
        <v>1998</v>
      </c>
      <c r="D3">
        <v>11659109</v>
      </c>
      <c r="E3" t="s">
        <v>8</v>
      </c>
      <c r="F3" t="str">
        <f t="shared" si="0"/>
        <v>766421_1998</v>
      </c>
      <c r="G3" s="2" t="str">
        <f t="shared" ref="G3:G66" si="1">HYPERLINK(_xlfn.CONCAT("extracted_filing/",$F3,"_10-K.html"))</f>
        <v>extracted_filing/766421_1998_10-K.html</v>
      </c>
      <c r="H3" s="2" t="str">
        <f t="shared" ref="H3:H66" si="2">HYPERLINK(_xlfn.CONCAT("extracted_filing/",$F3,"_10-K.txt"))</f>
        <v>extracted_filing/766421_1998_10-K.txt</v>
      </c>
      <c r="I3" s="2" t="str">
        <f t="shared" ref="I3:I66" si="3">HYPERLINK(_xlfn.CONCAT("https://www.sec.gov/cgi-bin/browse-edgar?action=getcompany&amp;CIK=",TEXT(J3,0),"&amp;type=10-K&amp;dateb=20080101&amp;owner=exclude&amp;count=40&amp;search_text="))</f>
        <v>https://www.sec.gov/cgi-bin/browse-edgar?action=getcompany&amp;CIK=766421&amp;type=10-K&amp;dateb=20080101&amp;owner=exclude&amp;count=40&amp;search_text=</v>
      </c>
      <c r="J3">
        <v>766421</v>
      </c>
      <c r="K3">
        <v>1572.2</v>
      </c>
      <c r="L3">
        <f>K3+M3+O3</f>
        <v>1572.2</v>
      </c>
      <c r="Q3" t="s">
        <v>85</v>
      </c>
      <c r="R3" s="6">
        <v>1572.2</v>
      </c>
      <c r="T3">
        <f>SUM(K3,M3,O3)</f>
        <v>1572.2</v>
      </c>
    </row>
    <row r="4" spans="1:21" x14ac:dyDescent="0.35">
      <c r="A4">
        <v>1230</v>
      </c>
      <c r="B4" s="1">
        <v>36525</v>
      </c>
      <c r="C4">
        <v>1999</v>
      </c>
      <c r="D4">
        <v>11659109</v>
      </c>
      <c r="E4" t="s">
        <v>8</v>
      </c>
      <c r="F4" t="str">
        <f t="shared" si="0"/>
        <v>766421_1999</v>
      </c>
      <c r="G4" s="2" t="str">
        <f t="shared" si="1"/>
        <v>extracted_filing/766421_1999_10-K.html</v>
      </c>
      <c r="H4" s="2" t="str">
        <f t="shared" si="2"/>
        <v>extracted_filing/766421_1999_10-K.txt</v>
      </c>
      <c r="I4" s="2" t="str">
        <f t="shared" si="3"/>
        <v>https://www.sec.gov/cgi-bin/browse-edgar?action=getcompany&amp;CIK=766421&amp;type=10-K&amp;dateb=20080101&amp;owner=exclude&amp;count=40&amp;search_text=</v>
      </c>
      <c r="J4">
        <v>766421</v>
      </c>
      <c r="K4">
        <v>1746.3</v>
      </c>
      <c r="L4">
        <f>K4+M4+O4</f>
        <v>1746.3</v>
      </c>
      <c r="Q4" t="s">
        <v>85</v>
      </c>
      <c r="R4" s="6">
        <v>1746.3</v>
      </c>
      <c r="T4">
        <f>SUM(K4,M4,O4)</f>
        <v>1746.3</v>
      </c>
    </row>
    <row r="5" spans="1:21" x14ac:dyDescent="0.35">
      <c r="A5">
        <v>1230</v>
      </c>
      <c r="B5" s="1">
        <v>36891</v>
      </c>
      <c r="C5">
        <v>2000</v>
      </c>
      <c r="D5">
        <v>11659109</v>
      </c>
      <c r="E5" t="s">
        <v>8</v>
      </c>
      <c r="F5" t="str">
        <f t="shared" si="0"/>
        <v>766421_2000</v>
      </c>
      <c r="G5" s="2" t="str">
        <f t="shared" si="1"/>
        <v>extracted_filing/766421_2000_10-K.html</v>
      </c>
      <c r="H5" s="2" t="str">
        <f t="shared" si="2"/>
        <v>extracted_filing/766421_2000_10-K.txt</v>
      </c>
      <c r="I5" s="2" t="str">
        <f t="shared" si="3"/>
        <v>https://www.sec.gov/cgi-bin/browse-edgar?action=getcompany&amp;CIK=766421&amp;type=10-K&amp;dateb=20080101&amp;owner=exclude&amp;count=40&amp;search_text=</v>
      </c>
      <c r="J5">
        <v>766421</v>
      </c>
      <c r="K5">
        <v>2003</v>
      </c>
      <c r="L5">
        <f>K5+M5+O5</f>
        <v>2003</v>
      </c>
      <c r="Q5" t="s">
        <v>85</v>
      </c>
      <c r="R5" s="6">
        <v>2003</v>
      </c>
      <c r="T5">
        <f>SUM(K5,M5,O5)</f>
        <v>2003</v>
      </c>
    </row>
    <row r="6" spans="1:21" x14ac:dyDescent="0.35">
      <c r="A6">
        <v>1230</v>
      </c>
      <c r="B6" s="1">
        <v>37256</v>
      </c>
      <c r="C6">
        <v>2001</v>
      </c>
      <c r="D6">
        <v>11659109</v>
      </c>
      <c r="E6" t="s">
        <v>8</v>
      </c>
      <c r="F6" t="str">
        <f t="shared" si="0"/>
        <v>766421_2001</v>
      </c>
      <c r="G6" s="2" t="str">
        <f t="shared" si="1"/>
        <v>extracted_filing/766421_2001_10-K.html</v>
      </c>
      <c r="H6" s="2" t="str">
        <f t="shared" si="2"/>
        <v>extracted_filing/766421_2001_10-K.txt</v>
      </c>
      <c r="I6" s="2" t="str">
        <f t="shared" si="3"/>
        <v>https://www.sec.gov/cgi-bin/browse-edgar?action=getcompany&amp;CIK=766421&amp;type=10-K&amp;dateb=20080101&amp;owner=exclude&amp;count=40&amp;search_text=</v>
      </c>
      <c r="J6">
        <v>766421</v>
      </c>
      <c r="K6">
        <v>1686.6</v>
      </c>
      <c r="L6">
        <f>K6+M6+O6</f>
        <v>2056.4</v>
      </c>
      <c r="M6" s="4">
        <v>369.8</v>
      </c>
      <c r="N6" s="4"/>
      <c r="Q6" t="s">
        <v>85</v>
      </c>
      <c r="R6" s="6">
        <v>1686.6</v>
      </c>
      <c r="S6" s="4">
        <v>369.8</v>
      </c>
      <c r="T6">
        <f>SUM(K6,M6,O6)</f>
        <v>2056.4</v>
      </c>
      <c r="U6">
        <f t="shared" ref="U6:U10" si="4">SUM(R6:S6)</f>
        <v>2056.4</v>
      </c>
    </row>
    <row r="7" spans="1:21" x14ac:dyDescent="0.35">
      <c r="A7">
        <v>1230</v>
      </c>
      <c r="B7" s="1">
        <v>37621</v>
      </c>
      <c r="C7">
        <v>2002</v>
      </c>
      <c r="D7">
        <v>11659109</v>
      </c>
      <c r="E7" t="s">
        <v>8</v>
      </c>
      <c r="F7" t="str">
        <f t="shared" si="0"/>
        <v>766421_2002</v>
      </c>
      <c r="G7" s="2" t="str">
        <f t="shared" si="1"/>
        <v>extracted_filing/766421_2002_10-K.html</v>
      </c>
      <c r="H7" s="2" t="str">
        <f t="shared" si="2"/>
        <v>extracted_filing/766421_2002_10-K.txt</v>
      </c>
      <c r="I7" s="2" t="str">
        <f t="shared" si="3"/>
        <v>https://www.sec.gov/cgi-bin/browse-edgar?action=getcompany&amp;CIK=766421&amp;type=10-K&amp;dateb=20080101&amp;owner=exclude&amp;count=40&amp;search_text=</v>
      </c>
      <c r="J7">
        <v>766421</v>
      </c>
      <c r="K7">
        <v>1758</v>
      </c>
      <c r="L7">
        <f>K7+M7+O7</f>
        <v>2118.1999999999998</v>
      </c>
      <c r="M7" s="4">
        <v>360.2</v>
      </c>
      <c r="N7" s="4"/>
      <c r="Q7" t="s">
        <v>85</v>
      </c>
      <c r="R7" s="6">
        <v>1758</v>
      </c>
      <c r="S7" s="4">
        <v>360.2</v>
      </c>
      <c r="T7">
        <f>SUM(K7,M7,O7)</f>
        <v>2118.1999999999998</v>
      </c>
      <c r="U7">
        <f t="shared" si="4"/>
        <v>2118.1999999999998</v>
      </c>
    </row>
    <row r="8" spans="1:21" x14ac:dyDescent="0.35">
      <c r="A8">
        <v>1230</v>
      </c>
      <c r="B8" s="1">
        <v>37986</v>
      </c>
      <c r="C8">
        <v>2003</v>
      </c>
      <c r="D8">
        <v>11659109</v>
      </c>
      <c r="E8" t="s">
        <v>8</v>
      </c>
      <c r="F8" t="str">
        <f t="shared" si="0"/>
        <v>766421_2003</v>
      </c>
      <c r="G8" s="2" t="str">
        <f t="shared" si="1"/>
        <v>extracted_filing/766421_2003_10-K.html</v>
      </c>
      <c r="H8" s="2" t="str">
        <f t="shared" si="2"/>
        <v>extracted_filing/766421_2003_10-K.txt</v>
      </c>
      <c r="I8" s="2" t="str">
        <f t="shared" si="3"/>
        <v>https://www.sec.gov/cgi-bin/browse-edgar?action=getcompany&amp;CIK=766421&amp;type=10-K&amp;dateb=20080101&amp;owner=exclude&amp;count=40&amp;search_text=</v>
      </c>
      <c r="J8">
        <v>766421</v>
      </c>
      <c r="K8">
        <v>1934</v>
      </c>
      <c r="L8">
        <f>K8+M8+O8</f>
        <v>2251.5</v>
      </c>
      <c r="M8" s="4">
        <v>317.5</v>
      </c>
      <c r="N8" s="4"/>
      <c r="Q8" t="s">
        <v>85</v>
      </c>
      <c r="R8" s="6">
        <v>1934</v>
      </c>
      <c r="S8" s="4">
        <v>317.5</v>
      </c>
      <c r="T8">
        <f>SUM(K8,M8,O8)</f>
        <v>2251.5</v>
      </c>
      <c r="U8">
        <f t="shared" si="4"/>
        <v>2251.5</v>
      </c>
    </row>
    <row r="9" spans="1:21" x14ac:dyDescent="0.35">
      <c r="A9">
        <v>1230</v>
      </c>
      <c r="B9" s="1">
        <v>38352</v>
      </c>
      <c r="C9">
        <v>2004</v>
      </c>
      <c r="D9">
        <v>11659109</v>
      </c>
      <c r="E9" t="s">
        <v>8</v>
      </c>
      <c r="F9" t="str">
        <f t="shared" si="0"/>
        <v>766421_2004</v>
      </c>
      <c r="G9" s="2" t="str">
        <f t="shared" si="1"/>
        <v>extracted_filing/766421_2004_10-K.html</v>
      </c>
      <c r="H9" s="2" t="str">
        <f t="shared" si="2"/>
        <v>extracted_filing/766421_2004_10-K.txt</v>
      </c>
      <c r="I9" s="2" t="str">
        <f t="shared" si="3"/>
        <v>https://www.sec.gov/cgi-bin/browse-edgar?action=getcompany&amp;CIK=766421&amp;type=10-K&amp;dateb=20080101&amp;owner=exclude&amp;count=40&amp;search_text=</v>
      </c>
      <c r="J9">
        <v>766421</v>
      </c>
      <c r="K9">
        <v>2170.1999999999998</v>
      </c>
      <c r="L9">
        <f>K9+M9+O9</f>
        <v>2511.5</v>
      </c>
      <c r="M9" s="4">
        <v>341.3</v>
      </c>
      <c r="N9" s="4"/>
      <c r="Q9" t="s">
        <v>85</v>
      </c>
      <c r="R9" s="6">
        <v>2170.1999999999998</v>
      </c>
      <c r="S9" s="4">
        <v>341.3</v>
      </c>
      <c r="T9">
        <f>SUM(K9,M9,O9)</f>
        <v>2511.5</v>
      </c>
      <c r="U9">
        <f t="shared" si="4"/>
        <v>2511.5</v>
      </c>
    </row>
    <row r="10" spans="1:21" x14ac:dyDescent="0.35">
      <c r="A10">
        <v>1230</v>
      </c>
      <c r="B10" s="1">
        <v>38717</v>
      </c>
      <c r="C10">
        <v>2005</v>
      </c>
      <c r="D10">
        <v>11659109</v>
      </c>
      <c r="E10" t="s">
        <v>8</v>
      </c>
      <c r="F10" t="str">
        <f t="shared" si="0"/>
        <v>766421_2005</v>
      </c>
      <c r="G10" s="2" t="str">
        <f t="shared" si="1"/>
        <v>extracted_filing/766421_2005_10-K.html</v>
      </c>
      <c r="H10" s="2" t="str">
        <f t="shared" si="2"/>
        <v>extracted_filing/766421_2005_10-K.txt</v>
      </c>
      <c r="I10" s="2" t="str">
        <f t="shared" si="3"/>
        <v>https://www.sec.gov/cgi-bin/browse-edgar?action=getcompany&amp;CIK=766421&amp;type=10-K&amp;dateb=20080101&amp;owner=exclude&amp;count=40&amp;search_text=</v>
      </c>
      <c r="J10">
        <v>766421</v>
      </c>
      <c r="K10">
        <v>2457.6</v>
      </c>
      <c r="L10">
        <f>K10+M10+O10</f>
        <v>2823.6</v>
      </c>
      <c r="M10" s="4">
        <v>366</v>
      </c>
      <c r="N10" s="4"/>
      <c r="Q10" t="s">
        <v>85</v>
      </c>
      <c r="R10" s="6">
        <v>2457.6</v>
      </c>
      <c r="S10" s="4">
        <v>366</v>
      </c>
      <c r="T10">
        <f>SUM(K10,M10,O10)</f>
        <v>2823.6</v>
      </c>
      <c r="U10">
        <f t="shared" si="4"/>
        <v>2823.6</v>
      </c>
    </row>
    <row r="11" spans="1:21" x14ac:dyDescent="0.35">
      <c r="A11">
        <v>1230</v>
      </c>
      <c r="B11" s="1">
        <v>39082</v>
      </c>
      <c r="C11">
        <v>2006</v>
      </c>
      <c r="D11">
        <v>11659109</v>
      </c>
      <c r="E11" t="s">
        <v>8</v>
      </c>
      <c r="F11" t="str">
        <f t="shared" si="0"/>
        <v>766421_2006</v>
      </c>
      <c r="G11" s="2" t="str">
        <f t="shared" si="1"/>
        <v>extracted_filing/766421_2006_10-K.html</v>
      </c>
      <c r="H11" s="2" t="str">
        <f t="shared" si="2"/>
        <v>extracted_filing/766421_2006_10-K.txt</v>
      </c>
      <c r="I11" s="2" t="str">
        <f t="shared" si="3"/>
        <v>https://www.sec.gov/cgi-bin/browse-edgar?action=getcompany&amp;CIK=766421&amp;type=10-K&amp;dateb=20080101&amp;owner=exclude&amp;count=40&amp;search_text=</v>
      </c>
      <c r="J11">
        <v>766421</v>
      </c>
      <c r="K11">
        <v>2666.6</v>
      </c>
      <c r="L11">
        <f>K11+M11+O11</f>
        <v>3049.9</v>
      </c>
      <c r="M11" s="4">
        <v>383.3</v>
      </c>
      <c r="N11" s="4"/>
      <c r="Q11" t="s">
        <v>85</v>
      </c>
      <c r="R11" s="6">
        <v>2666.6</v>
      </c>
      <c r="S11" s="4">
        <v>383.3</v>
      </c>
      <c r="T11">
        <f>SUM(K11,M11,O11)</f>
        <v>3049.9</v>
      </c>
      <c r="U11">
        <f>SUM(R11:S11)</f>
        <v>3049.9</v>
      </c>
    </row>
    <row r="12" spans="1:21" x14ac:dyDescent="0.35">
      <c r="A12">
        <v>1743</v>
      </c>
      <c r="B12" s="1">
        <v>35795</v>
      </c>
      <c r="C12">
        <v>1997</v>
      </c>
      <c r="D12">
        <v>40790107</v>
      </c>
      <c r="E12" t="s">
        <v>9</v>
      </c>
      <c r="F12" t="str">
        <f t="shared" si="0"/>
        <v>894405_1997</v>
      </c>
      <c r="G12" s="2" t="str">
        <f t="shared" si="1"/>
        <v>extracted_filing/894405_1997_10-K.html</v>
      </c>
      <c r="H12" s="2" t="str">
        <f t="shared" si="2"/>
        <v>extracted_filing/894405_1997_10-K.txt</v>
      </c>
      <c r="I12" s="2" t="str">
        <f t="shared" si="3"/>
        <v>https://www.sec.gov/cgi-bin/browse-edgar?action=getcompany&amp;CIK=894405&amp;type=10-K&amp;dateb=20080101&amp;owner=exclude&amp;count=40&amp;search_text=</v>
      </c>
      <c r="J12">
        <v>894405</v>
      </c>
      <c r="K12">
        <v>1531.825</v>
      </c>
      <c r="L12">
        <f>K12+M12+O12</f>
        <v>1531.825</v>
      </c>
      <c r="Q12" t="s">
        <v>135</v>
      </c>
      <c r="R12" s="6">
        <v>1531.825</v>
      </c>
      <c r="S12" s="6"/>
      <c r="T12">
        <f>SUM(K12,M12,O12)</f>
        <v>1531.825</v>
      </c>
    </row>
    <row r="13" spans="1:21" x14ac:dyDescent="0.35">
      <c r="A13">
        <v>1743</v>
      </c>
      <c r="B13" s="1">
        <v>36160</v>
      </c>
      <c r="C13">
        <v>1998</v>
      </c>
      <c r="D13">
        <v>40790107</v>
      </c>
      <c r="E13" t="s">
        <v>9</v>
      </c>
      <c r="F13" t="str">
        <f t="shared" si="0"/>
        <v>894405_1998</v>
      </c>
      <c r="G13" s="2" t="str">
        <f t="shared" si="1"/>
        <v>extracted_filing/894405_1998_10-K.html</v>
      </c>
      <c r="H13" s="2" t="str">
        <f t="shared" si="2"/>
        <v>extracted_filing/894405_1998_10-K.txt</v>
      </c>
      <c r="I13" s="2" t="str">
        <f t="shared" si="3"/>
        <v>https://www.sec.gov/cgi-bin/browse-edgar?action=getcompany&amp;CIK=894405&amp;type=10-K&amp;dateb=20080101&amp;owner=exclude&amp;count=40&amp;search_text=</v>
      </c>
      <c r="J13">
        <v>894405</v>
      </c>
      <c r="K13">
        <v>1539.854</v>
      </c>
      <c r="L13">
        <f>K13+M13+O13</f>
        <v>1539.854</v>
      </c>
      <c r="Q13" t="s">
        <v>135</v>
      </c>
      <c r="R13" s="6">
        <v>1539.854</v>
      </c>
      <c r="S13" s="6"/>
      <c r="T13">
        <f>SUM(K13,M13,O13)</f>
        <v>1539.854</v>
      </c>
    </row>
    <row r="14" spans="1:21" x14ac:dyDescent="0.35">
      <c r="A14">
        <v>1743</v>
      </c>
      <c r="B14" s="1">
        <v>36525</v>
      </c>
      <c r="C14">
        <v>1999</v>
      </c>
      <c r="D14">
        <v>40790107</v>
      </c>
      <c r="E14" t="s">
        <v>9</v>
      </c>
      <c r="F14" t="str">
        <f t="shared" si="0"/>
        <v>894405_1999</v>
      </c>
      <c r="G14" s="2" t="str">
        <f t="shared" si="1"/>
        <v>extracted_filing/894405_1999_10-K.html</v>
      </c>
      <c r="H14" s="2" t="str">
        <f t="shared" si="2"/>
        <v>extracted_filing/894405_1999_10-K.txt</v>
      </c>
      <c r="I14" s="2" t="str">
        <f t="shared" si="3"/>
        <v>https://www.sec.gov/cgi-bin/browse-edgar?action=getcompany&amp;CIK=894405&amp;type=10-K&amp;dateb=20080101&amp;owner=exclude&amp;count=40&amp;search_text=</v>
      </c>
      <c r="J14">
        <v>894405</v>
      </c>
      <c r="K14">
        <v>1562.442</v>
      </c>
      <c r="L14">
        <f>K14+M14+O14</f>
        <v>1562.442</v>
      </c>
      <c r="Q14" t="s">
        <v>135</v>
      </c>
      <c r="R14" s="6">
        <v>1562.442</v>
      </c>
      <c r="S14" s="6"/>
      <c r="T14">
        <f>SUM(K14,M14,O14)</f>
        <v>1562.442</v>
      </c>
    </row>
    <row r="15" spans="1:21" x14ac:dyDescent="0.35">
      <c r="A15">
        <v>1743</v>
      </c>
      <c r="B15" s="1">
        <v>36891</v>
      </c>
      <c r="C15">
        <v>2000</v>
      </c>
      <c r="D15">
        <v>40790107</v>
      </c>
      <c r="E15" t="s">
        <v>9</v>
      </c>
      <c r="F15" t="str">
        <f t="shared" si="0"/>
        <v>894405_2000</v>
      </c>
      <c r="G15" s="2" t="str">
        <f t="shared" si="1"/>
        <v>extracted_filing/894405_2000_10-K.html</v>
      </c>
      <c r="H15" s="2" t="str">
        <f t="shared" si="2"/>
        <v>extracted_filing/894405_2000_10-K.txt</v>
      </c>
      <c r="I15" s="2" t="str">
        <f t="shared" si="3"/>
        <v>https://www.sec.gov/cgi-bin/browse-edgar?action=getcompany&amp;CIK=894405&amp;type=10-K&amp;dateb=20080101&amp;owner=exclude&amp;count=40&amp;search_text=</v>
      </c>
      <c r="J15">
        <v>894405</v>
      </c>
      <c r="K15">
        <v>1643.1780000000001</v>
      </c>
      <c r="L15">
        <f>K15+M15+O15</f>
        <v>1643.1780000000001</v>
      </c>
      <c r="Q15" t="s">
        <v>135</v>
      </c>
      <c r="R15" s="6">
        <v>1643.1780000000001</v>
      </c>
      <c r="S15" s="6"/>
      <c r="T15">
        <f>SUM(K15,M15,O15)</f>
        <v>1643.1780000000001</v>
      </c>
    </row>
    <row r="16" spans="1:21" x14ac:dyDescent="0.35">
      <c r="A16">
        <v>1743</v>
      </c>
      <c r="B16" s="1">
        <v>37256</v>
      </c>
      <c r="C16">
        <v>2001</v>
      </c>
      <c r="D16">
        <v>40790107</v>
      </c>
      <c r="E16" t="s">
        <v>9</v>
      </c>
      <c r="F16" t="str">
        <f t="shared" si="0"/>
        <v>894405_2001</v>
      </c>
      <c r="G16" s="2" t="str">
        <f t="shared" si="1"/>
        <v>extracted_filing/894405_2001_10-K.html</v>
      </c>
      <c r="H16" s="2" t="str">
        <f t="shared" si="2"/>
        <v>extracted_filing/894405_2001_10-K.txt</v>
      </c>
      <c r="I16" s="2" t="str">
        <f t="shared" si="3"/>
        <v>https://www.sec.gov/cgi-bin/browse-edgar?action=getcompany&amp;CIK=894405&amp;type=10-K&amp;dateb=20080101&amp;owner=exclude&amp;count=40&amp;search_text=</v>
      </c>
      <c r="J16">
        <v>894405</v>
      </c>
      <c r="K16">
        <v>1395.904</v>
      </c>
      <c r="L16">
        <f>K16+M16+O16</f>
        <v>1395.904</v>
      </c>
      <c r="Q16" t="s">
        <v>135</v>
      </c>
      <c r="R16" s="6">
        <v>1395.904</v>
      </c>
      <c r="S16" s="6"/>
      <c r="T16">
        <f>SUM(K16,M16,O16)</f>
        <v>1395.904</v>
      </c>
    </row>
    <row r="17" spans="1:21" x14ac:dyDescent="0.35">
      <c r="A17">
        <v>1743</v>
      </c>
      <c r="B17" s="1">
        <v>37621</v>
      </c>
      <c r="C17">
        <v>2002</v>
      </c>
      <c r="D17">
        <v>40790107</v>
      </c>
      <c r="E17" t="s">
        <v>9</v>
      </c>
      <c r="F17" t="str">
        <f t="shared" si="0"/>
        <v>894405_2002</v>
      </c>
      <c r="G17" s="2" t="str">
        <f t="shared" si="1"/>
        <v>extracted_filing/894405_2002_10-K.html</v>
      </c>
      <c r="H17" s="2" t="str">
        <f t="shared" si="2"/>
        <v>extracted_filing/894405_2002_10-K.txt</v>
      </c>
      <c r="I17" s="2" t="str">
        <f t="shared" si="3"/>
        <v>https://www.sec.gov/cgi-bin/browse-edgar?action=getcompany&amp;CIK=894405&amp;type=10-K&amp;dateb=20080101&amp;owner=exclude&amp;count=40&amp;search_text=</v>
      </c>
      <c r="J17">
        <v>894405</v>
      </c>
      <c r="K17">
        <v>1304.857</v>
      </c>
      <c r="L17">
        <f>K17+M17+O17</f>
        <v>1304.857</v>
      </c>
      <c r="Q17" t="s">
        <v>135</v>
      </c>
      <c r="R17" s="6">
        <v>1304.857</v>
      </c>
      <c r="S17" s="6"/>
      <c r="T17">
        <f>SUM(K17,M17,O17)</f>
        <v>1304.857</v>
      </c>
    </row>
    <row r="18" spans="1:21" x14ac:dyDescent="0.35">
      <c r="A18">
        <v>1743</v>
      </c>
      <c r="B18" s="1">
        <v>37986</v>
      </c>
      <c r="C18">
        <v>2003</v>
      </c>
      <c r="D18">
        <v>40790107</v>
      </c>
      <c r="E18" t="s">
        <v>9</v>
      </c>
      <c r="F18" t="str">
        <f t="shared" si="0"/>
        <v>894405_2003</v>
      </c>
      <c r="G18" s="2" t="str">
        <f t="shared" si="1"/>
        <v>extracted_filing/894405_2003_10-K.html</v>
      </c>
      <c r="H18" s="2" t="str">
        <f t="shared" si="2"/>
        <v>extracted_filing/894405_2003_10-K.txt</v>
      </c>
      <c r="I18" s="2" t="str">
        <f t="shared" si="3"/>
        <v>https://www.sec.gov/cgi-bin/browse-edgar?action=getcompany&amp;CIK=894405&amp;type=10-K&amp;dateb=20080101&amp;owner=exclude&amp;count=40&amp;search_text=</v>
      </c>
      <c r="J18">
        <v>894405</v>
      </c>
      <c r="K18">
        <v>1401.1220000000001</v>
      </c>
      <c r="L18">
        <f>K18+M18+O18</f>
        <v>1401.1220000000001</v>
      </c>
      <c r="Q18" t="s">
        <v>135</v>
      </c>
      <c r="R18" s="6">
        <v>1401.1220000000001</v>
      </c>
      <c r="S18" s="6"/>
      <c r="T18">
        <f>SUM(K18,M18,O18)</f>
        <v>1401.1220000000001</v>
      </c>
    </row>
    <row r="19" spans="1:21" x14ac:dyDescent="0.35">
      <c r="A19">
        <v>1743</v>
      </c>
      <c r="B19" s="1">
        <v>38352</v>
      </c>
      <c r="C19">
        <v>2004</v>
      </c>
      <c r="D19">
        <v>40790107</v>
      </c>
      <c r="E19" t="s">
        <v>9</v>
      </c>
      <c r="F19" t="str">
        <f t="shared" si="0"/>
        <v>894405_2004</v>
      </c>
      <c r="G19" s="2" t="str">
        <f t="shared" si="1"/>
        <v>extracted_filing/894405_2004_10-K.html</v>
      </c>
      <c r="H19" s="2" t="str">
        <f t="shared" si="2"/>
        <v>extracted_filing/894405_2004_10-K.txt</v>
      </c>
      <c r="I19" s="2" t="str">
        <f t="shared" si="3"/>
        <v>https://www.sec.gov/cgi-bin/browse-edgar?action=getcompany&amp;CIK=894405&amp;type=10-K&amp;dateb=20080101&amp;owner=exclude&amp;count=40&amp;search_text=</v>
      </c>
      <c r="J19">
        <v>894405</v>
      </c>
      <c r="K19">
        <v>1536.704</v>
      </c>
      <c r="L19">
        <f>K19+M19+O19</f>
        <v>1536.704</v>
      </c>
      <c r="Q19" t="s">
        <v>135</v>
      </c>
      <c r="R19" s="6">
        <v>1536.704</v>
      </c>
      <c r="S19" s="6"/>
      <c r="T19">
        <f>SUM(K19,M19,O19)</f>
        <v>1536.704</v>
      </c>
    </row>
    <row r="20" spans="1:21" x14ac:dyDescent="0.35">
      <c r="A20">
        <v>1743</v>
      </c>
      <c r="B20" s="1">
        <v>38717</v>
      </c>
      <c r="C20">
        <v>2005</v>
      </c>
      <c r="D20">
        <v>40790107</v>
      </c>
      <c r="E20" t="s">
        <v>9</v>
      </c>
      <c r="F20" t="str">
        <f t="shared" si="0"/>
        <v>894405_2005</v>
      </c>
      <c r="G20" s="2" t="str">
        <f t="shared" si="1"/>
        <v>extracted_filing/894405_2005_10-K.html</v>
      </c>
      <c r="H20" s="2" t="str">
        <f t="shared" si="2"/>
        <v>extracted_filing/894405_2005_10-K.txt</v>
      </c>
      <c r="I20" s="2" t="str">
        <f t="shared" si="3"/>
        <v>https://www.sec.gov/cgi-bin/browse-edgar?action=getcompany&amp;CIK=894405&amp;type=10-K&amp;dateb=20080101&amp;owner=exclude&amp;count=40&amp;search_text=</v>
      </c>
      <c r="J20">
        <v>894405</v>
      </c>
      <c r="K20">
        <v>1644.2329999999999</v>
      </c>
      <c r="L20">
        <f>K20+M20+O20</f>
        <v>1644.2329999999999</v>
      </c>
      <c r="Q20" t="s">
        <v>135</v>
      </c>
      <c r="R20" s="6">
        <v>1644.2329999999999</v>
      </c>
      <c r="S20" s="6"/>
      <c r="T20">
        <f>SUM(K20,M20,O20)</f>
        <v>1644.2329999999999</v>
      </c>
    </row>
    <row r="21" spans="1:21" x14ac:dyDescent="0.35">
      <c r="A21">
        <v>1743</v>
      </c>
      <c r="B21" s="1">
        <v>39082</v>
      </c>
      <c r="C21">
        <v>2006</v>
      </c>
      <c r="D21">
        <v>40790107</v>
      </c>
      <c r="E21" t="s">
        <v>9</v>
      </c>
      <c r="F21" t="str">
        <f t="shared" si="0"/>
        <v>894405_2006</v>
      </c>
      <c r="G21" s="2" t="str">
        <f t="shared" si="1"/>
        <v>extracted_filing/894405_2006_10-K.html</v>
      </c>
      <c r="H21" s="2" t="str">
        <f t="shared" si="2"/>
        <v>extracted_filing/894405_2006_10-K.txt</v>
      </c>
      <c r="I21" s="2" t="str">
        <f t="shared" si="3"/>
        <v>https://www.sec.gov/cgi-bin/browse-edgar?action=getcompany&amp;CIK=894405&amp;type=10-K&amp;dateb=20080101&amp;owner=exclude&amp;count=40&amp;search_text=</v>
      </c>
      <c r="J21">
        <v>894405</v>
      </c>
      <c r="K21">
        <v>1657.8789999999999</v>
      </c>
      <c r="L21">
        <f>K21+M21+O21</f>
        <v>1657.8789999999999</v>
      </c>
      <c r="Q21" t="s">
        <v>135</v>
      </c>
      <c r="R21" s="6">
        <v>1657.8789999999999</v>
      </c>
      <c r="S21" s="6"/>
      <c r="T21">
        <f>SUM(K21,M21,O21)</f>
        <v>1657.8789999999999</v>
      </c>
    </row>
    <row r="22" spans="1:21" x14ac:dyDescent="0.35">
      <c r="A22">
        <v>2222</v>
      </c>
      <c r="B22" s="1">
        <v>35795</v>
      </c>
      <c r="C22">
        <v>1997</v>
      </c>
      <c r="D22" t="s">
        <v>10</v>
      </c>
      <c r="E22" t="s">
        <v>11</v>
      </c>
      <c r="F22" t="str">
        <f t="shared" si="0"/>
        <v>722104_1997</v>
      </c>
      <c r="G22" s="2" t="str">
        <f t="shared" si="1"/>
        <v>extracted_filing/722104_1997_10-K.html</v>
      </c>
      <c r="H22" s="2" t="str">
        <f t="shared" si="2"/>
        <v>extracted_filing/722104_1997_10-K.txt</v>
      </c>
      <c r="I22" s="2" t="str">
        <f t="shared" si="3"/>
        <v>https://www.sec.gov/cgi-bin/browse-edgar?action=getcompany&amp;CIK=722104&amp;type=10-K&amp;dateb=20080101&amp;owner=exclude&amp;count=40&amp;search_text=</v>
      </c>
      <c r="J22">
        <v>722104</v>
      </c>
      <c r="K22" s="3">
        <f>8.493+1.65-2.636</f>
        <v>7.5070000000000006</v>
      </c>
      <c r="L22">
        <f>K22+M22+O22</f>
        <v>41.252000000000002</v>
      </c>
      <c r="M22" s="3">
        <f>8.509+9.29</f>
        <v>17.798999999999999</v>
      </c>
      <c r="N22">
        <f>M22</f>
        <v>17.798999999999999</v>
      </c>
      <c r="O22" s="3">
        <v>15.946</v>
      </c>
      <c r="P22">
        <v>15.946</v>
      </c>
      <c r="Q22" t="s">
        <v>121</v>
      </c>
      <c r="R22" s="6">
        <v>42.298000000000002</v>
      </c>
      <c r="S22" s="6"/>
      <c r="T22" s="4">
        <f>SUM(K22,M22,O22)</f>
        <v>41.252000000000002</v>
      </c>
    </row>
    <row r="23" spans="1:21" x14ac:dyDescent="0.35">
      <c r="A23">
        <v>2222</v>
      </c>
      <c r="B23" s="1">
        <v>36160</v>
      </c>
      <c r="C23">
        <v>1998</v>
      </c>
      <c r="D23" t="s">
        <v>10</v>
      </c>
      <c r="E23" t="s">
        <v>11</v>
      </c>
      <c r="F23" t="str">
        <f t="shared" si="0"/>
        <v>722104_1998</v>
      </c>
      <c r="G23" s="2" t="str">
        <f t="shared" si="1"/>
        <v>extracted_filing/722104_1998_10-K.html</v>
      </c>
      <c r="H23" s="2" t="str">
        <f t="shared" si="2"/>
        <v>extracted_filing/722104_1998_10-K.txt</v>
      </c>
      <c r="I23" s="2" t="str">
        <f t="shared" si="3"/>
        <v>https://www.sec.gov/cgi-bin/browse-edgar?action=getcompany&amp;CIK=722104&amp;type=10-K&amp;dateb=20080101&amp;owner=exclude&amp;count=40&amp;search_text=</v>
      </c>
      <c r="J23">
        <v>722104</v>
      </c>
      <c r="K23" s="3">
        <f>10.744+0.929-3.125</f>
        <v>8.548</v>
      </c>
      <c r="L23">
        <f>K23+M23+O23</f>
        <v>48.813999999999993</v>
      </c>
      <c r="M23" s="3">
        <f>8.504+13.312</f>
        <v>21.815999999999999</v>
      </c>
      <c r="N23">
        <f t="shared" ref="N23:N31" si="5">M23</f>
        <v>21.815999999999999</v>
      </c>
      <c r="O23" s="3">
        <v>18.45</v>
      </c>
      <c r="P23">
        <v>18.45</v>
      </c>
      <c r="Q23" t="s">
        <v>121</v>
      </c>
      <c r="R23" s="6">
        <v>50.322000000000003</v>
      </c>
      <c r="S23" s="6"/>
      <c r="T23" s="4">
        <f>SUM(K23,M23,O23)</f>
        <v>48.813999999999993</v>
      </c>
    </row>
    <row r="24" spans="1:21" x14ac:dyDescent="0.35">
      <c r="A24">
        <v>2222</v>
      </c>
      <c r="B24" s="1">
        <v>36525</v>
      </c>
      <c r="C24">
        <v>1999</v>
      </c>
      <c r="D24" t="s">
        <v>10</v>
      </c>
      <c r="E24" t="s">
        <v>11</v>
      </c>
      <c r="F24" t="str">
        <f t="shared" si="0"/>
        <v>722104_1999</v>
      </c>
      <c r="G24" s="2" t="str">
        <f t="shared" si="1"/>
        <v>extracted_filing/722104_1999_10-K.html</v>
      </c>
      <c r="H24" s="2" t="str">
        <f t="shared" si="2"/>
        <v>extracted_filing/722104_1999_10-K.txt</v>
      </c>
      <c r="I24" s="2" t="str">
        <f t="shared" si="3"/>
        <v>https://www.sec.gov/cgi-bin/browse-edgar?action=getcompany&amp;CIK=722104&amp;type=10-K&amp;dateb=20080101&amp;owner=exclude&amp;count=40&amp;search_text=</v>
      </c>
      <c r="J24">
        <v>722104</v>
      </c>
      <c r="K24" s="3">
        <f>11.224+3.221-3.014</f>
        <v>11.431000000000001</v>
      </c>
      <c r="L24">
        <f>K24+M24+O24</f>
        <v>63.168999999999997</v>
      </c>
      <c r="M24" s="3">
        <f>14.035+16.583</f>
        <v>30.617999999999999</v>
      </c>
      <c r="N24">
        <f t="shared" si="5"/>
        <v>30.617999999999999</v>
      </c>
      <c r="O24" s="3">
        <v>21.12</v>
      </c>
      <c r="P24">
        <v>21.12</v>
      </c>
      <c r="Q24" t="s">
        <v>121</v>
      </c>
      <c r="R24" s="6">
        <v>64.287000000000006</v>
      </c>
      <c r="S24" s="6"/>
      <c r="T24" s="4">
        <f>SUM(K24,M24,O24)</f>
        <v>63.168999999999997</v>
      </c>
    </row>
    <row r="25" spans="1:21" x14ac:dyDescent="0.35">
      <c r="A25">
        <v>2222</v>
      </c>
      <c r="B25" s="1">
        <v>36891</v>
      </c>
      <c r="C25">
        <v>2000</v>
      </c>
      <c r="D25" t="s">
        <v>10</v>
      </c>
      <c r="E25" t="s">
        <v>11</v>
      </c>
      <c r="F25" t="str">
        <f t="shared" si="0"/>
        <v>722104_2000</v>
      </c>
      <c r="G25" s="2" t="str">
        <f t="shared" si="1"/>
        <v>extracted_filing/722104_2000_10-K.html</v>
      </c>
      <c r="H25" s="2" t="str">
        <f t="shared" si="2"/>
        <v>extracted_filing/722104_2000_10-K.txt</v>
      </c>
      <c r="I25" s="2" t="str">
        <f t="shared" si="3"/>
        <v>https://www.sec.gov/cgi-bin/browse-edgar?action=getcompany&amp;CIK=722104&amp;type=10-K&amp;dateb=20080101&amp;owner=exclude&amp;count=40&amp;search_text=</v>
      </c>
      <c r="J25">
        <v>722104</v>
      </c>
      <c r="K25" s="3">
        <f>9.887+1.879-2.861</f>
        <v>8.9049999999999994</v>
      </c>
      <c r="L25">
        <f>K25+M25+O25</f>
        <v>61.564</v>
      </c>
      <c r="M25" s="3">
        <f>17.614+12.685</f>
        <v>30.298999999999999</v>
      </c>
      <c r="N25">
        <f t="shared" si="5"/>
        <v>30.298999999999999</v>
      </c>
      <c r="O25" s="3">
        <v>22.36</v>
      </c>
      <c r="P25">
        <v>22.36</v>
      </c>
      <c r="Q25" t="s">
        <v>121</v>
      </c>
      <c r="R25" s="6">
        <v>62.442999999999998</v>
      </c>
      <c r="S25" s="6"/>
      <c r="T25" s="4">
        <f>SUM(K25,M25,O25)</f>
        <v>61.564</v>
      </c>
    </row>
    <row r="26" spans="1:21" x14ac:dyDescent="0.35">
      <c r="A26">
        <v>2222</v>
      </c>
      <c r="B26" s="1">
        <v>37256</v>
      </c>
      <c r="C26">
        <v>2001</v>
      </c>
      <c r="D26" t="s">
        <v>10</v>
      </c>
      <c r="E26" t="s">
        <v>11</v>
      </c>
      <c r="F26" t="str">
        <f t="shared" si="0"/>
        <v>722104_2001</v>
      </c>
      <c r="G26" s="2" t="str">
        <f t="shared" si="1"/>
        <v>extracted_filing/722104_2001_10-K.html</v>
      </c>
      <c r="H26" s="2" t="str">
        <f t="shared" si="2"/>
        <v>extracted_filing/722104_2001_10-K.txt</v>
      </c>
      <c r="I26" s="2" t="str">
        <f t="shared" si="3"/>
        <v>https://www.sec.gov/cgi-bin/browse-edgar?action=getcompany&amp;CIK=722104&amp;type=10-K&amp;dateb=20080101&amp;owner=exclude&amp;count=40&amp;search_text=</v>
      </c>
      <c r="J26">
        <v>722104</v>
      </c>
      <c r="K26" s="3">
        <f>14.003+1.975-2.708</f>
        <v>13.27</v>
      </c>
      <c r="L26">
        <f>K26+M26+O26</f>
        <v>66.171999999999997</v>
      </c>
      <c r="M26" s="3">
        <f>10.429+16.897</f>
        <v>27.326000000000001</v>
      </c>
      <c r="N26">
        <f t="shared" si="5"/>
        <v>27.326000000000001</v>
      </c>
      <c r="O26" s="3">
        <v>25.576000000000001</v>
      </c>
      <c r="P26">
        <v>25.576000000000001</v>
      </c>
      <c r="Q26" t="s">
        <v>121</v>
      </c>
      <c r="R26" s="6">
        <v>67.143000000000001</v>
      </c>
      <c r="S26" s="6"/>
      <c r="T26" s="4">
        <f>SUM(K26,M26,O26)</f>
        <v>66.171999999999997</v>
      </c>
    </row>
    <row r="27" spans="1:21" x14ac:dyDescent="0.35">
      <c r="A27">
        <v>2222</v>
      </c>
      <c r="B27" s="1">
        <v>37621</v>
      </c>
      <c r="C27">
        <v>2002</v>
      </c>
      <c r="D27" t="s">
        <v>10</v>
      </c>
      <c r="E27" t="s">
        <v>11</v>
      </c>
      <c r="F27" t="str">
        <f t="shared" si="0"/>
        <v>722104_2002</v>
      </c>
      <c r="G27" s="2" t="str">
        <f t="shared" si="1"/>
        <v>extracted_filing/722104_2002_10-K.html</v>
      </c>
      <c r="H27" s="2" t="str">
        <f t="shared" si="2"/>
        <v>extracted_filing/722104_2002_10-K.txt</v>
      </c>
      <c r="I27" s="2" t="str">
        <f t="shared" si="3"/>
        <v>https://www.sec.gov/cgi-bin/browse-edgar?action=getcompany&amp;CIK=722104&amp;type=10-K&amp;dateb=20080101&amp;owner=exclude&amp;count=40&amp;search_text=</v>
      </c>
      <c r="J27">
        <v>722104</v>
      </c>
      <c r="K27" s="3">
        <f>14.148+2.159-2.701</f>
        <v>13.605999999999998</v>
      </c>
      <c r="L27">
        <f>K27+M27+O27</f>
        <v>86.114000000000004</v>
      </c>
      <c r="M27" s="3">
        <f>22.143+17.582</f>
        <v>39.725000000000001</v>
      </c>
      <c r="N27">
        <f t="shared" si="5"/>
        <v>39.725000000000001</v>
      </c>
      <c r="O27" s="3">
        <v>32.783000000000001</v>
      </c>
      <c r="P27">
        <v>32.783000000000001</v>
      </c>
      <c r="Q27" t="s">
        <v>121</v>
      </c>
      <c r="R27" s="6">
        <v>86.254000000000005</v>
      </c>
      <c r="S27" s="6"/>
      <c r="T27">
        <f>SUM(K27,M27,O27)</f>
        <v>86.114000000000004</v>
      </c>
    </row>
    <row r="28" spans="1:21" x14ac:dyDescent="0.35">
      <c r="A28">
        <v>2222</v>
      </c>
      <c r="B28" s="1">
        <v>37986</v>
      </c>
      <c r="C28">
        <v>2003</v>
      </c>
      <c r="D28" t="s">
        <v>10</v>
      </c>
      <c r="E28" t="s">
        <v>11</v>
      </c>
      <c r="F28" t="str">
        <f t="shared" si="0"/>
        <v>722104_2003</v>
      </c>
      <c r="G28" s="2" t="str">
        <f t="shared" si="1"/>
        <v>extracted_filing/722104_2003_10-K.html</v>
      </c>
      <c r="H28" s="2" t="str">
        <f t="shared" si="2"/>
        <v>extracted_filing/722104_2003_10-K.txt</v>
      </c>
      <c r="I28" s="2" t="str">
        <f t="shared" si="3"/>
        <v>https://www.sec.gov/cgi-bin/browse-edgar?action=getcompany&amp;CIK=722104&amp;type=10-K&amp;dateb=20080101&amp;owner=exclude&amp;count=40&amp;search_text=</v>
      </c>
      <c r="J28">
        <v>722104</v>
      </c>
      <c r="K28" s="3">
        <f>24.745+5.438-2.722</f>
        <v>27.460999999999999</v>
      </c>
      <c r="L28">
        <f>K28+M28+O28</f>
        <v>109.30499999999999</v>
      </c>
      <c r="M28" s="3">
        <f>23.303+26.744</f>
        <v>50.046999999999997</v>
      </c>
      <c r="N28">
        <f t="shared" si="5"/>
        <v>50.046999999999997</v>
      </c>
      <c r="O28" s="3">
        <v>31.797000000000001</v>
      </c>
      <c r="P28">
        <v>31.797000000000001</v>
      </c>
      <c r="Q28" t="s">
        <v>121</v>
      </c>
      <c r="R28" s="6">
        <v>109.64700000000001</v>
      </c>
      <c r="S28" s="6"/>
      <c r="T28">
        <f>SUM(K28,M28,O28)</f>
        <v>109.30499999999999</v>
      </c>
    </row>
    <row r="29" spans="1:21" x14ac:dyDescent="0.35">
      <c r="A29">
        <v>2222</v>
      </c>
      <c r="B29" s="1">
        <v>38352</v>
      </c>
      <c r="C29">
        <v>2004</v>
      </c>
      <c r="D29" t="s">
        <v>10</v>
      </c>
      <c r="E29" t="s">
        <v>11</v>
      </c>
      <c r="F29" t="str">
        <f t="shared" si="0"/>
        <v>722104_2004</v>
      </c>
      <c r="G29" s="2" t="str">
        <f t="shared" si="1"/>
        <v>extracted_filing/722104_2004_10-K.html</v>
      </c>
      <c r="H29" s="2" t="str">
        <f t="shared" si="2"/>
        <v>extracted_filing/722104_2004_10-K.txt</v>
      </c>
      <c r="I29" s="2" t="str">
        <f t="shared" si="3"/>
        <v>https://www.sec.gov/cgi-bin/browse-edgar?action=getcompany&amp;CIK=722104&amp;type=10-K&amp;dateb=20080101&amp;owner=exclude&amp;count=40&amp;search_text=</v>
      </c>
      <c r="J29">
        <v>722104</v>
      </c>
      <c r="K29" s="3">
        <f>37.118+6.328-6.696</f>
        <v>36.750000000000007</v>
      </c>
      <c r="L29">
        <f>K29+M29+O29</f>
        <v>118.44500000000001</v>
      </c>
      <c r="M29" s="3">
        <f>23.598+30.297</f>
        <v>53.894999999999996</v>
      </c>
      <c r="N29">
        <f t="shared" si="5"/>
        <v>53.894999999999996</v>
      </c>
      <c r="O29" s="3">
        <v>27.8</v>
      </c>
      <c r="P29">
        <v>27.8</v>
      </c>
      <c r="Q29" t="s">
        <v>136</v>
      </c>
      <c r="R29" s="6">
        <v>26.059000000000001</v>
      </c>
      <c r="S29" s="6">
        <v>87.108000000000004</v>
      </c>
      <c r="T29">
        <f>SUM(K29,M29,O29)</f>
        <v>118.44500000000001</v>
      </c>
      <c r="U29" s="4">
        <f t="shared" ref="U29" si="6">SUM(R29:S29)</f>
        <v>113.167</v>
      </c>
    </row>
    <row r="30" spans="1:21" x14ac:dyDescent="0.35">
      <c r="A30">
        <v>2222</v>
      </c>
      <c r="B30" s="1">
        <v>38717</v>
      </c>
      <c r="C30">
        <v>2005</v>
      </c>
      <c r="D30" t="s">
        <v>10</v>
      </c>
      <c r="E30" t="s">
        <v>11</v>
      </c>
      <c r="F30" t="str">
        <f t="shared" si="0"/>
        <v>722104_2005</v>
      </c>
      <c r="G30" s="2" t="str">
        <f t="shared" si="1"/>
        <v>extracted_filing/722104_2005_10-K.html</v>
      </c>
      <c r="H30" s="2" t="str">
        <f t="shared" si="2"/>
        <v>extracted_filing/722104_2005_10-K.txt</v>
      </c>
      <c r="I30" s="2" t="str">
        <f t="shared" si="3"/>
        <v>https://www.sec.gov/cgi-bin/browse-edgar?action=getcompany&amp;CIK=722104&amp;type=10-K&amp;dateb=20080101&amp;owner=exclude&amp;count=40&amp;search_text=</v>
      </c>
      <c r="J30">
        <v>722104</v>
      </c>
      <c r="K30" s="3">
        <f>17.319-(3.31)+5.094</f>
        <v>19.102999999999998</v>
      </c>
      <c r="L30">
        <f>K30+M30+O30</f>
        <v>86.137</v>
      </c>
      <c r="M30" s="3">
        <f>21.449+26.002</f>
        <v>47.451000000000001</v>
      </c>
      <c r="N30">
        <f t="shared" si="5"/>
        <v>47.451000000000001</v>
      </c>
      <c r="O30" s="3">
        <v>19.582999999999998</v>
      </c>
      <c r="P30">
        <v>19.582999999999998</v>
      </c>
      <c r="Q30" t="s">
        <v>136</v>
      </c>
      <c r="R30" s="6">
        <v>19.103000000000002</v>
      </c>
      <c r="S30" s="6">
        <v>67.034000000000006</v>
      </c>
      <c r="T30">
        <f>SUM(K30,M30,O30)</f>
        <v>86.137</v>
      </c>
      <c r="U30">
        <f>SUM(R30:S30)</f>
        <v>86.137</v>
      </c>
    </row>
    <row r="31" spans="1:21" x14ac:dyDescent="0.35">
      <c r="A31">
        <v>2222</v>
      </c>
      <c r="B31" s="1">
        <v>39082</v>
      </c>
      <c r="C31">
        <v>2006</v>
      </c>
      <c r="D31" t="s">
        <v>10</v>
      </c>
      <c r="E31" t="s">
        <v>11</v>
      </c>
      <c r="F31" t="str">
        <f t="shared" si="0"/>
        <v>722104_2006</v>
      </c>
      <c r="G31" s="2" t="str">
        <f t="shared" si="1"/>
        <v>extracted_filing/722104_2006_10-K.html</v>
      </c>
      <c r="H31" s="2" t="str">
        <f t="shared" si="2"/>
        <v>extracted_filing/722104_2006_10-K.txt</v>
      </c>
      <c r="I31" s="2" t="str">
        <f t="shared" si="3"/>
        <v>https://www.sec.gov/cgi-bin/browse-edgar?action=getcompany&amp;CIK=722104&amp;type=10-K&amp;dateb=20080101&amp;owner=exclude&amp;count=40&amp;search_text=</v>
      </c>
      <c r="J31">
        <v>722104</v>
      </c>
      <c r="K31" s="3">
        <f>8.506-(1.433+2.417)</f>
        <v>4.6560000000000006</v>
      </c>
      <c r="L31">
        <f>K31+M31+O31</f>
        <v>60.664000000000001</v>
      </c>
      <c r="M31" s="3">
        <f>10.683+23.913</f>
        <v>34.596000000000004</v>
      </c>
      <c r="N31">
        <f t="shared" si="5"/>
        <v>34.596000000000004</v>
      </c>
      <c r="O31" s="3">
        <v>21.411999999999999</v>
      </c>
      <c r="P31">
        <v>21.411999999999999</v>
      </c>
      <c r="Q31" t="s">
        <v>136</v>
      </c>
      <c r="R31" s="6">
        <v>4.6609999999999996</v>
      </c>
      <c r="S31" s="6">
        <v>56.008000000000003</v>
      </c>
      <c r="T31">
        <f>SUM(K31,M31,O31)</f>
        <v>60.664000000000001</v>
      </c>
      <c r="U31">
        <f>SUM(R31:S31)</f>
        <v>60.669000000000004</v>
      </c>
    </row>
    <row r="32" spans="1:21" x14ac:dyDescent="0.35">
      <c r="A32">
        <v>2536</v>
      </c>
      <c r="B32" s="1">
        <v>35885</v>
      </c>
      <c r="C32">
        <v>1997</v>
      </c>
      <c r="D32">
        <v>5125109</v>
      </c>
      <c r="E32" t="s">
        <v>12</v>
      </c>
      <c r="F32" t="str">
        <f t="shared" si="0"/>
        <v>733269_1997</v>
      </c>
      <c r="G32" s="2" t="str">
        <f t="shared" si="1"/>
        <v>extracted_filing/733269_1997_10-K.html</v>
      </c>
      <c r="H32" s="2" t="str">
        <f t="shared" si="2"/>
        <v>extracted_filing/733269_1997_10-K.txt</v>
      </c>
      <c r="I32" s="2" t="str">
        <f t="shared" si="3"/>
        <v>https://www.sec.gov/cgi-bin/browse-edgar?action=getcompany&amp;CIK=733269&amp;type=10-K&amp;dateb=20080101&amp;owner=exclude&amp;count=40&amp;search_text=</v>
      </c>
      <c r="J32">
        <v>733269</v>
      </c>
      <c r="K32">
        <v>369.87400000000002</v>
      </c>
      <c r="L32">
        <f>K32+M32+O32</f>
        <v>369.87400000000002</v>
      </c>
      <c r="Q32" t="s">
        <v>81</v>
      </c>
      <c r="R32" s="6">
        <v>369.87400000000002</v>
      </c>
      <c r="S32" s="6"/>
      <c r="T32">
        <f>SUM(K32,M32,O32)</f>
        <v>369.87400000000002</v>
      </c>
    </row>
    <row r="33" spans="1:21" x14ac:dyDescent="0.35">
      <c r="A33">
        <v>2536</v>
      </c>
      <c r="B33" s="1">
        <v>36250</v>
      </c>
      <c r="C33">
        <v>1998</v>
      </c>
      <c r="D33">
        <v>5125109</v>
      </c>
      <c r="E33" t="s">
        <v>12</v>
      </c>
      <c r="F33" t="str">
        <f t="shared" si="0"/>
        <v>733269_1998</v>
      </c>
      <c r="G33" s="2" t="str">
        <f t="shared" si="1"/>
        <v>extracted_filing/733269_1998_10-K.html</v>
      </c>
      <c r="H33" s="2" t="str">
        <f t="shared" si="2"/>
        <v>extracted_filing/733269_1998_10-K.txt</v>
      </c>
      <c r="I33" s="2" t="str">
        <f t="shared" si="3"/>
        <v>https://www.sec.gov/cgi-bin/browse-edgar?action=getcompany&amp;CIK=733269&amp;type=10-K&amp;dateb=20080101&amp;owner=exclude&amp;count=40&amp;search_text=</v>
      </c>
      <c r="J33">
        <v>733269</v>
      </c>
      <c r="K33">
        <v>550.69299999999998</v>
      </c>
      <c r="L33">
        <f>K33+M33+O33</f>
        <v>550.69299999999998</v>
      </c>
      <c r="Q33" t="s">
        <v>81</v>
      </c>
      <c r="R33" s="6">
        <v>550.69299999999998</v>
      </c>
      <c r="S33" s="6"/>
      <c r="T33">
        <f>SUM(K33,M33,O33)</f>
        <v>550.69299999999998</v>
      </c>
    </row>
    <row r="34" spans="1:21" x14ac:dyDescent="0.35">
      <c r="A34">
        <v>2536</v>
      </c>
      <c r="B34" s="1">
        <v>36616</v>
      </c>
      <c r="C34">
        <v>1999</v>
      </c>
      <c r="D34">
        <v>5125109</v>
      </c>
      <c r="E34" t="s">
        <v>12</v>
      </c>
      <c r="F34" t="str">
        <f t="shared" si="0"/>
        <v>733269_1999</v>
      </c>
      <c r="G34" s="2" t="str">
        <f t="shared" si="1"/>
        <v>extracted_filing/733269_1999_10-K.html</v>
      </c>
      <c r="H34" s="2" t="str">
        <f t="shared" si="2"/>
        <v>extracted_filing/733269_1999_10-K.txt</v>
      </c>
      <c r="I34" s="2" t="str">
        <f>HYPERLINK(_xlfn.CONCAT("https://www.sec.gov/cgi-bin/browse-edgar?action=getcompany&amp;CIK=",TEXT(J34,0),"&amp;type=10-K&amp;dateb=20080101&amp;owner=exclude&amp;count=40&amp;search_text="))</f>
        <v>https://www.sec.gov/cgi-bin/browse-edgar?action=getcompany&amp;CIK=733269&amp;type=10-K&amp;dateb=20080101&amp;owner=exclude&amp;count=40&amp;search_text=</v>
      </c>
      <c r="J34">
        <v>733269</v>
      </c>
      <c r="K34">
        <v>714.04700000000003</v>
      </c>
      <c r="L34">
        <f>K34+M34+O34</f>
        <v>714.04700000000003</v>
      </c>
      <c r="Q34" t="s">
        <v>81</v>
      </c>
      <c r="R34" s="6">
        <v>714.04700000000003</v>
      </c>
      <c r="S34" s="6"/>
      <c r="T34">
        <f>SUM(K34,M34,O34)</f>
        <v>714.04700000000003</v>
      </c>
    </row>
    <row r="35" spans="1:21" x14ac:dyDescent="0.35">
      <c r="A35">
        <v>2536</v>
      </c>
      <c r="B35" s="1">
        <v>36981</v>
      </c>
      <c r="C35">
        <v>2000</v>
      </c>
      <c r="D35">
        <v>5125109</v>
      </c>
      <c r="E35" t="s">
        <v>12</v>
      </c>
      <c r="F35" t="str">
        <f t="shared" si="0"/>
        <v>733269_2000</v>
      </c>
      <c r="G35" s="2" t="str">
        <f t="shared" si="1"/>
        <v>extracted_filing/733269_2000_10-K.html</v>
      </c>
      <c r="H35" s="2" t="str">
        <f t="shared" si="2"/>
        <v>extracted_filing/733269_2000_10-K.txt</v>
      </c>
      <c r="I35" s="2" t="str">
        <f t="shared" si="3"/>
        <v>https://www.sec.gov/cgi-bin/browse-edgar?action=getcompany&amp;CIK=733269&amp;type=10-K&amp;dateb=20080101&amp;owner=exclude&amp;count=40&amp;search_text=</v>
      </c>
      <c r="J35">
        <v>733269</v>
      </c>
      <c r="K35">
        <v>752.13900000000001</v>
      </c>
      <c r="L35">
        <f>K35+M35+O35</f>
        <v>752.13900000000001</v>
      </c>
      <c r="Q35" t="s">
        <v>81</v>
      </c>
      <c r="R35" s="6">
        <v>752.13900000000001</v>
      </c>
      <c r="S35" s="6"/>
      <c r="T35">
        <f>SUM(K35,M35,O35)</f>
        <v>752.13900000000001</v>
      </c>
    </row>
    <row r="36" spans="1:21" x14ac:dyDescent="0.35">
      <c r="A36">
        <v>2536</v>
      </c>
      <c r="B36" s="1">
        <v>37346</v>
      </c>
      <c r="C36">
        <v>2001</v>
      </c>
      <c r="D36">
        <v>5125109</v>
      </c>
      <c r="E36" t="s">
        <v>12</v>
      </c>
      <c r="F36" t="str">
        <f t="shared" si="0"/>
        <v>733269_2001</v>
      </c>
      <c r="G36" s="2" t="str">
        <f t="shared" si="1"/>
        <v>extracted_filing/733269_2001_10-K.html</v>
      </c>
      <c r="H36" s="2" t="str">
        <f t="shared" si="2"/>
        <v>extracted_filing/733269_2001_10-K.txt</v>
      </c>
      <c r="I36" s="2" t="str">
        <f t="shared" si="3"/>
        <v>https://www.sec.gov/cgi-bin/browse-edgar?action=getcompany&amp;CIK=733269&amp;type=10-K&amp;dateb=20080101&amp;owner=exclude&amp;count=40&amp;search_text=</v>
      </c>
      <c r="J36">
        <v>733269</v>
      </c>
      <c r="K36">
        <v>689.90099999999995</v>
      </c>
      <c r="L36">
        <f>K36+M36+O36</f>
        <v>689.90099999999995</v>
      </c>
      <c r="Q36" t="s">
        <v>81</v>
      </c>
      <c r="R36" s="6">
        <v>689.90099999999995</v>
      </c>
      <c r="S36" s="6"/>
      <c r="T36">
        <f>SUM(K36,M36,O36)</f>
        <v>689.90099999999995</v>
      </c>
    </row>
    <row r="37" spans="1:21" x14ac:dyDescent="0.35">
      <c r="A37">
        <v>2536</v>
      </c>
      <c r="B37" s="1">
        <v>37711</v>
      </c>
      <c r="C37">
        <v>2002</v>
      </c>
      <c r="D37">
        <v>5125109</v>
      </c>
      <c r="E37" t="s">
        <v>12</v>
      </c>
      <c r="F37" t="str">
        <f t="shared" si="0"/>
        <v>733269_2002</v>
      </c>
      <c r="G37" s="2" t="str">
        <f t="shared" si="1"/>
        <v>extracted_filing/733269_2002_10-K.html</v>
      </c>
      <c r="H37" s="2" t="str">
        <f t="shared" si="2"/>
        <v>extracted_filing/733269_2002_10-K.txt</v>
      </c>
      <c r="I37" s="2" t="str">
        <f t="shared" si="3"/>
        <v>https://www.sec.gov/cgi-bin/browse-edgar?action=getcompany&amp;CIK=733269&amp;type=10-K&amp;dateb=20080101&amp;owner=exclude&amp;count=40&amp;search_text=</v>
      </c>
      <c r="J37">
        <v>733269</v>
      </c>
      <c r="K37">
        <v>753.26300000000003</v>
      </c>
      <c r="L37">
        <f>K37+M37+O37</f>
        <v>753.26300000000003</v>
      </c>
      <c r="Q37" t="s">
        <v>81</v>
      </c>
      <c r="R37" s="6">
        <v>753.26300000000003</v>
      </c>
      <c r="S37" s="6"/>
      <c r="T37">
        <f>SUM(K37,M37,O37)</f>
        <v>753.26300000000003</v>
      </c>
    </row>
    <row r="38" spans="1:21" x14ac:dyDescent="0.35">
      <c r="A38">
        <v>2536</v>
      </c>
      <c r="B38" s="1">
        <v>38077</v>
      </c>
      <c r="C38">
        <v>2003</v>
      </c>
      <c r="D38">
        <v>5125109</v>
      </c>
      <c r="E38" t="s">
        <v>12</v>
      </c>
      <c r="F38" t="str">
        <f t="shared" si="0"/>
        <v>733269_2003</v>
      </c>
      <c r="G38" s="2" t="str">
        <f t="shared" si="1"/>
        <v>extracted_filing/733269_2003_10-K.html</v>
      </c>
      <c r="H38" s="2" t="str">
        <f t="shared" si="2"/>
        <v>extracted_filing/733269_2003_10-K.txt</v>
      </c>
      <c r="I38" s="2" t="str">
        <f t="shared" si="3"/>
        <v>https://www.sec.gov/cgi-bin/browse-edgar?action=getcompany&amp;CIK=733269&amp;type=10-K&amp;dateb=20080101&amp;owner=exclude&amp;count=40&amp;search_text=</v>
      </c>
      <c r="J38">
        <v>733269</v>
      </c>
      <c r="K38">
        <v>647.86599999999999</v>
      </c>
      <c r="L38">
        <f>K38+M38+O38</f>
        <v>766.44200000000001</v>
      </c>
      <c r="M38">
        <v>118.57599999999999</v>
      </c>
      <c r="Q38" t="s">
        <v>84</v>
      </c>
      <c r="R38" s="6">
        <v>647.86599999999999</v>
      </c>
      <c r="S38" s="6">
        <v>118.57599999999999</v>
      </c>
      <c r="T38">
        <f>SUM(K38,M38,O38)</f>
        <v>766.44200000000001</v>
      </c>
      <c r="U38">
        <f>SUM(R38:S38)</f>
        <v>766.44200000000001</v>
      </c>
    </row>
    <row r="39" spans="1:21" x14ac:dyDescent="0.35">
      <c r="A39">
        <v>2536</v>
      </c>
      <c r="B39" s="1">
        <v>38442</v>
      </c>
      <c r="C39">
        <v>2004</v>
      </c>
      <c r="D39">
        <v>5125109</v>
      </c>
      <c r="E39" t="s">
        <v>12</v>
      </c>
      <c r="F39" t="str">
        <f t="shared" si="0"/>
        <v>733269_2004</v>
      </c>
      <c r="G39" s="2" t="str">
        <f t="shared" si="1"/>
        <v>extracted_filing/733269_2004_10-K.html</v>
      </c>
      <c r="H39" s="2" t="str">
        <f t="shared" si="2"/>
        <v>extracted_filing/733269_2004_10-K.txt</v>
      </c>
      <c r="I39" s="2" t="str">
        <f t="shared" si="3"/>
        <v>https://www.sec.gov/cgi-bin/browse-edgar?action=getcompany&amp;CIK=733269&amp;type=10-K&amp;dateb=20080101&amp;owner=exclude&amp;count=40&amp;search_text=</v>
      </c>
      <c r="J39">
        <v>733269</v>
      </c>
      <c r="K39">
        <v>710.59100000000001</v>
      </c>
      <c r="L39">
        <f>K39+M39+O39</f>
        <v>906.71399999999994</v>
      </c>
      <c r="M39">
        <v>196.12299999999999</v>
      </c>
      <c r="Q39" t="s">
        <v>84</v>
      </c>
      <c r="R39" s="6">
        <v>710.59100000000001</v>
      </c>
      <c r="S39" s="6">
        <v>196.12299999999999</v>
      </c>
      <c r="T39">
        <f>SUM(K39,M39,O39)</f>
        <v>906.71399999999994</v>
      </c>
      <c r="U39">
        <f t="shared" ref="U39:U41" si="7">SUM(R39:S39)</f>
        <v>906.71399999999994</v>
      </c>
    </row>
    <row r="40" spans="1:21" x14ac:dyDescent="0.35">
      <c r="A40">
        <v>2536</v>
      </c>
      <c r="B40" s="1">
        <v>38807</v>
      </c>
      <c r="C40">
        <v>2005</v>
      </c>
      <c r="D40">
        <v>5125109</v>
      </c>
      <c r="E40" t="s">
        <v>12</v>
      </c>
      <c r="F40" t="str">
        <f t="shared" si="0"/>
        <v>733269_2005</v>
      </c>
      <c r="G40" s="2" t="str">
        <f t="shared" si="1"/>
        <v>extracted_filing/733269_2005_10-K.html</v>
      </c>
      <c r="H40" s="2" t="str">
        <f t="shared" si="2"/>
        <v>extracted_filing/733269_2005_10-K.txt</v>
      </c>
      <c r="I40" s="2" t="str">
        <f t="shared" si="3"/>
        <v>https://www.sec.gov/cgi-bin/browse-edgar?action=getcompany&amp;CIK=733269&amp;type=10-K&amp;dateb=20080101&amp;owner=exclude&amp;count=40&amp;search_text=</v>
      </c>
      <c r="J40">
        <v>733269</v>
      </c>
      <c r="K40">
        <v>749.303</v>
      </c>
      <c r="L40">
        <f>K40+M40+O40</f>
        <v>960.84400000000005</v>
      </c>
      <c r="M40">
        <v>211.541</v>
      </c>
      <c r="Q40" t="s">
        <v>84</v>
      </c>
      <c r="R40" s="6">
        <v>749.303</v>
      </c>
      <c r="S40" s="6">
        <v>211.541</v>
      </c>
      <c r="T40">
        <f>SUM(K40,M40,O40)</f>
        <v>960.84400000000005</v>
      </c>
      <c r="U40">
        <f t="shared" si="7"/>
        <v>960.84400000000005</v>
      </c>
    </row>
    <row r="41" spans="1:21" x14ac:dyDescent="0.35">
      <c r="A41">
        <v>2536</v>
      </c>
      <c r="B41" s="1">
        <v>39172</v>
      </c>
      <c r="C41">
        <v>2006</v>
      </c>
      <c r="D41">
        <v>5125109</v>
      </c>
      <c r="E41" t="s">
        <v>12</v>
      </c>
      <c r="F41" t="str">
        <f t="shared" si="0"/>
        <v>733269_2006</v>
      </c>
      <c r="G41" s="2" t="str">
        <f t="shared" si="1"/>
        <v>extracted_filing/733269_2006_10-K.html</v>
      </c>
      <c r="H41" s="2" t="str">
        <f t="shared" si="2"/>
        <v>extracted_filing/733269_2006_10-K.txt</v>
      </c>
      <c r="I41" s="2" t="str">
        <f t="shared" si="3"/>
        <v>https://www.sec.gov/cgi-bin/browse-edgar?action=getcompany&amp;CIK=733269&amp;type=10-K&amp;dateb=20080101&amp;owner=exclude&amp;count=40&amp;search_text=</v>
      </c>
      <c r="J41">
        <v>733269</v>
      </c>
      <c r="K41">
        <v>784.05399999999997</v>
      </c>
      <c r="L41">
        <f>K41+M41+O41</f>
        <v>997.90300000000002</v>
      </c>
      <c r="M41">
        <v>213.84899999999999</v>
      </c>
      <c r="Q41" t="s">
        <v>84</v>
      </c>
      <c r="R41" s="6">
        <v>784.05399999999997</v>
      </c>
      <c r="S41" s="6">
        <v>213.84899999999999</v>
      </c>
      <c r="T41">
        <f>SUM(K41,M41,O41)</f>
        <v>997.90300000000002</v>
      </c>
      <c r="U41">
        <f t="shared" si="7"/>
        <v>997.90300000000002</v>
      </c>
    </row>
    <row r="42" spans="1:21" x14ac:dyDescent="0.35">
      <c r="A42">
        <v>3265</v>
      </c>
      <c r="B42" s="1">
        <v>35795</v>
      </c>
      <c r="C42">
        <v>1997</v>
      </c>
      <c r="D42">
        <v>203349105</v>
      </c>
      <c r="E42" t="s">
        <v>13</v>
      </c>
      <c r="F42" t="str">
        <f t="shared" si="0"/>
        <v>310433_1997</v>
      </c>
      <c r="G42" s="2" t="str">
        <f t="shared" si="1"/>
        <v>extracted_filing/310433_1997_10-K.html</v>
      </c>
      <c r="H42" s="2" t="str">
        <f t="shared" si="2"/>
        <v>extracted_filing/310433_1997_10-K.txt</v>
      </c>
      <c r="I42" s="2" t="str">
        <f t="shared" si="3"/>
        <v>https://www.sec.gov/cgi-bin/browse-edgar?action=getcompany&amp;CIK=310433&amp;type=10-K&amp;dateb=20080101&amp;owner=exclude&amp;count=40&amp;search_text=</v>
      </c>
      <c r="J42">
        <v>310433</v>
      </c>
      <c r="K42">
        <v>123.919</v>
      </c>
      <c r="L42">
        <f>K42+M42+O42</f>
        <v>123.919</v>
      </c>
      <c r="Q42" t="s">
        <v>139</v>
      </c>
      <c r="R42">
        <v>123.919</v>
      </c>
      <c r="S42" s="6"/>
      <c r="T42">
        <f>SUM(K42,M42,O42)</f>
        <v>123.919</v>
      </c>
    </row>
    <row r="43" spans="1:21" x14ac:dyDescent="0.35">
      <c r="A43">
        <v>3265</v>
      </c>
      <c r="B43" s="1">
        <v>36160</v>
      </c>
      <c r="C43">
        <v>1998</v>
      </c>
      <c r="D43">
        <v>203349105</v>
      </c>
      <c r="E43" t="s">
        <v>13</v>
      </c>
      <c r="F43" t="str">
        <f t="shared" si="0"/>
        <v>310433_1998</v>
      </c>
      <c r="G43" s="2" t="str">
        <f t="shared" si="1"/>
        <v>extracted_filing/310433_1998_10-K.html</v>
      </c>
      <c r="H43" s="2" t="str">
        <f t="shared" si="2"/>
        <v>extracted_filing/310433_1998_10-K.txt</v>
      </c>
      <c r="I43" s="2" t="str">
        <f t="shared" si="3"/>
        <v>https://www.sec.gov/cgi-bin/browse-edgar?action=getcompany&amp;CIK=310433&amp;type=10-K&amp;dateb=20080101&amp;owner=exclude&amp;count=40&amp;search_text=</v>
      </c>
      <c r="J43">
        <v>310433</v>
      </c>
      <c r="K43">
        <v>144.12200000000001</v>
      </c>
      <c r="L43">
        <f>K43+M43+O43</f>
        <v>144.12200000000001</v>
      </c>
      <c r="Q43" t="s">
        <v>139</v>
      </c>
      <c r="R43">
        <v>144.12200000000001</v>
      </c>
      <c r="S43" s="6"/>
      <c r="T43">
        <f>SUM(K43,M43,O43)</f>
        <v>144.12200000000001</v>
      </c>
    </row>
    <row r="44" spans="1:21" x14ac:dyDescent="0.35">
      <c r="A44">
        <v>3265</v>
      </c>
      <c r="B44" s="1">
        <v>36525</v>
      </c>
      <c r="C44">
        <v>1999</v>
      </c>
      <c r="D44">
        <v>203349105</v>
      </c>
      <c r="E44" t="s">
        <v>13</v>
      </c>
      <c r="F44" t="str">
        <f t="shared" si="0"/>
        <v>310433_1999</v>
      </c>
      <c r="G44" s="2" t="str">
        <f t="shared" si="1"/>
        <v>extracted_filing/310433_1999_10-K.html</v>
      </c>
      <c r="H44" s="2" t="str">
        <f t="shared" si="2"/>
        <v>extracted_filing/310433_1999_10-K.txt</v>
      </c>
      <c r="I44" s="2" t="str">
        <f t="shared" si="3"/>
        <v>https://www.sec.gov/cgi-bin/browse-edgar?action=getcompany&amp;CIK=310433&amp;type=10-K&amp;dateb=20080101&amp;owner=exclude&amp;count=40&amp;search_text=</v>
      </c>
      <c r="J44">
        <v>310433</v>
      </c>
      <c r="K44">
        <v>165.62200000000001</v>
      </c>
      <c r="L44">
        <f>K44+M44+O44</f>
        <v>165.62200000000001</v>
      </c>
      <c r="Q44" t="s">
        <v>139</v>
      </c>
      <c r="R44">
        <v>165.62200000000001</v>
      </c>
      <c r="S44" s="6"/>
      <c r="T44">
        <f>SUM(K44,M44,O44)</f>
        <v>165.62200000000001</v>
      </c>
    </row>
    <row r="45" spans="1:21" x14ac:dyDescent="0.35">
      <c r="A45">
        <v>3265</v>
      </c>
      <c r="B45" s="1">
        <v>36891</v>
      </c>
      <c r="C45">
        <v>2000</v>
      </c>
      <c r="D45">
        <v>203349105</v>
      </c>
      <c r="E45" t="s">
        <v>13</v>
      </c>
      <c r="F45" t="str">
        <f t="shared" si="0"/>
        <v>310433_2000</v>
      </c>
      <c r="G45" s="2" t="str">
        <f t="shared" si="1"/>
        <v>extracted_filing/310433_2000_10-K.html</v>
      </c>
      <c r="H45" s="2" t="str">
        <f t="shared" si="2"/>
        <v>extracted_filing/310433_2000_10-K.txt</v>
      </c>
      <c r="I45" s="2" t="str">
        <f t="shared" si="3"/>
        <v>https://www.sec.gov/cgi-bin/browse-edgar?action=getcompany&amp;CIK=310433&amp;type=10-K&amp;dateb=20080101&amp;owner=exclude&amp;count=40&amp;search_text=</v>
      </c>
      <c r="J45">
        <v>310433</v>
      </c>
      <c r="K45">
        <v>195.928</v>
      </c>
      <c r="L45">
        <f>K45+M45+O45</f>
        <v>195.928</v>
      </c>
      <c r="Q45" t="s">
        <v>139</v>
      </c>
      <c r="R45">
        <v>195.928</v>
      </c>
      <c r="S45" s="6"/>
      <c r="T45">
        <f>SUM(K45,M45,O45)</f>
        <v>195.928</v>
      </c>
    </row>
    <row r="46" spans="1:21" x14ac:dyDescent="0.35">
      <c r="A46">
        <v>3265</v>
      </c>
      <c r="B46" s="1">
        <v>37256</v>
      </c>
      <c r="C46">
        <v>2001</v>
      </c>
      <c r="D46">
        <v>203349105</v>
      </c>
      <c r="E46" t="s">
        <v>13</v>
      </c>
      <c r="F46" t="str">
        <f t="shared" si="0"/>
        <v>310433_2001</v>
      </c>
      <c r="G46" s="2" t="str">
        <f t="shared" si="1"/>
        <v>extracted_filing/310433_2001_10-K.html</v>
      </c>
      <c r="H46" s="2" t="str">
        <f t="shared" si="2"/>
        <v>extracted_filing/310433_2001_10-K.txt</v>
      </c>
      <c r="I46" s="2" t="str">
        <f t="shared" si="3"/>
        <v>https://www.sec.gov/cgi-bin/browse-edgar?action=getcompany&amp;CIK=310433&amp;type=10-K&amp;dateb=20080101&amp;owner=exclude&amp;count=40&amp;search_text=</v>
      </c>
      <c r="J46">
        <v>310433</v>
      </c>
      <c r="K46">
        <v>169.17</v>
      </c>
      <c r="L46">
        <f>K46+M46+O46</f>
        <v>169.17</v>
      </c>
      <c r="Q46" t="s">
        <v>139</v>
      </c>
      <c r="R46">
        <v>169.17</v>
      </c>
      <c r="S46" s="6"/>
      <c r="T46">
        <f>SUM(K46,M46,O46)</f>
        <v>169.17</v>
      </c>
    </row>
    <row r="47" spans="1:21" x14ac:dyDescent="0.35">
      <c r="A47">
        <v>3265</v>
      </c>
      <c r="B47" s="1">
        <v>37621</v>
      </c>
      <c r="C47">
        <v>2002</v>
      </c>
      <c r="D47">
        <v>203349105</v>
      </c>
      <c r="E47" t="s">
        <v>13</v>
      </c>
      <c r="F47" t="str">
        <f t="shared" si="0"/>
        <v>310433_2002</v>
      </c>
      <c r="G47" s="2" t="str">
        <f t="shared" si="1"/>
        <v>extracted_filing/310433_2002_10-K.html</v>
      </c>
      <c r="H47" s="2" t="str">
        <f t="shared" si="2"/>
        <v>extracted_filing/310433_2002_10-K.txt</v>
      </c>
      <c r="I47" s="2" t="str">
        <f t="shared" si="3"/>
        <v>https://www.sec.gov/cgi-bin/browse-edgar?action=getcompany&amp;CIK=310433&amp;type=10-K&amp;dateb=20080101&amp;owner=exclude&amp;count=40&amp;search_text=</v>
      </c>
      <c r="J47">
        <v>310433</v>
      </c>
      <c r="K47">
        <v>157.94</v>
      </c>
      <c r="L47">
        <f>K47+M47+O47</f>
        <v>157.94</v>
      </c>
      <c r="Q47" t="s">
        <v>139</v>
      </c>
      <c r="R47">
        <v>157.94</v>
      </c>
      <c r="S47" s="6"/>
      <c r="T47">
        <f>SUM(K47,M47,O47)</f>
        <v>157.94</v>
      </c>
    </row>
    <row r="48" spans="1:21" x14ac:dyDescent="0.35">
      <c r="A48">
        <v>3265</v>
      </c>
      <c r="B48" s="1">
        <v>37986</v>
      </c>
      <c r="C48">
        <v>2003</v>
      </c>
      <c r="D48">
        <v>203349105</v>
      </c>
      <c r="E48" t="s">
        <v>13</v>
      </c>
      <c r="F48" t="str">
        <f t="shared" si="0"/>
        <v>310433_2003</v>
      </c>
      <c r="G48" s="2" t="str">
        <f t="shared" si="1"/>
        <v>extracted_filing/310433_2003_10-K.html</v>
      </c>
      <c r="H48" s="2" t="str">
        <f t="shared" si="2"/>
        <v>extracted_filing/310433_2003_10-K.txt</v>
      </c>
      <c r="I48" s="2" t="str">
        <f t="shared" si="3"/>
        <v>https://www.sec.gov/cgi-bin/browse-edgar?action=getcompany&amp;CIK=310433&amp;type=10-K&amp;dateb=20080101&amp;owner=exclude&amp;count=40&amp;search_text=</v>
      </c>
      <c r="J48">
        <v>310433</v>
      </c>
      <c r="K48">
        <v>162.84</v>
      </c>
      <c r="L48">
        <f>K48+M48+O48</f>
        <v>162.84</v>
      </c>
      <c r="Q48" t="s">
        <v>139</v>
      </c>
      <c r="R48">
        <v>162.84</v>
      </c>
      <c r="S48" s="6"/>
      <c r="T48">
        <f>SUM(K48,M48,O48)</f>
        <v>162.84</v>
      </c>
    </row>
    <row r="49" spans="1:21" x14ac:dyDescent="0.35">
      <c r="A49">
        <v>3265</v>
      </c>
      <c r="B49" s="1">
        <v>38352</v>
      </c>
      <c r="C49">
        <v>2004</v>
      </c>
      <c r="D49">
        <v>203349105</v>
      </c>
      <c r="E49" t="s">
        <v>13</v>
      </c>
      <c r="F49" t="str">
        <f t="shared" si="0"/>
        <v>310433_2004</v>
      </c>
      <c r="G49" s="2" t="str">
        <f t="shared" si="1"/>
        <v>extracted_filing/310433_2004_10-K.html</v>
      </c>
      <c r="H49" s="2" t="str">
        <f t="shared" si="2"/>
        <v>extracted_filing/310433_2004_10-K.txt</v>
      </c>
      <c r="I49" s="2" t="str">
        <f t="shared" si="3"/>
        <v>https://www.sec.gov/cgi-bin/browse-edgar?action=getcompany&amp;CIK=310433&amp;type=10-K&amp;dateb=20080101&amp;owner=exclude&amp;count=40&amp;search_text=</v>
      </c>
      <c r="J49">
        <v>310433</v>
      </c>
      <c r="K49">
        <v>160.88999999999999</v>
      </c>
      <c r="L49">
        <f>K49+M49+O49</f>
        <v>160.88999999999999</v>
      </c>
      <c r="Q49" t="s">
        <v>139</v>
      </c>
      <c r="R49">
        <v>160.88999999999999</v>
      </c>
      <c r="S49" s="6"/>
      <c r="T49">
        <f>SUM(K49,M49,O49)</f>
        <v>160.88999999999999</v>
      </c>
    </row>
    <row r="50" spans="1:21" x14ac:dyDescent="0.35">
      <c r="A50">
        <v>3265</v>
      </c>
      <c r="B50" s="1">
        <v>38717</v>
      </c>
      <c r="C50">
        <v>2005</v>
      </c>
      <c r="D50">
        <v>203349105</v>
      </c>
      <c r="E50" t="s">
        <v>13</v>
      </c>
      <c r="F50" t="str">
        <f t="shared" si="0"/>
        <v>310433_2005</v>
      </c>
      <c r="G50" s="2" t="str">
        <f t="shared" si="1"/>
        <v>extracted_filing/310433_2005_10-K.html</v>
      </c>
      <c r="H50" s="2" t="str">
        <f t="shared" si="2"/>
        <v>extracted_filing/310433_2005_10-K.txt</v>
      </c>
      <c r="I50" s="2" t="str">
        <f t="shared" si="3"/>
        <v>https://www.sec.gov/cgi-bin/browse-edgar?action=getcompany&amp;CIK=310433&amp;type=10-K&amp;dateb=20080101&amp;owner=exclude&amp;count=40&amp;search_text=</v>
      </c>
      <c r="J50">
        <v>310433</v>
      </c>
      <c r="K50">
        <v>168.32400000000001</v>
      </c>
      <c r="L50">
        <f>K50+M50+O50</f>
        <v>168.32400000000001</v>
      </c>
      <c r="Q50" t="s">
        <v>139</v>
      </c>
      <c r="R50">
        <v>168.32400000000001</v>
      </c>
      <c r="S50" s="6"/>
      <c r="T50">
        <f>SUM(K50,M50,O50)</f>
        <v>168.32400000000001</v>
      </c>
    </row>
    <row r="51" spans="1:21" x14ac:dyDescent="0.35">
      <c r="A51">
        <v>3265</v>
      </c>
      <c r="B51" s="1">
        <v>39082</v>
      </c>
      <c r="C51">
        <v>2006</v>
      </c>
      <c r="D51">
        <v>203349105</v>
      </c>
      <c r="E51" t="s">
        <v>13</v>
      </c>
      <c r="F51" t="str">
        <f t="shared" si="0"/>
        <v>310433_2006</v>
      </c>
      <c r="G51" s="2" t="str">
        <f t="shared" si="1"/>
        <v>extracted_filing/310433_2006_10-K.html</v>
      </c>
      <c r="H51" s="2" t="str">
        <f t="shared" si="2"/>
        <v>extracted_filing/310433_2006_10-K.txt</v>
      </c>
      <c r="I51" s="2" t="str">
        <f t="shared" si="3"/>
        <v>https://www.sec.gov/cgi-bin/browse-edgar?action=getcompany&amp;CIK=310433&amp;type=10-K&amp;dateb=20080101&amp;owner=exclude&amp;count=40&amp;search_text=</v>
      </c>
      <c r="J51">
        <v>310433</v>
      </c>
      <c r="K51">
        <v>169.01499999999999</v>
      </c>
      <c r="L51">
        <f>K51+M51+O51</f>
        <v>169.01499999999999</v>
      </c>
      <c r="Q51" t="s">
        <v>139</v>
      </c>
      <c r="R51">
        <v>169.01499999999999</v>
      </c>
      <c r="S51" s="6"/>
      <c r="T51">
        <f>SUM(K51,M51,O51)</f>
        <v>169.01499999999999</v>
      </c>
    </row>
    <row r="52" spans="1:21" x14ac:dyDescent="0.35">
      <c r="A52">
        <v>3310</v>
      </c>
      <c r="B52" s="1">
        <v>35885</v>
      </c>
      <c r="C52">
        <v>1997</v>
      </c>
      <c r="D52" t="s">
        <v>14</v>
      </c>
      <c r="E52" t="s">
        <v>15</v>
      </c>
      <c r="F52" t="str">
        <f t="shared" si="0"/>
        <v>356028_1997</v>
      </c>
      <c r="G52" s="2" t="str">
        <f t="shared" si="1"/>
        <v>extracted_filing/356028_1997_10-K.html</v>
      </c>
      <c r="H52" s="2" t="str">
        <f t="shared" si="2"/>
        <v>extracted_filing/356028_1997_10-K.txt</v>
      </c>
      <c r="I52" s="2" t="str">
        <f t="shared" si="3"/>
        <v>https://www.sec.gov/cgi-bin/browse-edgar?action=getcompany&amp;CIK=356028&amp;type=10-K&amp;dateb=20080101&amp;owner=exclude&amp;count=40&amp;search_text=</v>
      </c>
      <c r="J52">
        <v>356028</v>
      </c>
      <c r="K52" s="3">
        <v>201</v>
      </c>
      <c r="L52">
        <f>K52+M52+O52</f>
        <v>2582</v>
      </c>
      <c r="M52" s="3">
        <v>1465</v>
      </c>
      <c r="N52">
        <f>M52</f>
        <v>1465</v>
      </c>
      <c r="O52" s="3">
        <f>318+598</f>
        <v>916</v>
      </c>
      <c r="P52">
        <f>318+598</f>
        <v>916</v>
      </c>
      <c r="Q52" t="s">
        <v>141</v>
      </c>
      <c r="R52" s="6">
        <v>2368</v>
      </c>
      <c r="S52" s="6"/>
      <c r="T52" s="4">
        <f>SUM(K52,M52,O52)</f>
        <v>2582</v>
      </c>
    </row>
    <row r="53" spans="1:21" x14ac:dyDescent="0.35">
      <c r="A53">
        <v>3310</v>
      </c>
      <c r="B53" s="1">
        <v>36250</v>
      </c>
      <c r="C53">
        <v>1998</v>
      </c>
      <c r="D53" t="s">
        <v>14</v>
      </c>
      <c r="E53" t="s">
        <v>15</v>
      </c>
      <c r="F53" t="str">
        <f t="shared" si="0"/>
        <v>356028_1998</v>
      </c>
      <c r="G53" s="2" t="str">
        <f t="shared" si="1"/>
        <v>extracted_filing/356028_1998_10-K.html</v>
      </c>
      <c r="H53" s="2" t="str">
        <f t="shared" si="2"/>
        <v>extracted_filing/356028_1998_10-K.txt</v>
      </c>
      <c r="I53" s="2" t="str">
        <f t="shared" si="3"/>
        <v>https://www.sec.gov/cgi-bin/browse-edgar?action=getcompany&amp;CIK=356028&amp;type=10-K&amp;dateb=20080101&amp;owner=exclude&amp;count=40&amp;search_text=</v>
      </c>
      <c r="J53">
        <v>356028</v>
      </c>
      <c r="K53" s="3">
        <v>233</v>
      </c>
      <c r="L53">
        <f>K53+M53+O53</f>
        <v>2353</v>
      </c>
      <c r="M53" s="3">
        <v>1751</v>
      </c>
      <c r="N53">
        <f t="shared" ref="N53:N61" si="8">M53</f>
        <v>1751</v>
      </c>
      <c r="O53" s="3">
        <v>369</v>
      </c>
      <c r="P53">
        <v>369</v>
      </c>
      <c r="Q53" t="s">
        <v>141</v>
      </c>
      <c r="R53" s="6">
        <v>2742</v>
      </c>
      <c r="S53" s="6"/>
      <c r="T53" s="4">
        <f>SUM(K53,M53,O53)</f>
        <v>2353</v>
      </c>
    </row>
    <row r="54" spans="1:21" x14ac:dyDescent="0.35">
      <c r="A54">
        <v>3310</v>
      </c>
      <c r="B54" s="1">
        <v>36616</v>
      </c>
      <c r="C54">
        <v>1999</v>
      </c>
      <c r="D54" t="s">
        <v>14</v>
      </c>
      <c r="E54" t="s">
        <v>15</v>
      </c>
      <c r="F54" t="str">
        <f t="shared" si="0"/>
        <v>356028_1999</v>
      </c>
      <c r="G54" s="2" t="str">
        <f t="shared" si="1"/>
        <v>extracted_filing/356028_1999_10-K.html</v>
      </c>
      <c r="H54" s="2" t="str">
        <f t="shared" si="2"/>
        <v>extracted_filing/356028_1999_10-K.txt</v>
      </c>
      <c r="I54" s="2" t="str">
        <f t="shared" si="3"/>
        <v>https://www.sec.gov/cgi-bin/browse-edgar?action=getcompany&amp;CIK=356028&amp;type=10-K&amp;dateb=20080101&amp;owner=exclude&amp;count=40&amp;search_text=</v>
      </c>
      <c r="J54">
        <v>356028</v>
      </c>
      <c r="K54" s="3">
        <v>263</v>
      </c>
      <c r="L54">
        <f>K54+M54+O54</f>
        <v>2724</v>
      </c>
      <c r="M54" s="3">
        <v>2038</v>
      </c>
      <c r="N54">
        <f t="shared" si="8"/>
        <v>2038</v>
      </c>
      <c r="O54" s="3">
        <v>423</v>
      </c>
      <c r="P54">
        <v>423</v>
      </c>
      <c r="Q54" t="s">
        <v>141</v>
      </c>
      <c r="R54" s="6">
        <v>2756</v>
      </c>
      <c r="S54" s="6"/>
      <c r="T54" s="4">
        <f>SUM(K54,M54,O54)</f>
        <v>2724</v>
      </c>
    </row>
    <row r="55" spans="1:21" x14ac:dyDescent="0.35">
      <c r="A55">
        <v>3310</v>
      </c>
      <c r="B55" s="1">
        <v>36981</v>
      </c>
      <c r="C55">
        <v>2000</v>
      </c>
      <c r="D55" t="s">
        <v>14</v>
      </c>
      <c r="E55" t="s">
        <v>15</v>
      </c>
      <c r="F55" t="str">
        <f t="shared" si="0"/>
        <v>356028_2000</v>
      </c>
      <c r="G55" s="2" t="str">
        <f t="shared" si="1"/>
        <v>extracted_filing/356028_2000_10-K.html</v>
      </c>
      <c r="H55" s="2" t="str">
        <f t="shared" si="2"/>
        <v>extracted_filing/356028_2000_10-K.txt</v>
      </c>
      <c r="I55" s="2" t="str">
        <f t="shared" si="3"/>
        <v>https://www.sec.gov/cgi-bin/browse-edgar?action=getcompany&amp;CIK=356028&amp;type=10-K&amp;dateb=20080101&amp;owner=exclude&amp;count=40&amp;search_text=</v>
      </c>
      <c r="J55">
        <v>356028</v>
      </c>
      <c r="K55" s="3">
        <v>334</v>
      </c>
      <c r="L55">
        <f>K55+M55+O55</f>
        <v>3594</v>
      </c>
      <c r="M55" s="3">
        <v>2565</v>
      </c>
      <c r="N55">
        <f t="shared" si="8"/>
        <v>2565</v>
      </c>
      <c r="O55" s="3">
        <f>695</f>
        <v>695</v>
      </c>
      <c r="P55">
        <f>695</f>
        <v>695</v>
      </c>
      <c r="Q55" t="s">
        <v>141</v>
      </c>
      <c r="R55" s="6">
        <v>4055</v>
      </c>
      <c r="S55" s="6"/>
      <c r="T55" s="4">
        <f>SUM(K55,M55,O55)</f>
        <v>3594</v>
      </c>
    </row>
    <row r="56" spans="1:21" x14ac:dyDescent="0.35">
      <c r="A56">
        <v>3310</v>
      </c>
      <c r="B56" s="1">
        <v>37346</v>
      </c>
      <c r="C56">
        <v>2001</v>
      </c>
      <c r="D56" t="s">
        <v>14</v>
      </c>
      <c r="E56" t="s">
        <v>15</v>
      </c>
      <c r="F56" t="str">
        <f t="shared" si="0"/>
        <v>356028_2001</v>
      </c>
      <c r="G56" s="2" t="str">
        <f t="shared" si="1"/>
        <v>extracted_filing/356028_2001_10-K.html</v>
      </c>
      <c r="H56" s="2" t="str">
        <f t="shared" si="2"/>
        <v>extracted_filing/356028_2001_10-K.txt</v>
      </c>
      <c r="I56" s="2" t="str">
        <f t="shared" si="3"/>
        <v>https://www.sec.gov/cgi-bin/browse-edgar?action=getcompany&amp;CIK=356028&amp;type=10-K&amp;dateb=20080101&amp;owner=exclude&amp;count=40&amp;search_text=</v>
      </c>
      <c r="J56">
        <v>356028</v>
      </c>
      <c r="K56" s="3">
        <f>283</f>
        <v>283</v>
      </c>
      <c r="L56">
        <f>K56+M56+O56</f>
        <v>3026</v>
      </c>
      <c r="M56" s="3">
        <f>1790+275</f>
        <v>2065</v>
      </c>
      <c r="N56">
        <f t="shared" si="8"/>
        <v>2065</v>
      </c>
      <c r="O56" s="3">
        <v>678</v>
      </c>
      <c r="P56">
        <v>678</v>
      </c>
      <c r="Q56" t="s">
        <v>141</v>
      </c>
      <c r="R56" s="6">
        <v>1045</v>
      </c>
      <c r="S56" s="6">
        <v>2409</v>
      </c>
      <c r="T56" s="4">
        <f>SUM(K56,M56,O56)</f>
        <v>3026</v>
      </c>
      <c r="U56">
        <f>SUM(R56:S56)</f>
        <v>3454</v>
      </c>
    </row>
    <row r="57" spans="1:21" x14ac:dyDescent="0.35">
      <c r="A57">
        <v>3310</v>
      </c>
      <c r="B57" s="1">
        <v>37711</v>
      </c>
      <c r="C57">
        <v>2002</v>
      </c>
      <c r="D57" t="s">
        <v>14</v>
      </c>
      <c r="E57" t="s">
        <v>15</v>
      </c>
      <c r="F57" t="str">
        <f t="shared" si="0"/>
        <v>356028_2002</v>
      </c>
      <c r="G57" s="2" t="str">
        <f t="shared" si="1"/>
        <v>extracted_filing/356028_2002_10-K.html</v>
      </c>
      <c r="H57" s="2" t="str">
        <f t="shared" si="2"/>
        <v>extracted_filing/356028_2002_10-K.txt</v>
      </c>
      <c r="I57" s="2" t="str">
        <f t="shared" si="3"/>
        <v>https://www.sec.gov/cgi-bin/browse-edgar?action=getcompany&amp;CIK=356028&amp;type=10-K&amp;dateb=20080101&amp;owner=exclude&amp;count=40&amp;search_text=</v>
      </c>
      <c r="J57">
        <v>356028</v>
      </c>
      <c r="K57" s="3">
        <f>243</f>
        <v>243</v>
      </c>
      <c r="L57">
        <f>K57+M57+O57</f>
        <v>2431</v>
      </c>
      <c r="M57" s="3">
        <f>1307+237</f>
        <v>1544</v>
      </c>
      <c r="N57">
        <f t="shared" si="8"/>
        <v>1544</v>
      </c>
      <c r="O57" s="3">
        <v>644</v>
      </c>
      <c r="P57">
        <v>644</v>
      </c>
      <c r="Q57" t="s">
        <v>141</v>
      </c>
      <c r="R57" s="6">
        <v>958</v>
      </c>
      <c r="S57" s="6">
        <v>2127</v>
      </c>
      <c r="T57" s="4">
        <f>SUM(K57,M57,O57)</f>
        <v>2431</v>
      </c>
      <c r="U57">
        <f t="shared" ref="U57:U59" si="9">SUM(R57:S57)</f>
        <v>3085</v>
      </c>
    </row>
    <row r="58" spans="1:21" x14ac:dyDescent="0.35">
      <c r="A58">
        <v>3310</v>
      </c>
      <c r="B58" s="1">
        <v>38077</v>
      </c>
      <c r="C58">
        <v>2003</v>
      </c>
      <c r="D58" t="s">
        <v>14</v>
      </c>
      <c r="E58" t="s">
        <v>15</v>
      </c>
      <c r="F58" t="str">
        <f t="shared" si="0"/>
        <v>356028_2003</v>
      </c>
      <c r="G58" s="2" t="str">
        <f t="shared" si="1"/>
        <v>extracted_filing/356028_2003_10-K.html</v>
      </c>
      <c r="H58" s="2" t="str">
        <f t="shared" si="2"/>
        <v>extracted_filing/356028_2003_10-K.txt</v>
      </c>
      <c r="I58" s="2" t="str">
        <f t="shared" si="3"/>
        <v>https://www.sec.gov/cgi-bin/browse-edgar?action=getcompany&amp;CIK=356028&amp;type=10-K&amp;dateb=20080101&amp;owner=exclude&amp;count=40&amp;search_text=</v>
      </c>
      <c r="J58">
        <v>356028</v>
      </c>
      <c r="K58" s="3">
        <f>267</f>
        <v>267</v>
      </c>
      <c r="L58">
        <f>K58+M58+O58</f>
        <v>2396</v>
      </c>
      <c r="M58" s="3">
        <f>1247+220</f>
        <v>1467</v>
      </c>
      <c r="N58">
        <f t="shared" si="8"/>
        <v>1467</v>
      </c>
      <c r="O58" s="3">
        <v>662</v>
      </c>
      <c r="P58">
        <v>662</v>
      </c>
      <c r="Q58" t="s">
        <v>141</v>
      </c>
      <c r="R58" s="6">
        <v>950</v>
      </c>
      <c r="S58" s="6">
        <v>1909</v>
      </c>
      <c r="T58" s="4">
        <f>SUM(K58,M58,O58)</f>
        <v>2396</v>
      </c>
      <c r="U58">
        <f t="shared" si="9"/>
        <v>2859</v>
      </c>
    </row>
    <row r="59" spans="1:21" x14ac:dyDescent="0.35">
      <c r="A59">
        <v>3310</v>
      </c>
      <c r="B59" s="1">
        <v>38442</v>
      </c>
      <c r="C59">
        <v>2004</v>
      </c>
      <c r="D59" t="s">
        <v>14</v>
      </c>
      <c r="E59" t="s">
        <v>15</v>
      </c>
      <c r="F59" t="str">
        <f t="shared" si="0"/>
        <v>356028_2004</v>
      </c>
      <c r="G59" s="2" t="str">
        <f t="shared" si="1"/>
        <v>extracted_filing/356028_2004_10-K.html</v>
      </c>
      <c r="H59" s="2" t="str">
        <f t="shared" si="2"/>
        <v>extracted_filing/356028_2004_10-K.txt</v>
      </c>
      <c r="I59" s="2" t="str">
        <f t="shared" si="3"/>
        <v>https://www.sec.gov/cgi-bin/browse-edgar?action=getcompany&amp;CIK=356028&amp;type=10-K&amp;dateb=20080101&amp;owner=exclude&amp;count=40&amp;search_text=</v>
      </c>
      <c r="J59">
        <v>356028</v>
      </c>
      <c r="K59" s="3">
        <f>339</f>
        <v>339</v>
      </c>
      <c r="L59">
        <f>K59+M59+O59</f>
        <v>2579</v>
      </c>
      <c r="M59" s="3">
        <f>1323+227</f>
        <v>1550</v>
      </c>
      <c r="N59">
        <f t="shared" si="8"/>
        <v>1550</v>
      </c>
      <c r="O59" s="3">
        <v>690</v>
      </c>
      <c r="P59">
        <v>690</v>
      </c>
      <c r="Q59" t="s">
        <v>141</v>
      </c>
      <c r="R59" s="6">
        <v>1015</v>
      </c>
      <c r="S59" s="6">
        <v>2050</v>
      </c>
      <c r="T59" s="4">
        <f>SUM(K59,M59,O59)</f>
        <v>2579</v>
      </c>
      <c r="U59">
        <f t="shared" si="9"/>
        <v>3065</v>
      </c>
    </row>
    <row r="60" spans="1:21" x14ac:dyDescent="0.35">
      <c r="A60">
        <v>3310</v>
      </c>
      <c r="B60" s="1">
        <v>38807</v>
      </c>
      <c r="C60">
        <v>2005</v>
      </c>
      <c r="D60" t="s">
        <v>14</v>
      </c>
      <c r="E60" t="s">
        <v>15</v>
      </c>
      <c r="F60" t="str">
        <f t="shared" si="0"/>
        <v>356028_2005</v>
      </c>
      <c r="G60" s="2" t="str">
        <f t="shared" si="1"/>
        <v>extracted_filing/356028_2005_10-K.html</v>
      </c>
      <c r="H60" s="2" t="str">
        <f t="shared" si="2"/>
        <v>extracted_filing/356028_2005_10-K.txt</v>
      </c>
      <c r="I60" s="2" t="str">
        <f t="shared" si="3"/>
        <v>https://www.sec.gov/cgi-bin/browse-edgar?action=getcompany&amp;CIK=356028&amp;type=10-K&amp;dateb=20080101&amp;owner=exclude&amp;count=40&amp;search_text=</v>
      </c>
      <c r="J60">
        <v>356028</v>
      </c>
      <c r="K60" s="3">
        <f>394</f>
        <v>394</v>
      </c>
      <c r="L60">
        <f>K60+M60+O60</f>
        <v>2932</v>
      </c>
      <c r="M60" s="3">
        <f>1578+263</f>
        <v>1841</v>
      </c>
      <c r="N60">
        <f t="shared" si="8"/>
        <v>1841</v>
      </c>
      <c r="O60" s="3">
        <f>697</f>
        <v>697</v>
      </c>
      <c r="P60">
        <f>697</f>
        <v>697</v>
      </c>
      <c r="Q60" t="s">
        <v>141</v>
      </c>
      <c r="R60" s="6">
        <v>666</v>
      </c>
      <c r="S60" s="6">
        <v>2294</v>
      </c>
      <c r="T60" s="4">
        <f>SUM(K60,M60,O60)</f>
        <v>2932</v>
      </c>
      <c r="U60">
        <f>SUM(R60:S60)</f>
        <v>2960</v>
      </c>
    </row>
    <row r="61" spans="1:21" x14ac:dyDescent="0.35">
      <c r="A61">
        <v>3310</v>
      </c>
      <c r="B61" s="1">
        <v>39172</v>
      </c>
      <c r="C61">
        <v>2006</v>
      </c>
      <c r="D61" t="s">
        <v>14</v>
      </c>
      <c r="E61" t="s">
        <v>15</v>
      </c>
      <c r="F61" t="str">
        <f t="shared" si="0"/>
        <v>356028_2006</v>
      </c>
      <c r="G61" s="2" t="str">
        <f t="shared" si="1"/>
        <v>extracted_filing/356028_2006_10-K.html</v>
      </c>
      <c r="H61" s="2" t="str">
        <f t="shared" si="2"/>
        <v>extracted_filing/356028_2006_10-K.txt</v>
      </c>
      <c r="I61" s="2" t="str">
        <f t="shared" si="3"/>
        <v>https://www.sec.gov/cgi-bin/browse-edgar?action=getcompany&amp;CIK=356028&amp;type=10-K&amp;dateb=20080101&amp;owner=exclude&amp;count=40&amp;search_text=</v>
      </c>
      <c r="J61">
        <v>356028</v>
      </c>
      <c r="K61" s="3">
        <f>338</f>
        <v>338</v>
      </c>
      <c r="L61">
        <f>K61+M61+O61</f>
        <v>3029</v>
      </c>
      <c r="M61" s="3">
        <f>1653+326</f>
        <v>1979</v>
      </c>
      <c r="N61">
        <f t="shared" si="8"/>
        <v>1979</v>
      </c>
      <c r="O61" s="3">
        <f>712</f>
        <v>712</v>
      </c>
      <c r="P61">
        <f>712</f>
        <v>712</v>
      </c>
      <c r="Q61" t="s">
        <v>141</v>
      </c>
      <c r="R61" s="6">
        <v>3029</v>
      </c>
      <c r="S61" s="6"/>
      <c r="T61">
        <f>SUM(K61,M61,O61)</f>
        <v>3029</v>
      </c>
    </row>
    <row r="62" spans="1:21" x14ac:dyDescent="0.35">
      <c r="A62">
        <v>3707</v>
      </c>
      <c r="B62" s="1">
        <v>35795</v>
      </c>
      <c r="C62">
        <v>1997</v>
      </c>
      <c r="D62">
        <v>233326107</v>
      </c>
      <c r="E62" t="s">
        <v>16</v>
      </c>
      <c r="F62" t="str">
        <f t="shared" si="0"/>
        <v>714603_1997</v>
      </c>
      <c r="G62" s="2" t="str">
        <f t="shared" si="1"/>
        <v>extracted_filing/714603_1997_10-K.html</v>
      </c>
      <c r="H62" s="2" t="str">
        <f t="shared" si="2"/>
        <v>extracted_filing/714603_1997_10-K.txt</v>
      </c>
      <c r="I62" s="2" t="str">
        <f t="shared" si="3"/>
        <v>https://www.sec.gov/cgi-bin/browse-edgar?action=getcompany&amp;CIK=714603&amp;type=10-K&amp;dateb=20080101&amp;owner=exclude&amp;count=40&amp;search_text=</v>
      </c>
      <c r="J62">
        <v>714603</v>
      </c>
      <c r="K62">
        <v>479.10300000000001</v>
      </c>
      <c r="L62">
        <f>K62+M62+O62</f>
        <v>479.10300000000001</v>
      </c>
      <c r="Q62" t="s">
        <v>140</v>
      </c>
      <c r="R62">
        <v>479.10300000000001</v>
      </c>
      <c r="T62">
        <f>SUM(K62,M62,O62)</f>
        <v>479.10300000000001</v>
      </c>
    </row>
    <row r="63" spans="1:21" x14ac:dyDescent="0.35">
      <c r="A63">
        <v>3707</v>
      </c>
      <c r="B63" s="1">
        <v>36160</v>
      </c>
      <c r="C63">
        <v>1998</v>
      </c>
      <c r="D63">
        <v>233326107</v>
      </c>
      <c r="E63" t="s">
        <v>16</v>
      </c>
      <c r="F63" t="str">
        <f t="shared" si="0"/>
        <v>714603_1998</v>
      </c>
      <c r="G63" s="2" t="str">
        <f t="shared" si="1"/>
        <v>extracted_filing/714603_1998_10-K.html</v>
      </c>
      <c r="H63" s="2" t="str">
        <f t="shared" si="2"/>
        <v>extracted_filing/714603_1998_10-K.txt</v>
      </c>
      <c r="I63" s="2" t="str">
        <f t="shared" si="3"/>
        <v>https://www.sec.gov/cgi-bin/browse-edgar?action=getcompany&amp;CIK=714603&amp;type=10-K&amp;dateb=20080101&amp;owner=exclude&amp;count=40&amp;search_text=</v>
      </c>
      <c r="J63">
        <v>714603</v>
      </c>
      <c r="K63">
        <v>834.7</v>
      </c>
      <c r="L63">
        <f>K63+M63+O63</f>
        <v>834.7</v>
      </c>
      <c r="Q63" t="s">
        <v>140</v>
      </c>
      <c r="R63">
        <v>834.7</v>
      </c>
      <c r="T63">
        <f>SUM(K63,M63,O63)</f>
        <v>834.7</v>
      </c>
    </row>
    <row r="64" spans="1:21" x14ac:dyDescent="0.35">
      <c r="A64">
        <v>3707</v>
      </c>
      <c r="B64" s="1">
        <v>36525</v>
      </c>
      <c r="C64">
        <v>1999</v>
      </c>
      <c r="D64">
        <v>233326107</v>
      </c>
      <c r="E64" t="s">
        <v>16</v>
      </c>
      <c r="F64" t="str">
        <f t="shared" si="0"/>
        <v>714603_1999</v>
      </c>
      <c r="G64" s="2" t="str">
        <f t="shared" si="1"/>
        <v>extracted_filing/714603_1999_10-K.html</v>
      </c>
      <c r="H64" s="2" t="str">
        <f t="shared" si="2"/>
        <v>extracted_filing/714603_1999_10-K.txt</v>
      </c>
      <c r="I64" s="2" t="str">
        <f t="shared" si="3"/>
        <v>https://www.sec.gov/cgi-bin/browse-edgar?action=getcompany&amp;CIK=714603&amp;type=10-K&amp;dateb=20080101&amp;owner=exclude&amp;count=40&amp;search_text=</v>
      </c>
      <c r="J64">
        <v>714603</v>
      </c>
      <c r="K64">
        <v>880.8</v>
      </c>
      <c r="L64">
        <f>K64+M64+O64</f>
        <v>880.8</v>
      </c>
      <c r="Q64" t="s">
        <v>140</v>
      </c>
      <c r="R64">
        <v>880.8</v>
      </c>
      <c r="T64">
        <f>SUM(K64,M64,O64)</f>
        <v>880.8</v>
      </c>
    </row>
    <row r="65" spans="1:20" x14ac:dyDescent="0.35">
      <c r="A65">
        <v>3707</v>
      </c>
      <c r="B65" s="1">
        <v>36891</v>
      </c>
      <c r="C65">
        <v>2000</v>
      </c>
      <c r="D65">
        <v>233326107</v>
      </c>
      <c r="E65" t="s">
        <v>16</v>
      </c>
      <c r="F65" t="str">
        <f t="shared" si="0"/>
        <v>714603_2000</v>
      </c>
      <c r="G65" s="2" t="str">
        <f t="shared" si="1"/>
        <v>extracted_filing/714603_2000_10-K.html</v>
      </c>
      <c r="H65" s="2" t="str">
        <f t="shared" si="2"/>
        <v>extracted_filing/714603_2000_10-K.txt</v>
      </c>
      <c r="I65" s="2" t="str">
        <f t="shared" si="3"/>
        <v>https://www.sec.gov/cgi-bin/browse-edgar?action=getcompany&amp;CIK=714603&amp;type=10-K&amp;dateb=20080101&amp;owner=exclude&amp;count=40&amp;search_text=</v>
      </c>
      <c r="J65">
        <v>714603</v>
      </c>
      <c r="K65">
        <v>968.9</v>
      </c>
      <c r="L65">
        <f>K65+M65+O65</f>
        <v>968.9</v>
      </c>
      <c r="Q65" t="s">
        <v>140</v>
      </c>
      <c r="R65">
        <v>968.9</v>
      </c>
      <c r="T65">
        <f>SUM(K65,M65,O65)</f>
        <v>968.9</v>
      </c>
    </row>
    <row r="66" spans="1:20" x14ac:dyDescent="0.35">
      <c r="A66">
        <v>3707</v>
      </c>
      <c r="B66" s="1">
        <v>37256</v>
      </c>
      <c r="C66">
        <v>2001</v>
      </c>
      <c r="D66">
        <v>233326107</v>
      </c>
      <c r="E66" t="s">
        <v>16</v>
      </c>
      <c r="F66" t="str">
        <f t="shared" ref="F66:F129" si="10">_xlfn.CONCAT(TEXT(J66,0),"_",TEXT(C66,0))</f>
        <v>714603_2001</v>
      </c>
      <c r="G66" s="2" t="str">
        <f t="shared" si="1"/>
        <v>extracted_filing/714603_2001_10-K.html</v>
      </c>
      <c r="H66" s="2" t="str">
        <f t="shared" si="2"/>
        <v>extracted_filing/714603_2001_10-K.txt</v>
      </c>
      <c r="I66" s="2" t="str">
        <f t="shared" si="3"/>
        <v>https://www.sec.gov/cgi-bin/browse-edgar?action=getcompany&amp;CIK=714603&amp;type=10-K&amp;dateb=20080101&amp;owner=exclude&amp;count=40&amp;search_text=</v>
      </c>
      <c r="J66">
        <v>714603</v>
      </c>
      <c r="K66">
        <v>1207.0999999999999</v>
      </c>
      <c r="L66">
        <f>K66+M66+O66</f>
        <v>1207.0999999999999</v>
      </c>
      <c r="Q66" t="s">
        <v>140</v>
      </c>
      <c r="R66">
        <v>1207.0999999999999</v>
      </c>
      <c r="T66">
        <f>SUM(K66,M66,O66)</f>
        <v>1207.0999999999999</v>
      </c>
    </row>
    <row r="67" spans="1:20" x14ac:dyDescent="0.35">
      <c r="A67">
        <v>3707</v>
      </c>
      <c r="B67" s="1">
        <v>37621</v>
      </c>
      <c r="C67">
        <v>2002</v>
      </c>
      <c r="D67">
        <v>233326107</v>
      </c>
      <c r="E67" t="s">
        <v>16</v>
      </c>
      <c r="F67" t="str">
        <f t="shared" si="10"/>
        <v>714603_2002</v>
      </c>
      <c r="G67" s="2" t="str">
        <f t="shared" ref="G67:G130" si="11">HYPERLINK(_xlfn.CONCAT("extracted_filing/",$F67,"_10-K.html"))</f>
        <v>extracted_filing/714603_2002_10-K.html</v>
      </c>
      <c r="H67" s="2" t="str">
        <f t="shared" ref="H67:H130" si="12">HYPERLINK(_xlfn.CONCAT("extracted_filing/",$F67,"_10-K.txt"))</f>
        <v>extracted_filing/714603_2002_10-K.txt</v>
      </c>
      <c r="I67" s="2" t="str">
        <f t="shared" ref="I67:I130" si="13">HYPERLINK(_xlfn.CONCAT("https://www.sec.gov/cgi-bin/browse-edgar?action=getcompany&amp;CIK=",TEXT(J67,0),"&amp;type=10-K&amp;dateb=20080101&amp;owner=exclude&amp;count=40&amp;search_text="))</f>
        <v>https://www.sec.gov/cgi-bin/browse-edgar?action=getcompany&amp;CIK=714603&amp;type=10-K&amp;dateb=20080101&amp;owner=exclude&amp;count=40&amp;search_text=</v>
      </c>
      <c r="J67">
        <v>714603</v>
      </c>
      <c r="K67">
        <v>1926</v>
      </c>
      <c r="L67">
        <f>K67+M67+O67</f>
        <v>1926</v>
      </c>
      <c r="Q67" t="s">
        <v>140</v>
      </c>
      <c r="R67">
        <v>1926</v>
      </c>
      <c r="T67">
        <f>SUM(K67,M67,O67)</f>
        <v>1926</v>
      </c>
    </row>
    <row r="68" spans="1:20" x14ac:dyDescent="0.35">
      <c r="A68">
        <v>3707</v>
      </c>
      <c r="B68" s="1">
        <v>37986</v>
      </c>
      <c r="C68">
        <v>2003</v>
      </c>
      <c r="D68">
        <v>233326107</v>
      </c>
      <c r="E68" t="s">
        <v>16</v>
      </c>
      <c r="F68" t="str">
        <f t="shared" si="10"/>
        <v>714603_2003</v>
      </c>
      <c r="G68" s="2" t="str">
        <f t="shared" si="11"/>
        <v>extracted_filing/714603_2003_10-K.html</v>
      </c>
      <c r="H68" s="2" t="str">
        <f t="shared" si="12"/>
        <v>extracted_filing/714603_2003_10-K.txt</v>
      </c>
      <c r="I68" s="2" t="str">
        <f t="shared" si="13"/>
        <v>https://www.sec.gov/cgi-bin/browse-edgar?action=getcompany&amp;CIK=714603&amp;type=10-K&amp;dateb=20080101&amp;owner=exclude&amp;count=40&amp;search_text=</v>
      </c>
      <c r="J68">
        <v>714603</v>
      </c>
      <c r="K68">
        <v>1940.9</v>
      </c>
      <c r="L68">
        <f>K68+M68+O68</f>
        <v>1940.9</v>
      </c>
      <c r="Q68" t="s">
        <v>140</v>
      </c>
      <c r="R68">
        <v>1940.9</v>
      </c>
      <c r="T68">
        <f>SUM(K68,M68,O68)</f>
        <v>1940.9</v>
      </c>
    </row>
    <row r="69" spans="1:20" x14ac:dyDescent="0.35">
      <c r="A69">
        <v>3707</v>
      </c>
      <c r="B69" s="1">
        <v>38352</v>
      </c>
      <c r="C69">
        <v>2004</v>
      </c>
      <c r="D69">
        <v>233326107</v>
      </c>
      <c r="E69" t="s">
        <v>16</v>
      </c>
      <c r="F69" t="str">
        <f t="shared" si="10"/>
        <v>714603_2004</v>
      </c>
      <c r="G69" s="2" t="str">
        <f t="shared" si="11"/>
        <v>extracted_filing/714603_2004_10-K.html</v>
      </c>
      <c r="H69" s="2" t="str">
        <f t="shared" si="12"/>
        <v>extracted_filing/714603_2004_10-K.txt</v>
      </c>
      <c r="I69" s="2" t="str">
        <f t="shared" si="13"/>
        <v>https://www.sec.gov/cgi-bin/browse-edgar?action=getcompany&amp;CIK=714603&amp;type=10-K&amp;dateb=20080101&amp;owner=exclude&amp;count=40&amp;search_text=</v>
      </c>
      <c r="J69">
        <v>714603</v>
      </c>
      <c r="K69">
        <v>1966.9</v>
      </c>
      <c r="L69">
        <f>K69+M69+O69</f>
        <v>1966.9</v>
      </c>
      <c r="Q69" t="s">
        <v>140</v>
      </c>
      <c r="R69">
        <v>1966.9</v>
      </c>
      <c r="T69">
        <f>SUM(K69,M69,O69)</f>
        <v>1966.9</v>
      </c>
    </row>
    <row r="70" spans="1:20" x14ac:dyDescent="0.35">
      <c r="A70">
        <v>3707</v>
      </c>
      <c r="B70" s="1">
        <v>38717</v>
      </c>
      <c r="C70">
        <v>2005</v>
      </c>
      <c r="D70">
        <v>233326107</v>
      </c>
      <c r="E70" t="s">
        <v>16</v>
      </c>
      <c r="F70" t="str">
        <f t="shared" si="10"/>
        <v>714603_2005</v>
      </c>
      <c r="G70" s="2" t="str">
        <f t="shared" si="11"/>
        <v>extracted_filing/714603_2005_10-K.html</v>
      </c>
      <c r="H70" s="2" t="str">
        <f t="shared" si="12"/>
        <v>extracted_filing/714603_2005_10-K.txt</v>
      </c>
      <c r="I70" s="2" t="str">
        <f t="shared" si="13"/>
        <v>https://www.sec.gov/cgi-bin/browse-edgar?action=getcompany&amp;CIK=714603&amp;type=10-K&amp;dateb=20080101&amp;owner=exclude&amp;count=40&amp;search_text=</v>
      </c>
      <c r="J70">
        <v>714603</v>
      </c>
      <c r="K70">
        <v>2038.3</v>
      </c>
      <c r="L70">
        <f>K70+M70+O70</f>
        <v>2038.3</v>
      </c>
      <c r="Q70" t="s">
        <v>140</v>
      </c>
      <c r="R70">
        <v>2038.3</v>
      </c>
      <c r="T70">
        <f>SUM(K70,M70,O70)</f>
        <v>2038.3</v>
      </c>
    </row>
    <row r="71" spans="1:20" x14ac:dyDescent="0.35">
      <c r="A71">
        <v>3707</v>
      </c>
      <c r="B71" s="1">
        <v>39082</v>
      </c>
      <c r="C71">
        <v>2006</v>
      </c>
      <c r="D71">
        <v>233326107</v>
      </c>
      <c r="E71" t="s">
        <v>16</v>
      </c>
      <c r="F71" t="str">
        <f t="shared" si="10"/>
        <v>714603_2006</v>
      </c>
      <c r="G71" s="2" t="str">
        <f t="shared" si="11"/>
        <v>extracted_filing/714603_2006_10-K.html</v>
      </c>
      <c r="H71" s="2" t="str">
        <f t="shared" si="12"/>
        <v>extracted_filing/714603_2006_10-K.txt</v>
      </c>
      <c r="I71" s="2" t="str">
        <f t="shared" si="13"/>
        <v>https://www.sec.gov/cgi-bin/browse-edgar?action=getcompany&amp;CIK=714603&amp;type=10-K&amp;dateb=20080101&amp;owner=exclude&amp;count=40&amp;search_text=</v>
      </c>
      <c r="J71">
        <v>714603</v>
      </c>
      <c r="K71">
        <v>1800.1</v>
      </c>
      <c r="L71">
        <f>K71+M71+O71</f>
        <v>1800.1</v>
      </c>
      <c r="Q71" t="s">
        <v>140</v>
      </c>
      <c r="R71">
        <v>1800.1</v>
      </c>
      <c r="T71">
        <f>SUM(K71,M71,O71)</f>
        <v>1800.1</v>
      </c>
    </row>
    <row r="72" spans="1:20" x14ac:dyDescent="0.35">
      <c r="A72">
        <v>4066</v>
      </c>
      <c r="B72" s="1">
        <v>35795</v>
      </c>
      <c r="C72">
        <v>1997</v>
      </c>
      <c r="D72">
        <v>681919106</v>
      </c>
      <c r="E72" t="s">
        <v>17</v>
      </c>
      <c r="F72" t="str">
        <f t="shared" si="10"/>
        <v>29989_1997</v>
      </c>
      <c r="G72" s="2" t="str">
        <f t="shared" si="11"/>
        <v>extracted_filing/29989_1997_10-K.html</v>
      </c>
      <c r="H72" s="2" t="str">
        <f t="shared" si="12"/>
        <v>extracted_filing/29989_1997_10-K.txt</v>
      </c>
      <c r="I72" s="2" t="str">
        <f t="shared" si="13"/>
        <v>https://www.sec.gov/cgi-bin/browse-edgar?action=getcompany&amp;CIK=29989&amp;type=10-K&amp;dateb=20080101&amp;owner=exclude&amp;count=40&amp;search_text=</v>
      </c>
      <c r="J72">
        <v>29989</v>
      </c>
      <c r="K72">
        <v>2618.3939999999998</v>
      </c>
      <c r="L72">
        <f>K72+M72+O72</f>
        <v>2618.3939999999998</v>
      </c>
      <c r="Q72" t="s">
        <v>146</v>
      </c>
      <c r="R72">
        <v>2618.3939999999998</v>
      </c>
      <c r="T72">
        <f>SUM(K72,M72,O72)</f>
        <v>2618.3939999999998</v>
      </c>
    </row>
    <row r="73" spans="1:20" x14ac:dyDescent="0.35">
      <c r="A73">
        <v>4066</v>
      </c>
      <c r="B73" s="1">
        <v>36160</v>
      </c>
      <c r="C73">
        <v>1998</v>
      </c>
      <c r="D73">
        <v>681919106</v>
      </c>
      <c r="E73" t="s">
        <v>17</v>
      </c>
      <c r="F73" t="str">
        <f t="shared" si="10"/>
        <v>29989_1998</v>
      </c>
      <c r="G73" s="2" t="str">
        <f t="shared" si="11"/>
        <v>extracted_filing/29989_1998_10-K.html</v>
      </c>
      <c r="H73" s="2" t="str">
        <f t="shared" si="12"/>
        <v>extracted_filing/29989_1998_10-K.txt</v>
      </c>
      <c r="I73" s="2" t="str">
        <f t="shared" si="13"/>
        <v>https://www.sec.gov/cgi-bin/browse-edgar?action=getcompany&amp;CIK=29989&amp;type=10-K&amp;dateb=20080101&amp;owner=exclude&amp;count=40&amp;search_text=</v>
      </c>
      <c r="J73">
        <v>29989</v>
      </c>
      <c r="K73">
        <v>3398.933</v>
      </c>
      <c r="L73">
        <f>K73+M73+O73</f>
        <v>3398.933</v>
      </c>
      <c r="Q73" t="s">
        <v>146</v>
      </c>
      <c r="R73">
        <v>3398.933</v>
      </c>
      <c r="T73">
        <f>SUM(K73,M73,O73)</f>
        <v>3398.933</v>
      </c>
    </row>
    <row r="74" spans="1:20" x14ac:dyDescent="0.35">
      <c r="A74">
        <v>4066</v>
      </c>
      <c r="B74" s="1">
        <v>36525</v>
      </c>
      <c r="C74">
        <v>1999</v>
      </c>
      <c r="D74">
        <v>681919106</v>
      </c>
      <c r="E74" t="s">
        <v>17</v>
      </c>
      <c r="F74" t="str">
        <f t="shared" si="10"/>
        <v>29989_1999</v>
      </c>
      <c r="G74" s="2" t="str">
        <f t="shared" si="11"/>
        <v>extracted_filing/29989_1999_10-K.html</v>
      </c>
      <c r="H74" s="2" t="str">
        <f t="shared" si="12"/>
        <v>extracted_filing/29989_1999_10-K.txt</v>
      </c>
      <c r="I74" s="2" t="str">
        <f t="shared" si="13"/>
        <v>https://www.sec.gov/cgi-bin/browse-edgar?action=getcompany&amp;CIK=29989&amp;type=10-K&amp;dateb=20080101&amp;owner=exclude&amp;count=40&amp;search_text=</v>
      </c>
      <c r="J74">
        <v>29989</v>
      </c>
      <c r="K74">
        <v>4238.5119999999997</v>
      </c>
      <c r="L74">
        <f>K74+M74+O74</f>
        <v>4238.5119999999997</v>
      </c>
      <c r="Q74" t="s">
        <v>146</v>
      </c>
      <c r="R74">
        <v>4238.5119999999997</v>
      </c>
      <c r="T74">
        <f>SUM(K74,M74,O74)</f>
        <v>4238.5119999999997</v>
      </c>
    </row>
    <row r="75" spans="1:20" x14ac:dyDescent="0.35">
      <c r="A75">
        <v>4066</v>
      </c>
      <c r="B75" s="1">
        <v>36891</v>
      </c>
      <c r="C75">
        <v>2000</v>
      </c>
      <c r="D75">
        <v>681919106</v>
      </c>
      <c r="E75" t="s">
        <v>17</v>
      </c>
      <c r="F75" t="str">
        <f t="shared" si="10"/>
        <v>29989_2000</v>
      </c>
      <c r="G75" s="2" t="str">
        <f t="shared" si="11"/>
        <v>extracted_filing/29989_2000_10-K.html</v>
      </c>
      <c r="H75" s="2" t="str">
        <f t="shared" si="12"/>
        <v>extracted_filing/29989_2000_10-K.txt</v>
      </c>
      <c r="I75" s="2" t="str">
        <f t="shared" si="13"/>
        <v>https://www.sec.gov/cgi-bin/browse-edgar?action=getcompany&amp;CIK=29989&amp;type=10-K&amp;dateb=20080101&amp;owner=exclude&amp;count=40&amp;search_text=</v>
      </c>
      <c r="J75">
        <v>29989</v>
      </c>
      <c r="K75">
        <v>5089.5680000000002</v>
      </c>
      <c r="L75">
        <f>K75+M75+O75</f>
        <v>5089.5680000000002</v>
      </c>
      <c r="Q75" t="s">
        <v>146</v>
      </c>
      <c r="R75">
        <v>5089.5680000000002</v>
      </c>
      <c r="T75">
        <f>SUM(K75,M75,O75)</f>
        <v>5089.5680000000002</v>
      </c>
    </row>
    <row r="76" spans="1:20" x14ac:dyDescent="0.35">
      <c r="A76">
        <v>4066</v>
      </c>
      <c r="B76" s="1">
        <v>37256</v>
      </c>
      <c r="C76">
        <v>2001</v>
      </c>
      <c r="D76">
        <v>681919106</v>
      </c>
      <c r="E76" t="s">
        <v>17</v>
      </c>
      <c r="F76" t="str">
        <f t="shared" si="10"/>
        <v>29989_2001</v>
      </c>
      <c r="G76" s="2" t="str">
        <f t="shared" si="11"/>
        <v>extracted_filing/29989_2001_10-K.html</v>
      </c>
      <c r="H76" s="2" t="str">
        <f t="shared" si="12"/>
        <v>extracted_filing/29989_2001_10-K.txt</v>
      </c>
      <c r="I76" s="2" t="str">
        <f t="shared" si="13"/>
        <v>https://www.sec.gov/cgi-bin/browse-edgar?action=getcompany&amp;CIK=29989&amp;type=10-K&amp;dateb=20080101&amp;owner=exclude&amp;count=40&amp;search_text=</v>
      </c>
      <c r="J76">
        <v>29989</v>
      </c>
      <c r="K76">
        <v>5710.2560000000003</v>
      </c>
      <c r="L76">
        <f>K76+M76+O76</f>
        <v>5710.2560000000003</v>
      </c>
      <c r="Q76" t="s">
        <v>146</v>
      </c>
      <c r="R76">
        <v>5710.2560000000003</v>
      </c>
      <c r="T76">
        <f>SUM(K76,M76,O76)</f>
        <v>5710.2560000000003</v>
      </c>
    </row>
    <row r="77" spans="1:20" x14ac:dyDescent="0.35">
      <c r="A77">
        <v>4066</v>
      </c>
      <c r="B77" s="1">
        <v>37621</v>
      </c>
      <c r="C77">
        <v>2002</v>
      </c>
      <c r="D77">
        <v>681919106</v>
      </c>
      <c r="E77" t="s">
        <v>17</v>
      </c>
      <c r="F77" t="str">
        <f t="shared" si="10"/>
        <v>29989_2002</v>
      </c>
      <c r="G77" s="2" t="str">
        <f t="shared" si="11"/>
        <v>extracted_filing/29989_2002_10-K.html</v>
      </c>
      <c r="H77" s="2" t="str">
        <f t="shared" si="12"/>
        <v>extracted_filing/29989_2002_10-K.txt</v>
      </c>
      <c r="I77" s="2" t="str">
        <f t="shared" si="13"/>
        <v>https://www.sec.gov/cgi-bin/browse-edgar?action=getcompany&amp;CIK=29989&amp;type=10-K&amp;dateb=20080101&amp;owner=exclude&amp;count=40&amp;search_text=</v>
      </c>
      <c r="J77">
        <v>29989</v>
      </c>
      <c r="K77">
        <v>6281.8649999999998</v>
      </c>
      <c r="L77">
        <f>K77+M77+O77</f>
        <v>6281.8649999999998</v>
      </c>
      <c r="Q77" t="s">
        <v>146</v>
      </c>
      <c r="R77">
        <v>6281.8649999999998</v>
      </c>
      <c r="T77">
        <f>SUM(K77,M77,O77)</f>
        <v>6281.8649999999998</v>
      </c>
    </row>
    <row r="78" spans="1:20" x14ac:dyDescent="0.35">
      <c r="A78">
        <v>4066</v>
      </c>
      <c r="B78" s="1">
        <v>37986</v>
      </c>
      <c r="C78">
        <v>2003</v>
      </c>
      <c r="D78">
        <v>681919106</v>
      </c>
      <c r="E78" t="s">
        <v>17</v>
      </c>
      <c r="F78" t="str">
        <f t="shared" si="10"/>
        <v>29989_2003</v>
      </c>
      <c r="G78" s="2" t="str">
        <f t="shared" si="11"/>
        <v>extracted_filing/29989_2003_10-K.html</v>
      </c>
      <c r="H78" s="2" t="str">
        <f t="shared" si="12"/>
        <v>extracted_filing/29989_2003_10-K.txt</v>
      </c>
      <c r="I78" s="2" t="str">
        <f t="shared" si="13"/>
        <v>https://www.sec.gov/cgi-bin/browse-edgar?action=getcompany&amp;CIK=29989&amp;type=10-K&amp;dateb=20080101&amp;owner=exclude&amp;count=40&amp;search_text=</v>
      </c>
      <c r="J78">
        <v>29989</v>
      </c>
      <c r="K78">
        <v>7332.335</v>
      </c>
      <c r="L78">
        <f>K78+M78+O78</f>
        <v>7332.335</v>
      </c>
      <c r="Q78" t="s">
        <v>146</v>
      </c>
      <c r="R78">
        <v>7332.335</v>
      </c>
      <c r="T78">
        <f>SUM(K78,M78,O78)</f>
        <v>7332.335</v>
      </c>
    </row>
    <row r="79" spans="1:20" x14ac:dyDescent="0.35">
      <c r="A79">
        <v>4066</v>
      </c>
      <c r="B79" s="1">
        <v>38352</v>
      </c>
      <c r="C79">
        <v>2004</v>
      </c>
      <c r="D79">
        <v>681919106</v>
      </c>
      <c r="E79" t="s">
        <v>17</v>
      </c>
      <c r="F79" t="str">
        <f t="shared" si="10"/>
        <v>29989_2004</v>
      </c>
      <c r="G79" s="2" t="str">
        <f t="shared" si="11"/>
        <v>extracted_filing/29989_2004_10-K.html</v>
      </c>
      <c r="H79" s="2" t="str">
        <f t="shared" si="12"/>
        <v>extracted_filing/29989_2004_10-K.txt</v>
      </c>
      <c r="I79" s="2" t="str">
        <f t="shared" si="13"/>
        <v>https://www.sec.gov/cgi-bin/browse-edgar?action=getcompany&amp;CIK=29989&amp;type=10-K&amp;dateb=20080101&amp;owner=exclude&amp;count=40&amp;search_text=</v>
      </c>
      <c r="J79">
        <v>29989</v>
      </c>
      <c r="K79">
        <v>8414.5</v>
      </c>
      <c r="L79">
        <f>K79+M79+O79</f>
        <v>8414.5</v>
      </c>
      <c r="Q79" t="s">
        <v>146</v>
      </c>
      <c r="R79">
        <v>8414.5</v>
      </c>
      <c r="T79">
        <f>SUM(K79,M79,O79)</f>
        <v>8414.5</v>
      </c>
    </row>
    <row r="80" spans="1:20" x14ac:dyDescent="0.35">
      <c r="A80">
        <v>4066</v>
      </c>
      <c r="B80" s="1">
        <v>38717</v>
      </c>
      <c r="C80">
        <v>2005</v>
      </c>
      <c r="D80">
        <v>681919106</v>
      </c>
      <c r="E80" t="s">
        <v>17</v>
      </c>
      <c r="F80" t="str">
        <f t="shared" si="10"/>
        <v>29989_2005</v>
      </c>
      <c r="G80" s="2" t="str">
        <f t="shared" si="11"/>
        <v>extracted_filing/29989_2005_10-K.html</v>
      </c>
      <c r="H80" s="2" t="str">
        <f t="shared" si="12"/>
        <v>extracted_filing/29989_2005_10-K.txt</v>
      </c>
      <c r="I80" s="2" t="str">
        <f t="shared" si="13"/>
        <v>https://www.sec.gov/cgi-bin/browse-edgar?action=getcompany&amp;CIK=29989&amp;type=10-K&amp;dateb=20080101&amp;owner=exclude&amp;count=40&amp;search_text=</v>
      </c>
      <c r="J80">
        <v>29989</v>
      </c>
      <c r="K80">
        <v>8973</v>
      </c>
      <c r="L80">
        <f>K80+M80+O80</f>
        <v>8973</v>
      </c>
      <c r="Q80" t="s">
        <v>146</v>
      </c>
      <c r="R80">
        <v>8973</v>
      </c>
      <c r="T80">
        <f>SUM(K80,M80,O80)</f>
        <v>8973</v>
      </c>
    </row>
    <row r="81" spans="1:21" x14ac:dyDescent="0.35">
      <c r="A81">
        <v>4066</v>
      </c>
      <c r="B81" s="1">
        <v>39082</v>
      </c>
      <c r="C81">
        <v>2006</v>
      </c>
      <c r="D81">
        <v>681919106</v>
      </c>
      <c r="E81" t="s">
        <v>17</v>
      </c>
      <c r="F81" t="str">
        <f t="shared" si="10"/>
        <v>29989_2006</v>
      </c>
      <c r="G81" s="2" t="str">
        <f t="shared" si="11"/>
        <v>extracted_filing/29989_2006_10-K.html</v>
      </c>
      <c r="H81" s="2" t="str">
        <f t="shared" si="12"/>
        <v>extracted_filing/29989_2006_10-K.txt</v>
      </c>
      <c r="I81" s="2" t="str">
        <f t="shared" si="13"/>
        <v>https://www.sec.gov/cgi-bin/browse-edgar?action=getcompany&amp;CIK=29989&amp;type=10-K&amp;dateb=20080101&amp;owner=exclude&amp;count=40&amp;search_text=</v>
      </c>
      <c r="J81">
        <v>29989</v>
      </c>
      <c r="K81">
        <v>9702.9</v>
      </c>
      <c r="L81">
        <f>K81+M81+O81</f>
        <v>9702.9</v>
      </c>
      <c r="Q81" t="s">
        <v>146</v>
      </c>
      <c r="R81">
        <v>9702.9</v>
      </c>
      <c r="T81">
        <f>SUM(K81,M81,O81)</f>
        <v>9702.9</v>
      </c>
    </row>
    <row r="82" spans="1:21" x14ac:dyDescent="0.35">
      <c r="A82">
        <v>4418</v>
      </c>
      <c r="B82" s="1">
        <v>36738</v>
      </c>
      <c r="C82">
        <v>2000</v>
      </c>
      <c r="D82">
        <v>294100102</v>
      </c>
      <c r="E82" t="s">
        <v>18</v>
      </c>
      <c r="F82" t="str">
        <f t="shared" si="10"/>
        <v>316253_2000</v>
      </c>
      <c r="G82" s="2" t="str">
        <f t="shared" si="11"/>
        <v>extracted_filing/316253_2000_10-K.html</v>
      </c>
      <c r="H82" s="2" t="str">
        <f t="shared" si="12"/>
        <v>extracted_filing/316253_2000_10-K.txt</v>
      </c>
      <c r="I82" s="2" t="str">
        <f t="shared" si="13"/>
        <v>https://www.sec.gov/cgi-bin/browse-edgar?action=getcompany&amp;CIK=316253&amp;type=10-K&amp;dateb=20080101&amp;owner=exclude&amp;count=40&amp;search_text=</v>
      </c>
      <c r="J82">
        <v>316253</v>
      </c>
      <c r="K82" s="3">
        <f>7.522+8.505-0.832</f>
        <v>15.195</v>
      </c>
      <c r="L82">
        <f>K82+M82+O82</f>
        <v>32.817</v>
      </c>
      <c r="M82" s="3">
        <f>3.241+8.951</f>
        <v>12.192</v>
      </c>
      <c r="N82">
        <f>M82</f>
        <v>12.192</v>
      </c>
      <c r="O82" s="3">
        <v>5.43</v>
      </c>
      <c r="P82">
        <v>5.43</v>
      </c>
      <c r="Q82" t="s">
        <v>121</v>
      </c>
      <c r="R82">
        <v>43.741999999999997</v>
      </c>
      <c r="T82" s="4">
        <f>SUM(K82,M82,O82)</f>
        <v>32.817</v>
      </c>
      <c r="U82">
        <f>SUM(R82:S82)</f>
        <v>43.741999999999997</v>
      </c>
    </row>
    <row r="83" spans="1:21" x14ac:dyDescent="0.35">
      <c r="A83">
        <v>4418</v>
      </c>
      <c r="B83" s="1">
        <v>37103</v>
      </c>
      <c r="C83">
        <v>2001</v>
      </c>
      <c r="D83">
        <v>294100102</v>
      </c>
      <c r="E83" t="s">
        <v>18</v>
      </c>
      <c r="F83" t="str">
        <f t="shared" si="10"/>
        <v>316253_2001</v>
      </c>
      <c r="G83" s="2" t="str">
        <f t="shared" si="11"/>
        <v>extracted_filing/316253_2001_10-K.html</v>
      </c>
      <c r="H83" s="2" t="str">
        <f t="shared" si="12"/>
        <v>extracted_filing/316253_2001_10-K.txt</v>
      </c>
      <c r="I83" s="2" t="str">
        <f t="shared" si="13"/>
        <v>https://www.sec.gov/cgi-bin/browse-edgar?action=getcompany&amp;CIK=316253&amp;type=10-K&amp;dateb=20080101&amp;owner=exclude&amp;count=40&amp;search_text=</v>
      </c>
      <c r="J83">
        <v>316253</v>
      </c>
      <c r="K83" s="3">
        <f t="shared" ref="K83:K85" si="14">R83</f>
        <v>15.922000000000001</v>
      </c>
      <c r="L83">
        <f>K83+M83+O83</f>
        <v>35.676000000000002</v>
      </c>
      <c r="M83" s="3">
        <f>3.856+9.818</f>
        <v>13.673999999999999</v>
      </c>
      <c r="N83">
        <f t="shared" ref="N83:N88" si="15">M83</f>
        <v>13.673999999999999</v>
      </c>
      <c r="O83" s="3">
        <v>6.08</v>
      </c>
      <c r="P83">
        <v>6.08</v>
      </c>
      <c r="Q83" t="s">
        <v>104</v>
      </c>
      <c r="R83">
        <v>15.922000000000001</v>
      </c>
      <c r="S83">
        <v>31.754000000000001</v>
      </c>
      <c r="T83" s="4">
        <f>SUM(K83,M83,O83)</f>
        <v>35.676000000000002</v>
      </c>
      <c r="U83">
        <f t="shared" ref="U83:U87" si="16">SUM(R83:S83)</f>
        <v>47.676000000000002</v>
      </c>
    </row>
    <row r="84" spans="1:21" x14ac:dyDescent="0.35">
      <c r="A84">
        <v>4418</v>
      </c>
      <c r="B84" s="1">
        <v>37468</v>
      </c>
      <c r="C84">
        <v>2002</v>
      </c>
      <c r="D84">
        <v>294100102</v>
      </c>
      <c r="E84" t="s">
        <v>18</v>
      </c>
      <c r="F84" t="str">
        <f t="shared" si="10"/>
        <v>316253_2002</v>
      </c>
      <c r="G84" s="2" t="str">
        <f t="shared" si="11"/>
        <v>extracted_filing/316253_2002_10-K.html</v>
      </c>
      <c r="H84" s="2" t="str">
        <f t="shared" si="12"/>
        <v>extracted_filing/316253_2002_10-K.txt</v>
      </c>
      <c r="I84" s="2" t="str">
        <f t="shared" si="13"/>
        <v>https://www.sec.gov/cgi-bin/browse-edgar?action=getcompany&amp;CIK=316253&amp;type=10-K&amp;dateb=20080101&amp;owner=exclude&amp;count=40&amp;search_text=</v>
      </c>
      <c r="J84">
        <v>316253</v>
      </c>
      <c r="K84" s="3">
        <f t="shared" si="14"/>
        <v>9.4860000000000007</v>
      </c>
      <c r="L84">
        <f>K84+M84+O84</f>
        <v>29.475000000000001</v>
      </c>
      <c r="M84" s="3">
        <f>4.342+9.469</f>
        <v>13.811</v>
      </c>
      <c r="N84">
        <f t="shared" si="15"/>
        <v>13.811</v>
      </c>
      <c r="O84" s="3">
        <f>6.178</f>
        <v>6.1779999999999999</v>
      </c>
      <c r="P84">
        <f>6.178</f>
        <v>6.1779999999999999</v>
      </c>
      <c r="Q84" t="s">
        <v>104</v>
      </c>
      <c r="R84">
        <v>9.4860000000000007</v>
      </c>
      <c r="S84">
        <v>34.179000000000002</v>
      </c>
      <c r="T84" s="4">
        <f>SUM(K84,M84,O84)</f>
        <v>29.475000000000001</v>
      </c>
      <c r="U84">
        <f t="shared" si="16"/>
        <v>43.665000000000006</v>
      </c>
    </row>
    <row r="85" spans="1:21" x14ac:dyDescent="0.35">
      <c r="A85">
        <v>4418</v>
      </c>
      <c r="B85" s="1">
        <v>37833</v>
      </c>
      <c r="C85">
        <v>2003</v>
      </c>
      <c r="D85">
        <v>294100102</v>
      </c>
      <c r="E85" t="s">
        <v>18</v>
      </c>
      <c r="F85" t="str">
        <f t="shared" si="10"/>
        <v>316253_2003</v>
      </c>
      <c r="G85" s="2" t="str">
        <f t="shared" si="11"/>
        <v>extracted_filing/316253_2003_10-K.html</v>
      </c>
      <c r="H85" s="2" t="str">
        <f t="shared" si="12"/>
        <v>extracted_filing/316253_2003_10-K.txt</v>
      </c>
      <c r="I85" s="2" t="str">
        <f t="shared" si="13"/>
        <v>https://www.sec.gov/cgi-bin/browse-edgar?action=getcompany&amp;CIK=316253&amp;type=10-K&amp;dateb=20080101&amp;owner=exclude&amp;count=40&amp;search_text=</v>
      </c>
      <c r="J85">
        <v>316253</v>
      </c>
      <c r="K85" s="3">
        <f t="shared" si="14"/>
        <v>10.724</v>
      </c>
      <c r="L85">
        <f>K85+M85+O85</f>
        <v>32.332000000000001</v>
      </c>
      <c r="M85" s="3">
        <f>4.706+8.591</f>
        <v>13.297000000000001</v>
      </c>
      <c r="N85">
        <f t="shared" si="15"/>
        <v>13.297000000000001</v>
      </c>
      <c r="O85" s="3">
        <v>8.3109999999999999</v>
      </c>
      <c r="P85">
        <v>8.3109999999999999</v>
      </c>
      <c r="Q85" t="s">
        <v>104</v>
      </c>
      <c r="R85">
        <v>10.724</v>
      </c>
      <c r="S85">
        <v>36.615000000000002</v>
      </c>
      <c r="T85" s="4">
        <f>SUM(K85,M85,O85)</f>
        <v>32.332000000000001</v>
      </c>
      <c r="U85">
        <f t="shared" si="16"/>
        <v>47.338999999999999</v>
      </c>
    </row>
    <row r="86" spans="1:21" x14ac:dyDescent="0.35">
      <c r="A86">
        <v>4418</v>
      </c>
      <c r="B86" s="1">
        <v>38199</v>
      </c>
      <c r="C86">
        <v>2004</v>
      </c>
      <c r="D86">
        <v>294100102</v>
      </c>
      <c r="E86" t="s">
        <v>18</v>
      </c>
      <c r="F86" t="str">
        <f t="shared" si="10"/>
        <v>316253_2004</v>
      </c>
      <c r="G86" s="2" t="str">
        <f t="shared" si="11"/>
        <v>extracted_filing/316253_2004_10-K.html</v>
      </c>
      <c r="H86" s="2" t="str">
        <f t="shared" si="12"/>
        <v>extracted_filing/316253_2004_10-K.txt</v>
      </c>
      <c r="I86" s="2" t="str">
        <f t="shared" si="13"/>
        <v>https://www.sec.gov/cgi-bin/browse-edgar?action=getcompany&amp;CIK=316253&amp;type=10-K&amp;dateb=20080101&amp;owner=exclude&amp;count=40&amp;search_text=</v>
      </c>
      <c r="J86">
        <v>316253</v>
      </c>
      <c r="K86" s="3">
        <f>R86</f>
        <v>12.028</v>
      </c>
      <c r="L86">
        <f>K86+M86+O86</f>
        <v>38.379999999999995</v>
      </c>
      <c r="M86" s="3">
        <f>11.986+10.032</f>
        <v>22.018000000000001</v>
      </c>
      <c r="N86">
        <f t="shared" si="15"/>
        <v>22.018000000000001</v>
      </c>
      <c r="O86" s="3">
        <v>4.3339999999999996</v>
      </c>
      <c r="P86">
        <v>4.3339999999999996</v>
      </c>
      <c r="Q86" t="s">
        <v>104</v>
      </c>
      <c r="R86">
        <v>12.028</v>
      </c>
      <c r="S86">
        <v>40.771999999999998</v>
      </c>
      <c r="T86" s="4">
        <f>SUM(K86,M86,O86)</f>
        <v>38.379999999999995</v>
      </c>
      <c r="U86">
        <f t="shared" si="16"/>
        <v>52.8</v>
      </c>
    </row>
    <row r="87" spans="1:21" x14ac:dyDescent="0.35">
      <c r="A87">
        <v>4418</v>
      </c>
      <c r="B87" s="1">
        <v>38564</v>
      </c>
      <c r="C87">
        <v>2005</v>
      </c>
      <c r="D87">
        <v>294100102</v>
      </c>
      <c r="E87" t="s">
        <v>18</v>
      </c>
      <c r="F87" t="str">
        <f t="shared" si="10"/>
        <v>316253_2005</v>
      </c>
      <c r="G87" s="2" t="str">
        <f t="shared" si="11"/>
        <v>extracted_filing/316253_2005_10-K.html</v>
      </c>
      <c r="H87" s="2" t="str">
        <f t="shared" si="12"/>
        <v>extracted_filing/316253_2005_10-K.txt</v>
      </c>
      <c r="I87" s="2" t="str">
        <f t="shared" si="13"/>
        <v>https://www.sec.gov/cgi-bin/browse-edgar?action=getcompany&amp;CIK=316253&amp;type=10-K&amp;dateb=20080101&amp;owner=exclude&amp;count=40&amp;search_text=</v>
      </c>
      <c r="J87">
        <v>316253</v>
      </c>
      <c r="K87" s="3">
        <f>2.196+12.547-1.02</f>
        <v>13.723000000000001</v>
      </c>
      <c r="L87">
        <f>K87+M87+O87</f>
        <v>42.244</v>
      </c>
      <c r="M87" s="3">
        <v>20.068999999999999</v>
      </c>
      <c r="N87">
        <f t="shared" si="15"/>
        <v>20.068999999999999</v>
      </c>
      <c r="O87" s="3">
        <v>8.452</v>
      </c>
      <c r="P87">
        <v>8.452</v>
      </c>
      <c r="Q87" t="s">
        <v>104</v>
      </c>
      <c r="R87">
        <v>13.725</v>
      </c>
      <c r="S87">
        <v>38.963999999999999</v>
      </c>
      <c r="T87" s="4">
        <f>SUM(K87,M87,O87)</f>
        <v>42.244</v>
      </c>
      <c r="U87">
        <f t="shared" si="16"/>
        <v>52.689</v>
      </c>
    </row>
    <row r="88" spans="1:21" x14ac:dyDescent="0.35">
      <c r="A88">
        <v>4418</v>
      </c>
      <c r="B88" s="1">
        <v>38929</v>
      </c>
      <c r="C88">
        <v>2006</v>
      </c>
      <c r="D88">
        <v>294100102</v>
      </c>
      <c r="E88" t="s">
        <v>18</v>
      </c>
      <c r="F88" t="str">
        <f t="shared" si="10"/>
        <v>316253_2006</v>
      </c>
      <c r="G88" s="2" t="str">
        <f t="shared" si="11"/>
        <v>extracted_filing/316253_2006_10-K.html</v>
      </c>
      <c r="H88" s="2" t="str">
        <f t="shared" si="12"/>
        <v>extracted_filing/316253_2006_10-K.txt</v>
      </c>
      <c r="I88" s="2" t="str">
        <f t="shared" si="13"/>
        <v>https://www.sec.gov/cgi-bin/browse-edgar?action=getcompany&amp;CIK=316253&amp;type=10-K&amp;dateb=20080101&amp;owner=exclude&amp;count=40&amp;search_text=</v>
      </c>
      <c r="J88">
        <v>316253</v>
      </c>
      <c r="K88" s="3">
        <f>2.174+13.817-1.049</f>
        <v>14.942</v>
      </c>
      <c r="L88">
        <f>K88+M88+O88</f>
        <v>47.808999999999997</v>
      </c>
      <c r="M88" s="3">
        <f>24.971</f>
        <v>24.971</v>
      </c>
      <c r="N88">
        <f t="shared" si="15"/>
        <v>24.971</v>
      </c>
      <c r="O88" s="3">
        <v>7.8959999999999999</v>
      </c>
      <c r="P88">
        <v>7.8959999999999999</v>
      </c>
      <c r="Q88" t="s">
        <v>104</v>
      </c>
      <c r="R88">
        <v>15.042</v>
      </c>
      <c r="S88">
        <v>43.887999999999998</v>
      </c>
      <c r="T88" s="4">
        <f>SUM(K88,M88,O88)</f>
        <v>47.808999999999997</v>
      </c>
      <c r="U88">
        <f>SUM(R88:S88)</f>
        <v>58.93</v>
      </c>
    </row>
    <row r="89" spans="1:21" x14ac:dyDescent="0.35">
      <c r="A89">
        <v>4494</v>
      </c>
      <c r="B89" s="1">
        <v>35795</v>
      </c>
      <c r="C89">
        <v>1997</v>
      </c>
      <c r="D89">
        <v>302130109</v>
      </c>
      <c r="E89" t="s">
        <v>19</v>
      </c>
      <c r="F89" t="str">
        <f t="shared" si="10"/>
        <v>746515_1997</v>
      </c>
      <c r="G89" s="2" t="str">
        <f t="shared" si="11"/>
        <v>extracted_filing/746515_1997_10-K.html</v>
      </c>
      <c r="H89" s="2" t="str">
        <f t="shared" si="12"/>
        <v>extracted_filing/746515_1997_10-K.txt</v>
      </c>
      <c r="I89" s="2" t="str">
        <f t="shared" si="13"/>
        <v>https://www.sec.gov/cgi-bin/browse-edgar?action=getcompany&amp;CIK=746515&amp;type=10-K&amp;dateb=20080101&amp;owner=exclude&amp;count=40&amp;search_text=</v>
      </c>
      <c r="J89">
        <v>746515</v>
      </c>
      <c r="K89">
        <v>882.428</v>
      </c>
      <c r="L89">
        <f>K89+M89+O89</f>
        <v>882.428</v>
      </c>
      <c r="Q89" t="s">
        <v>82</v>
      </c>
      <c r="R89">
        <v>882.428</v>
      </c>
      <c r="T89">
        <f>SUM(K89,M89,O89)</f>
        <v>882.428</v>
      </c>
    </row>
    <row r="90" spans="1:21" x14ac:dyDescent="0.35">
      <c r="A90">
        <v>4494</v>
      </c>
      <c r="B90" s="1">
        <v>36160</v>
      </c>
      <c r="C90">
        <v>1998</v>
      </c>
      <c r="D90">
        <v>302130109</v>
      </c>
      <c r="E90" t="s">
        <v>19</v>
      </c>
      <c r="F90" t="str">
        <f t="shared" si="10"/>
        <v>746515_1998</v>
      </c>
      <c r="G90" s="2" t="str">
        <f t="shared" si="11"/>
        <v>extracted_filing/746515_1998_10-K.html</v>
      </c>
      <c r="H90" s="2" t="str">
        <f t="shared" si="12"/>
        <v>extracted_filing/746515_1998_10-K.txt</v>
      </c>
      <c r="I90" s="2" t="str">
        <f t="shared" si="13"/>
        <v>https://www.sec.gov/cgi-bin/browse-edgar?action=getcompany&amp;CIK=746515&amp;type=10-K&amp;dateb=20080101&amp;owner=exclude&amp;count=40&amp;search_text=</v>
      </c>
      <c r="J90">
        <v>746515</v>
      </c>
      <c r="K90">
        <v>974.25199999999995</v>
      </c>
      <c r="L90">
        <f>K90+M90+O90</f>
        <v>974.25199999999995</v>
      </c>
      <c r="Q90" t="s">
        <v>82</v>
      </c>
      <c r="R90">
        <v>974.25199999999995</v>
      </c>
      <c r="T90">
        <f>SUM(K90,M90,O90)</f>
        <v>974.25199999999995</v>
      </c>
    </row>
    <row r="91" spans="1:21" x14ac:dyDescent="0.35">
      <c r="A91">
        <v>4494</v>
      </c>
      <c r="B91" s="1">
        <v>36525</v>
      </c>
      <c r="C91">
        <v>1999</v>
      </c>
      <c r="D91">
        <v>302130109</v>
      </c>
      <c r="E91" t="s">
        <v>19</v>
      </c>
      <c r="F91" t="str">
        <f t="shared" si="10"/>
        <v>746515_1999</v>
      </c>
      <c r="G91" s="2" t="str">
        <f t="shared" si="11"/>
        <v>extracted_filing/746515_1999_10-K.html</v>
      </c>
      <c r="H91" s="2" t="str">
        <f t="shared" si="12"/>
        <v>extracted_filing/746515_1999_10-K.txt</v>
      </c>
      <c r="I91" s="2" t="str">
        <f t="shared" si="13"/>
        <v>https://www.sec.gov/cgi-bin/browse-edgar?action=getcompany&amp;CIK=746515&amp;type=10-K&amp;dateb=20080101&amp;owner=exclude&amp;count=40&amp;search_text=</v>
      </c>
      <c r="J91">
        <v>746515</v>
      </c>
      <c r="K91">
        <v>1329.6849999999999</v>
      </c>
      <c r="L91">
        <f>K91+M91+O91</f>
        <v>1329.6849999999999</v>
      </c>
      <c r="Q91" t="s">
        <v>82</v>
      </c>
      <c r="R91">
        <v>1329.6849999999999</v>
      </c>
      <c r="T91">
        <f>SUM(K91,M91,O91)</f>
        <v>1329.6849999999999</v>
      </c>
    </row>
    <row r="92" spans="1:21" x14ac:dyDescent="0.35">
      <c r="A92">
        <v>4494</v>
      </c>
      <c r="B92" s="1">
        <v>36891</v>
      </c>
      <c r="C92">
        <v>2000</v>
      </c>
      <c r="D92">
        <v>302130109</v>
      </c>
      <c r="E92" t="s">
        <v>19</v>
      </c>
      <c r="F92" t="str">
        <f t="shared" si="10"/>
        <v>746515_2000</v>
      </c>
      <c r="G92" s="2" t="str">
        <f t="shared" si="11"/>
        <v>extracted_filing/746515_2000_10-K.html</v>
      </c>
      <c r="H92" s="2" t="str">
        <f t="shared" si="12"/>
        <v>extracted_filing/746515_2000_10-K.txt</v>
      </c>
      <c r="I92" s="2" t="str">
        <f t="shared" si="13"/>
        <v>https://www.sec.gov/cgi-bin/browse-edgar?action=getcompany&amp;CIK=746515&amp;type=10-K&amp;dateb=20080101&amp;owner=exclude&amp;count=40&amp;search_text=</v>
      </c>
      <c r="J92">
        <v>746515</v>
      </c>
      <c r="K92">
        <v>1544.2560000000001</v>
      </c>
      <c r="L92">
        <f>K92+M92+O92</f>
        <v>1544.2560000000001</v>
      </c>
      <c r="Q92" t="s">
        <v>82</v>
      </c>
      <c r="R92">
        <v>1544.2560000000001</v>
      </c>
      <c r="T92">
        <f>SUM(K92,M92,O92)</f>
        <v>1544.2560000000001</v>
      </c>
    </row>
    <row r="93" spans="1:21" x14ac:dyDescent="0.35">
      <c r="A93">
        <v>4494</v>
      </c>
      <c r="B93" s="1">
        <v>37256</v>
      </c>
      <c r="C93">
        <v>2001</v>
      </c>
      <c r="D93">
        <v>302130109</v>
      </c>
      <c r="E93" t="s">
        <v>19</v>
      </c>
      <c r="F93" t="str">
        <f t="shared" si="10"/>
        <v>746515_2001</v>
      </c>
      <c r="G93" s="2" t="str">
        <f t="shared" si="11"/>
        <v>extracted_filing/746515_2001_10-K.html</v>
      </c>
      <c r="H93" s="2" t="str">
        <f t="shared" si="12"/>
        <v>extracted_filing/746515_2001_10-K.txt</v>
      </c>
      <c r="I93" s="2" t="str">
        <f t="shared" si="13"/>
        <v>https://www.sec.gov/cgi-bin/browse-edgar?action=getcompany&amp;CIK=746515&amp;type=10-K&amp;dateb=20080101&amp;owner=exclude&amp;count=40&amp;search_text=</v>
      </c>
      <c r="J93">
        <v>746515</v>
      </c>
      <c r="K93">
        <v>1481.998</v>
      </c>
      <c r="L93">
        <f>K93+M93+O93</f>
        <v>1481.998</v>
      </c>
      <c r="Q93" t="s">
        <v>82</v>
      </c>
      <c r="R93">
        <v>1481.998</v>
      </c>
      <c r="T93">
        <f>SUM(K93,M93,O93)</f>
        <v>1481.998</v>
      </c>
    </row>
    <row r="94" spans="1:21" x14ac:dyDescent="0.35">
      <c r="A94">
        <v>4494</v>
      </c>
      <c r="B94" s="1">
        <v>37621</v>
      </c>
      <c r="C94">
        <v>2002</v>
      </c>
      <c r="D94">
        <v>302130109</v>
      </c>
      <c r="E94" t="s">
        <v>19</v>
      </c>
      <c r="F94" t="str">
        <f t="shared" si="10"/>
        <v>746515_2002</v>
      </c>
      <c r="G94" s="2" t="str">
        <f t="shared" si="11"/>
        <v>extracted_filing/746515_2002_10-K.html</v>
      </c>
      <c r="H94" s="2" t="str">
        <f t="shared" si="12"/>
        <v>extracted_filing/746515_2002_10-K.txt</v>
      </c>
      <c r="I94" s="2" t="str">
        <f t="shared" si="13"/>
        <v>https://www.sec.gov/cgi-bin/browse-edgar?action=getcompany&amp;CIK=746515&amp;type=10-K&amp;dateb=20080101&amp;owner=exclude&amp;count=40&amp;search_text=</v>
      </c>
      <c r="J94">
        <v>746515</v>
      </c>
      <c r="K94">
        <v>2014.325</v>
      </c>
      <c r="L94">
        <f>K94+M94+O94</f>
        <v>2098.7190000000001</v>
      </c>
      <c r="M94" s="4">
        <v>84.394000000000005</v>
      </c>
      <c r="N94" s="4"/>
      <c r="Q94" t="s">
        <v>82</v>
      </c>
      <c r="R94">
        <v>2014.325</v>
      </c>
      <c r="S94" s="4">
        <v>84.394000000000005</v>
      </c>
      <c r="T94">
        <f>SUM(K94,M94,O94)</f>
        <v>2098.7190000000001</v>
      </c>
    </row>
    <row r="95" spans="1:21" x14ac:dyDescent="0.35">
      <c r="A95">
        <v>4494</v>
      </c>
      <c r="B95" s="1">
        <v>37986</v>
      </c>
      <c r="C95">
        <v>2003</v>
      </c>
      <c r="D95">
        <v>302130109</v>
      </c>
      <c r="E95" t="s">
        <v>19</v>
      </c>
      <c r="F95" t="str">
        <f t="shared" si="10"/>
        <v>746515_2003</v>
      </c>
      <c r="G95" s="2" t="str">
        <f t="shared" si="11"/>
        <v>extracted_filing/746515_2003_10-K.html</v>
      </c>
      <c r="H95" s="2" t="str">
        <f t="shared" si="12"/>
        <v>extracted_filing/746515_2003_10-K.txt</v>
      </c>
      <c r="I95" s="2" t="str">
        <f t="shared" si="13"/>
        <v>https://www.sec.gov/cgi-bin/browse-edgar?action=getcompany&amp;CIK=746515&amp;type=10-K&amp;dateb=20080101&amp;owner=exclude&amp;count=40&amp;search_text=</v>
      </c>
      <c r="J95">
        <v>746515</v>
      </c>
      <c r="K95">
        <v>2318.5819999999999</v>
      </c>
      <c r="L95">
        <f>K95+M95+O95</f>
        <v>2412.3629999999998</v>
      </c>
      <c r="M95" s="4">
        <v>93.781000000000006</v>
      </c>
      <c r="N95" s="4"/>
      <c r="Q95" t="s">
        <v>82</v>
      </c>
      <c r="R95">
        <v>2318.5819999999999</v>
      </c>
      <c r="S95" s="4">
        <v>93.781000000000006</v>
      </c>
      <c r="T95">
        <f>SUM(K95,M95,O95)</f>
        <v>2412.3629999999998</v>
      </c>
    </row>
    <row r="96" spans="1:21" x14ac:dyDescent="0.35">
      <c r="A96">
        <v>4494</v>
      </c>
      <c r="B96" s="1">
        <v>38352</v>
      </c>
      <c r="C96">
        <v>2004</v>
      </c>
      <c r="D96">
        <v>302130109</v>
      </c>
      <c r="E96" t="s">
        <v>19</v>
      </c>
      <c r="F96" t="str">
        <f t="shared" si="10"/>
        <v>746515_2004</v>
      </c>
      <c r="G96" s="2" t="str">
        <f t="shared" si="11"/>
        <v>extracted_filing/746515_2004_10-K.html</v>
      </c>
      <c r="H96" s="2" t="str">
        <f t="shared" si="12"/>
        <v>extracted_filing/746515_2004_10-K.txt</v>
      </c>
      <c r="I96" s="2" t="str">
        <f t="shared" si="13"/>
        <v>https://www.sec.gov/cgi-bin/browse-edgar?action=getcompany&amp;CIK=746515&amp;type=10-K&amp;dateb=20080101&amp;owner=exclude&amp;count=40&amp;search_text=</v>
      </c>
      <c r="J96">
        <v>746515</v>
      </c>
      <c r="K96">
        <v>2938.971</v>
      </c>
      <c r="L96">
        <f>K96+M96+O96</f>
        <v>3046.4760000000001</v>
      </c>
      <c r="M96" s="4">
        <v>107.505</v>
      </c>
      <c r="N96" s="4"/>
      <c r="Q96" t="s">
        <v>82</v>
      </c>
      <c r="R96">
        <v>2938.971</v>
      </c>
      <c r="S96" s="4">
        <v>107.505</v>
      </c>
      <c r="T96">
        <f>SUM(K96,M96,O96)</f>
        <v>3046.4760000000001</v>
      </c>
    </row>
    <row r="97" spans="1:21" x14ac:dyDescent="0.35">
      <c r="A97">
        <v>4494</v>
      </c>
      <c r="B97" s="1">
        <v>38717</v>
      </c>
      <c r="C97">
        <v>2005</v>
      </c>
      <c r="D97">
        <v>302130109</v>
      </c>
      <c r="E97" t="s">
        <v>19</v>
      </c>
      <c r="F97" t="str">
        <f t="shared" si="10"/>
        <v>746515_2005</v>
      </c>
      <c r="G97" s="2" t="str">
        <f t="shared" si="11"/>
        <v>extracted_filing/746515_2005_10-K.html</v>
      </c>
      <c r="H97" s="2" t="str">
        <f t="shared" si="12"/>
        <v>extracted_filing/746515_2005_10-K.txt</v>
      </c>
      <c r="I97" s="2" t="str">
        <f t="shared" si="13"/>
        <v>https://www.sec.gov/cgi-bin/browse-edgar?action=getcompany&amp;CIK=746515&amp;type=10-K&amp;dateb=20080101&amp;owner=exclude&amp;count=40&amp;search_text=</v>
      </c>
      <c r="J97">
        <v>746515</v>
      </c>
      <c r="K97">
        <v>3452.9050000000002</v>
      </c>
      <c r="L97">
        <f>K97+M97+O97</f>
        <v>3564.9610000000002</v>
      </c>
      <c r="M97" s="4">
        <v>112.056</v>
      </c>
      <c r="N97" s="4"/>
      <c r="Q97" t="s">
        <v>82</v>
      </c>
      <c r="R97">
        <v>3452.9050000000002</v>
      </c>
      <c r="S97" s="4">
        <v>112.056</v>
      </c>
      <c r="T97">
        <f>SUM(K97,M97,O97)</f>
        <v>3564.9610000000002</v>
      </c>
    </row>
    <row r="98" spans="1:21" x14ac:dyDescent="0.35">
      <c r="A98">
        <v>4494</v>
      </c>
      <c r="B98" s="1">
        <v>39082</v>
      </c>
      <c r="C98">
        <v>2006</v>
      </c>
      <c r="D98">
        <v>302130109</v>
      </c>
      <c r="E98" t="s">
        <v>19</v>
      </c>
      <c r="F98" t="str">
        <f t="shared" si="10"/>
        <v>746515_2006</v>
      </c>
      <c r="G98" s="2" t="str">
        <f t="shared" si="11"/>
        <v>extracted_filing/746515_2006_10-K.html</v>
      </c>
      <c r="H98" s="2" t="str">
        <f t="shared" si="12"/>
        <v>extracted_filing/746515_2006_10-K.txt</v>
      </c>
      <c r="I98" s="2" t="str">
        <f t="shared" si="13"/>
        <v>https://www.sec.gov/cgi-bin/browse-edgar?action=getcompany&amp;CIK=746515&amp;type=10-K&amp;dateb=20080101&amp;owner=exclude&amp;count=40&amp;search_text=</v>
      </c>
      <c r="J98">
        <v>746515</v>
      </c>
      <c r="K98">
        <v>4097.0879999999997</v>
      </c>
      <c r="L98">
        <f>K98+M98+O98</f>
        <v>4214.0329999999994</v>
      </c>
      <c r="M98" s="4">
        <v>116.94499999999999</v>
      </c>
      <c r="N98" s="4"/>
      <c r="Q98" t="s">
        <v>82</v>
      </c>
      <c r="R98">
        <v>4097.0879999999997</v>
      </c>
      <c r="S98" s="4">
        <v>116.94499999999999</v>
      </c>
      <c r="T98">
        <f>SUM(K98,M98,O98)</f>
        <v>4214.0329999999994</v>
      </c>
    </row>
    <row r="99" spans="1:21" x14ac:dyDescent="0.35">
      <c r="A99">
        <v>4843</v>
      </c>
      <c r="B99" s="1">
        <v>36981</v>
      </c>
      <c r="C99">
        <v>2000</v>
      </c>
      <c r="D99">
        <v>345838106</v>
      </c>
      <c r="E99" t="s">
        <v>20</v>
      </c>
      <c r="F99" t="str">
        <f t="shared" si="10"/>
        <v>38074_2000</v>
      </c>
      <c r="G99" s="2" t="str">
        <f t="shared" si="11"/>
        <v>extracted_filing/38074_2000_10-K.html</v>
      </c>
      <c r="H99" s="2" t="str">
        <f t="shared" si="12"/>
        <v>extracted_filing/38074_2000_10-K.txt</v>
      </c>
      <c r="I99" s="2" t="str">
        <f t="shared" si="13"/>
        <v>https://www.sec.gov/cgi-bin/browse-edgar?action=getcompany&amp;CIK=38074&amp;type=10-K&amp;dateb=20080101&amp;owner=exclude&amp;count=40&amp;search_text=</v>
      </c>
      <c r="J99">
        <v>38074</v>
      </c>
      <c r="K99" s="3">
        <f>284.079-10.623</f>
        <v>273.45600000000002</v>
      </c>
      <c r="L99">
        <f>K99+M99+O99</f>
        <v>895.82400000000007</v>
      </c>
      <c r="M99" s="3">
        <v>516.66200000000003</v>
      </c>
      <c r="N99">
        <f>M99</f>
        <v>516.66200000000003</v>
      </c>
      <c r="O99" s="3">
        <v>105.706</v>
      </c>
      <c r="P99">
        <v>105.706</v>
      </c>
      <c r="Q99" t="s">
        <v>121</v>
      </c>
      <c r="R99">
        <v>881.82399999999996</v>
      </c>
      <c r="T99" s="4">
        <f>SUM(K99,M99,O99)</f>
        <v>895.82400000000007</v>
      </c>
    </row>
    <row r="100" spans="1:21" x14ac:dyDescent="0.35">
      <c r="A100">
        <v>4843</v>
      </c>
      <c r="B100" s="1">
        <v>37346</v>
      </c>
      <c r="C100">
        <v>2001</v>
      </c>
      <c r="D100">
        <v>345838106</v>
      </c>
      <c r="E100" t="s">
        <v>20</v>
      </c>
      <c r="F100" t="str">
        <f t="shared" si="10"/>
        <v>38074_2001</v>
      </c>
      <c r="G100" s="2" t="str">
        <f t="shared" si="11"/>
        <v>extracted_filing/38074_2001_10-K.html</v>
      </c>
      <c r="H100" s="2" t="str">
        <f t="shared" si="12"/>
        <v>extracted_filing/38074_2001_10-K.txt</v>
      </c>
      <c r="I100" s="2" t="str">
        <f t="shared" si="13"/>
        <v>https://www.sec.gov/cgi-bin/browse-edgar?action=getcompany&amp;CIK=38074&amp;type=10-K&amp;dateb=20080101&amp;owner=exclude&amp;count=40&amp;search_text=</v>
      </c>
      <c r="J100">
        <v>38074</v>
      </c>
      <c r="K100" s="3">
        <f t="shared" ref="K100:K103" si="17">R100</f>
        <v>356.74099999999999</v>
      </c>
      <c r="L100">
        <f>K100+M100+O100</f>
        <v>1117.326</v>
      </c>
      <c r="M100" s="3">
        <v>602.79100000000005</v>
      </c>
      <c r="N100">
        <f t="shared" ref="N100:N105" si="18">M100</f>
        <v>602.79100000000005</v>
      </c>
      <c r="O100" s="3">
        <v>157.79400000000001</v>
      </c>
      <c r="P100">
        <v>157.79400000000001</v>
      </c>
      <c r="Q100" t="s">
        <v>104</v>
      </c>
      <c r="R100">
        <v>356.74099999999999</v>
      </c>
      <c r="S100">
        <v>760.58500000000004</v>
      </c>
      <c r="T100" s="6">
        <f>SUM(K100,M100,O100)</f>
        <v>1117.326</v>
      </c>
      <c r="U100">
        <f t="shared" ref="U100:U104" si="19">SUM(R100:S100)</f>
        <v>1117.326</v>
      </c>
    </row>
    <row r="101" spans="1:21" x14ac:dyDescent="0.35">
      <c r="A101">
        <v>4843</v>
      </c>
      <c r="B101" s="1">
        <v>37711</v>
      </c>
      <c r="C101">
        <v>2002</v>
      </c>
      <c r="D101">
        <v>345838106</v>
      </c>
      <c r="E101" t="s">
        <v>20</v>
      </c>
      <c r="F101" t="str">
        <f t="shared" si="10"/>
        <v>38074_2002</v>
      </c>
      <c r="G101" s="2" t="str">
        <f t="shared" si="11"/>
        <v>extracted_filing/38074_2002_10-K.html</v>
      </c>
      <c r="H101" s="2" t="str">
        <f t="shared" si="12"/>
        <v>extracted_filing/38074_2002_10-K.txt</v>
      </c>
      <c r="I101" s="2" t="str">
        <f t="shared" si="13"/>
        <v>https://www.sec.gov/cgi-bin/browse-edgar?action=getcompany&amp;CIK=38074&amp;type=10-K&amp;dateb=20080101&amp;owner=exclude&amp;count=40&amp;search_text=</v>
      </c>
      <c r="J101">
        <v>38074</v>
      </c>
      <c r="K101" s="3">
        <f t="shared" si="17"/>
        <v>453.36099999999999</v>
      </c>
      <c r="L101">
        <f>K101+M101+O101</f>
        <v>1373.6760000000002</v>
      </c>
      <c r="M101" s="3">
        <v>715.43200000000002</v>
      </c>
      <c r="N101">
        <f t="shared" si="18"/>
        <v>715.43200000000002</v>
      </c>
      <c r="O101" s="3">
        <v>204.88300000000001</v>
      </c>
      <c r="P101">
        <v>204.88300000000001</v>
      </c>
      <c r="Q101" t="s">
        <v>104</v>
      </c>
      <c r="R101">
        <v>453.36099999999999</v>
      </c>
      <c r="S101">
        <v>920.31500000000005</v>
      </c>
      <c r="T101" s="6">
        <f>SUM(K101,M101,O101)</f>
        <v>1373.6760000000002</v>
      </c>
      <c r="U101">
        <f t="shared" si="19"/>
        <v>1373.6759999999999</v>
      </c>
    </row>
    <row r="102" spans="1:21" x14ac:dyDescent="0.35">
      <c r="A102">
        <v>4843</v>
      </c>
      <c r="B102" s="1">
        <v>38077</v>
      </c>
      <c r="C102">
        <v>2003</v>
      </c>
      <c r="D102">
        <v>345838106</v>
      </c>
      <c r="E102" t="s">
        <v>20</v>
      </c>
      <c r="F102" t="str">
        <f t="shared" si="10"/>
        <v>38074_2003</v>
      </c>
      <c r="G102" s="2" t="str">
        <f t="shared" si="11"/>
        <v>extracted_filing/38074_2003_10-K.html</v>
      </c>
      <c r="H102" s="2" t="str">
        <f t="shared" si="12"/>
        <v>extracted_filing/38074_2003_10-K.txt</v>
      </c>
      <c r="I102" s="2" t="str">
        <f t="shared" si="13"/>
        <v>https://www.sec.gov/cgi-bin/browse-edgar?action=getcompany&amp;CIK=38074&amp;type=10-K&amp;dateb=20080101&amp;owner=exclude&amp;count=40&amp;search_text=</v>
      </c>
      <c r="J102">
        <v>38074</v>
      </c>
      <c r="K102" s="3">
        <f t="shared" si="17"/>
        <v>548.91600000000005</v>
      </c>
      <c r="L102">
        <f>K102+M102+O102</f>
        <v>1683.894</v>
      </c>
      <c r="M102" s="3">
        <v>888.51700000000005</v>
      </c>
      <c r="N102">
        <f t="shared" si="18"/>
        <v>888.51700000000005</v>
      </c>
      <c r="O102" s="3">
        <v>246.46100000000001</v>
      </c>
      <c r="P102">
        <v>246.46100000000001</v>
      </c>
      <c r="Q102" t="s">
        <v>104</v>
      </c>
      <c r="R102">
        <v>548.91600000000005</v>
      </c>
      <c r="S102">
        <v>1122.433</v>
      </c>
      <c r="T102" s="4">
        <f>SUM(K102,M102,O102)</f>
        <v>1683.894</v>
      </c>
      <c r="U102">
        <f t="shared" si="19"/>
        <v>1671.3490000000002</v>
      </c>
    </row>
    <row r="103" spans="1:21" x14ac:dyDescent="0.35">
      <c r="A103">
        <v>4843</v>
      </c>
      <c r="B103" s="1">
        <v>38442</v>
      </c>
      <c r="C103">
        <v>2004</v>
      </c>
      <c r="D103">
        <v>345838106</v>
      </c>
      <c r="E103" t="s">
        <v>20</v>
      </c>
      <c r="F103" t="str">
        <f t="shared" si="10"/>
        <v>38074_2004</v>
      </c>
      <c r="G103" s="2" t="str">
        <f t="shared" si="11"/>
        <v>extracted_filing/38074_2004_10-K.html</v>
      </c>
      <c r="H103" s="2" t="str">
        <f t="shared" si="12"/>
        <v>extracted_filing/38074_2004_10-K.txt</v>
      </c>
      <c r="I103" s="2" t="str">
        <f t="shared" si="13"/>
        <v>https://www.sec.gov/cgi-bin/browse-edgar?action=getcompany&amp;CIK=38074&amp;type=10-K&amp;dateb=20080101&amp;owner=exclude&amp;count=40&amp;search_text=</v>
      </c>
      <c r="J103">
        <v>38074</v>
      </c>
      <c r="K103" s="3">
        <f t="shared" si="17"/>
        <v>630.86400000000003</v>
      </c>
      <c r="L103">
        <f>K103+M103+O103</f>
        <v>1918.2380000000003</v>
      </c>
      <c r="M103" s="3">
        <v>993.71500000000003</v>
      </c>
      <c r="N103">
        <f t="shared" si="18"/>
        <v>993.71500000000003</v>
      </c>
      <c r="O103" s="3">
        <v>293.65899999999999</v>
      </c>
      <c r="P103">
        <v>293.65899999999999</v>
      </c>
      <c r="Q103" t="s">
        <v>104</v>
      </c>
      <c r="R103">
        <v>630.86400000000003</v>
      </c>
      <c r="S103">
        <v>1287.374</v>
      </c>
      <c r="T103" s="6">
        <f>SUM(K103,M103,O103)</f>
        <v>1918.2380000000003</v>
      </c>
      <c r="U103">
        <f t="shared" si="19"/>
        <v>1918.2380000000001</v>
      </c>
    </row>
    <row r="104" spans="1:21" x14ac:dyDescent="0.35">
      <c r="A104">
        <v>4843</v>
      </c>
      <c r="B104" s="1">
        <v>38807</v>
      </c>
      <c r="C104">
        <v>2005</v>
      </c>
      <c r="D104">
        <v>345838106</v>
      </c>
      <c r="E104" t="s">
        <v>20</v>
      </c>
      <c r="F104" t="str">
        <f t="shared" si="10"/>
        <v>38074_2005</v>
      </c>
      <c r="G104" s="2" t="str">
        <f t="shared" si="11"/>
        <v>extracted_filing/38074_2005_10-K.html</v>
      </c>
      <c r="H104" s="2" t="str">
        <f t="shared" si="12"/>
        <v>extracted_filing/38074_2005_10-K.txt</v>
      </c>
      <c r="I104" s="2" t="str">
        <f t="shared" si="13"/>
        <v>https://www.sec.gov/cgi-bin/browse-edgar?action=getcompany&amp;CIK=38074&amp;type=10-K&amp;dateb=20080101&amp;owner=exclude&amp;count=40&amp;search_text=</v>
      </c>
      <c r="J104">
        <v>38074</v>
      </c>
      <c r="K104" s="3">
        <f>R104</f>
        <v>610.28399999999999</v>
      </c>
      <c r="L104">
        <f>K104+M104+O104</f>
        <v>2052.1660000000002</v>
      </c>
      <c r="M104" s="3">
        <v>1031.451</v>
      </c>
      <c r="N104">
        <f t="shared" si="18"/>
        <v>1031.451</v>
      </c>
      <c r="O104" s="3">
        <v>410.43099999999998</v>
      </c>
      <c r="P104">
        <v>410.43099999999998</v>
      </c>
      <c r="Q104" t="s">
        <v>104</v>
      </c>
      <c r="R104">
        <v>610.28399999999999</v>
      </c>
      <c r="S104">
        <v>1392.1790000000001</v>
      </c>
      <c r="T104" s="4">
        <f>SUM(K104,M104,O104)</f>
        <v>2052.1660000000002</v>
      </c>
      <c r="U104">
        <f t="shared" si="19"/>
        <v>2002.4630000000002</v>
      </c>
    </row>
    <row r="105" spans="1:21" x14ac:dyDescent="0.35">
      <c r="A105">
        <v>4843</v>
      </c>
      <c r="B105" s="1">
        <v>39172</v>
      </c>
      <c r="C105">
        <v>2006</v>
      </c>
      <c r="D105">
        <v>345838106</v>
      </c>
      <c r="E105" t="s">
        <v>20</v>
      </c>
      <c r="F105" t="str">
        <f t="shared" si="10"/>
        <v>38074_2006</v>
      </c>
      <c r="G105" s="2" t="str">
        <f t="shared" si="11"/>
        <v>extracted_filing/38074_2006_10-K.html</v>
      </c>
      <c r="H105" s="2" t="str">
        <f t="shared" si="12"/>
        <v>extracted_filing/38074_2006_10-K.txt</v>
      </c>
      <c r="I105" s="2" t="str">
        <f t="shared" si="13"/>
        <v>https://www.sec.gov/cgi-bin/browse-edgar?action=getcompany&amp;CIK=38074&amp;type=10-K&amp;dateb=20080101&amp;owner=exclude&amp;count=40&amp;search_text=</v>
      </c>
      <c r="J105">
        <v>38074</v>
      </c>
      <c r="K105" s="3">
        <f>745.602-45.444</f>
        <v>700.15800000000002</v>
      </c>
      <c r="L105">
        <f>K105+M105+O105</f>
        <v>2687.4970000000003</v>
      </c>
      <c r="M105" s="3">
        <v>1046.336</v>
      </c>
      <c r="N105">
        <f t="shared" si="18"/>
        <v>1046.336</v>
      </c>
      <c r="O105" s="3">
        <v>941.00300000000004</v>
      </c>
      <c r="P105">
        <v>941.00300000000004</v>
      </c>
      <c r="Q105" t="s">
        <v>104</v>
      </c>
      <c r="R105">
        <v>700.15800000000002</v>
      </c>
      <c r="S105">
        <v>1469.1669999999999</v>
      </c>
      <c r="T105" s="4">
        <f>SUM(K105,M105,O105)</f>
        <v>2687.4970000000003</v>
      </c>
      <c r="U105">
        <f>SUM(R105:S105)</f>
        <v>2169.3249999999998</v>
      </c>
    </row>
    <row r="106" spans="1:21" x14ac:dyDescent="0.35">
      <c r="A106">
        <v>5783</v>
      </c>
      <c r="B106" s="1">
        <v>35795</v>
      </c>
      <c r="C106">
        <v>1997</v>
      </c>
      <c r="D106">
        <v>445658107</v>
      </c>
      <c r="E106" t="s">
        <v>21</v>
      </c>
      <c r="F106" t="str">
        <f t="shared" si="10"/>
        <v>728535_1997</v>
      </c>
      <c r="G106" s="2" t="str">
        <f t="shared" si="11"/>
        <v>extracted_filing/728535_1997_10-K.html</v>
      </c>
      <c r="H106" s="2" t="str">
        <f t="shared" si="12"/>
        <v>extracted_filing/728535_1997_10-K.txt</v>
      </c>
      <c r="I106" s="2" t="str">
        <f t="shared" si="13"/>
        <v>https://www.sec.gov/cgi-bin/browse-edgar?action=getcompany&amp;CIK=728535&amp;type=10-K&amp;dateb=20080101&amp;owner=exclude&amp;count=40&amp;search_text=</v>
      </c>
      <c r="J106">
        <v>728535</v>
      </c>
      <c r="K106">
        <v>1380.721</v>
      </c>
      <c r="L106">
        <f>K106+M106+O106</f>
        <v>1380.721</v>
      </c>
      <c r="Q106" t="s">
        <v>82</v>
      </c>
      <c r="R106">
        <v>1380.721</v>
      </c>
      <c r="T106">
        <f>SUM(K106,M106,O106)</f>
        <v>1380.721</v>
      </c>
    </row>
    <row r="107" spans="1:21" x14ac:dyDescent="0.35">
      <c r="A107">
        <v>5783</v>
      </c>
      <c r="B107" s="1">
        <v>36160</v>
      </c>
      <c r="C107">
        <v>1998</v>
      </c>
      <c r="D107">
        <v>445658107</v>
      </c>
      <c r="E107" t="s">
        <v>21</v>
      </c>
      <c r="F107" t="str">
        <f t="shared" si="10"/>
        <v>728535_1998</v>
      </c>
      <c r="G107" s="2" t="str">
        <f t="shared" si="11"/>
        <v>extracted_filing/728535_1998_10-K.html</v>
      </c>
      <c r="H107" s="2" t="str">
        <f t="shared" si="12"/>
        <v>extracted_filing/728535_1998_10-K.txt</v>
      </c>
      <c r="I107" s="2" t="str">
        <f t="shared" si="13"/>
        <v>https://www.sec.gov/cgi-bin/browse-edgar?action=getcompany&amp;CIK=728535&amp;type=10-K&amp;dateb=20080101&amp;owner=exclude&amp;count=40&amp;search_text=</v>
      </c>
      <c r="J107">
        <v>728535</v>
      </c>
      <c r="K107">
        <v>1602.28</v>
      </c>
      <c r="L107">
        <f>K107+M107+O107</f>
        <v>1602.28</v>
      </c>
      <c r="Q107" t="s">
        <v>82</v>
      </c>
      <c r="R107">
        <v>1602.28</v>
      </c>
      <c r="T107">
        <f>SUM(K107,M107,O107)</f>
        <v>1602.28</v>
      </c>
    </row>
    <row r="108" spans="1:21" x14ac:dyDescent="0.35">
      <c r="A108">
        <v>5783</v>
      </c>
      <c r="B108" s="1">
        <v>36525</v>
      </c>
      <c r="C108">
        <v>1999</v>
      </c>
      <c r="D108">
        <v>445658107</v>
      </c>
      <c r="E108" t="s">
        <v>21</v>
      </c>
      <c r="F108" t="str">
        <f t="shared" si="10"/>
        <v>728535_1999</v>
      </c>
      <c r="G108" s="2" t="str">
        <f t="shared" si="11"/>
        <v>extracted_filing/728535_1999_10-K.html</v>
      </c>
      <c r="H108" s="2" t="str">
        <f t="shared" si="12"/>
        <v>extracted_filing/728535_1999_10-K.txt</v>
      </c>
      <c r="I108" s="2" t="str">
        <f t="shared" si="13"/>
        <v>https://www.sec.gov/cgi-bin/browse-edgar?action=getcompany&amp;CIK=728535&amp;type=10-K&amp;dateb=20080101&amp;owner=exclude&amp;count=40&amp;search_text=</v>
      </c>
      <c r="J108">
        <v>728535</v>
      </c>
      <c r="K108">
        <v>1817.826</v>
      </c>
      <c r="L108">
        <f>K108+M108+O108</f>
        <v>1817.826</v>
      </c>
      <c r="Q108" t="s">
        <v>82</v>
      </c>
      <c r="R108">
        <v>1817.826</v>
      </c>
      <c r="T108">
        <f>SUM(K108,M108,O108)</f>
        <v>1817.826</v>
      </c>
    </row>
    <row r="109" spans="1:21" x14ac:dyDescent="0.35">
      <c r="A109">
        <v>5783</v>
      </c>
      <c r="B109" s="1">
        <v>36891</v>
      </c>
      <c r="C109">
        <v>2000</v>
      </c>
      <c r="D109">
        <v>445658107</v>
      </c>
      <c r="E109" t="s">
        <v>21</v>
      </c>
      <c r="F109" t="str">
        <f t="shared" si="10"/>
        <v>728535_2000</v>
      </c>
      <c r="G109" s="2" t="str">
        <f t="shared" si="11"/>
        <v>extracted_filing/728535_2000_10-K.html</v>
      </c>
      <c r="H109" s="2" t="str">
        <f t="shared" si="12"/>
        <v>extracted_filing/728535_2000_10-K.txt</v>
      </c>
      <c r="I109" s="2" t="str">
        <f t="shared" si="13"/>
        <v>https://www.sec.gov/cgi-bin/browse-edgar?action=getcompany&amp;CIK=728535&amp;type=10-K&amp;dateb=20080101&amp;owner=exclude&amp;count=40&amp;search_text=</v>
      </c>
      <c r="J109">
        <v>728535</v>
      </c>
      <c r="K109">
        <v>1962.645</v>
      </c>
      <c r="L109">
        <f>K109+M109+O109</f>
        <v>1962.645</v>
      </c>
      <c r="Q109" t="s">
        <v>82</v>
      </c>
      <c r="R109">
        <v>1962.645</v>
      </c>
      <c r="T109">
        <f>SUM(K109,M109,O109)</f>
        <v>1962.645</v>
      </c>
    </row>
    <row r="110" spans="1:21" x14ac:dyDescent="0.35">
      <c r="A110">
        <v>5783</v>
      </c>
      <c r="B110" s="1">
        <v>37256</v>
      </c>
      <c r="C110">
        <v>2001</v>
      </c>
      <c r="D110">
        <v>445658107</v>
      </c>
      <c r="E110" t="s">
        <v>21</v>
      </c>
      <c r="F110" t="str">
        <f t="shared" si="10"/>
        <v>728535_2001</v>
      </c>
      <c r="G110" s="2" t="str">
        <f t="shared" si="11"/>
        <v>extracted_filing/728535_2001_10-K.html</v>
      </c>
      <c r="H110" s="2" t="str">
        <f t="shared" si="12"/>
        <v>extracted_filing/728535_2001_10-K.txt</v>
      </c>
      <c r="I110" s="2" t="str">
        <f t="shared" si="13"/>
        <v>https://www.sec.gov/cgi-bin/browse-edgar?action=getcompany&amp;CIK=728535&amp;type=10-K&amp;dateb=20080101&amp;owner=exclude&amp;count=40&amp;search_text=</v>
      </c>
      <c r="J110">
        <v>728535</v>
      </c>
      <c r="K110">
        <v>1885.3409999999999</v>
      </c>
      <c r="L110">
        <f>K110+M110+O110</f>
        <v>1885.3409999999999</v>
      </c>
      <c r="Q110" t="s">
        <v>82</v>
      </c>
      <c r="R110">
        <v>1885.3409999999999</v>
      </c>
      <c r="T110">
        <f>SUM(K110,M110,O110)</f>
        <v>1885.3409999999999</v>
      </c>
    </row>
    <row r="111" spans="1:21" x14ac:dyDescent="0.35">
      <c r="A111">
        <v>5783</v>
      </c>
      <c r="B111" s="1">
        <v>37621</v>
      </c>
      <c r="C111">
        <v>2002</v>
      </c>
      <c r="D111">
        <v>445658107</v>
      </c>
      <c r="E111" t="s">
        <v>21</v>
      </c>
      <c r="F111" t="str">
        <f t="shared" si="10"/>
        <v>728535_2002</v>
      </c>
      <c r="G111" s="2" t="str">
        <f t="shared" si="11"/>
        <v>extracted_filing/728535_2002_10-K.html</v>
      </c>
      <c r="H111" s="2" t="str">
        <f t="shared" si="12"/>
        <v>extracted_filing/728535_2002_10-K.txt</v>
      </c>
      <c r="I111" s="2" t="str">
        <f t="shared" si="13"/>
        <v>https://www.sec.gov/cgi-bin/browse-edgar?action=getcompany&amp;CIK=728535&amp;type=10-K&amp;dateb=20080101&amp;owner=exclude&amp;count=40&amp;search_text=</v>
      </c>
      <c r="J111">
        <v>728535</v>
      </c>
      <c r="K111">
        <v>1945.1869999999999</v>
      </c>
      <c r="L111">
        <f>K111+M111+O111</f>
        <v>2001.0749999999998</v>
      </c>
      <c r="M111" s="4">
        <v>55.887999999999998</v>
      </c>
      <c r="N111" s="4"/>
      <c r="Q111" t="s">
        <v>82</v>
      </c>
      <c r="R111">
        <v>1945.1869999999999</v>
      </c>
      <c r="S111" s="4">
        <v>55.887999999999998</v>
      </c>
      <c r="T111">
        <f>SUM(K111,M111,O111)</f>
        <v>2001.0749999999998</v>
      </c>
      <c r="U111">
        <f t="shared" ref="U111:U114" si="20">SUM(R111:S111)</f>
        <v>2001.0749999999998</v>
      </c>
    </row>
    <row r="112" spans="1:21" x14ac:dyDescent="0.35">
      <c r="A112">
        <v>5783</v>
      </c>
      <c r="B112" s="1">
        <v>37986</v>
      </c>
      <c r="C112">
        <v>2003</v>
      </c>
      <c r="D112">
        <v>445658107</v>
      </c>
      <c r="E112" t="s">
        <v>21</v>
      </c>
      <c r="F112" t="str">
        <f t="shared" si="10"/>
        <v>728535_2003</v>
      </c>
      <c r="G112" s="2" t="str">
        <f t="shared" si="11"/>
        <v>extracted_filing/728535_2003_10-K.html</v>
      </c>
      <c r="H112" s="2" t="str">
        <f t="shared" si="12"/>
        <v>extracted_filing/728535_2003_10-K.txt</v>
      </c>
      <c r="I112" s="2" t="str">
        <f t="shared" si="13"/>
        <v>https://www.sec.gov/cgi-bin/browse-edgar?action=getcompany&amp;CIK=728535&amp;type=10-K&amp;dateb=20080101&amp;owner=exclude&amp;count=40&amp;search_text=</v>
      </c>
      <c r="J112">
        <v>728535</v>
      </c>
      <c r="K112">
        <v>2039.3969999999999</v>
      </c>
      <c r="L112">
        <f>K112+M112+O112</f>
        <v>2097.6129999999998</v>
      </c>
      <c r="M112" s="4">
        <v>58.216000000000001</v>
      </c>
      <c r="N112" s="4"/>
      <c r="Q112" t="s">
        <v>82</v>
      </c>
      <c r="R112">
        <v>2039.3969999999999</v>
      </c>
      <c r="S112" s="4">
        <v>58.216000000000001</v>
      </c>
      <c r="T112">
        <f>SUM(K112,M112,O112)</f>
        <v>2097.6129999999998</v>
      </c>
      <c r="U112">
        <f t="shared" si="20"/>
        <v>2097.6129999999998</v>
      </c>
    </row>
    <row r="113" spans="1:21" x14ac:dyDescent="0.35">
      <c r="A113">
        <v>5783</v>
      </c>
      <c r="B113" s="1">
        <v>38352</v>
      </c>
      <c r="C113">
        <v>2004</v>
      </c>
      <c r="D113">
        <v>445658107</v>
      </c>
      <c r="E113" t="s">
        <v>21</v>
      </c>
      <c r="F113" t="str">
        <f t="shared" si="10"/>
        <v>728535_2004</v>
      </c>
      <c r="G113" s="2" t="str">
        <f t="shared" si="11"/>
        <v>extracted_filing/728535_2004_10-K.html</v>
      </c>
      <c r="H113" s="2" t="str">
        <f t="shared" si="12"/>
        <v>extracted_filing/728535_2004_10-K.txt</v>
      </c>
      <c r="I113" s="2" t="str">
        <f t="shared" si="13"/>
        <v>https://www.sec.gov/cgi-bin/browse-edgar?action=getcompany&amp;CIK=728535&amp;type=10-K&amp;dateb=20080101&amp;owner=exclude&amp;count=40&amp;search_text=</v>
      </c>
      <c r="J113">
        <v>728535</v>
      </c>
      <c r="K113">
        <v>2264.6489999999999</v>
      </c>
      <c r="L113">
        <f>K113+M113+O113</f>
        <v>2326.5569999999998</v>
      </c>
      <c r="M113" s="4">
        <v>61.908000000000001</v>
      </c>
      <c r="N113" s="4"/>
      <c r="Q113" t="s">
        <v>82</v>
      </c>
      <c r="R113">
        <v>2264.6489999999999</v>
      </c>
      <c r="S113" s="4">
        <v>61.908000000000001</v>
      </c>
      <c r="T113">
        <f>SUM(K113,M113,O113)</f>
        <v>2326.5569999999998</v>
      </c>
      <c r="U113">
        <f t="shared" si="20"/>
        <v>2326.5569999999998</v>
      </c>
    </row>
    <row r="114" spans="1:21" x14ac:dyDescent="0.35">
      <c r="A114">
        <v>5783</v>
      </c>
      <c r="B114" s="1">
        <v>38717</v>
      </c>
      <c r="C114">
        <v>2005</v>
      </c>
      <c r="D114">
        <v>445658107</v>
      </c>
      <c r="E114" t="s">
        <v>21</v>
      </c>
      <c r="F114" t="str">
        <f t="shared" si="10"/>
        <v>728535_2005</v>
      </c>
      <c r="G114" s="2" t="str">
        <f t="shared" si="11"/>
        <v>extracted_filing/728535_2005_10-K.html</v>
      </c>
      <c r="H114" s="2" t="str">
        <f t="shared" si="12"/>
        <v>extracted_filing/728535_2005_10-K.txt</v>
      </c>
      <c r="I114" s="2" t="str">
        <f t="shared" si="13"/>
        <v>https://www.sec.gov/cgi-bin/browse-edgar?action=getcompany&amp;CIK=728535&amp;type=10-K&amp;dateb=20080101&amp;owner=exclude&amp;count=40&amp;search_text=</v>
      </c>
      <c r="J114">
        <v>728535</v>
      </c>
      <c r="K114">
        <v>2526.6280000000002</v>
      </c>
      <c r="L114">
        <f>K114+M114+O114</f>
        <v>2596.9720000000002</v>
      </c>
      <c r="M114" s="4">
        <v>70.343999999999895</v>
      </c>
      <c r="N114" s="4"/>
      <c r="Q114" t="s">
        <v>82</v>
      </c>
      <c r="R114">
        <v>2526.6280000000002</v>
      </c>
      <c r="S114" s="4">
        <v>70.343999999999895</v>
      </c>
      <c r="T114">
        <f>SUM(K114,M114,O114)</f>
        <v>2596.9720000000002</v>
      </c>
      <c r="U114">
        <f t="shared" si="20"/>
        <v>2596.9720000000002</v>
      </c>
    </row>
    <row r="115" spans="1:21" x14ac:dyDescent="0.35">
      <c r="A115">
        <v>5783</v>
      </c>
      <c r="B115" s="1">
        <v>39082</v>
      </c>
      <c r="C115">
        <v>2006</v>
      </c>
      <c r="D115">
        <v>445658107</v>
      </c>
      <c r="E115" t="s">
        <v>21</v>
      </c>
      <c r="F115" t="str">
        <f t="shared" si="10"/>
        <v>728535_2006</v>
      </c>
      <c r="G115" s="2" t="str">
        <f t="shared" si="11"/>
        <v>extracted_filing/728535_2006_10-K.html</v>
      </c>
      <c r="H115" s="2" t="str">
        <f t="shared" si="12"/>
        <v>extracted_filing/728535_2006_10-K.txt</v>
      </c>
      <c r="I115" s="2" t="str">
        <f t="shared" si="13"/>
        <v>https://www.sec.gov/cgi-bin/browse-edgar?action=getcompany&amp;CIK=728535&amp;type=10-K&amp;dateb=20080101&amp;owner=exclude&amp;count=40&amp;search_text=</v>
      </c>
      <c r="J115">
        <v>728535</v>
      </c>
      <c r="K115">
        <v>2703.5320000000002</v>
      </c>
      <c r="L115">
        <f>K115+M115+O115</f>
        <v>2762.221</v>
      </c>
      <c r="M115" s="4">
        <v>58.689</v>
      </c>
      <c r="N115" s="4"/>
      <c r="Q115" t="s">
        <v>82</v>
      </c>
      <c r="R115">
        <v>2703.5320000000002</v>
      </c>
      <c r="S115" s="4">
        <v>58.689</v>
      </c>
      <c r="T115">
        <f>SUM(K115,M115,O115)</f>
        <v>2762.221</v>
      </c>
      <c r="U115">
        <f t="shared" ref="U115" si="21">SUM(R115:S115)</f>
        <v>2762.221</v>
      </c>
    </row>
    <row r="116" spans="1:21" x14ac:dyDescent="0.35">
      <c r="A116">
        <v>5860</v>
      </c>
      <c r="B116" s="1">
        <v>35795</v>
      </c>
      <c r="C116">
        <v>1997</v>
      </c>
      <c r="D116">
        <v>450911201</v>
      </c>
      <c r="E116" t="s">
        <v>22</v>
      </c>
      <c r="F116" t="str">
        <f t="shared" si="10"/>
        <v>216228_1997</v>
      </c>
      <c r="G116" s="2" t="str">
        <f t="shared" si="11"/>
        <v>extracted_filing/216228_1997_10-K.html</v>
      </c>
      <c r="H116" s="2" t="str">
        <f t="shared" si="12"/>
        <v>extracted_filing/216228_1997_10-K.txt</v>
      </c>
      <c r="I116" s="2" t="str">
        <f t="shared" si="13"/>
        <v>https://www.sec.gov/cgi-bin/browse-edgar?action=getcompany&amp;CIK=216228&amp;type=10-K&amp;dateb=20080101&amp;owner=exclude&amp;count=40&amp;search_text=</v>
      </c>
      <c r="J116">
        <v>216228</v>
      </c>
      <c r="K116" s="3">
        <f>6916.4-377.7</f>
        <v>6538.7</v>
      </c>
      <c r="L116">
        <f>K116+M116+O116</f>
        <v>7840.9</v>
      </c>
      <c r="M116" s="3">
        <v>805.3</v>
      </c>
      <c r="N116">
        <f>M116</f>
        <v>805.3</v>
      </c>
      <c r="O116" s="3">
        <v>496.9</v>
      </c>
      <c r="P116">
        <v>496.9</v>
      </c>
      <c r="Q116" t="s">
        <v>121</v>
      </c>
      <c r="R116">
        <v>7840.9</v>
      </c>
      <c r="T116">
        <f>SUM(K116,M116,O116)</f>
        <v>7840.9</v>
      </c>
    </row>
    <row r="117" spans="1:21" x14ac:dyDescent="0.35">
      <c r="A117">
        <v>5860</v>
      </c>
      <c r="B117" s="1">
        <v>36160</v>
      </c>
      <c r="C117">
        <v>1998</v>
      </c>
      <c r="D117">
        <v>450911201</v>
      </c>
      <c r="E117" t="s">
        <v>22</v>
      </c>
      <c r="F117" t="str">
        <f t="shared" si="10"/>
        <v>216228_1998</v>
      </c>
      <c r="G117" s="2" t="str">
        <f t="shared" si="11"/>
        <v>extracted_filing/216228_1998_10-K.html</v>
      </c>
      <c r="H117" s="2" t="str">
        <f t="shared" si="12"/>
        <v>extracted_filing/216228_1998_10-K.txt</v>
      </c>
      <c r="I117" s="2" t="str">
        <f t="shared" si="13"/>
        <v>https://www.sec.gov/cgi-bin/browse-edgar?action=getcompany&amp;CIK=216228&amp;type=10-K&amp;dateb=20080101&amp;owner=exclude&amp;count=40&amp;search_text=</v>
      </c>
      <c r="J117">
        <v>216228</v>
      </c>
      <c r="K117" s="3">
        <f>3165.9-157.5</f>
        <v>3008.4</v>
      </c>
      <c r="L117">
        <f>K117+M117+O117</f>
        <v>4006</v>
      </c>
      <c r="M117" s="3">
        <v>730</v>
      </c>
      <c r="N117">
        <f t="shared" ref="N117:N125" si="22">M117</f>
        <v>730</v>
      </c>
      <c r="O117" s="3">
        <v>267.60000000000002</v>
      </c>
      <c r="P117">
        <v>267.60000000000002</v>
      </c>
      <c r="Q117" t="s">
        <v>121</v>
      </c>
      <c r="R117">
        <v>4006</v>
      </c>
      <c r="T117">
        <f>SUM(K117,M117,O117)</f>
        <v>4006</v>
      </c>
    </row>
    <row r="118" spans="1:21" x14ac:dyDescent="0.35">
      <c r="A118">
        <v>5860</v>
      </c>
      <c r="B118" s="1">
        <v>36525</v>
      </c>
      <c r="C118">
        <v>1999</v>
      </c>
      <c r="D118">
        <v>450911201</v>
      </c>
      <c r="E118" t="s">
        <v>22</v>
      </c>
      <c r="F118" t="str">
        <f t="shared" si="10"/>
        <v>216228_1999</v>
      </c>
      <c r="G118" s="2" t="str">
        <f t="shared" si="11"/>
        <v>extracted_filing/216228_1999_10-K.html</v>
      </c>
      <c r="H118" s="2" t="str">
        <f t="shared" si="12"/>
        <v>extracted_filing/216228_1999_10-K.txt</v>
      </c>
      <c r="I118" s="2" t="str">
        <f t="shared" si="13"/>
        <v>https://www.sec.gov/cgi-bin/browse-edgar?action=getcompany&amp;CIK=216228&amp;type=10-K&amp;dateb=20080101&amp;owner=exclude&amp;count=40&amp;search_text=</v>
      </c>
      <c r="J118">
        <v>216228</v>
      </c>
      <c r="K118" s="3">
        <f>3265.8-144.3</f>
        <v>3121.5</v>
      </c>
      <c r="L118">
        <f>K118+M118+O118</f>
        <v>4077.3</v>
      </c>
      <c r="M118" s="3">
        <v>691.4</v>
      </c>
      <c r="N118">
        <f t="shared" si="22"/>
        <v>691.4</v>
      </c>
      <c r="O118" s="3">
        <v>264.39999999999998</v>
      </c>
      <c r="P118">
        <v>264.39999999999998</v>
      </c>
      <c r="Q118" t="s">
        <v>121</v>
      </c>
      <c r="R118">
        <v>4077.3</v>
      </c>
      <c r="T118">
        <f>SUM(K118,M118,O118)</f>
        <v>4077.3</v>
      </c>
    </row>
    <row r="119" spans="1:21" x14ac:dyDescent="0.35">
      <c r="A119">
        <v>5860</v>
      </c>
      <c r="B119" s="1">
        <v>36891</v>
      </c>
      <c r="C119">
        <v>2000</v>
      </c>
      <c r="D119">
        <v>450911201</v>
      </c>
      <c r="E119" t="s">
        <v>22</v>
      </c>
      <c r="F119" t="str">
        <f t="shared" si="10"/>
        <v>216228_2000</v>
      </c>
      <c r="G119" s="2" t="str">
        <f t="shared" si="11"/>
        <v>extracted_filing/216228_2000_10-K.html</v>
      </c>
      <c r="H119" s="2" t="str">
        <f t="shared" si="12"/>
        <v>extracted_filing/216228_2000_10-K.txt</v>
      </c>
      <c r="I119" s="2" t="str">
        <f t="shared" si="13"/>
        <v>https://www.sec.gov/cgi-bin/browse-edgar?action=getcompany&amp;CIK=216228&amp;type=10-K&amp;dateb=20080101&amp;owner=exclude&amp;count=40&amp;search_text=</v>
      </c>
      <c r="J119">
        <v>216228</v>
      </c>
      <c r="K119" s="3">
        <f>3195.3-(150.6)</f>
        <v>3044.7000000000003</v>
      </c>
      <c r="L119">
        <f>K119+M119+O119</f>
        <v>4185.7</v>
      </c>
      <c r="M119" s="3">
        <v>749.8</v>
      </c>
      <c r="N119">
        <f t="shared" si="22"/>
        <v>749.8</v>
      </c>
      <c r="O119" s="3">
        <v>391.2</v>
      </c>
      <c r="P119">
        <v>391.2</v>
      </c>
      <c r="Q119" t="s">
        <v>121</v>
      </c>
      <c r="R119">
        <v>4185.7</v>
      </c>
      <c r="T119">
        <f>SUM(K119,M119,O119)</f>
        <v>4185.7</v>
      </c>
    </row>
    <row r="120" spans="1:21" x14ac:dyDescent="0.35">
      <c r="A120">
        <v>5860</v>
      </c>
      <c r="B120" s="1">
        <v>37256</v>
      </c>
      <c r="C120">
        <v>2001</v>
      </c>
      <c r="D120">
        <v>450911201</v>
      </c>
      <c r="E120" t="s">
        <v>22</v>
      </c>
      <c r="F120" t="str">
        <f t="shared" si="10"/>
        <v>216228_2001</v>
      </c>
      <c r="G120" s="2" t="str">
        <f t="shared" si="11"/>
        <v>extracted_filing/216228_2001_10-K.html</v>
      </c>
      <c r="H120" s="2" t="str">
        <f t="shared" si="12"/>
        <v>extracted_filing/216228_2001_10-K.txt</v>
      </c>
      <c r="I120" s="2" t="str">
        <f t="shared" si="13"/>
        <v>https://www.sec.gov/cgi-bin/browse-edgar?action=getcompany&amp;CIK=216228&amp;type=10-K&amp;dateb=20080101&amp;owner=exclude&amp;count=40&amp;search_text=</v>
      </c>
      <c r="J120">
        <v>216228</v>
      </c>
      <c r="K120" s="3">
        <f>3044.5-(212.9-40.7)</f>
        <v>2872.3</v>
      </c>
      <c r="L120">
        <f>K120+M120+O120</f>
        <v>3968.3</v>
      </c>
      <c r="M120" s="3">
        <v>671.3</v>
      </c>
      <c r="N120">
        <f t="shared" si="22"/>
        <v>671.3</v>
      </c>
      <c r="O120" s="3">
        <v>424.7</v>
      </c>
      <c r="P120">
        <v>424.7</v>
      </c>
      <c r="Q120" t="s">
        <v>121</v>
      </c>
      <c r="R120">
        <v>3968.3</v>
      </c>
      <c r="T120">
        <f>SUM(K120,M120,O120)</f>
        <v>3968.3</v>
      </c>
    </row>
    <row r="121" spans="1:21" x14ac:dyDescent="0.35">
      <c r="A121">
        <v>5860</v>
      </c>
      <c r="B121" s="1">
        <v>37621</v>
      </c>
      <c r="C121">
        <v>2002</v>
      </c>
      <c r="D121">
        <v>450911201</v>
      </c>
      <c r="E121" t="s">
        <v>22</v>
      </c>
      <c r="F121" t="str">
        <f t="shared" si="10"/>
        <v>216228_2002</v>
      </c>
      <c r="G121" s="2" t="str">
        <f t="shared" si="11"/>
        <v>extracted_filing/216228_2002_10-K.html</v>
      </c>
      <c r="H121" s="2" t="str">
        <f t="shared" si="12"/>
        <v>extracted_filing/216228_2002_10-K.txt</v>
      </c>
      <c r="I121" s="2" t="str">
        <f t="shared" si="13"/>
        <v>https://www.sec.gov/cgi-bin/browse-edgar?action=getcompany&amp;CIK=216228&amp;type=10-K&amp;dateb=20080101&amp;owner=exclude&amp;count=40&amp;search_text=</v>
      </c>
      <c r="J121">
        <v>216228</v>
      </c>
      <c r="K121" s="3">
        <f>3211.9-171.4</f>
        <v>3040.5</v>
      </c>
      <c r="L121">
        <f>K121+M121+O121</f>
        <v>4279.8</v>
      </c>
      <c r="M121" s="3">
        <v>720.2</v>
      </c>
      <c r="N121">
        <f t="shared" si="22"/>
        <v>720.2</v>
      </c>
      <c r="O121" s="3">
        <v>519.1</v>
      </c>
      <c r="P121">
        <v>519.1</v>
      </c>
      <c r="Q121" t="s">
        <v>121</v>
      </c>
      <c r="R121">
        <v>4279.8</v>
      </c>
      <c r="T121">
        <f>SUM(K121,M121,O121)</f>
        <v>4279.8</v>
      </c>
    </row>
    <row r="122" spans="1:21" x14ac:dyDescent="0.35">
      <c r="A122">
        <v>5860</v>
      </c>
      <c r="B122" s="1">
        <v>37986</v>
      </c>
      <c r="C122">
        <v>2003</v>
      </c>
      <c r="D122">
        <v>450911201</v>
      </c>
      <c r="E122" t="s">
        <v>22</v>
      </c>
      <c r="F122" t="str">
        <f t="shared" si="10"/>
        <v>216228_2003</v>
      </c>
      <c r="G122" s="2" t="str">
        <f t="shared" si="11"/>
        <v>extracted_filing/216228_2003_10-K.html</v>
      </c>
      <c r="H122" s="2" t="str">
        <f t="shared" si="12"/>
        <v>extracted_filing/216228_2003_10-K.txt</v>
      </c>
      <c r="I122" s="2" t="str">
        <f t="shared" si="13"/>
        <v>https://www.sec.gov/cgi-bin/browse-edgar?action=getcompany&amp;CIK=216228&amp;type=10-K&amp;dateb=20080101&amp;owner=exclude&amp;count=40&amp;search_text=</v>
      </c>
      <c r="J122">
        <v>216228</v>
      </c>
      <c r="K122" s="3">
        <f>3683.5-188</f>
        <v>3495.5</v>
      </c>
      <c r="L122">
        <f>K122+M122+O122</f>
        <v>4879.5999999999995</v>
      </c>
      <c r="M122" s="3">
        <v>824.7</v>
      </c>
      <c r="N122">
        <f t="shared" si="22"/>
        <v>824.7</v>
      </c>
      <c r="O122" s="3">
        <v>559.4</v>
      </c>
      <c r="P122">
        <v>559.4</v>
      </c>
      <c r="Q122" t="s">
        <v>121</v>
      </c>
      <c r="R122">
        <v>4879.6000000000004</v>
      </c>
      <c r="T122">
        <f>SUM(K122,M122,O122)</f>
        <v>4879.5999999999995</v>
      </c>
    </row>
    <row r="123" spans="1:21" x14ac:dyDescent="0.35">
      <c r="A123">
        <v>5860</v>
      </c>
      <c r="B123" s="1">
        <v>38352</v>
      </c>
      <c r="C123">
        <v>2004</v>
      </c>
      <c r="D123">
        <v>450911201</v>
      </c>
      <c r="E123" t="s">
        <v>22</v>
      </c>
      <c r="F123" t="str">
        <f t="shared" si="10"/>
        <v>216228_2004</v>
      </c>
      <c r="G123" s="2" t="str">
        <f t="shared" si="11"/>
        <v>extracted_filing/216228_2004_10-K.html</v>
      </c>
      <c r="H123" s="2" t="str">
        <f t="shared" si="12"/>
        <v>extracted_filing/216228_2004_10-K.txt</v>
      </c>
      <c r="I123" s="2" t="str">
        <f t="shared" si="13"/>
        <v>https://www.sec.gov/cgi-bin/browse-edgar?action=getcompany&amp;CIK=216228&amp;type=10-K&amp;dateb=20080101&amp;owner=exclude&amp;count=40&amp;search_text=</v>
      </c>
      <c r="J123">
        <v>216228</v>
      </c>
      <c r="K123" s="3">
        <f>4466.4-198.6</f>
        <v>4267.7999999999993</v>
      </c>
      <c r="L123">
        <f>K123+M123+O123</f>
        <v>5892.9</v>
      </c>
      <c r="M123" s="3">
        <v>991.1</v>
      </c>
      <c r="N123">
        <f t="shared" si="22"/>
        <v>991.1</v>
      </c>
      <c r="O123" s="3">
        <v>634</v>
      </c>
      <c r="P123">
        <v>634</v>
      </c>
      <c r="Q123" t="s">
        <v>121</v>
      </c>
      <c r="R123">
        <v>5892.9</v>
      </c>
      <c r="T123">
        <f>SUM(K123,M123,O123)</f>
        <v>5892.9</v>
      </c>
    </row>
    <row r="124" spans="1:21" x14ac:dyDescent="0.35">
      <c r="A124">
        <v>5860</v>
      </c>
      <c r="B124" s="1">
        <v>38717</v>
      </c>
      <c r="C124">
        <v>2005</v>
      </c>
      <c r="D124">
        <v>450911201</v>
      </c>
      <c r="E124" t="s">
        <v>22</v>
      </c>
      <c r="F124" t="str">
        <f t="shared" si="10"/>
        <v>216228_2005</v>
      </c>
      <c r="G124" s="2" t="str">
        <f t="shared" si="11"/>
        <v>extracted_filing/216228_2005_10-K.html</v>
      </c>
      <c r="H124" s="2" t="str">
        <f t="shared" si="12"/>
        <v>extracted_filing/216228_2005_10-K.txt</v>
      </c>
      <c r="I124" s="2" t="str">
        <f t="shared" si="13"/>
        <v>https://www.sec.gov/cgi-bin/browse-edgar?action=getcompany&amp;CIK=216228&amp;type=10-K&amp;dateb=20080101&amp;owner=exclude&amp;count=40&amp;search_text=</v>
      </c>
      <c r="J124">
        <v>216228</v>
      </c>
      <c r="K124" s="3">
        <f>5389.9-196.6</f>
        <v>5193.2999999999993</v>
      </c>
      <c r="L124">
        <f>K124+M124+O124</f>
        <v>6442.0999999999995</v>
      </c>
      <c r="M124" s="3">
        <v>1071.2</v>
      </c>
      <c r="N124">
        <f t="shared" si="22"/>
        <v>1071.2</v>
      </c>
      <c r="O124" s="3">
        <v>177.6</v>
      </c>
      <c r="P124">
        <v>177.6</v>
      </c>
      <c r="Q124" t="s">
        <v>121</v>
      </c>
      <c r="R124">
        <v>6442.1</v>
      </c>
      <c r="T124">
        <f>SUM(K124,M124,O124)</f>
        <v>6442.0999999999995</v>
      </c>
    </row>
    <row r="125" spans="1:21" x14ac:dyDescent="0.35">
      <c r="A125">
        <v>5860</v>
      </c>
      <c r="B125" s="1">
        <v>39082</v>
      </c>
      <c r="C125">
        <v>2006</v>
      </c>
      <c r="D125">
        <v>450911201</v>
      </c>
      <c r="E125" t="s">
        <v>22</v>
      </c>
      <c r="F125" t="str">
        <f t="shared" si="10"/>
        <v>216228_2006</v>
      </c>
      <c r="G125" s="2" t="str">
        <f t="shared" si="11"/>
        <v>extracted_filing/216228_2006_10-K.html</v>
      </c>
      <c r="H125" s="2" t="str">
        <f t="shared" si="12"/>
        <v>extracted_filing/216228_2006_10-K.txt</v>
      </c>
      <c r="I125" s="2" t="str">
        <f t="shared" si="13"/>
        <v>https://www.sec.gov/cgi-bin/browse-edgar?action=getcompany&amp;CIK=216228&amp;type=10-K&amp;dateb=20080101&amp;owner=exclude&amp;count=40&amp;search_text=</v>
      </c>
      <c r="J125">
        <v>216228</v>
      </c>
      <c r="K125" s="3">
        <f>5618.4-171.6</f>
        <v>5446.7999999999993</v>
      </c>
      <c r="L125">
        <f>K125+M125+O125</f>
        <v>6783.5999999999985</v>
      </c>
      <c r="M125" s="3">
        <v>1175.9000000000001</v>
      </c>
      <c r="N125">
        <f t="shared" si="22"/>
        <v>1175.9000000000001</v>
      </c>
      <c r="O125" s="3">
        <v>160.9</v>
      </c>
      <c r="P125">
        <v>160.9</v>
      </c>
      <c r="Q125" t="s">
        <v>121</v>
      </c>
      <c r="R125">
        <v>6783.6</v>
      </c>
      <c r="T125">
        <f>SUM(K125,M125,O125)</f>
        <v>6783.5999999999985</v>
      </c>
    </row>
    <row r="126" spans="1:21" x14ac:dyDescent="0.35">
      <c r="A126">
        <v>6136</v>
      </c>
      <c r="B126" s="1">
        <v>35795</v>
      </c>
      <c r="C126">
        <v>1997</v>
      </c>
      <c r="D126">
        <v>460690100</v>
      </c>
      <c r="E126" t="s">
        <v>23</v>
      </c>
      <c r="F126" t="str">
        <f t="shared" si="10"/>
        <v>51644_1997</v>
      </c>
      <c r="G126" s="2" t="str">
        <f t="shared" si="11"/>
        <v>extracted_filing/51644_1997_10-K.html</v>
      </c>
      <c r="H126" s="2" t="str">
        <f t="shared" si="12"/>
        <v>extracted_filing/51644_1997_10-K.txt</v>
      </c>
      <c r="I126" s="2" t="str">
        <f t="shared" si="13"/>
        <v>https://www.sec.gov/cgi-bin/browse-edgar?action=getcompany&amp;CIK=51644&amp;type=10-K&amp;dateb=20080101&amp;owner=exclude&amp;count=40&amp;search_text=</v>
      </c>
      <c r="J126">
        <v>51644</v>
      </c>
      <c r="K126">
        <v>2503.8319999999999</v>
      </c>
      <c r="L126">
        <f>K126+M126+O126</f>
        <v>2503.8319999999999</v>
      </c>
      <c r="Q126" t="s">
        <v>83</v>
      </c>
      <c r="R126">
        <v>2503.8319999999999</v>
      </c>
      <c r="T126">
        <f>SUM(K126,M126,O126)</f>
        <v>2503.8319999999999</v>
      </c>
    </row>
    <row r="127" spans="1:21" x14ac:dyDescent="0.35">
      <c r="A127">
        <v>6136</v>
      </c>
      <c r="B127" s="1">
        <v>36160</v>
      </c>
      <c r="C127">
        <v>1998</v>
      </c>
      <c r="D127">
        <v>460690100</v>
      </c>
      <c r="E127" t="s">
        <v>23</v>
      </c>
      <c r="F127" t="str">
        <f t="shared" si="10"/>
        <v>51644_1998</v>
      </c>
      <c r="G127" s="2" t="str">
        <f t="shared" si="11"/>
        <v>extracted_filing/51644_1998_10-K.html</v>
      </c>
      <c r="H127" s="2" t="str">
        <f t="shared" si="12"/>
        <v>extracted_filing/51644_1998_10-K.txt</v>
      </c>
      <c r="I127" s="2" t="str">
        <f t="shared" si="13"/>
        <v>https://www.sec.gov/cgi-bin/browse-edgar?action=getcompany&amp;CIK=51644&amp;type=10-K&amp;dateb=20080101&amp;owner=exclude&amp;count=40&amp;search_text=</v>
      </c>
      <c r="J127">
        <v>51644</v>
      </c>
      <c r="K127">
        <v>3188.2939999999999</v>
      </c>
      <c r="L127">
        <f>K127+M127+O127</f>
        <v>3188.2939999999999</v>
      </c>
      <c r="Q127" t="s">
        <v>83</v>
      </c>
      <c r="R127">
        <v>3188.2939999999999</v>
      </c>
      <c r="T127">
        <f>SUM(K127,M127,O127)</f>
        <v>3188.2939999999999</v>
      </c>
    </row>
    <row r="128" spans="1:21" x14ac:dyDescent="0.35">
      <c r="A128">
        <v>6136</v>
      </c>
      <c r="B128" s="1">
        <v>36525</v>
      </c>
      <c r="C128">
        <v>1999</v>
      </c>
      <c r="D128">
        <v>460690100</v>
      </c>
      <c r="E128" t="s">
        <v>23</v>
      </c>
      <c r="F128" t="str">
        <f t="shared" si="10"/>
        <v>51644_1999</v>
      </c>
      <c r="G128" s="2" t="str">
        <f t="shared" si="11"/>
        <v>extracted_filing/51644_1999_10-K.html</v>
      </c>
      <c r="H128" s="2" t="str">
        <f t="shared" si="12"/>
        <v>extracted_filing/51644_1999_10-K.txt</v>
      </c>
      <c r="I128" s="2" t="str">
        <f t="shared" si="13"/>
        <v>https://www.sec.gov/cgi-bin/browse-edgar?action=getcompany&amp;CIK=51644&amp;type=10-K&amp;dateb=20080101&amp;owner=exclude&amp;count=40&amp;search_text=</v>
      </c>
      <c r="J128">
        <v>51644</v>
      </c>
      <c r="K128">
        <v>3635.8429999999998</v>
      </c>
      <c r="L128">
        <f>K128+M128+O128</f>
        <v>3635.8429999999998</v>
      </c>
      <c r="Q128" t="s">
        <v>83</v>
      </c>
      <c r="R128">
        <v>3635.8429999999998</v>
      </c>
      <c r="T128">
        <f>SUM(K128,M128,O128)</f>
        <v>3635.8429999999998</v>
      </c>
    </row>
    <row r="129" spans="1:21" x14ac:dyDescent="0.35">
      <c r="A129">
        <v>6136</v>
      </c>
      <c r="B129" s="1">
        <v>36891</v>
      </c>
      <c r="C129">
        <v>2000</v>
      </c>
      <c r="D129">
        <v>460690100</v>
      </c>
      <c r="E129" t="s">
        <v>23</v>
      </c>
      <c r="F129" t="str">
        <f t="shared" si="10"/>
        <v>51644_2000</v>
      </c>
      <c r="G129" s="2" t="str">
        <f t="shared" si="11"/>
        <v>extracted_filing/51644_2000_10-K.html</v>
      </c>
      <c r="H129" s="2" t="str">
        <f t="shared" si="12"/>
        <v>extracted_filing/51644_2000_10-K.txt</v>
      </c>
      <c r="I129" s="2" t="str">
        <f t="shared" si="13"/>
        <v>https://www.sec.gov/cgi-bin/browse-edgar?action=getcompany&amp;CIK=51644&amp;type=10-K&amp;dateb=20080101&amp;owner=exclude&amp;count=40&amp;search_text=</v>
      </c>
      <c r="J129">
        <v>51644</v>
      </c>
      <c r="K129">
        <v>4529.4750000000004</v>
      </c>
      <c r="L129">
        <f>K129+M129+O129</f>
        <v>4529.4750000000004</v>
      </c>
      <c r="Q129" t="s">
        <v>83</v>
      </c>
      <c r="R129">
        <v>4529.4750000000004</v>
      </c>
      <c r="T129">
        <f>SUM(K129,M129,O129)</f>
        <v>4529.4750000000004</v>
      </c>
    </row>
    <row r="130" spans="1:21" x14ac:dyDescent="0.35">
      <c r="A130">
        <v>6136</v>
      </c>
      <c r="B130" s="1">
        <v>37256</v>
      </c>
      <c r="C130">
        <v>2001</v>
      </c>
      <c r="D130">
        <v>460690100</v>
      </c>
      <c r="E130" t="s">
        <v>23</v>
      </c>
      <c r="F130" t="str">
        <f t="shared" ref="F130:F193" si="23">_xlfn.CONCAT(TEXT(J130,0),"_",TEXT(C130,0))</f>
        <v>51644_2001</v>
      </c>
      <c r="G130" s="2" t="str">
        <f t="shared" si="11"/>
        <v>extracted_filing/51644_2001_10-K.html</v>
      </c>
      <c r="H130" s="2" t="str">
        <f t="shared" si="12"/>
        <v>extracted_filing/51644_2001_10-K.txt</v>
      </c>
      <c r="I130" s="2" t="str">
        <f t="shared" si="13"/>
        <v>https://www.sec.gov/cgi-bin/browse-edgar?action=getcompany&amp;CIK=51644&amp;type=10-K&amp;dateb=20080101&amp;owner=exclude&amp;count=40&amp;search_text=</v>
      </c>
      <c r="J130">
        <v>51644</v>
      </c>
      <c r="K130">
        <v>5578.7</v>
      </c>
      <c r="L130">
        <f>K130+M130+O130</f>
        <v>5578.7</v>
      </c>
      <c r="Q130" t="s">
        <v>83</v>
      </c>
      <c r="R130">
        <v>5578.7</v>
      </c>
      <c r="T130">
        <f>SUM(K130,M130,O130)</f>
        <v>5578.7</v>
      </c>
    </row>
    <row r="131" spans="1:21" x14ac:dyDescent="0.35">
      <c r="A131">
        <v>6136</v>
      </c>
      <c r="B131" s="1">
        <v>37621</v>
      </c>
      <c r="C131">
        <v>2002</v>
      </c>
      <c r="D131">
        <v>460690100</v>
      </c>
      <c r="E131" t="s">
        <v>23</v>
      </c>
      <c r="F131" t="str">
        <f t="shared" si="23"/>
        <v>51644_2002</v>
      </c>
      <c r="G131" s="2" t="str">
        <f t="shared" ref="G131:G194" si="24">HYPERLINK(_xlfn.CONCAT("extracted_filing/",$F131,"_10-K.html"))</f>
        <v>extracted_filing/51644_2002_10-K.html</v>
      </c>
      <c r="H131" s="2" t="str">
        <f t="shared" ref="H131:H194" si="25">HYPERLINK(_xlfn.CONCAT("extracted_filing/",$F131,"_10-K.txt"))</f>
        <v>extracted_filing/51644_2002_10-K.txt</v>
      </c>
      <c r="I131" s="2" t="str">
        <f t="shared" ref="I131:I194" si="26">HYPERLINK(_xlfn.CONCAT("https://www.sec.gov/cgi-bin/browse-edgar?action=getcompany&amp;CIK=",TEXT(J131,0),"&amp;type=10-K&amp;dateb=20080101&amp;owner=exclude&amp;count=40&amp;search_text="))</f>
        <v>https://www.sec.gov/cgi-bin/browse-edgar?action=getcompany&amp;CIK=51644&amp;type=10-K&amp;dateb=20080101&amp;owner=exclude&amp;count=40&amp;search_text=</v>
      </c>
      <c r="J131">
        <v>51644</v>
      </c>
      <c r="K131">
        <v>5441.1</v>
      </c>
      <c r="L131">
        <f>K131+M131+O131</f>
        <v>5441.1</v>
      </c>
      <c r="Q131" t="s">
        <v>83</v>
      </c>
      <c r="R131">
        <v>5441.1</v>
      </c>
      <c r="T131">
        <f>SUM(K131,M131,O131)</f>
        <v>5441.1</v>
      </c>
    </row>
    <row r="132" spans="1:21" x14ac:dyDescent="0.35">
      <c r="A132">
        <v>6136</v>
      </c>
      <c r="B132" s="1">
        <v>37986</v>
      </c>
      <c r="C132">
        <v>2003</v>
      </c>
      <c r="D132">
        <v>460690100</v>
      </c>
      <c r="E132" t="s">
        <v>23</v>
      </c>
      <c r="F132" t="str">
        <f t="shared" si="23"/>
        <v>51644_2003</v>
      </c>
      <c r="G132" s="2" t="str">
        <f t="shared" si="24"/>
        <v>extracted_filing/51644_2003_10-K.html</v>
      </c>
      <c r="H132" s="2" t="str">
        <f t="shared" si="25"/>
        <v>extracted_filing/51644_2003_10-K.txt</v>
      </c>
      <c r="I132" s="2" t="str">
        <f t="shared" si="26"/>
        <v>https://www.sec.gov/cgi-bin/browse-edgar?action=getcompany&amp;CIK=51644&amp;type=10-K&amp;dateb=20080101&amp;owner=exclude&amp;count=40&amp;search_text=</v>
      </c>
      <c r="J132">
        <v>51644</v>
      </c>
      <c r="K132">
        <v>5128.1000000000004</v>
      </c>
      <c r="L132">
        <f>K132+M132+O132</f>
        <v>5128.1000000000004</v>
      </c>
      <c r="Q132" t="s">
        <v>83</v>
      </c>
      <c r="R132">
        <v>5128.1000000000004</v>
      </c>
      <c r="T132">
        <f>SUM(K132,M132,O132)</f>
        <v>5128.1000000000004</v>
      </c>
    </row>
    <row r="133" spans="1:21" x14ac:dyDescent="0.35">
      <c r="A133">
        <v>6136</v>
      </c>
      <c r="B133" s="1">
        <v>38352</v>
      </c>
      <c r="C133">
        <v>2004</v>
      </c>
      <c r="D133">
        <v>460690100</v>
      </c>
      <c r="E133" t="s">
        <v>23</v>
      </c>
      <c r="F133" t="str">
        <f t="shared" si="23"/>
        <v>51644_2004</v>
      </c>
      <c r="G133" s="2" t="str">
        <f t="shared" si="24"/>
        <v>extracted_filing/51644_2004_10-K.html</v>
      </c>
      <c r="H133" s="2" t="str">
        <f t="shared" si="25"/>
        <v>extracted_filing/51644_2004_10-K.txt</v>
      </c>
      <c r="I133" s="2" t="str">
        <f t="shared" si="26"/>
        <v>https://www.sec.gov/cgi-bin/browse-edgar?action=getcompany&amp;CIK=51644&amp;type=10-K&amp;dateb=20080101&amp;owner=exclude&amp;count=40&amp;search_text=</v>
      </c>
      <c r="J133">
        <v>51644</v>
      </c>
      <c r="K133">
        <v>5787.1</v>
      </c>
      <c r="L133">
        <f>K133+M133+O133</f>
        <v>5787.1</v>
      </c>
      <c r="Q133" t="s">
        <v>83</v>
      </c>
      <c r="R133">
        <v>5787.1</v>
      </c>
      <c r="T133">
        <f>SUM(K133,M133,O133)</f>
        <v>5787.1</v>
      </c>
    </row>
    <row r="134" spans="1:21" x14ac:dyDescent="0.35">
      <c r="A134">
        <v>6136</v>
      </c>
      <c r="B134" s="1">
        <v>38717</v>
      </c>
      <c r="C134">
        <v>2005</v>
      </c>
      <c r="D134">
        <v>460690100</v>
      </c>
      <c r="E134" t="s">
        <v>23</v>
      </c>
      <c r="F134" t="str">
        <f t="shared" si="23"/>
        <v>51644_2005</v>
      </c>
      <c r="G134" s="2" t="str">
        <f t="shared" si="24"/>
        <v>extracted_filing/51644_2005_10-K.html</v>
      </c>
      <c r="H134" s="2" t="str">
        <f t="shared" si="25"/>
        <v>extracted_filing/51644_2005_10-K.txt</v>
      </c>
      <c r="I134" s="2" t="str">
        <f t="shared" si="26"/>
        <v>https://www.sec.gov/cgi-bin/browse-edgar?action=getcompany&amp;CIK=51644&amp;type=10-K&amp;dateb=20080101&amp;owner=exclude&amp;count=40&amp;search_text=</v>
      </c>
      <c r="J134">
        <v>51644</v>
      </c>
      <c r="K134">
        <v>6118.4</v>
      </c>
      <c r="L134">
        <f>K134+M134+O134</f>
        <v>6118.4</v>
      </c>
      <c r="Q134" t="s">
        <v>83</v>
      </c>
      <c r="R134">
        <v>6118.4</v>
      </c>
      <c r="T134">
        <f>SUM(K134,M134,O134)</f>
        <v>6118.4</v>
      </c>
    </row>
    <row r="135" spans="1:21" x14ac:dyDescent="0.35">
      <c r="A135">
        <v>6136</v>
      </c>
      <c r="B135" s="1">
        <v>39082</v>
      </c>
      <c r="C135">
        <v>2006</v>
      </c>
      <c r="D135">
        <v>460690100</v>
      </c>
      <c r="E135" t="s">
        <v>23</v>
      </c>
      <c r="F135" t="str">
        <f t="shared" si="23"/>
        <v>51644_2006</v>
      </c>
      <c r="G135" s="2" t="str">
        <f t="shared" si="24"/>
        <v>extracted_filing/51644_2006_10-K.html</v>
      </c>
      <c r="H135" s="2" t="str">
        <f t="shared" si="25"/>
        <v>extracted_filing/51644_2006_10-K.txt</v>
      </c>
      <c r="I135" s="2" t="str">
        <f t="shared" si="26"/>
        <v>https://www.sec.gov/cgi-bin/browse-edgar?action=getcompany&amp;CIK=51644&amp;type=10-K&amp;dateb=20080101&amp;owner=exclude&amp;count=40&amp;search_text=</v>
      </c>
      <c r="J135">
        <v>51644</v>
      </c>
      <c r="K135">
        <v>5849.5</v>
      </c>
      <c r="L135">
        <f>K135+M135+O135</f>
        <v>5849.5</v>
      </c>
      <c r="Q135" t="s">
        <v>83</v>
      </c>
      <c r="R135">
        <v>5849.5</v>
      </c>
      <c r="T135">
        <f>SUM(K135,M135,O135)</f>
        <v>5849.5</v>
      </c>
    </row>
    <row r="136" spans="1:21" x14ac:dyDescent="0.35">
      <c r="A136">
        <v>6335</v>
      </c>
      <c r="B136" s="1">
        <v>35795</v>
      </c>
      <c r="C136">
        <v>1997</v>
      </c>
      <c r="D136">
        <v>485170302</v>
      </c>
      <c r="E136" t="s">
        <v>24</v>
      </c>
      <c r="F136" t="str">
        <f t="shared" si="23"/>
        <v>54480_1997</v>
      </c>
      <c r="G136" s="2" t="str">
        <f t="shared" si="24"/>
        <v>extracted_filing/54480_1997_10-K.html</v>
      </c>
      <c r="H136" s="2" t="str">
        <f t="shared" si="25"/>
        <v>extracted_filing/54480_1997_10-K.txt</v>
      </c>
      <c r="I136" s="2" t="str">
        <f t="shared" si="26"/>
        <v>https://www.sec.gov/cgi-bin/browse-edgar?action=getcompany&amp;CIK=54480&amp;type=10-K&amp;dateb=20080101&amp;owner=exclude&amp;count=40&amp;search_text=</v>
      </c>
      <c r="J136">
        <v>54480</v>
      </c>
      <c r="K136">
        <v>680.2</v>
      </c>
      <c r="L136">
        <f>K136+M136+O136</f>
        <v>680.2</v>
      </c>
      <c r="Q136" t="s">
        <v>92</v>
      </c>
      <c r="R136">
        <v>680.2</v>
      </c>
      <c r="T136">
        <f>SUM(K136,M136,O136)</f>
        <v>680.2</v>
      </c>
    </row>
    <row r="137" spans="1:21" x14ac:dyDescent="0.35">
      <c r="A137">
        <v>6335</v>
      </c>
      <c r="B137" s="1">
        <v>36891</v>
      </c>
      <c r="C137">
        <v>2000</v>
      </c>
      <c r="D137">
        <v>485170302</v>
      </c>
      <c r="E137" t="s">
        <v>24</v>
      </c>
      <c r="F137" t="str">
        <f t="shared" si="23"/>
        <v>54480_2000</v>
      </c>
      <c r="G137" s="2" t="str">
        <f t="shared" si="24"/>
        <v>extracted_filing/54480_2000_10-K.html</v>
      </c>
      <c r="H137" s="2" t="str">
        <f t="shared" si="25"/>
        <v>extracted_filing/54480_2000_10-K.txt</v>
      </c>
      <c r="I137" s="2" t="str">
        <f t="shared" si="26"/>
        <v>https://www.sec.gov/cgi-bin/browse-edgar?action=getcompany&amp;CIK=54480&amp;type=10-K&amp;dateb=20080101&amp;owner=exclude&amp;count=40&amp;search_text=</v>
      </c>
      <c r="J137">
        <v>54480</v>
      </c>
      <c r="K137">
        <v>458.3</v>
      </c>
      <c r="L137">
        <f>K137+M137+O137</f>
        <v>458.3</v>
      </c>
      <c r="Q137" t="s">
        <v>92</v>
      </c>
      <c r="R137">
        <v>458.3</v>
      </c>
      <c r="T137">
        <f>SUM(K137,M137,O137)</f>
        <v>458.3</v>
      </c>
    </row>
    <row r="138" spans="1:21" x14ac:dyDescent="0.35">
      <c r="A138">
        <v>6335</v>
      </c>
      <c r="B138" s="1">
        <v>37256</v>
      </c>
      <c r="C138">
        <v>2001</v>
      </c>
      <c r="D138">
        <v>485170302</v>
      </c>
      <c r="E138" t="s">
        <v>24</v>
      </c>
      <c r="F138" t="str">
        <f t="shared" si="23"/>
        <v>54480_2001</v>
      </c>
      <c r="G138" s="2" t="str">
        <f t="shared" si="24"/>
        <v>extracted_filing/54480_2001_10-K.html</v>
      </c>
      <c r="H138" s="2" t="str">
        <f t="shared" si="25"/>
        <v>extracted_filing/54480_2001_10-K.txt</v>
      </c>
      <c r="I138" s="2" t="str">
        <f t="shared" si="26"/>
        <v>https://www.sec.gov/cgi-bin/browse-edgar?action=getcompany&amp;CIK=54480&amp;type=10-K&amp;dateb=20080101&amp;owner=exclude&amp;count=40&amp;search_text=</v>
      </c>
      <c r="J138">
        <v>54480</v>
      </c>
      <c r="K138">
        <v>463.9</v>
      </c>
      <c r="L138">
        <f>K138+M138+O138</f>
        <v>463.9</v>
      </c>
      <c r="Q138" t="s">
        <v>92</v>
      </c>
      <c r="R138">
        <v>463.9</v>
      </c>
      <c r="T138">
        <f>SUM(K138,M138,O138)</f>
        <v>463.9</v>
      </c>
    </row>
    <row r="139" spans="1:21" x14ac:dyDescent="0.35">
      <c r="A139">
        <v>6335</v>
      </c>
      <c r="B139" s="1">
        <v>37621</v>
      </c>
      <c r="C139">
        <v>2002</v>
      </c>
      <c r="D139">
        <v>485170302</v>
      </c>
      <c r="E139" t="s">
        <v>24</v>
      </c>
      <c r="F139" t="str">
        <f t="shared" si="23"/>
        <v>54480_2002</v>
      </c>
      <c r="G139" s="2" t="str">
        <f t="shared" si="24"/>
        <v>extracted_filing/54480_2002_10-K.html</v>
      </c>
      <c r="H139" s="2" t="str">
        <f t="shared" si="25"/>
        <v>extracted_filing/54480_2002_10-K.txt</v>
      </c>
      <c r="I139" s="2" t="str">
        <f t="shared" si="26"/>
        <v>https://www.sec.gov/cgi-bin/browse-edgar?action=getcompany&amp;CIK=54480&amp;type=10-K&amp;dateb=20080101&amp;owner=exclude&amp;count=40&amp;search_text=</v>
      </c>
      <c r="J139">
        <v>54480</v>
      </c>
      <c r="K139">
        <v>465</v>
      </c>
      <c r="L139">
        <f>K139+M139+O139</f>
        <v>465</v>
      </c>
      <c r="Q139" t="s">
        <v>92</v>
      </c>
      <c r="R139">
        <v>465</v>
      </c>
      <c r="T139">
        <f>SUM(K139,M139,O139)</f>
        <v>465</v>
      </c>
    </row>
    <row r="140" spans="1:21" x14ac:dyDescent="0.35">
      <c r="A140">
        <v>6335</v>
      </c>
      <c r="B140" s="1">
        <v>37986</v>
      </c>
      <c r="C140">
        <v>2003</v>
      </c>
      <c r="D140">
        <v>485170302</v>
      </c>
      <c r="E140" t="s">
        <v>24</v>
      </c>
      <c r="F140" t="str">
        <f t="shared" si="23"/>
        <v>54480_2003</v>
      </c>
      <c r="G140" s="2" t="str">
        <f t="shared" si="24"/>
        <v>extracted_filing/54480_2003_10-K.html</v>
      </c>
      <c r="H140" s="2" t="str">
        <f t="shared" si="25"/>
        <v>extracted_filing/54480_2003_10-K.txt</v>
      </c>
      <c r="I140" s="2" t="str">
        <f t="shared" si="26"/>
        <v>https://www.sec.gov/cgi-bin/browse-edgar?action=getcompany&amp;CIK=54480&amp;type=10-K&amp;dateb=20080101&amp;owner=exclude&amp;count=40&amp;search_text=</v>
      </c>
      <c r="J140">
        <v>54480</v>
      </c>
      <c r="K140">
        <v>432.3</v>
      </c>
      <c r="L140">
        <f>K140+M140+O140</f>
        <v>487.90000000000003</v>
      </c>
      <c r="M140" s="4">
        <v>55.6</v>
      </c>
      <c r="N140" s="4"/>
      <c r="Q140" t="s">
        <v>92</v>
      </c>
      <c r="R140">
        <v>432.3</v>
      </c>
      <c r="S140" s="4">
        <v>55.6</v>
      </c>
      <c r="T140">
        <f>SUM(K140,M140,O140)</f>
        <v>487.90000000000003</v>
      </c>
      <c r="U140">
        <f t="shared" ref="U140:U142" si="27">SUM(R140:S140)</f>
        <v>487.90000000000003</v>
      </c>
    </row>
    <row r="141" spans="1:21" x14ac:dyDescent="0.35">
      <c r="A141">
        <v>6335</v>
      </c>
      <c r="B141" s="1">
        <v>38352</v>
      </c>
      <c r="C141">
        <v>2004</v>
      </c>
      <c r="D141">
        <v>485170302</v>
      </c>
      <c r="E141" t="s">
        <v>24</v>
      </c>
      <c r="F141" t="str">
        <f t="shared" si="23"/>
        <v>54480_2004</v>
      </c>
      <c r="G141" s="2" t="str">
        <f t="shared" si="24"/>
        <v>extracted_filing/54480_2004_10-K.html</v>
      </c>
      <c r="H141" s="2" t="str">
        <f t="shared" si="25"/>
        <v>extracted_filing/54480_2004_10-K.txt</v>
      </c>
      <c r="I141" s="2" t="str">
        <f t="shared" si="26"/>
        <v>https://www.sec.gov/cgi-bin/browse-edgar?action=getcompany&amp;CIK=54480&amp;type=10-K&amp;dateb=20080101&amp;owner=exclude&amp;count=40&amp;search_text=</v>
      </c>
      <c r="J141">
        <v>54480</v>
      </c>
      <c r="K141">
        <v>450.7</v>
      </c>
      <c r="L141">
        <f>K141+M141+O141</f>
        <v>506.9</v>
      </c>
      <c r="M141" s="4">
        <v>56.2</v>
      </c>
      <c r="N141" s="4"/>
      <c r="Q141" t="s">
        <v>92</v>
      </c>
      <c r="R141">
        <v>450.7</v>
      </c>
      <c r="S141" s="4">
        <v>56.2</v>
      </c>
      <c r="T141">
        <f>SUM(K141,M141,O141)</f>
        <v>506.9</v>
      </c>
      <c r="U141">
        <f t="shared" si="27"/>
        <v>506.9</v>
      </c>
    </row>
    <row r="142" spans="1:21" x14ac:dyDescent="0.35">
      <c r="A142">
        <v>6335</v>
      </c>
      <c r="B142" s="1">
        <v>38717</v>
      </c>
      <c r="C142">
        <v>2005</v>
      </c>
      <c r="D142">
        <v>485170302</v>
      </c>
      <c r="E142" t="s">
        <v>24</v>
      </c>
      <c r="F142" t="str">
        <f t="shared" si="23"/>
        <v>54480_2005</v>
      </c>
      <c r="G142" s="2" t="str">
        <f t="shared" si="24"/>
        <v>extracted_filing/54480_2005_10-K.html</v>
      </c>
      <c r="H142" s="2" t="str">
        <f t="shared" si="25"/>
        <v>extracted_filing/54480_2005_10-K.txt</v>
      </c>
      <c r="I142" s="2" t="str">
        <f t="shared" si="26"/>
        <v>https://www.sec.gov/cgi-bin/browse-edgar?action=getcompany&amp;CIK=54480&amp;type=10-K&amp;dateb=20080101&amp;owner=exclude&amp;count=40&amp;search_text=</v>
      </c>
      <c r="J142">
        <v>54480</v>
      </c>
      <c r="K142">
        <v>963.3</v>
      </c>
      <c r="L142">
        <f>K142+M142+O142</f>
        <v>1088.5999999999999</v>
      </c>
      <c r="M142" s="4">
        <v>125.3</v>
      </c>
      <c r="N142" s="4"/>
      <c r="Q142" t="s">
        <v>92</v>
      </c>
      <c r="R142">
        <v>963.3</v>
      </c>
      <c r="S142" s="4">
        <v>125.3</v>
      </c>
      <c r="T142">
        <f>SUM(K142,M142,O142)</f>
        <v>1088.5999999999999</v>
      </c>
      <c r="U142">
        <f t="shared" si="27"/>
        <v>1088.5999999999999</v>
      </c>
    </row>
    <row r="143" spans="1:21" x14ac:dyDescent="0.35">
      <c r="A143">
        <v>6335</v>
      </c>
      <c r="B143" s="1">
        <v>39082</v>
      </c>
      <c r="C143">
        <v>2006</v>
      </c>
      <c r="D143">
        <v>485170302</v>
      </c>
      <c r="E143" t="s">
        <v>24</v>
      </c>
      <c r="F143" t="str">
        <f t="shared" si="23"/>
        <v>54480_2006</v>
      </c>
      <c r="G143" s="2" t="str">
        <f t="shared" si="24"/>
        <v>extracted_filing/54480_2006_10-K.html</v>
      </c>
      <c r="H143" s="2" t="str">
        <f t="shared" si="25"/>
        <v>extracted_filing/54480_2006_10-K.txt</v>
      </c>
      <c r="I143" s="2" t="str">
        <f t="shared" si="26"/>
        <v>https://www.sec.gov/cgi-bin/browse-edgar?action=getcompany&amp;CIK=54480&amp;type=10-K&amp;dateb=20080101&amp;owner=exclude&amp;count=40&amp;search_text=</v>
      </c>
      <c r="J143">
        <v>54480</v>
      </c>
      <c r="K143">
        <v>1095.5</v>
      </c>
      <c r="L143">
        <f>K143+M143+O143</f>
        <v>1200.4000000000001</v>
      </c>
      <c r="M143" s="4">
        <v>104.9</v>
      </c>
      <c r="N143" s="4"/>
      <c r="Q143" t="s">
        <v>92</v>
      </c>
      <c r="R143">
        <v>1095.5</v>
      </c>
      <c r="S143" s="4">
        <v>104.9</v>
      </c>
      <c r="T143">
        <f>SUM(K143,M143,O143)</f>
        <v>1200.4000000000001</v>
      </c>
      <c r="U143">
        <f t="shared" ref="U143" si="28">SUM(R143:S143)</f>
        <v>1200.4000000000001</v>
      </c>
    </row>
    <row r="144" spans="1:21" x14ac:dyDescent="0.35">
      <c r="A144">
        <v>6639</v>
      </c>
      <c r="B144" s="1">
        <v>35703</v>
      </c>
      <c r="C144">
        <v>1997</v>
      </c>
      <c r="D144">
        <v>523768109</v>
      </c>
      <c r="E144" t="s">
        <v>25</v>
      </c>
      <c r="F144" t="str">
        <f t="shared" si="23"/>
        <v>58361_1997</v>
      </c>
      <c r="G144" s="2" t="str">
        <f t="shared" si="24"/>
        <v>extracted_filing/58361_1997_10-K.html</v>
      </c>
      <c r="H144" s="2" t="str">
        <f t="shared" si="25"/>
        <v>extracted_filing/58361_1997_10-K.txt</v>
      </c>
      <c r="I144" s="2" t="str">
        <f t="shared" si="26"/>
        <v>https://www.sec.gov/cgi-bin/browse-edgar?action=getcompany&amp;CIK=58361&amp;type=10-K&amp;dateb=20080101&amp;owner=exclude&amp;count=40&amp;search_text=</v>
      </c>
      <c r="J144">
        <v>58361</v>
      </c>
      <c r="K144" s="4">
        <v>314.23099999999999</v>
      </c>
      <c r="L144">
        <f>K144+M144+O144</f>
        <v>314.23099999999999</v>
      </c>
      <c r="Q144" t="s">
        <v>86</v>
      </c>
      <c r="R144" s="4">
        <v>314.23099999999999</v>
      </c>
      <c r="T144">
        <f>SUM(K144,M144,O144)</f>
        <v>314.23099999999999</v>
      </c>
    </row>
    <row r="145" spans="1:21" x14ac:dyDescent="0.35">
      <c r="A145">
        <v>6639</v>
      </c>
      <c r="B145" s="1">
        <v>36068</v>
      </c>
      <c r="C145">
        <v>1998</v>
      </c>
      <c r="D145">
        <v>523768109</v>
      </c>
      <c r="E145" t="s">
        <v>25</v>
      </c>
      <c r="F145" t="str">
        <f t="shared" si="23"/>
        <v>58361_1998</v>
      </c>
      <c r="G145" s="2" t="str">
        <f t="shared" si="24"/>
        <v>extracted_filing/58361_1998_10-K.html</v>
      </c>
      <c r="H145" s="2" t="str">
        <f t="shared" si="25"/>
        <v>extracted_filing/58361_1998_10-K.txt</v>
      </c>
      <c r="I145" s="2" t="str">
        <f t="shared" si="26"/>
        <v>https://www.sec.gov/cgi-bin/browse-edgar?action=getcompany&amp;CIK=58361&amp;type=10-K&amp;dateb=20080101&amp;owner=exclude&amp;count=40&amp;search_text=</v>
      </c>
      <c r="J145">
        <v>58361</v>
      </c>
      <c r="K145" s="4">
        <v>366.87</v>
      </c>
      <c r="L145">
        <f>K145+M145+O145</f>
        <v>366.87</v>
      </c>
      <c r="Q145" t="s">
        <v>86</v>
      </c>
      <c r="R145" s="4">
        <v>366.87</v>
      </c>
      <c r="T145">
        <f>SUM(K145,M145,O145)</f>
        <v>366.87</v>
      </c>
    </row>
    <row r="146" spans="1:21" x14ac:dyDescent="0.35">
      <c r="A146">
        <v>6639</v>
      </c>
      <c r="B146" s="1">
        <v>36433</v>
      </c>
      <c r="C146">
        <v>1999</v>
      </c>
      <c r="D146">
        <v>523768109</v>
      </c>
      <c r="E146" t="s">
        <v>25</v>
      </c>
      <c r="F146" t="str">
        <f t="shared" si="23"/>
        <v>58361_1999</v>
      </c>
      <c r="G146" s="2" t="str">
        <f t="shared" si="24"/>
        <v>extracted_filing/58361_1999_10-K.html</v>
      </c>
      <c r="H146" s="2" t="str">
        <f t="shared" si="25"/>
        <v>extracted_filing/58361_1999_10-K.txt</v>
      </c>
      <c r="I146" s="2" t="str">
        <f t="shared" si="26"/>
        <v>https://www.sec.gov/cgi-bin/browse-edgar?action=getcompany&amp;CIK=58361&amp;type=10-K&amp;dateb=20080101&amp;owner=exclude&amp;count=40&amp;search_text=</v>
      </c>
      <c r="J146">
        <v>58361</v>
      </c>
      <c r="K146" s="4">
        <v>379.84500000000003</v>
      </c>
      <c r="L146">
        <f>K146+M146+O146</f>
        <v>379.84500000000003</v>
      </c>
      <c r="Q146" t="s">
        <v>86</v>
      </c>
      <c r="R146" s="4">
        <v>379.84500000000003</v>
      </c>
      <c r="T146">
        <f>SUM(K146,M146,O146)</f>
        <v>379.84500000000003</v>
      </c>
    </row>
    <row r="147" spans="1:21" x14ac:dyDescent="0.35">
      <c r="A147">
        <v>6639</v>
      </c>
      <c r="B147" s="1">
        <v>36799</v>
      </c>
      <c r="C147">
        <v>2000</v>
      </c>
      <c r="D147">
        <v>523768109</v>
      </c>
      <c r="E147" t="s">
        <v>25</v>
      </c>
      <c r="F147" t="str">
        <f t="shared" si="23"/>
        <v>58361_2000</v>
      </c>
      <c r="G147" s="2" t="str">
        <f t="shared" si="24"/>
        <v>extracted_filing/58361_2000_10-K.html</v>
      </c>
      <c r="H147" s="2" t="str">
        <f t="shared" si="25"/>
        <v>extracted_filing/58361_2000_10-K.txt</v>
      </c>
      <c r="I147" s="2" t="str">
        <f t="shared" si="26"/>
        <v>https://www.sec.gov/cgi-bin/browse-edgar?action=getcompany&amp;CIK=58361&amp;type=10-K&amp;dateb=20080101&amp;owner=exclude&amp;count=40&amp;search_text=</v>
      </c>
      <c r="J147">
        <v>58361</v>
      </c>
      <c r="K147" s="4">
        <v>299.72000000000003</v>
      </c>
      <c r="L147">
        <f>K147+M147+O147</f>
        <v>299.72000000000003</v>
      </c>
      <c r="Q147" t="s">
        <v>86</v>
      </c>
      <c r="R147" s="4">
        <v>299.72000000000003</v>
      </c>
      <c r="T147">
        <f>SUM(K147,M147,O147)</f>
        <v>299.72000000000003</v>
      </c>
    </row>
    <row r="148" spans="1:21" x14ac:dyDescent="0.35">
      <c r="A148">
        <v>6639</v>
      </c>
      <c r="B148" s="1">
        <v>37164</v>
      </c>
      <c r="C148">
        <v>2001</v>
      </c>
      <c r="D148">
        <v>523768109</v>
      </c>
      <c r="E148" t="s">
        <v>25</v>
      </c>
      <c r="F148" t="str">
        <f t="shared" si="23"/>
        <v>58361_2001</v>
      </c>
      <c r="G148" s="2" t="str">
        <f t="shared" si="24"/>
        <v>extracted_filing/58361_2001_10-K.html</v>
      </c>
      <c r="H148" s="2" t="str">
        <f t="shared" si="25"/>
        <v>extracted_filing/58361_2001_10-K.txt</v>
      </c>
      <c r="I148" s="2" t="str">
        <f t="shared" si="26"/>
        <v>https://www.sec.gov/cgi-bin/browse-edgar?action=getcompany&amp;CIK=58361&amp;type=10-K&amp;dateb=20080101&amp;owner=exclude&amp;count=40&amp;search_text=</v>
      </c>
      <c r="J148">
        <v>58361</v>
      </c>
      <c r="K148" s="4">
        <v>321.279</v>
      </c>
      <c r="L148">
        <f>K148+M148+O148</f>
        <v>321.279</v>
      </c>
      <c r="Q148" t="s">
        <v>86</v>
      </c>
      <c r="R148" s="4">
        <v>321.279</v>
      </c>
      <c r="T148">
        <f>SUM(K148,M148,O148)</f>
        <v>321.279</v>
      </c>
    </row>
    <row r="149" spans="1:21" x14ac:dyDescent="0.35">
      <c r="A149">
        <v>6639</v>
      </c>
      <c r="B149" s="1">
        <v>37529</v>
      </c>
      <c r="C149">
        <v>2002</v>
      </c>
      <c r="D149">
        <v>523768109</v>
      </c>
      <c r="E149" t="s">
        <v>25</v>
      </c>
      <c r="F149" t="str">
        <f t="shared" si="23"/>
        <v>58361_2002</v>
      </c>
      <c r="G149" s="2" t="str">
        <f t="shared" si="24"/>
        <v>extracted_filing/58361_2002_10-K.html</v>
      </c>
      <c r="H149" s="2" t="str">
        <f t="shared" si="25"/>
        <v>extracted_filing/58361_2002_10-K.txt</v>
      </c>
      <c r="I149" s="2" t="str">
        <f t="shared" si="26"/>
        <v>https://www.sec.gov/cgi-bin/browse-edgar?action=getcompany&amp;CIK=58361&amp;type=10-K&amp;dateb=20080101&amp;owner=exclude&amp;count=40&amp;search_text=</v>
      </c>
      <c r="J149">
        <v>58361</v>
      </c>
      <c r="K149" s="4">
        <v>378.06599999999997</v>
      </c>
      <c r="L149">
        <f>K149+M149+O149</f>
        <v>378.06599999999997</v>
      </c>
      <c r="Q149" t="s">
        <v>86</v>
      </c>
      <c r="R149" s="4">
        <v>378.06599999999997</v>
      </c>
      <c r="T149">
        <f>SUM(K149,M149,O149)</f>
        <v>378.06599999999997</v>
      </c>
    </row>
    <row r="150" spans="1:21" x14ac:dyDescent="0.35">
      <c r="A150">
        <v>6639</v>
      </c>
      <c r="B150" s="1">
        <v>37894</v>
      </c>
      <c r="C150">
        <v>2003</v>
      </c>
      <c r="D150">
        <v>523768109</v>
      </c>
      <c r="E150" t="s">
        <v>25</v>
      </c>
      <c r="F150" t="str">
        <f t="shared" si="23"/>
        <v>58361_2003</v>
      </c>
      <c r="G150" s="2" t="str">
        <f t="shared" si="24"/>
        <v>extracted_filing/58361_2003_10-K.html</v>
      </c>
      <c r="H150" s="2" t="str">
        <f t="shared" si="25"/>
        <v>extracted_filing/58361_2003_10-K.txt</v>
      </c>
      <c r="I150" s="2" t="str">
        <f t="shared" si="26"/>
        <v>https://www.sec.gov/cgi-bin/browse-edgar?action=getcompany&amp;CIK=58361&amp;type=10-K&amp;dateb=20080101&amp;owner=exclude&amp;count=40&amp;search_text=</v>
      </c>
      <c r="J150">
        <v>58361</v>
      </c>
      <c r="K150" s="4">
        <v>330.084</v>
      </c>
      <c r="L150">
        <f>K150+M150+O150</f>
        <v>480.19100000000003</v>
      </c>
      <c r="M150" s="4">
        <v>150.107</v>
      </c>
      <c r="N150" s="4"/>
      <c r="Q150" t="s">
        <v>86</v>
      </c>
      <c r="R150" s="4">
        <v>330.084</v>
      </c>
      <c r="S150" s="4">
        <v>150.107</v>
      </c>
      <c r="T150">
        <f>SUM(K150,M150,O150)</f>
        <v>480.19100000000003</v>
      </c>
      <c r="U150">
        <f t="shared" ref="U150:U153" si="29">SUM(R150:S150)</f>
        <v>480.19100000000003</v>
      </c>
    </row>
    <row r="151" spans="1:21" x14ac:dyDescent="0.35">
      <c r="A151">
        <v>6639</v>
      </c>
      <c r="B151" s="1">
        <v>38260</v>
      </c>
      <c r="C151">
        <v>2004</v>
      </c>
      <c r="D151">
        <v>523768109</v>
      </c>
      <c r="E151" t="s">
        <v>25</v>
      </c>
      <c r="F151" t="str">
        <f t="shared" si="23"/>
        <v>58361_2004</v>
      </c>
      <c r="G151" s="2" t="str">
        <f t="shared" si="24"/>
        <v>extracted_filing/58361_2004_10-K.html</v>
      </c>
      <c r="H151" s="2" t="str">
        <f t="shared" si="25"/>
        <v>extracted_filing/58361_2004_10-K.txt</v>
      </c>
      <c r="I151" s="2" t="str">
        <f t="shared" si="26"/>
        <v>https://www.sec.gov/cgi-bin/browse-edgar?action=getcompany&amp;CIK=58361&amp;type=10-K&amp;dateb=20080101&amp;owner=exclude&amp;count=40&amp;search_text=</v>
      </c>
      <c r="J151">
        <v>58361</v>
      </c>
      <c r="K151" s="4">
        <v>339.70600000000002</v>
      </c>
      <c r="L151">
        <f>K151+M151+O151</f>
        <v>497.08300000000003</v>
      </c>
      <c r="M151" s="4">
        <v>157.37700000000001</v>
      </c>
      <c r="N151" s="4"/>
      <c r="Q151" t="s">
        <v>86</v>
      </c>
      <c r="R151" s="4">
        <v>339.70600000000002</v>
      </c>
      <c r="S151" s="4">
        <v>157.37700000000001</v>
      </c>
      <c r="T151">
        <f>SUM(K151,M151,O151)</f>
        <v>497.08300000000003</v>
      </c>
      <c r="U151">
        <f t="shared" si="29"/>
        <v>497.08300000000003</v>
      </c>
    </row>
    <row r="152" spans="1:21" x14ac:dyDescent="0.35">
      <c r="A152">
        <v>6639</v>
      </c>
      <c r="B152" s="1">
        <v>38625</v>
      </c>
      <c r="C152">
        <v>2005</v>
      </c>
      <c r="D152">
        <v>523768109</v>
      </c>
      <c r="E152" t="s">
        <v>25</v>
      </c>
      <c r="F152" t="str">
        <f t="shared" si="23"/>
        <v>58361_2005</v>
      </c>
      <c r="G152" s="2" t="str">
        <f t="shared" si="24"/>
        <v>extracted_filing/58361_2005_10-K.html</v>
      </c>
      <c r="H152" s="2" t="str">
        <f t="shared" si="25"/>
        <v>extracted_filing/58361_2005_10-K.txt</v>
      </c>
      <c r="I152" s="2" t="str">
        <f t="shared" si="26"/>
        <v>https://www.sec.gov/cgi-bin/browse-edgar?action=getcompany&amp;CIK=58361&amp;type=10-K&amp;dateb=20080101&amp;owner=exclude&amp;count=40&amp;search_text=</v>
      </c>
      <c r="J152">
        <v>58361</v>
      </c>
      <c r="K152" s="4">
        <v>427.3</v>
      </c>
      <c r="L152">
        <f>K152+M152+O152</f>
        <v>626.53700000000003</v>
      </c>
      <c r="M152" s="4">
        <v>199.23699999999999</v>
      </c>
      <c r="N152" s="4"/>
      <c r="Q152" t="s">
        <v>86</v>
      </c>
      <c r="R152" s="4">
        <v>427.3</v>
      </c>
      <c r="S152" s="4">
        <v>199.23699999999999</v>
      </c>
      <c r="T152">
        <f>SUM(K152,M152,O152)</f>
        <v>626.53700000000003</v>
      </c>
      <c r="U152">
        <f t="shared" si="29"/>
        <v>626.53700000000003</v>
      </c>
    </row>
    <row r="153" spans="1:21" x14ac:dyDescent="0.35">
      <c r="A153">
        <v>6639</v>
      </c>
      <c r="B153" s="1">
        <v>38990</v>
      </c>
      <c r="C153">
        <v>2006</v>
      </c>
      <c r="D153">
        <v>523768109</v>
      </c>
      <c r="E153" t="s">
        <v>25</v>
      </c>
      <c r="F153" t="str">
        <f t="shared" si="23"/>
        <v>58361_2006</v>
      </c>
      <c r="G153" s="2" t="str">
        <f t="shared" si="24"/>
        <v>extracted_filing/58361_2006_10-K.html</v>
      </c>
      <c r="H153" s="2" t="str">
        <f t="shared" si="25"/>
        <v>extracted_filing/58361_2006_10-K.txt</v>
      </c>
      <c r="I153" s="2" t="str">
        <f t="shared" si="26"/>
        <v>https://www.sec.gov/cgi-bin/browse-edgar?action=getcompany&amp;CIK=58361&amp;type=10-K&amp;dateb=20080101&amp;owner=exclude&amp;count=40&amp;search_text=</v>
      </c>
      <c r="J153">
        <v>58361</v>
      </c>
      <c r="K153" s="4">
        <v>556.02700000000004</v>
      </c>
      <c r="L153">
        <f>K153+M153+O153</f>
        <v>836.04500000000007</v>
      </c>
      <c r="M153" s="4">
        <v>280.01799999999997</v>
      </c>
      <c r="N153" s="4"/>
      <c r="Q153" t="s">
        <v>86</v>
      </c>
      <c r="R153" s="4">
        <v>556.02700000000004</v>
      </c>
      <c r="S153" s="4">
        <v>280.01799999999997</v>
      </c>
      <c r="T153">
        <f>SUM(K153,M153,O153)</f>
        <v>836.04500000000007</v>
      </c>
      <c r="U153">
        <f t="shared" si="29"/>
        <v>836.04500000000007</v>
      </c>
    </row>
    <row r="154" spans="1:21" x14ac:dyDescent="0.35">
      <c r="A154">
        <v>6669</v>
      </c>
      <c r="B154" s="1">
        <v>35764</v>
      </c>
      <c r="C154">
        <v>1997</v>
      </c>
      <c r="D154">
        <v>526057104</v>
      </c>
      <c r="E154" t="s">
        <v>26</v>
      </c>
      <c r="F154" t="str">
        <f t="shared" si="23"/>
        <v>920760_1997</v>
      </c>
      <c r="G154" s="2" t="str">
        <f t="shared" si="24"/>
        <v>extracted_filing/920760_1997_10-K.html</v>
      </c>
      <c r="H154" s="2" t="str">
        <f t="shared" si="25"/>
        <v>extracted_filing/920760_1997_10-K.txt</v>
      </c>
      <c r="I154" s="2" t="str">
        <f t="shared" si="26"/>
        <v>https://www.sec.gov/cgi-bin/browse-edgar?action=getcompany&amp;CIK=920760&amp;type=10-K&amp;dateb=20080101&amp;owner=exclude&amp;count=40&amp;search_text=</v>
      </c>
      <c r="J154">
        <v>920760</v>
      </c>
      <c r="K154">
        <v>1142.674</v>
      </c>
      <c r="L154">
        <f>K154+M154+O154</f>
        <v>1288.53</v>
      </c>
      <c r="M154" s="3">
        <f>130.006+15.85</f>
        <v>145.85599999999999</v>
      </c>
      <c r="N154">
        <f>M154</f>
        <v>145.85599999999999</v>
      </c>
      <c r="Q154" t="s">
        <v>87</v>
      </c>
      <c r="R154">
        <v>1142.674</v>
      </c>
      <c r="T154">
        <f>SUM(K154,M154,O154)</f>
        <v>1288.53</v>
      </c>
    </row>
    <row r="155" spans="1:21" x14ac:dyDescent="0.35">
      <c r="A155">
        <v>6669</v>
      </c>
      <c r="B155" s="1">
        <v>36129</v>
      </c>
      <c r="C155">
        <v>1998</v>
      </c>
      <c r="D155">
        <v>526057104</v>
      </c>
      <c r="E155" t="s">
        <v>26</v>
      </c>
      <c r="F155" t="str">
        <f t="shared" si="23"/>
        <v>920760_1998</v>
      </c>
      <c r="G155" s="2" t="str">
        <f t="shared" si="24"/>
        <v>extracted_filing/920760_1998_10-K.html</v>
      </c>
      <c r="H155" s="2" t="str">
        <f t="shared" si="25"/>
        <v>extracted_filing/920760_1998_10-K.txt</v>
      </c>
      <c r="I155" s="2" t="str">
        <f t="shared" si="26"/>
        <v>https://www.sec.gov/cgi-bin/browse-edgar?action=getcompany&amp;CIK=920760&amp;type=10-K&amp;dateb=20080101&amp;owner=exclude&amp;count=40&amp;search_text=</v>
      </c>
      <c r="J155">
        <v>920760</v>
      </c>
      <c r="K155">
        <v>2141.6869999999999</v>
      </c>
      <c r="L155">
        <f>K155+M155+O155</f>
        <v>2380.6880000000001</v>
      </c>
      <c r="M155" s="3">
        <f>210.039+28.962</f>
        <v>239.00099999999998</v>
      </c>
      <c r="N155">
        <f t="shared" ref="N155:N169" si="30">M155</f>
        <v>239.00099999999998</v>
      </c>
      <c r="Q155" t="s">
        <v>87</v>
      </c>
      <c r="R155">
        <v>2141.6869999999999</v>
      </c>
      <c r="T155">
        <f>SUM(K155,M155,O155)</f>
        <v>2380.6880000000001</v>
      </c>
    </row>
    <row r="156" spans="1:21" x14ac:dyDescent="0.35">
      <c r="A156">
        <v>6669</v>
      </c>
      <c r="B156" s="1">
        <v>36494</v>
      </c>
      <c r="C156">
        <v>1999</v>
      </c>
      <c r="D156">
        <v>526057104</v>
      </c>
      <c r="E156" t="s">
        <v>26</v>
      </c>
      <c r="F156" t="str">
        <f t="shared" si="23"/>
        <v>920760_1999</v>
      </c>
      <c r="G156" s="2" t="str">
        <f t="shared" si="24"/>
        <v>extracted_filing/920760_1999_10-K.html</v>
      </c>
      <c r="H156" s="2" t="str">
        <f t="shared" si="25"/>
        <v>extracted_filing/920760_1999_10-K.txt</v>
      </c>
      <c r="I156" s="2" t="str">
        <f t="shared" si="26"/>
        <v>https://www.sec.gov/cgi-bin/browse-edgar?action=getcompany&amp;CIK=920760&amp;type=10-K&amp;dateb=20080101&amp;owner=exclude&amp;count=40&amp;search_text=</v>
      </c>
      <c r="J156">
        <v>920760</v>
      </c>
      <c r="K156">
        <v>2785.9810000000002</v>
      </c>
      <c r="L156">
        <f>K156+M156+O156</f>
        <v>3096.0940000000001</v>
      </c>
      <c r="M156" s="3">
        <f>272.55+37.563</f>
        <v>310.113</v>
      </c>
      <c r="N156">
        <f t="shared" si="30"/>
        <v>310.113</v>
      </c>
      <c r="Q156" t="s">
        <v>87</v>
      </c>
      <c r="R156">
        <v>2785.9810000000002</v>
      </c>
      <c r="T156">
        <f>SUM(K156,M156,O156)</f>
        <v>3096.0940000000001</v>
      </c>
    </row>
    <row r="157" spans="1:21" x14ac:dyDescent="0.35">
      <c r="A157">
        <v>6669</v>
      </c>
      <c r="B157" s="1">
        <v>36860</v>
      </c>
      <c r="C157">
        <v>2000</v>
      </c>
      <c r="D157">
        <v>526057104</v>
      </c>
      <c r="E157" t="s">
        <v>26</v>
      </c>
      <c r="F157" t="str">
        <f t="shared" si="23"/>
        <v>920760_2000</v>
      </c>
      <c r="G157" s="2" t="str">
        <f t="shared" si="24"/>
        <v>extracted_filing/920760_2000_10-K.html</v>
      </c>
      <c r="H157" s="2" t="str">
        <f t="shared" si="25"/>
        <v>extracted_filing/920760_2000_10-K.txt</v>
      </c>
      <c r="I157" s="2" t="str">
        <f t="shared" si="26"/>
        <v>https://www.sec.gov/cgi-bin/browse-edgar?action=getcompany&amp;CIK=920760&amp;type=10-K&amp;dateb=20080101&amp;owner=exclude&amp;count=40&amp;search_text=</v>
      </c>
      <c r="J157">
        <v>920760</v>
      </c>
      <c r="K157">
        <v>4275.9660000000003</v>
      </c>
      <c r="L157">
        <f>K157+M157+O157</f>
        <v>4737.2280000000001</v>
      </c>
      <c r="M157" s="3">
        <f>411.107+50.155</f>
        <v>461.26200000000006</v>
      </c>
      <c r="N157">
        <f t="shared" si="30"/>
        <v>461.26200000000006</v>
      </c>
      <c r="Q157" t="s">
        <v>87</v>
      </c>
      <c r="R157">
        <v>4275.9660000000003</v>
      </c>
      <c r="T157">
        <f>SUM(K157,M157,O157)</f>
        <v>4737.2280000000001</v>
      </c>
    </row>
    <row r="158" spans="1:21" x14ac:dyDescent="0.35">
      <c r="A158">
        <v>6669</v>
      </c>
      <c r="B158" s="1">
        <v>37225</v>
      </c>
      <c r="C158">
        <v>2001</v>
      </c>
      <c r="D158">
        <v>526057104</v>
      </c>
      <c r="E158" t="s">
        <v>26</v>
      </c>
      <c r="F158" t="str">
        <f t="shared" si="23"/>
        <v>920760_2001</v>
      </c>
      <c r="G158" s="2" t="str">
        <f t="shared" si="24"/>
        <v>extracted_filing/920760_2001_10-K.html</v>
      </c>
      <c r="H158" s="2" t="str">
        <f t="shared" si="25"/>
        <v>extracted_filing/920760_2001_10-K.txt</v>
      </c>
      <c r="I158" s="2" t="str">
        <f t="shared" si="26"/>
        <v>https://www.sec.gov/cgi-bin/browse-edgar?action=getcompany&amp;CIK=920760&amp;type=10-K&amp;dateb=20080101&amp;owner=exclude&amp;count=40&amp;search_text=</v>
      </c>
      <c r="J158">
        <v>920760</v>
      </c>
      <c r="K158">
        <v>5197.9920000000002</v>
      </c>
      <c r="L158">
        <f>K158+M158+O158</f>
        <v>5847.027</v>
      </c>
      <c r="M158" s="3">
        <f>573.204+75.831</f>
        <v>649.03499999999997</v>
      </c>
      <c r="N158">
        <f t="shared" si="30"/>
        <v>649.03499999999997</v>
      </c>
      <c r="Q158" t="s">
        <v>87</v>
      </c>
      <c r="R158">
        <v>5197.9920000000002</v>
      </c>
      <c r="T158">
        <f>SUM(K158,M158,O158)</f>
        <v>5847.027</v>
      </c>
    </row>
    <row r="159" spans="1:21" x14ac:dyDescent="0.35">
      <c r="A159">
        <v>6669</v>
      </c>
      <c r="B159" s="1">
        <v>37590</v>
      </c>
      <c r="C159">
        <v>2002</v>
      </c>
      <c r="D159">
        <v>526057104</v>
      </c>
      <c r="E159" t="s">
        <v>26</v>
      </c>
      <c r="F159" t="str">
        <f t="shared" si="23"/>
        <v>920760_2002</v>
      </c>
      <c r="G159" s="2" t="str">
        <f t="shared" si="24"/>
        <v>extracted_filing/920760_2002_10-K.html</v>
      </c>
      <c r="H159" s="2" t="str">
        <f t="shared" si="25"/>
        <v>extracted_filing/920760_2002_10-K.txt</v>
      </c>
      <c r="I159" s="2" t="str">
        <f t="shared" si="26"/>
        <v>https://www.sec.gov/cgi-bin/browse-edgar?action=getcompany&amp;CIK=920760&amp;type=10-K&amp;dateb=20080101&amp;owner=exclude&amp;count=40&amp;search_text=</v>
      </c>
      <c r="J159">
        <v>920760</v>
      </c>
      <c r="K159">
        <v>5459.6360000000004</v>
      </c>
      <c r="L159">
        <f>K159+M159+O159</f>
        <v>6251.4950000000008</v>
      </c>
      <c r="M159">
        <v>791.85900000000004</v>
      </c>
      <c r="N159">
        <f t="shared" si="30"/>
        <v>791.85900000000004</v>
      </c>
      <c r="Q159" t="s">
        <v>87</v>
      </c>
      <c r="R159">
        <v>5459.6360000000004</v>
      </c>
      <c r="S159">
        <v>791.85900000000004</v>
      </c>
      <c r="T159">
        <f>SUM(K159,M159,O159)</f>
        <v>6251.4950000000008</v>
      </c>
      <c r="U159">
        <f t="shared" ref="U159:U163" si="31">SUM(R159:S159)</f>
        <v>6251.4950000000008</v>
      </c>
    </row>
    <row r="160" spans="1:21" x14ac:dyDescent="0.35">
      <c r="A160">
        <v>6669</v>
      </c>
      <c r="B160" s="1">
        <v>37955</v>
      </c>
      <c r="C160">
        <v>2003</v>
      </c>
      <c r="D160">
        <v>526057104</v>
      </c>
      <c r="E160" t="s">
        <v>26</v>
      </c>
      <c r="F160" t="str">
        <f t="shared" si="23"/>
        <v>920760_2003</v>
      </c>
      <c r="G160" s="2" t="str">
        <f t="shared" si="24"/>
        <v>extracted_filing/920760_2003_10-K.html</v>
      </c>
      <c r="H160" s="2" t="str">
        <f t="shared" si="25"/>
        <v>extracted_filing/920760_2003_10-K.txt</v>
      </c>
      <c r="I160" s="2" t="str">
        <f t="shared" si="26"/>
        <v>https://www.sec.gov/cgi-bin/browse-edgar?action=getcompany&amp;CIK=920760&amp;type=10-K&amp;dateb=20080101&amp;owner=exclude&amp;count=40&amp;search_text=</v>
      </c>
      <c r="J160">
        <v>920760</v>
      </c>
      <c r="K160">
        <v>6765.6390000000001</v>
      </c>
      <c r="L160">
        <f>K160+M160+O160</f>
        <v>7749.8620000000001</v>
      </c>
      <c r="M160">
        <v>984.22299999999996</v>
      </c>
      <c r="N160">
        <f t="shared" si="30"/>
        <v>984.22299999999996</v>
      </c>
      <c r="Q160" t="s">
        <v>87</v>
      </c>
      <c r="R160">
        <v>6765.6390000000001</v>
      </c>
      <c r="S160">
        <v>984.22299999999996</v>
      </c>
      <c r="T160">
        <f>SUM(K160,M160,O160)</f>
        <v>7749.8620000000001</v>
      </c>
      <c r="U160">
        <f t="shared" si="31"/>
        <v>7749.8620000000001</v>
      </c>
    </row>
    <row r="161" spans="1:21" x14ac:dyDescent="0.35">
      <c r="A161">
        <v>6669</v>
      </c>
      <c r="B161" s="1">
        <v>38321</v>
      </c>
      <c r="C161">
        <v>2004</v>
      </c>
      <c r="D161">
        <v>526057104</v>
      </c>
      <c r="E161" t="s">
        <v>26</v>
      </c>
      <c r="F161" t="str">
        <f t="shared" si="23"/>
        <v>920760_2004</v>
      </c>
      <c r="G161" s="2" t="str">
        <f t="shared" si="24"/>
        <v>extracted_filing/920760_2004_10-K.html</v>
      </c>
      <c r="H161" s="2" t="str">
        <f t="shared" si="25"/>
        <v>extracted_filing/920760_2004_10-K.txt</v>
      </c>
      <c r="I161" s="2" t="str">
        <f t="shared" si="26"/>
        <v>https://www.sec.gov/cgi-bin/browse-edgar?action=getcompany&amp;CIK=920760&amp;type=10-K&amp;dateb=20080101&amp;owner=exclude&amp;count=40&amp;search_text=</v>
      </c>
      <c r="J161">
        <v>920760</v>
      </c>
      <c r="K161">
        <v>7893.2479999999996</v>
      </c>
      <c r="L161">
        <f>K161+M161+O161</f>
        <v>9079.4529999999995</v>
      </c>
      <c r="M161">
        <v>1186.2049999999999</v>
      </c>
      <c r="N161">
        <f t="shared" si="30"/>
        <v>1186.2049999999999</v>
      </c>
      <c r="Q161" t="s">
        <v>87</v>
      </c>
      <c r="R161">
        <v>7893.2479999999996</v>
      </c>
      <c r="S161">
        <v>1186.2049999999999</v>
      </c>
      <c r="T161">
        <f>SUM(K161,M161,O161)</f>
        <v>9079.4529999999995</v>
      </c>
      <c r="U161">
        <f t="shared" si="31"/>
        <v>9079.4529999999995</v>
      </c>
    </row>
    <row r="162" spans="1:21" x14ac:dyDescent="0.35">
      <c r="A162">
        <v>6669</v>
      </c>
      <c r="B162" s="1">
        <v>38686</v>
      </c>
      <c r="C162">
        <v>2005</v>
      </c>
      <c r="D162">
        <v>526057104</v>
      </c>
      <c r="E162" t="s">
        <v>26</v>
      </c>
      <c r="F162" t="str">
        <f t="shared" si="23"/>
        <v>920760_2005</v>
      </c>
      <c r="G162" s="2" t="str">
        <f t="shared" si="24"/>
        <v>extracted_filing/920760_2005_10-K.html</v>
      </c>
      <c r="H162" s="2" t="str">
        <f t="shared" si="25"/>
        <v>extracted_filing/920760_2005_10-K.txt</v>
      </c>
      <c r="I162" s="2" t="str">
        <f t="shared" si="26"/>
        <v>https://www.sec.gov/cgi-bin/browse-edgar?action=getcompany&amp;CIK=920760&amp;type=10-K&amp;dateb=20080101&amp;owner=exclude&amp;count=40&amp;search_text=</v>
      </c>
      <c r="J162">
        <v>920760</v>
      </c>
      <c r="K162">
        <v>10194.762000000001</v>
      </c>
      <c r="L162">
        <f>K162+M162+O162</f>
        <v>11757.499</v>
      </c>
      <c r="M162">
        <v>1562.7370000000001</v>
      </c>
      <c r="N162">
        <f t="shared" si="30"/>
        <v>1562.7370000000001</v>
      </c>
      <c r="Q162" t="s">
        <v>87</v>
      </c>
      <c r="R162">
        <v>10194.762000000001</v>
      </c>
      <c r="S162">
        <v>1562.7370000000001</v>
      </c>
      <c r="T162">
        <f>SUM(K162,M162,O162)</f>
        <v>11757.499</v>
      </c>
      <c r="U162">
        <f t="shared" si="31"/>
        <v>11757.499</v>
      </c>
    </row>
    <row r="163" spans="1:21" x14ac:dyDescent="0.35">
      <c r="A163">
        <v>6669</v>
      </c>
      <c r="B163" s="1">
        <v>39051</v>
      </c>
      <c r="C163">
        <v>2006</v>
      </c>
      <c r="D163">
        <v>526057104</v>
      </c>
      <c r="E163" t="s">
        <v>26</v>
      </c>
      <c r="F163" t="str">
        <f t="shared" si="23"/>
        <v>920760_2006</v>
      </c>
      <c r="G163" s="2" t="str">
        <f t="shared" si="24"/>
        <v>extracted_filing/920760_2006_10-K.html</v>
      </c>
      <c r="H163" s="2" t="str">
        <f t="shared" si="25"/>
        <v>extracted_filing/920760_2006_10-K.txt</v>
      </c>
      <c r="I163" s="2" t="str">
        <f t="shared" si="26"/>
        <v>https://www.sec.gov/cgi-bin/browse-edgar?action=getcompany&amp;CIK=920760&amp;type=10-K&amp;dateb=20080101&amp;owner=exclude&amp;count=40&amp;search_text=</v>
      </c>
      <c r="J163">
        <v>920760</v>
      </c>
      <c r="K163">
        <v>13367.644</v>
      </c>
      <c r="L163">
        <f>K163+M163+O163</f>
        <v>15325.918</v>
      </c>
      <c r="M163">
        <v>1958.2739999999999</v>
      </c>
      <c r="N163">
        <f t="shared" si="30"/>
        <v>1958.2739999999999</v>
      </c>
      <c r="Q163" t="s">
        <v>87</v>
      </c>
      <c r="R163">
        <v>13367.644</v>
      </c>
      <c r="S163">
        <v>1958.2739999999999</v>
      </c>
      <c r="T163">
        <f>SUM(K163,M163,O163)</f>
        <v>15325.918</v>
      </c>
      <c r="U163">
        <f t="shared" si="31"/>
        <v>15325.918</v>
      </c>
    </row>
    <row r="164" spans="1:21" x14ac:dyDescent="0.35">
      <c r="A164">
        <v>6682</v>
      </c>
      <c r="B164" s="1">
        <v>37256</v>
      </c>
      <c r="C164">
        <v>2001</v>
      </c>
      <c r="D164">
        <v>527288104</v>
      </c>
      <c r="E164" t="s">
        <v>27</v>
      </c>
      <c r="F164" t="str">
        <f t="shared" si="23"/>
        <v>96223_2001</v>
      </c>
      <c r="G164" s="2" t="str">
        <f t="shared" si="24"/>
        <v>extracted_filing/96223_2001_10-K.html</v>
      </c>
      <c r="H164" s="2" t="str">
        <f t="shared" si="25"/>
        <v>extracted_filing/96223_2001_10-K.txt</v>
      </c>
      <c r="I164" s="2" t="str">
        <f t="shared" si="26"/>
        <v>https://www.sec.gov/cgi-bin/browse-edgar?action=getcompany&amp;CIK=96223&amp;type=10-K&amp;dateb=20080101&amp;owner=exclude&amp;count=40&amp;search_text=</v>
      </c>
      <c r="J164">
        <v>96223</v>
      </c>
      <c r="K164">
        <v>248.94399999999999</v>
      </c>
      <c r="L164">
        <f>K164+M164+O164</f>
        <v>405.58799999999997</v>
      </c>
      <c r="M164" s="3">
        <v>156.64400000000001</v>
      </c>
      <c r="N164">
        <f>M164</f>
        <v>156.64400000000001</v>
      </c>
      <c r="Q164" t="s">
        <v>88</v>
      </c>
      <c r="R164">
        <v>248.94399999999999</v>
      </c>
      <c r="T164">
        <f>SUM(K164,M164,O164)</f>
        <v>405.58799999999997</v>
      </c>
    </row>
    <row r="165" spans="1:21" x14ac:dyDescent="0.35">
      <c r="A165">
        <v>6682</v>
      </c>
      <c r="B165" s="1">
        <v>37621</v>
      </c>
      <c r="C165">
        <v>2002</v>
      </c>
      <c r="D165">
        <v>527288104</v>
      </c>
      <c r="E165" t="s">
        <v>27</v>
      </c>
      <c r="F165" t="str">
        <f t="shared" si="23"/>
        <v>96223_2002</v>
      </c>
      <c r="G165" s="2" t="str">
        <f t="shared" si="24"/>
        <v>extracted_filing/96223_2002_10-K.html</v>
      </c>
      <c r="H165" s="2" t="str">
        <f t="shared" si="25"/>
        <v>extracted_filing/96223_2002_10-K.txt</v>
      </c>
      <c r="I165" s="2" t="str">
        <f t="shared" si="26"/>
        <v>https://www.sec.gov/cgi-bin/browse-edgar?action=getcompany&amp;CIK=96223&amp;type=10-K&amp;dateb=20080101&amp;owner=exclude&amp;count=40&amp;search_text=</v>
      </c>
      <c r="J165">
        <v>96223</v>
      </c>
      <c r="K165">
        <v>231.06899999999999</v>
      </c>
      <c r="L165">
        <f>K165+M165+O165</f>
        <v>387.80899999999997</v>
      </c>
      <c r="M165" s="3">
        <v>156.74</v>
      </c>
      <c r="N165">
        <f t="shared" si="30"/>
        <v>156.74</v>
      </c>
      <c r="Q165" t="s">
        <v>88</v>
      </c>
      <c r="R165">
        <v>231.06899999999999</v>
      </c>
      <c r="T165">
        <f>SUM(K165,M165,O165)</f>
        <v>387.80899999999997</v>
      </c>
    </row>
    <row r="166" spans="1:21" x14ac:dyDescent="0.35">
      <c r="A166">
        <v>6682</v>
      </c>
      <c r="B166" s="1">
        <v>37986</v>
      </c>
      <c r="C166">
        <v>2003</v>
      </c>
      <c r="D166">
        <v>527288104</v>
      </c>
      <c r="E166" t="s">
        <v>27</v>
      </c>
      <c r="F166" t="str">
        <f t="shared" si="23"/>
        <v>96223_2003</v>
      </c>
      <c r="G166" s="2" t="str">
        <f t="shared" si="24"/>
        <v>extracted_filing/96223_2003_10-K.html</v>
      </c>
      <c r="H166" s="2" t="str">
        <f t="shared" si="25"/>
        <v>extracted_filing/96223_2003_10-K.txt</v>
      </c>
      <c r="I166" s="2" t="str">
        <f t="shared" si="26"/>
        <v>https://www.sec.gov/cgi-bin/browse-edgar?action=getcompany&amp;CIK=96223&amp;type=10-K&amp;dateb=20080101&amp;owner=exclude&amp;count=40&amp;search_text=</v>
      </c>
      <c r="J166">
        <v>96223</v>
      </c>
      <c r="K166">
        <v>319.2</v>
      </c>
      <c r="L166">
        <f>K166+M166+O166</f>
        <v>481.13099999999997</v>
      </c>
      <c r="M166">
        <v>161.93100000000001</v>
      </c>
      <c r="N166">
        <f t="shared" si="30"/>
        <v>161.93100000000001</v>
      </c>
      <c r="Q166" t="s">
        <v>88</v>
      </c>
      <c r="R166">
        <v>319.2</v>
      </c>
      <c r="S166">
        <v>161.93100000000001</v>
      </c>
      <c r="T166">
        <f>SUM(K166,M166,O166)</f>
        <v>481.13099999999997</v>
      </c>
    </row>
    <row r="167" spans="1:21" x14ac:dyDescent="0.35">
      <c r="A167">
        <v>6682</v>
      </c>
      <c r="B167" s="1">
        <v>38352</v>
      </c>
      <c r="C167">
        <v>2004</v>
      </c>
      <c r="D167">
        <v>527288104</v>
      </c>
      <c r="E167" t="s">
        <v>27</v>
      </c>
      <c r="F167" t="str">
        <f t="shared" si="23"/>
        <v>96223_2004</v>
      </c>
      <c r="G167" s="2" t="str">
        <f t="shared" si="24"/>
        <v>extracted_filing/96223_2004_10-K.html</v>
      </c>
      <c r="H167" s="2" t="str">
        <f t="shared" si="25"/>
        <v>extracted_filing/96223_2004_10-K.txt</v>
      </c>
      <c r="I167" s="2" t="str">
        <f t="shared" si="26"/>
        <v>https://www.sec.gov/cgi-bin/browse-edgar?action=getcompany&amp;CIK=96223&amp;type=10-K&amp;dateb=20080101&amp;owner=exclude&amp;count=40&amp;search_text=</v>
      </c>
      <c r="J167">
        <v>96223</v>
      </c>
      <c r="K167">
        <v>1571.9960000000001</v>
      </c>
      <c r="L167">
        <f>K167+M167+O167</f>
        <v>1868.8390000000002</v>
      </c>
      <c r="M167">
        <v>296.84300000000002</v>
      </c>
      <c r="N167">
        <f t="shared" si="30"/>
        <v>296.84300000000002</v>
      </c>
      <c r="Q167" t="s">
        <v>88</v>
      </c>
      <c r="R167">
        <v>1571.9960000000001</v>
      </c>
      <c r="S167">
        <v>296.84300000000002</v>
      </c>
      <c r="T167">
        <f>SUM(K167,M167,O167)</f>
        <v>1868.8390000000002</v>
      </c>
    </row>
    <row r="168" spans="1:21" x14ac:dyDescent="0.35">
      <c r="A168">
        <v>6682</v>
      </c>
      <c r="B168" s="1">
        <v>38717</v>
      </c>
      <c r="C168">
        <v>2005</v>
      </c>
      <c r="D168">
        <v>527288104</v>
      </c>
      <c r="E168" t="s">
        <v>27</v>
      </c>
      <c r="F168" t="str">
        <f t="shared" si="23"/>
        <v>96223_2005</v>
      </c>
      <c r="G168" s="2" t="str">
        <f t="shared" si="24"/>
        <v>extracted_filing/96223_2005_10-K.html</v>
      </c>
      <c r="H168" s="2" t="str">
        <f t="shared" si="25"/>
        <v>extracted_filing/96223_2005_10-K.txt</v>
      </c>
      <c r="I168" s="2" t="str">
        <f t="shared" si="26"/>
        <v>https://www.sec.gov/cgi-bin/browse-edgar?action=getcompany&amp;CIK=96223&amp;type=10-K&amp;dateb=20080101&amp;owner=exclude&amp;count=40&amp;search_text=</v>
      </c>
      <c r="J168">
        <v>96223</v>
      </c>
      <c r="K168">
        <v>495.24099999999999</v>
      </c>
      <c r="L168">
        <f>K168+M168+O168</f>
        <v>648.98</v>
      </c>
      <c r="M168">
        <v>153.739</v>
      </c>
      <c r="N168">
        <f t="shared" si="30"/>
        <v>153.739</v>
      </c>
      <c r="Q168" t="s">
        <v>88</v>
      </c>
      <c r="R168">
        <v>495.24099999999999</v>
      </c>
      <c r="S168">
        <v>153.739</v>
      </c>
      <c r="T168">
        <f>SUM(K168,M168,O168)</f>
        <v>648.98</v>
      </c>
    </row>
    <row r="169" spans="1:21" x14ac:dyDescent="0.35">
      <c r="A169">
        <v>6682</v>
      </c>
      <c r="B169" s="1">
        <v>39082</v>
      </c>
      <c r="C169">
        <v>2006</v>
      </c>
      <c r="D169">
        <v>527288104</v>
      </c>
      <c r="E169" t="s">
        <v>27</v>
      </c>
      <c r="F169" t="str">
        <f t="shared" si="23"/>
        <v>96223_2006</v>
      </c>
      <c r="G169" s="2" t="str">
        <f t="shared" si="24"/>
        <v>extracted_filing/96223_2006_10-K.html</v>
      </c>
      <c r="H169" s="2" t="str">
        <f t="shared" si="25"/>
        <v>extracted_filing/96223_2006_10-K.txt</v>
      </c>
      <c r="I169" s="2" t="str">
        <f t="shared" si="26"/>
        <v>https://www.sec.gov/cgi-bin/browse-edgar?action=getcompany&amp;CIK=96223&amp;type=10-K&amp;dateb=20080101&amp;owner=exclude&amp;count=40&amp;search_text=</v>
      </c>
      <c r="J169">
        <v>96223</v>
      </c>
      <c r="K169">
        <v>454.488</v>
      </c>
      <c r="L169">
        <f>K169+M169+O169</f>
        <v>605.87599999999998</v>
      </c>
      <c r="M169">
        <v>151.38800000000001</v>
      </c>
      <c r="N169">
        <f t="shared" si="30"/>
        <v>151.38800000000001</v>
      </c>
      <c r="Q169" t="s">
        <v>88</v>
      </c>
      <c r="R169">
        <v>454.488</v>
      </c>
      <c r="S169">
        <v>151.38800000000001</v>
      </c>
      <c r="T169">
        <f>SUM(K169,M169,O169)</f>
        <v>605.87599999999998</v>
      </c>
    </row>
    <row r="170" spans="1:21" x14ac:dyDescent="0.35">
      <c r="A170">
        <v>6865</v>
      </c>
      <c r="B170" s="1">
        <v>35795</v>
      </c>
      <c r="C170">
        <v>1997</v>
      </c>
      <c r="D170">
        <v>552676108</v>
      </c>
      <c r="E170" t="s">
        <v>28</v>
      </c>
      <c r="F170" t="str">
        <f t="shared" si="23"/>
        <v>773141_1997</v>
      </c>
      <c r="G170" s="2" t="str">
        <f t="shared" si="24"/>
        <v>extracted_filing/773141_1997_10-K.html</v>
      </c>
      <c r="H170" s="2" t="str">
        <f t="shared" si="25"/>
        <v>extracted_filing/773141_1997_10-K.txt</v>
      </c>
      <c r="I170" s="2" t="str">
        <f t="shared" si="26"/>
        <v>https://www.sec.gov/cgi-bin/browse-edgar?action=getcompany&amp;CIK=773141&amp;type=10-K&amp;dateb=20080101&amp;owner=exclude&amp;count=40&amp;search_text=</v>
      </c>
      <c r="J170">
        <v>773141</v>
      </c>
      <c r="K170">
        <v>914.42399999999998</v>
      </c>
      <c r="L170">
        <f>K170+M170+O170</f>
        <v>914.42399999999998</v>
      </c>
      <c r="Q170" t="s">
        <v>90</v>
      </c>
      <c r="R170">
        <v>914.42399999999998</v>
      </c>
      <c r="T170">
        <f>SUM(K170,M170,O170)</f>
        <v>914.42399999999998</v>
      </c>
    </row>
    <row r="171" spans="1:21" x14ac:dyDescent="0.35">
      <c r="A171">
        <v>6865</v>
      </c>
      <c r="B171" s="1">
        <v>36160</v>
      </c>
      <c r="C171">
        <v>1998</v>
      </c>
      <c r="D171">
        <v>552676108</v>
      </c>
      <c r="E171" t="s">
        <v>28</v>
      </c>
      <c r="F171" t="str">
        <f t="shared" si="23"/>
        <v>773141_1998</v>
      </c>
      <c r="G171" s="2" t="str">
        <f t="shared" si="24"/>
        <v>extracted_filing/773141_1998_10-K.html</v>
      </c>
      <c r="H171" s="2" t="str">
        <f t="shared" si="25"/>
        <v>extracted_filing/773141_1998_10-K.txt</v>
      </c>
      <c r="I171" s="2" t="str">
        <f t="shared" si="26"/>
        <v>https://www.sec.gov/cgi-bin/browse-edgar?action=getcompany&amp;CIK=773141&amp;type=10-K&amp;dateb=20080101&amp;owner=exclude&amp;count=40&amp;search_text=</v>
      </c>
      <c r="J171">
        <v>773141</v>
      </c>
      <c r="K171">
        <v>1159.1289999999999</v>
      </c>
      <c r="L171">
        <f>K171+M171+O171</f>
        <v>1159.1289999999999</v>
      </c>
      <c r="Q171" t="s">
        <v>90</v>
      </c>
      <c r="R171">
        <v>1159.1289999999999</v>
      </c>
      <c r="T171">
        <f>SUM(K171,M171,O171)</f>
        <v>1159.1289999999999</v>
      </c>
    </row>
    <row r="172" spans="1:21" x14ac:dyDescent="0.35">
      <c r="A172">
        <v>6865</v>
      </c>
      <c r="B172" s="1">
        <v>36525</v>
      </c>
      <c r="C172">
        <v>1999</v>
      </c>
      <c r="D172">
        <v>552676108</v>
      </c>
      <c r="E172" t="s">
        <v>28</v>
      </c>
      <c r="F172" t="str">
        <f t="shared" si="23"/>
        <v>773141_1999</v>
      </c>
      <c r="G172" s="2" t="str">
        <f t="shared" si="24"/>
        <v>extracted_filing/773141_1999_10-K.html</v>
      </c>
      <c r="H172" s="2" t="str">
        <f t="shared" si="25"/>
        <v>extracted_filing/773141_1999_10-K.txt</v>
      </c>
      <c r="I172" s="2" t="str">
        <f t="shared" si="26"/>
        <v>https://www.sec.gov/cgi-bin/browse-edgar?action=getcompany&amp;CIK=773141&amp;type=10-K&amp;dateb=20080101&amp;owner=exclude&amp;count=40&amp;search_text=</v>
      </c>
      <c r="J172">
        <v>773141</v>
      </c>
      <c r="K172">
        <v>1401.34</v>
      </c>
      <c r="L172">
        <f>K172+M172+O172</f>
        <v>1401.34</v>
      </c>
      <c r="Q172" t="s">
        <v>90</v>
      </c>
      <c r="R172">
        <v>1401.34</v>
      </c>
      <c r="T172">
        <f>SUM(K172,M172,O172)</f>
        <v>1401.34</v>
      </c>
    </row>
    <row r="173" spans="1:21" x14ac:dyDescent="0.35">
      <c r="A173">
        <v>6865</v>
      </c>
      <c r="B173" s="1">
        <v>36891</v>
      </c>
      <c r="C173">
        <v>2000</v>
      </c>
      <c r="D173">
        <v>552676108</v>
      </c>
      <c r="E173" t="s">
        <v>28</v>
      </c>
      <c r="F173" t="str">
        <f t="shared" si="23"/>
        <v>773141_2000</v>
      </c>
      <c r="G173" s="2" t="str">
        <f t="shared" si="24"/>
        <v>extracted_filing/773141_2000_10-K.html</v>
      </c>
      <c r="H173" s="2" t="str">
        <f t="shared" si="25"/>
        <v>extracted_filing/773141_2000_10-K.txt</v>
      </c>
      <c r="I173" s="2" t="str">
        <f t="shared" si="26"/>
        <v>https://www.sec.gov/cgi-bin/browse-edgar?action=getcompany&amp;CIK=773141&amp;type=10-K&amp;dateb=20080101&amp;owner=exclude&amp;count=40&amp;search_text=</v>
      </c>
      <c r="J173">
        <v>773141</v>
      </c>
      <c r="K173">
        <v>1526.5519999999999</v>
      </c>
      <c r="L173">
        <f>K173+M173+O173</f>
        <v>1526.5519999999999</v>
      </c>
      <c r="Q173" t="s">
        <v>90</v>
      </c>
      <c r="R173">
        <v>1526.5519999999999</v>
      </c>
      <c r="T173">
        <f>SUM(K173,M173,O173)</f>
        <v>1526.5519999999999</v>
      </c>
    </row>
    <row r="174" spans="1:21" x14ac:dyDescent="0.35">
      <c r="A174">
        <v>6865</v>
      </c>
      <c r="B174" s="1">
        <v>37256</v>
      </c>
      <c r="C174">
        <v>2001</v>
      </c>
      <c r="D174">
        <v>552676108</v>
      </c>
      <c r="E174" t="s">
        <v>28</v>
      </c>
      <c r="F174" t="str">
        <f t="shared" si="23"/>
        <v>773141_2001</v>
      </c>
      <c r="G174" s="2" t="str">
        <f t="shared" si="24"/>
        <v>extracted_filing/773141_2001_10-K.html</v>
      </c>
      <c r="H174" s="2" t="str">
        <f t="shared" si="25"/>
        <v>extracted_filing/773141_2001_10-K.txt</v>
      </c>
      <c r="I174" s="2" t="str">
        <f t="shared" si="26"/>
        <v>https://www.sec.gov/cgi-bin/browse-edgar?action=getcompany&amp;CIK=773141&amp;type=10-K&amp;dateb=20080101&amp;owner=exclude&amp;count=40&amp;search_text=</v>
      </c>
      <c r="J174">
        <v>773141</v>
      </c>
      <c r="K174">
        <v>1843.0419999999999</v>
      </c>
      <c r="L174">
        <f>K174+M174+O174</f>
        <v>1843.0419999999999</v>
      </c>
      <c r="Q174" t="s">
        <v>90</v>
      </c>
      <c r="R174">
        <v>1843.0419999999999</v>
      </c>
      <c r="T174">
        <f>SUM(K174,M174,O174)</f>
        <v>1843.0419999999999</v>
      </c>
    </row>
    <row r="175" spans="1:21" x14ac:dyDescent="0.35">
      <c r="A175">
        <v>6865</v>
      </c>
      <c r="B175" s="1">
        <v>37621</v>
      </c>
      <c r="C175">
        <v>2002</v>
      </c>
      <c r="D175">
        <v>552676108</v>
      </c>
      <c r="E175" t="s">
        <v>28</v>
      </c>
      <c r="F175" t="str">
        <f t="shared" si="23"/>
        <v>773141_2002</v>
      </c>
      <c r="G175" s="2" t="str">
        <f t="shared" si="24"/>
        <v>extracted_filing/773141_2002_10-K.html</v>
      </c>
      <c r="H175" s="2" t="str">
        <f t="shared" si="25"/>
        <v>extracted_filing/773141_2002_10-K.txt</v>
      </c>
      <c r="I175" s="2" t="str">
        <f t="shared" si="26"/>
        <v>https://www.sec.gov/cgi-bin/browse-edgar?action=getcompany&amp;CIK=773141&amp;type=10-K&amp;dateb=20080101&amp;owner=exclude&amp;count=40&amp;search_text=</v>
      </c>
      <c r="J175">
        <v>773141</v>
      </c>
      <c r="K175">
        <v>2017.5730000000001</v>
      </c>
      <c r="L175">
        <f>K175+M175+O175</f>
        <v>2017.5730000000001</v>
      </c>
      <c r="Q175" t="s">
        <v>90</v>
      </c>
      <c r="R175">
        <v>2017.5730000000001</v>
      </c>
      <c r="T175">
        <f>SUM(K175,M175,O175)</f>
        <v>2017.5730000000001</v>
      </c>
    </row>
    <row r="176" spans="1:21" x14ac:dyDescent="0.35">
      <c r="A176">
        <v>6865</v>
      </c>
      <c r="B176" s="1">
        <v>37986</v>
      </c>
      <c r="C176">
        <v>2003</v>
      </c>
      <c r="D176">
        <v>552676108</v>
      </c>
      <c r="E176" t="s">
        <v>28</v>
      </c>
      <c r="F176" t="str">
        <f t="shared" si="23"/>
        <v>773141_2003</v>
      </c>
      <c r="G176" s="2" t="str">
        <f t="shared" si="24"/>
        <v>extracted_filing/773141_2003_10-K.html</v>
      </c>
      <c r="H176" s="2" t="str">
        <f t="shared" si="25"/>
        <v>extracted_filing/773141_2003_10-K.txt</v>
      </c>
      <c r="I176" s="2" t="str">
        <f t="shared" si="26"/>
        <v>https://www.sec.gov/cgi-bin/browse-edgar?action=getcompany&amp;CIK=773141&amp;type=10-K&amp;dateb=20080101&amp;owner=exclude&amp;count=40&amp;search_text=</v>
      </c>
      <c r="J176">
        <v>773141</v>
      </c>
      <c r="K176">
        <v>2128.8609999999999</v>
      </c>
      <c r="L176">
        <f>K176+M176+O176</f>
        <v>2526.855</v>
      </c>
      <c r="M176">
        <v>397.99400000000003</v>
      </c>
      <c r="Q176" t="s">
        <v>89</v>
      </c>
      <c r="R176">
        <v>2128.8609999999999</v>
      </c>
      <c r="S176">
        <v>397.99400000000003</v>
      </c>
      <c r="T176">
        <f>SUM(K176,M176,O176)</f>
        <v>2526.855</v>
      </c>
      <c r="U176">
        <f t="shared" ref="U176:U178" si="32">SUM(R176:S176)</f>
        <v>2526.855</v>
      </c>
    </row>
    <row r="177" spans="1:21" x14ac:dyDescent="0.35">
      <c r="A177">
        <v>6865</v>
      </c>
      <c r="B177" s="1">
        <v>38352</v>
      </c>
      <c r="C177">
        <v>2004</v>
      </c>
      <c r="D177">
        <v>552676108</v>
      </c>
      <c r="E177" t="s">
        <v>28</v>
      </c>
      <c r="F177" t="str">
        <f t="shared" si="23"/>
        <v>773141_2004</v>
      </c>
      <c r="G177" s="2" t="str">
        <f t="shared" si="24"/>
        <v>extracted_filing/773141_2004_10-K.html</v>
      </c>
      <c r="H177" s="2" t="str">
        <f t="shared" si="25"/>
        <v>extracted_filing/773141_2004_10-K.txt</v>
      </c>
      <c r="I177" s="2" t="str">
        <f t="shared" si="26"/>
        <v>https://www.sec.gov/cgi-bin/browse-edgar?action=getcompany&amp;CIK=773141&amp;type=10-K&amp;dateb=20080101&amp;owner=exclude&amp;count=40&amp;search_text=</v>
      </c>
      <c r="J177">
        <v>773141</v>
      </c>
      <c r="K177">
        <v>2810.42</v>
      </c>
      <c r="L177">
        <f>K177+M177+O177</f>
        <v>3330.252</v>
      </c>
      <c r="M177">
        <v>519.83199999999999</v>
      </c>
      <c r="Q177" t="s">
        <v>89</v>
      </c>
      <c r="R177">
        <v>2810.42</v>
      </c>
      <c r="S177">
        <v>519.83199999999999</v>
      </c>
      <c r="T177">
        <f>SUM(K177,M177,O177)</f>
        <v>3330.252</v>
      </c>
      <c r="U177">
        <f t="shared" si="32"/>
        <v>3330.252</v>
      </c>
    </row>
    <row r="178" spans="1:21" x14ac:dyDescent="0.35">
      <c r="A178">
        <v>6865</v>
      </c>
      <c r="B178" s="1">
        <v>38717</v>
      </c>
      <c r="C178">
        <v>2005</v>
      </c>
      <c r="D178">
        <v>552676108</v>
      </c>
      <c r="E178" t="s">
        <v>28</v>
      </c>
      <c r="F178" t="str">
        <f t="shared" si="23"/>
        <v>773141_2005</v>
      </c>
      <c r="G178" s="2" t="str">
        <f t="shared" si="24"/>
        <v>extracted_filing/773141_2005_10-K.html</v>
      </c>
      <c r="H178" s="2" t="str">
        <f t="shared" si="25"/>
        <v>extracted_filing/773141_2005_10-K.txt</v>
      </c>
      <c r="I178" s="2" t="str">
        <f t="shared" si="26"/>
        <v>https://www.sec.gov/cgi-bin/browse-edgar?action=getcompany&amp;CIK=773141&amp;type=10-K&amp;dateb=20080101&amp;owner=exclude&amp;count=40&amp;search_text=</v>
      </c>
      <c r="J178">
        <v>773141</v>
      </c>
      <c r="K178">
        <v>3427.4050000000002</v>
      </c>
      <c r="L178">
        <f>K178+M178+O178</f>
        <v>4060.0830000000001</v>
      </c>
      <c r="M178">
        <v>632.678</v>
      </c>
      <c r="Q178" t="s">
        <v>89</v>
      </c>
      <c r="R178">
        <v>3427.4050000000002</v>
      </c>
      <c r="S178">
        <v>632.678</v>
      </c>
      <c r="T178">
        <f>SUM(K178,M178,O178)</f>
        <v>4060.0830000000001</v>
      </c>
      <c r="U178">
        <f t="shared" si="32"/>
        <v>4060.0830000000001</v>
      </c>
    </row>
    <row r="179" spans="1:21" x14ac:dyDescent="0.35">
      <c r="A179">
        <v>6865</v>
      </c>
      <c r="B179" s="1">
        <v>39082</v>
      </c>
      <c r="C179">
        <v>2006</v>
      </c>
      <c r="D179">
        <v>552676108</v>
      </c>
      <c r="E179" t="s">
        <v>28</v>
      </c>
      <c r="F179" t="str">
        <f t="shared" si="23"/>
        <v>773141_2006</v>
      </c>
      <c r="G179" s="2" t="str">
        <f t="shared" si="24"/>
        <v>extracted_filing/773141_2006_10-K.html</v>
      </c>
      <c r="H179" s="2" t="str">
        <f t="shared" si="25"/>
        <v>extracted_filing/773141_2006_10-K.txt</v>
      </c>
      <c r="I179" s="2" t="str">
        <f t="shared" si="26"/>
        <v>https://www.sec.gov/cgi-bin/browse-edgar?action=getcompany&amp;CIK=773141&amp;type=10-K&amp;dateb=20080101&amp;owner=exclude&amp;count=40&amp;search_text=</v>
      </c>
      <c r="J179">
        <v>773141</v>
      </c>
      <c r="K179">
        <v>3746.2739999999999</v>
      </c>
      <c r="L179">
        <f>K179+M179+O179</f>
        <v>4449.7049999999999</v>
      </c>
      <c r="M179">
        <v>703.43100000000004</v>
      </c>
      <c r="Q179" t="s">
        <v>89</v>
      </c>
      <c r="R179">
        <v>3746.2739999999999</v>
      </c>
      <c r="S179">
        <v>703.43100000000004</v>
      </c>
      <c r="T179">
        <f>SUM(K179,M179,O179)</f>
        <v>4449.7049999999999</v>
      </c>
      <c r="U179">
        <f t="shared" ref="U179" si="33">SUM(R179:S179)</f>
        <v>4449.7049999999999</v>
      </c>
    </row>
    <row r="180" spans="1:21" x14ac:dyDescent="0.35">
      <c r="A180">
        <v>7923</v>
      </c>
      <c r="B180" s="1">
        <v>35795</v>
      </c>
      <c r="C180">
        <v>1997</v>
      </c>
      <c r="D180">
        <v>655844108</v>
      </c>
      <c r="E180" t="s">
        <v>29</v>
      </c>
      <c r="F180" t="str">
        <f t="shared" si="23"/>
        <v>702165_1997</v>
      </c>
      <c r="G180" s="2" t="str">
        <f t="shared" si="24"/>
        <v>extracted_filing/702165_1997_10-K.html</v>
      </c>
      <c r="H180" s="2" t="str">
        <f t="shared" si="25"/>
        <v>extracted_filing/702165_1997_10-K.txt</v>
      </c>
      <c r="I180" s="2" t="str">
        <f t="shared" si="26"/>
        <v>https://www.sec.gov/cgi-bin/browse-edgar?action=getcompany&amp;CIK=702165&amp;type=10-K&amp;dateb=20080101&amp;owner=exclude&amp;count=40&amp;search_text=</v>
      </c>
      <c r="J180">
        <v>702165</v>
      </c>
      <c r="K180">
        <v>2578</v>
      </c>
      <c r="L180">
        <f>K180+M180+O180</f>
        <v>2578</v>
      </c>
      <c r="Q180" t="s">
        <v>91</v>
      </c>
      <c r="R180">
        <v>2578</v>
      </c>
      <c r="T180">
        <f>SUM(K180,M180,O180)</f>
        <v>2578</v>
      </c>
    </row>
    <row r="181" spans="1:21" x14ac:dyDescent="0.35">
      <c r="A181">
        <v>7923</v>
      </c>
      <c r="B181" s="1">
        <v>36160</v>
      </c>
      <c r="C181">
        <v>1998</v>
      </c>
      <c r="D181">
        <v>655844108</v>
      </c>
      <c r="E181" t="s">
        <v>29</v>
      </c>
      <c r="F181" t="str">
        <f t="shared" si="23"/>
        <v>702165_1998</v>
      </c>
      <c r="G181" s="2" t="str">
        <f t="shared" si="24"/>
        <v>extracted_filing/702165_1998_10-K.html</v>
      </c>
      <c r="H181" s="2" t="str">
        <f t="shared" si="25"/>
        <v>extracted_filing/702165_1998_10-K.txt</v>
      </c>
      <c r="I181" s="2" t="str">
        <f t="shared" si="26"/>
        <v>https://www.sec.gov/cgi-bin/browse-edgar?action=getcompany&amp;CIK=702165&amp;type=10-K&amp;dateb=20080101&amp;owner=exclude&amp;count=40&amp;search_text=</v>
      </c>
      <c r="J181">
        <v>702165</v>
      </c>
      <c r="K181">
        <v>2732</v>
      </c>
      <c r="L181">
        <f>K181+M181+O181</f>
        <v>2732</v>
      </c>
      <c r="Q181" t="s">
        <v>91</v>
      </c>
      <c r="R181">
        <v>2732</v>
      </c>
      <c r="T181">
        <f>SUM(K181,M181,O181)</f>
        <v>2732</v>
      </c>
    </row>
    <row r="182" spans="1:21" x14ac:dyDescent="0.35">
      <c r="A182">
        <v>7923</v>
      </c>
      <c r="B182" s="1">
        <v>36525</v>
      </c>
      <c r="C182">
        <v>1999</v>
      </c>
      <c r="D182">
        <v>655844108</v>
      </c>
      <c r="E182" t="s">
        <v>29</v>
      </c>
      <c r="F182" t="str">
        <f t="shared" si="23"/>
        <v>702165_1999</v>
      </c>
      <c r="G182" s="2" t="str">
        <f t="shared" si="24"/>
        <v>extracted_filing/702165_1999_10-K.html</v>
      </c>
      <c r="H182" s="2" t="str">
        <f t="shared" si="25"/>
        <v>extracted_filing/702165_1999_10-K.txt</v>
      </c>
      <c r="I182" s="2" t="str">
        <f t="shared" si="26"/>
        <v>https://www.sec.gov/cgi-bin/browse-edgar?action=getcompany&amp;CIK=702165&amp;type=10-K&amp;dateb=20080101&amp;owner=exclude&amp;count=40&amp;search_text=</v>
      </c>
      <c r="J182">
        <v>702165</v>
      </c>
      <c r="K182">
        <v>4002</v>
      </c>
      <c r="L182">
        <f>K182+M182+O182</f>
        <v>4002</v>
      </c>
      <c r="Q182" t="s">
        <v>91</v>
      </c>
      <c r="R182">
        <v>4002</v>
      </c>
      <c r="T182">
        <f>SUM(K182,M182,O182)</f>
        <v>4002</v>
      </c>
    </row>
    <row r="183" spans="1:21" x14ac:dyDescent="0.35">
      <c r="A183">
        <v>7923</v>
      </c>
      <c r="B183" s="1">
        <v>36891</v>
      </c>
      <c r="C183">
        <v>2000</v>
      </c>
      <c r="D183">
        <v>655844108</v>
      </c>
      <c r="E183" t="s">
        <v>29</v>
      </c>
      <c r="F183" t="str">
        <f t="shared" si="23"/>
        <v>702165_2000</v>
      </c>
      <c r="G183" s="2" t="str">
        <f t="shared" si="24"/>
        <v>extracted_filing/702165_2000_10-K.html</v>
      </c>
      <c r="H183" s="2" t="str">
        <f t="shared" si="25"/>
        <v>extracted_filing/702165_2000_10-K.txt</v>
      </c>
      <c r="I183" s="2" t="str">
        <f t="shared" si="26"/>
        <v>https://www.sec.gov/cgi-bin/browse-edgar?action=getcompany&amp;CIK=702165&amp;type=10-K&amp;dateb=20080101&amp;owner=exclude&amp;count=40&amp;search_text=</v>
      </c>
      <c r="J183">
        <v>702165</v>
      </c>
      <c r="K183">
        <v>4858</v>
      </c>
      <c r="L183">
        <f>K183+M183+O183</f>
        <v>4858</v>
      </c>
      <c r="Q183" t="s">
        <v>91</v>
      </c>
      <c r="R183">
        <v>4858</v>
      </c>
      <c r="T183">
        <f>SUM(K183,M183,O183)</f>
        <v>4858</v>
      </c>
    </row>
    <row r="184" spans="1:21" x14ac:dyDescent="0.35">
      <c r="A184">
        <v>7923</v>
      </c>
      <c r="B184" s="1">
        <v>37256</v>
      </c>
      <c r="C184">
        <v>2001</v>
      </c>
      <c r="D184">
        <v>655844108</v>
      </c>
      <c r="E184" t="s">
        <v>29</v>
      </c>
      <c r="F184" t="str">
        <f t="shared" si="23"/>
        <v>702165_2001</v>
      </c>
      <c r="G184" s="2" t="str">
        <f t="shared" si="24"/>
        <v>extracted_filing/702165_2001_10-K.html</v>
      </c>
      <c r="H184" s="2" t="str">
        <f t="shared" si="25"/>
        <v>extracted_filing/702165_2001_10-K.txt</v>
      </c>
      <c r="I184" s="2" t="str">
        <f t="shared" si="26"/>
        <v>https://www.sec.gov/cgi-bin/browse-edgar?action=getcompany&amp;CIK=702165&amp;type=10-K&amp;dateb=20080101&amp;owner=exclude&amp;count=40&amp;search_text=</v>
      </c>
      <c r="J184">
        <v>702165</v>
      </c>
      <c r="K184">
        <v>4649</v>
      </c>
      <c r="L184">
        <f>K184+M184+O184</f>
        <v>4649</v>
      </c>
      <c r="Q184" t="s">
        <v>91</v>
      </c>
      <c r="R184">
        <v>4649</v>
      </c>
      <c r="T184">
        <f>SUM(K184,M184,O184)</f>
        <v>4649</v>
      </c>
    </row>
    <row r="185" spans="1:21" x14ac:dyDescent="0.35">
      <c r="A185">
        <v>7923</v>
      </c>
      <c r="B185" s="1">
        <v>37621</v>
      </c>
      <c r="C185">
        <v>2002</v>
      </c>
      <c r="D185">
        <v>655844108</v>
      </c>
      <c r="E185" t="s">
        <v>29</v>
      </c>
      <c r="F185" t="str">
        <f t="shared" si="23"/>
        <v>702165_2002</v>
      </c>
      <c r="G185" s="2" t="str">
        <f t="shared" si="24"/>
        <v>extracted_filing/702165_2002_10-K.html</v>
      </c>
      <c r="H185" s="2" t="str">
        <f t="shared" si="25"/>
        <v>extracted_filing/702165_2002_10-K.txt</v>
      </c>
      <c r="I185" s="2" t="str">
        <f t="shared" si="26"/>
        <v>https://www.sec.gov/cgi-bin/browse-edgar?action=getcompany&amp;CIK=702165&amp;type=10-K&amp;dateb=20080101&amp;owner=exclude&amp;count=40&amp;search_text=</v>
      </c>
      <c r="J185">
        <v>702165</v>
      </c>
      <c r="K185">
        <v>4597</v>
      </c>
      <c r="L185">
        <f>K185+M185+O185</f>
        <v>4597</v>
      </c>
      <c r="Q185" t="s">
        <v>91</v>
      </c>
      <c r="R185">
        <v>4597</v>
      </c>
      <c r="T185">
        <f>SUM(K185,M185,O185)</f>
        <v>4597</v>
      </c>
    </row>
    <row r="186" spans="1:21" x14ac:dyDescent="0.35">
      <c r="A186">
        <v>7923</v>
      </c>
      <c r="B186" s="1">
        <v>37986</v>
      </c>
      <c r="C186">
        <v>2003</v>
      </c>
      <c r="D186">
        <v>655844108</v>
      </c>
      <c r="E186" t="s">
        <v>29</v>
      </c>
      <c r="F186" t="str">
        <f t="shared" si="23"/>
        <v>702165_2003</v>
      </c>
      <c r="G186" s="2" t="str">
        <f t="shared" si="24"/>
        <v>extracted_filing/702165_2003_10-K.html</v>
      </c>
      <c r="H186" s="2" t="str">
        <f t="shared" si="25"/>
        <v>extracted_filing/702165_2003_10-K.txt</v>
      </c>
      <c r="I186" s="2" t="str">
        <f t="shared" si="26"/>
        <v>https://www.sec.gov/cgi-bin/browse-edgar?action=getcompany&amp;CIK=702165&amp;type=10-K&amp;dateb=20080101&amp;owner=exclude&amp;count=40&amp;search_text=</v>
      </c>
      <c r="J186">
        <v>702165</v>
      </c>
      <c r="K186">
        <v>4784</v>
      </c>
      <c r="L186">
        <f>K186+M186+O186</f>
        <v>4784</v>
      </c>
      <c r="Q186" t="s">
        <v>91</v>
      </c>
      <c r="R186">
        <v>4784</v>
      </c>
      <c r="T186">
        <f>SUM(K186,M186,O186)</f>
        <v>4784</v>
      </c>
    </row>
    <row r="187" spans="1:21" x14ac:dyDescent="0.35">
      <c r="A187">
        <v>7923</v>
      </c>
      <c r="B187" s="1">
        <v>38352</v>
      </c>
      <c r="C187">
        <v>2004</v>
      </c>
      <c r="D187">
        <v>655844108</v>
      </c>
      <c r="E187" t="s">
        <v>29</v>
      </c>
      <c r="F187" t="str">
        <f t="shared" si="23"/>
        <v>702165_2004</v>
      </c>
      <c r="G187" s="2" t="str">
        <f t="shared" si="24"/>
        <v>extracted_filing/702165_2004_10-K.html</v>
      </c>
      <c r="H187" s="2" t="str">
        <f t="shared" si="25"/>
        <v>extracted_filing/702165_2004_10-K.txt</v>
      </c>
      <c r="I187" s="2" t="str">
        <f t="shared" si="26"/>
        <v>https://www.sec.gov/cgi-bin/browse-edgar?action=getcompany&amp;CIK=702165&amp;type=10-K&amp;dateb=20080101&amp;owner=exclude&amp;count=40&amp;search_text=</v>
      </c>
      <c r="J187">
        <v>702165</v>
      </c>
      <c r="K187">
        <v>5012</v>
      </c>
      <c r="L187">
        <f>K187+M187+O187</f>
        <v>5012</v>
      </c>
      <c r="Q187" t="s">
        <v>91</v>
      </c>
      <c r="R187">
        <v>5012</v>
      </c>
      <c r="T187">
        <f>SUM(K187,M187,O187)</f>
        <v>5012</v>
      </c>
    </row>
    <row r="188" spans="1:21" x14ac:dyDescent="0.35">
      <c r="A188">
        <v>7923</v>
      </c>
      <c r="B188" s="1">
        <v>38717</v>
      </c>
      <c r="C188">
        <v>2005</v>
      </c>
      <c r="D188">
        <v>655844108</v>
      </c>
      <c r="E188" t="s">
        <v>29</v>
      </c>
      <c r="F188" t="str">
        <f t="shared" si="23"/>
        <v>702165_2005</v>
      </c>
      <c r="G188" s="2" t="str">
        <f t="shared" si="24"/>
        <v>extracted_filing/702165_2005_10-K.html</v>
      </c>
      <c r="H188" s="2" t="str">
        <f t="shared" si="25"/>
        <v>extracted_filing/702165_2005_10-K.txt</v>
      </c>
      <c r="I188" s="2" t="str">
        <f t="shared" si="26"/>
        <v>https://www.sec.gov/cgi-bin/browse-edgar?action=getcompany&amp;CIK=702165&amp;type=10-K&amp;dateb=20080101&amp;owner=exclude&amp;count=40&amp;search_text=</v>
      </c>
      <c r="J188">
        <v>702165</v>
      </c>
      <c r="K188">
        <v>5595</v>
      </c>
      <c r="L188">
        <f>K188+M188+O188</f>
        <v>5595</v>
      </c>
      <c r="Q188" t="s">
        <v>91</v>
      </c>
      <c r="R188">
        <v>5595</v>
      </c>
      <c r="T188">
        <f>SUM(K188,M188,O188)</f>
        <v>5595</v>
      </c>
    </row>
    <row r="189" spans="1:21" x14ac:dyDescent="0.35">
      <c r="A189">
        <v>7923</v>
      </c>
      <c r="B189" s="1">
        <v>39082</v>
      </c>
      <c r="C189">
        <v>2006</v>
      </c>
      <c r="D189">
        <v>655844108</v>
      </c>
      <c r="E189" t="s">
        <v>29</v>
      </c>
      <c r="F189" t="str">
        <f t="shared" si="23"/>
        <v>702165_2006</v>
      </c>
      <c r="G189" s="2" t="str">
        <f t="shared" si="24"/>
        <v>extracted_filing/702165_2006_10-K.html</v>
      </c>
      <c r="H189" s="2" t="str">
        <f t="shared" si="25"/>
        <v>extracted_filing/702165_2006_10-K.txt</v>
      </c>
      <c r="I189" s="2" t="str">
        <f t="shared" si="26"/>
        <v>https://www.sec.gov/cgi-bin/browse-edgar?action=getcompany&amp;CIK=702165&amp;type=10-K&amp;dateb=20080101&amp;owner=exclude&amp;count=40&amp;search_text=</v>
      </c>
      <c r="J189">
        <v>702165</v>
      </c>
      <c r="K189">
        <v>6112</v>
      </c>
      <c r="L189">
        <f>K189+M189+O189</f>
        <v>6112</v>
      </c>
      <c r="Q189" t="s">
        <v>91</v>
      </c>
      <c r="R189">
        <v>6112</v>
      </c>
      <c r="T189">
        <f>SUM(K189,M189,O189)</f>
        <v>6112</v>
      </c>
    </row>
    <row r="190" spans="1:21" x14ac:dyDescent="0.35">
      <c r="A190">
        <v>8253</v>
      </c>
      <c r="B190" s="1">
        <v>35795</v>
      </c>
      <c r="C190">
        <v>1997</v>
      </c>
      <c r="D190">
        <v>693718108</v>
      </c>
      <c r="E190" t="s">
        <v>30</v>
      </c>
      <c r="F190" t="str">
        <f t="shared" si="23"/>
        <v>75362_1997</v>
      </c>
      <c r="G190" s="2" t="str">
        <f t="shared" si="24"/>
        <v>extracted_filing/75362_1997_10-K.html</v>
      </c>
      <c r="H190" s="2" t="str">
        <f t="shared" si="25"/>
        <v>extracted_filing/75362_1997_10-K.txt</v>
      </c>
      <c r="I190" s="2" t="str">
        <f t="shared" si="26"/>
        <v>https://www.sec.gov/cgi-bin/browse-edgar?action=getcompany&amp;CIK=75362&amp;type=10-K&amp;dateb=20080101&amp;owner=exclude&amp;count=40&amp;search_text=</v>
      </c>
      <c r="J190">
        <v>75362</v>
      </c>
      <c r="K190">
        <v>6031.7</v>
      </c>
      <c r="L190">
        <f>K190+M190+O190</f>
        <v>6618.2</v>
      </c>
      <c r="M190" s="3">
        <f>532.9+53.6</f>
        <v>586.5</v>
      </c>
      <c r="N190">
        <f>M190</f>
        <v>586.5</v>
      </c>
      <c r="Q190" t="s">
        <v>93</v>
      </c>
      <c r="T190">
        <f>SUM(K190,M190,O190)</f>
        <v>6618.2</v>
      </c>
    </row>
    <row r="191" spans="1:21" x14ac:dyDescent="0.35">
      <c r="A191">
        <v>8253</v>
      </c>
      <c r="B191" s="1">
        <v>36160</v>
      </c>
      <c r="C191">
        <v>1998</v>
      </c>
      <c r="D191">
        <v>693718108</v>
      </c>
      <c r="E191" t="s">
        <v>30</v>
      </c>
      <c r="F191" t="str">
        <f t="shared" si="23"/>
        <v>75362_1998</v>
      </c>
      <c r="G191" s="2" t="str">
        <f t="shared" si="24"/>
        <v>extracted_filing/75362_1998_10-K.html</v>
      </c>
      <c r="H191" s="2" t="str">
        <f t="shared" si="25"/>
        <v>extracted_filing/75362_1998_10-K.txt</v>
      </c>
      <c r="I191" s="2" t="str">
        <f t="shared" si="26"/>
        <v>https://www.sec.gov/cgi-bin/browse-edgar?action=getcompany&amp;CIK=75362&amp;type=10-K&amp;dateb=20080101&amp;owner=exclude&amp;count=40&amp;search_text=</v>
      </c>
      <c r="J191">
        <v>75362</v>
      </c>
      <c r="K191">
        <v>6963.4</v>
      </c>
      <c r="L191">
        <f>K191+M191+O191</f>
        <v>7605.7</v>
      </c>
      <c r="M191" s="3">
        <f>575.2+67.1</f>
        <v>642.30000000000007</v>
      </c>
      <c r="N191">
        <f t="shared" ref="N191:N229" si="34">M191</f>
        <v>642.30000000000007</v>
      </c>
      <c r="Q191" t="s">
        <v>93</v>
      </c>
      <c r="T191">
        <f>SUM(K191,M191,O191)</f>
        <v>7605.7</v>
      </c>
    </row>
    <row r="192" spans="1:21" x14ac:dyDescent="0.35">
      <c r="A192">
        <v>8253</v>
      </c>
      <c r="B192" s="1">
        <v>36525</v>
      </c>
      <c r="C192">
        <v>1999</v>
      </c>
      <c r="D192">
        <v>693718108</v>
      </c>
      <c r="E192" t="s">
        <v>30</v>
      </c>
      <c r="F192" t="str">
        <f t="shared" si="23"/>
        <v>75362_1999</v>
      </c>
      <c r="G192" s="2" t="str">
        <f t="shared" si="24"/>
        <v>extracted_filing/75362_1999_10-K.html</v>
      </c>
      <c r="H192" s="2" t="str">
        <f t="shared" si="25"/>
        <v>extracted_filing/75362_1999_10-K.txt</v>
      </c>
      <c r="I192" s="2" t="str">
        <f t="shared" si="26"/>
        <v>https://www.sec.gov/cgi-bin/browse-edgar?action=getcompany&amp;CIK=75362&amp;type=10-K&amp;dateb=20080101&amp;owner=exclude&amp;count=40&amp;search_text=</v>
      </c>
      <c r="J192">
        <v>75362</v>
      </c>
      <c r="K192">
        <v>7798.9</v>
      </c>
      <c r="L192">
        <f>K192+M192+O192</f>
        <v>8441.6</v>
      </c>
      <c r="M192" s="3">
        <f>582.5+60.2</f>
        <v>642.70000000000005</v>
      </c>
      <c r="N192">
        <f t="shared" si="34"/>
        <v>642.70000000000005</v>
      </c>
      <c r="Q192" t="s">
        <v>93</v>
      </c>
      <c r="T192">
        <f>SUM(K192,M192,O192)</f>
        <v>8441.6</v>
      </c>
    </row>
    <row r="193" spans="1:21" x14ac:dyDescent="0.35">
      <c r="A193">
        <v>8253</v>
      </c>
      <c r="B193" s="1">
        <v>36891</v>
      </c>
      <c r="C193">
        <v>2000</v>
      </c>
      <c r="D193">
        <v>693718108</v>
      </c>
      <c r="E193" t="s">
        <v>30</v>
      </c>
      <c r="F193" t="str">
        <f t="shared" si="23"/>
        <v>75362_2000</v>
      </c>
      <c r="G193" s="2" t="str">
        <f t="shared" si="24"/>
        <v>extracted_filing/75362_2000_10-K.html</v>
      </c>
      <c r="H193" s="2" t="str">
        <f t="shared" si="25"/>
        <v>extracted_filing/75362_2000_10-K.txt</v>
      </c>
      <c r="I193" s="2" t="str">
        <f t="shared" si="26"/>
        <v>https://www.sec.gov/cgi-bin/browse-edgar?action=getcompany&amp;CIK=75362&amp;type=10-K&amp;dateb=20080101&amp;owner=exclude&amp;count=40&amp;search_text=</v>
      </c>
      <c r="J193">
        <v>75362</v>
      </c>
      <c r="K193">
        <v>6839.4</v>
      </c>
      <c r="L193">
        <f>K193+M193+O193</f>
        <v>7294.9</v>
      </c>
      <c r="M193" s="3">
        <f>395.6+59.9</f>
        <v>455.5</v>
      </c>
      <c r="N193">
        <f t="shared" si="34"/>
        <v>455.5</v>
      </c>
      <c r="Q193" t="s">
        <v>93</v>
      </c>
      <c r="T193">
        <f>SUM(K193,M193,O193)</f>
        <v>7294.9</v>
      </c>
    </row>
    <row r="194" spans="1:21" x14ac:dyDescent="0.35">
      <c r="A194">
        <v>8253</v>
      </c>
      <c r="B194" s="1">
        <v>37256</v>
      </c>
      <c r="C194">
        <v>2001</v>
      </c>
      <c r="D194">
        <v>693718108</v>
      </c>
      <c r="E194" t="s">
        <v>30</v>
      </c>
      <c r="F194" t="str">
        <f t="shared" ref="F194:F257" si="35">_xlfn.CONCAT(TEXT(J194,0),"_",TEXT(C194,0))</f>
        <v>75362_2001</v>
      </c>
      <c r="G194" s="2" t="str">
        <f t="shared" si="24"/>
        <v>extracted_filing/75362_2001_10-K.html</v>
      </c>
      <c r="H194" s="2" t="str">
        <f t="shared" si="25"/>
        <v>extracted_filing/75362_2001_10-K.txt</v>
      </c>
      <c r="I194" s="2" t="str">
        <f t="shared" si="26"/>
        <v>https://www.sec.gov/cgi-bin/browse-edgar?action=getcompany&amp;CIK=75362&amp;type=10-K&amp;dateb=20080101&amp;owner=exclude&amp;count=40&amp;search_text=</v>
      </c>
      <c r="J194">
        <v>75362</v>
      </c>
      <c r="K194">
        <v>5417.1</v>
      </c>
      <c r="L194">
        <f>K194+M194+O194</f>
        <v>5855</v>
      </c>
      <c r="M194" s="3">
        <f>375.9+62</f>
        <v>437.9</v>
      </c>
      <c r="N194">
        <f t="shared" si="34"/>
        <v>437.9</v>
      </c>
      <c r="Q194" t="s">
        <v>93</v>
      </c>
      <c r="T194">
        <f>SUM(K194,M194,O194)</f>
        <v>5855</v>
      </c>
    </row>
    <row r="195" spans="1:21" x14ac:dyDescent="0.35">
      <c r="A195">
        <v>8253</v>
      </c>
      <c r="B195" s="1">
        <v>37621</v>
      </c>
      <c r="C195">
        <v>2002</v>
      </c>
      <c r="D195">
        <v>693718108</v>
      </c>
      <c r="E195" t="s">
        <v>30</v>
      </c>
      <c r="F195" t="str">
        <f t="shared" si="35"/>
        <v>75362_2002</v>
      </c>
      <c r="G195" s="2" t="str">
        <f t="shared" ref="G195:G258" si="36">HYPERLINK(_xlfn.CONCAT("extracted_filing/",$F195,"_10-K.html"))</f>
        <v>extracted_filing/75362_2002_10-K.html</v>
      </c>
      <c r="H195" s="2" t="str">
        <f t="shared" ref="H195:H258" si="37">HYPERLINK(_xlfn.CONCAT("extracted_filing/",$F195,"_10-K.txt"))</f>
        <v>extracted_filing/75362_2002_10-K.txt</v>
      </c>
      <c r="I195" s="2" t="str">
        <f t="shared" ref="I195:I258" si="38">HYPERLINK(_xlfn.CONCAT("https://www.sec.gov/cgi-bin/browse-edgar?action=getcompany&amp;CIK=",TEXT(J195,0),"&amp;type=10-K&amp;dateb=20080101&amp;owner=exclude&amp;count=40&amp;search_text="))</f>
        <v>https://www.sec.gov/cgi-bin/browse-edgar?action=getcompany&amp;CIK=75362&amp;type=10-K&amp;dateb=20080101&amp;owner=exclude&amp;count=40&amp;search_text=</v>
      </c>
      <c r="J195">
        <v>75362</v>
      </c>
      <c r="K195">
        <v>6206.2</v>
      </c>
      <c r="L195">
        <f>K195+M195+O195</f>
        <v>6630.2</v>
      </c>
      <c r="M195" s="3">
        <f>354.5+69.5</f>
        <v>424</v>
      </c>
      <c r="N195">
        <f t="shared" si="34"/>
        <v>424</v>
      </c>
      <c r="Q195" t="s">
        <v>93</v>
      </c>
      <c r="T195">
        <f>SUM(K195,M195,O195)</f>
        <v>6630.2</v>
      </c>
    </row>
    <row r="196" spans="1:21" x14ac:dyDescent="0.35">
      <c r="A196">
        <v>8253</v>
      </c>
      <c r="B196" s="1">
        <v>37986</v>
      </c>
      <c r="C196">
        <v>2003</v>
      </c>
      <c r="D196">
        <v>693718108</v>
      </c>
      <c r="E196" t="s">
        <v>30</v>
      </c>
      <c r="F196" t="str">
        <f t="shared" si="35"/>
        <v>75362_2003</v>
      </c>
      <c r="G196" s="2" t="str">
        <f t="shared" si="36"/>
        <v>extracted_filing/75362_2003_10-K.html</v>
      </c>
      <c r="H196" s="2" t="str">
        <f t="shared" si="37"/>
        <v>extracted_filing/75362_2003_10-K.txt</v>
      </c>
      <c r="I196" s="2" t="str">
        <f t="shared" si="38"/>
        <v>https://www.sec.gov/cgi-bin/browse-edgar?action=getcompany&amp;CIK=75362&amp;type=10-K&amp;dateb=20080101&amp;owner=exclude&amp;count=40&amp;search_text=</v>
      </c>
      <c r="J196">
        <v>75362</v>
      </c>
      <c r="K196">
        <v>6911</v>
      </c>
      <c r="L196">
        <f>K196+M196+O196</f>
        <v>7328.9</v>
      </c>
      <c r="M196" s="3">
        <f>345+72.9</f>
        <v>417.9</v>
      </c>
      <c r="N196">
        <f t="shared" si="34"/>
        <v>417.9</v>
      </c>
      <c r="Q196" t="s">
        <v>93</v>
      </c>
      <c r="T196">
        <f>SUM(K196,M196,O196)</f>
        <v>7328.9</v>
      </c>
    </row>
    <row r="197" spans="1:21" x14ac:dyDescent="0.35">
      <c r="A197">
        <v>8253</v>
      </c>
      <c r="B197" s="1">
        <v>38352</v>
      </c>
      <c r="C197">
        <v>2004</v>
      </c>
      <c r="D197">
        <v>693718108</v>
      </c>
      <c r="E197" t="s">
        <v>30</v>
      </c>
      <c r="F197" t="str">
        <f t="shared" si="35"/>
        <v>75362_2004</v>
      </c>
      <c r="G197" s="2" t="str">
        <f t="shared" si="36"/>
        <v>extracted_filing/75362_2004_10-K.html</v>
      </c>
      <c r="H197" s="2" t="str">
        <f t="shared" si="37"/>
        <v>extracted_filing/75362_2004_10-K.txt</v>
      </c>
      <c r="I197" s="2" t="str">
        <f t="shared" si="38"/>
        <v>https://www.sec.gov/cgi-bin/browse-edgar?action=getcompany&amp;CIK=75362&amp;type=10-K&amp;dateb=20080101&amp;owner=exclude&amp;count=40&amp;search_text=</v>
      </c>
      <c r="J197">
        <v>75362</v>
      </c>
      <c r="K197">
        <v>9442.1</v>
      </c>
      <c r="L197">
        <f>K197+M197+O197</f>
        <v>9912.5</v>
      </c>
      <c r="M197" s="3">
        <f>390.4+80</f>
        <v>470.4</v>
      </c>
      <c r="N197">
        <f t="shared" si="34"/>
        <v>470.4</v>
      </c>
      <c r="Q197" t="s">
        <v>93</v>
      </c>
      <c r="T197">
        <f>SUM(K197,M197,O197)</f>
        <v>9912.5</v>
      </c>
    </row>
    <row r="198" spans="1:21" x14ac:dyDescent="0.35">
      <c r="A198">
        <v>8253</v>
      </c>
      <c r="B198" s="1">
        <v>38717</v>
      </c>
      <c r="C198">
        <v>2005</v>
      </c>
      <c r="D198">
        <v>693718108</v>
      </c>
      <c r="E198" t="s">
        <v>30</v>
      </c>
      <c r="F198" t="str">
        <f t="shared" si="35"/>
        <v>75362_2005</v>
      </c>
      <c r="G198" s="2" t="str">
        <f t="shared" si="36"/>
        <v>extracted_filing/75362_2005_10-K.html</v>
      </c>
      <c r="H198" s="2" t="str">
        <f t="shared" si="37"/>
        <v>extracted_filing/75362_2005_10-K.txt</v>
      </c>
      <c r="I198" s="2" t="str">
        <f t="shared" si="38"/>
        <v>https://www.sec.gov/cgi-bin/browse-edgar?action=getcompany&amp;CIK=75362&amp;type=10-K&amp;dateb=20080101&amp;owner=exclude&amp;count=40&amp;search_text=</v>
      </c>
      <c r="J198">
        <v>75362</v>
      </c>
      <c r="K198">
        <v>11525.6</v>
      </c>
      <c r="L198">
        <f>K198+M198+O198</f>
        <v>12040.4</v>
      </c>
      <c r="M198" s="3">
        <f>429.9+84.9</f>
        <v>514.79999999999995</v>
      </c>
      <c r="N198">
        <f t="shared" si="34"/>
        <v>514.79999999999995</v>
      </c>
      <c r="Q198" t="s">
        <v>93</v>
      </c>
      <c r="T198">
        <f>SUM(K198,M198,O198)</f>
        <v>12040.4</v>
      </c>
    </row>
    <row r="199" spans="1:21" x14ac:dyDescent="0.35">
      <c r="A199">
        <v>8253</v>
      </c>
      <c r="B199" s="1">
        <v>39082</v>
      </c>
      <c r="C199">
        <v>2006</v>
      </c>
      <c r="D199">
        <v>693718108</v>
      </c>
      <c r="E199" t="s">
        <v>30</v>
      </c>
      <c r="F199" t="str">
        <f t="shared" si="35"/>
        <v>75362_2006</v>
      </c>
      <c r="G199" s="2" t="str">
        <f t="shared" si="36"/>
        <v>extracted_filing/75362_2006_10-K.html</v>
      </c>
      <c r="H199" s="2" t="str">
        <f t="shared" si="37"/>
        <v>extracted_filing/75362_2006_10-K.txt</v>
      </c>
      <c r="I199" s="2" t="str">
        <f t="shared" si="38"/>
        <v>https://www.sec.gov/cgi-bin/browse-edgar?action=getcompany&amp;CIK=75362&amp;type=10-K&amp;dateb=20080101&amp;owner=exclude&amp;count=40&amp;search_text=</v>
      </c>
      <c r="J199">
        <v>75362</v>
      </c>
      <c r="K199">
        <v>13352.1</v>
      </c>
      <c r="L199">
        <f>K199+M199+O199</f>
        <v>13905.300000000001</v>
      </c>
      <c r="M199" s="3">
        <f>457.3+95.9</f>
        <v>553.20000000000005</v>
      </c>
      <c r="N199">
        <f t="shared" si="34"/>
        <v>553.20000000000005</v>
      </c>
      <c r="Q199" t="s">
        <v>93</v>
      </c>
      <c r="T199">
        <f>SUM(K199,M199,O199)</f>
        <v>13905.300000000001</v>
      </c>
    </row>
    <row r="200" spans="1:21" x14ac:dyDescent="0.35">
      <c r="A200">
        <v>8536</v>
      </c>
      <c r="B200" s="1">
        <v>35795</v>
      </c>
      <c r="C200">
        <v>1997</v>
      </c>
      <c r="D200">
        <v>717265102</v>
      </c>
      <c r="E200" t="s">
        <v>31</v>
      </c>
      <c r="F200" t="str">
        <f t="shared" si="35"/>
        <v>78066_1997</v>
      </c>
      <c r="G200" s="2" t="str">
        <f t="shared" si="36"/>
        <v>extracted_filing/78066_1997_10-K.html</v>
      </c>
      <c r="H200" s="2" t="str">
        <f t="shared" si="37"/>
        <v>extracted_filing/78066_1997_10-K.txt</v>
      </c>
      <c r="I200" s="2" t="str">
        <f t="shared" si="38"/>
        <v>https://www.sec.gov/cgi-bin/browse-edgar?action=getcompany&amp;CIK=78066&amp;type=10-K&amp;dateb=20080101&amp;owner=exclude&amp;count=40&amp;search_text=</v>
      </c>
      <c r="J200">
        <v>78066</v>
      </c>
      <c r="K200" s="3">
        <v>2744.1</v>
      </c>
      <c r="L200">
        <f>K200+M200+O200</f>
        <v>2973.7000000000003</v>
      </c>
      <c r="M200" s="3">
        <v>141.80000000000001</v>
      </c>
      <c r="N200">
        <f t="shared" si="34"/>
        <v>141.80000000000001</v>
      </c>
      <c r="O200" s="3">
        <v>87.8</v>
      </c>
      <c r="P200">
        <v>87.8</v>
      </c>
      <c r="Q200" t="s">
        <v>95</v>
      </c>
      <c r="R200">
        <v>2973.7</v>
      </c>
      <c r="T200">
        <f>SUM(K200,M200,O200)</f>
        <v>2973.7000000000003</v>
      </c>
    </row>
    <row r="201" spans="1:21" x14ac:dyDescent="0.35">
      <c r="A201">
        <v>8536</v>
      </c>
      <c r="B201" s="1">
        <v>36160</v>
      </c>
      <c r="C201">
        <v>1998</v>
      </c>
      <c r="D201">
        <v>717265102</v>
      </c>
      <c r="E201" t="s">
        <v>31</v>
      </c>
      <c r="F201" t="str">
        <f t="shared" si="35"/>
        <v>78066_1998</v>
      </c>
      <c r="G201" s="2" t="str">
        <f t="shared" si="36"/>
        <v>extracted_filing/78066_1998_10-K.html</v>
      </c>
      <c r="H201" s="2" t="str">
        <f t="shared" si="37"/>
        <v>extracted_filing/78066_1998_10-K.txt</v>
      </c>
      <c r="I201" s="2" t="str">
        <f t="shared" si="38"/>
        <v>https://www.sec.gov/cgi-bin/browse-edgar?action=getcompany&amp;CIK=78066&amp;type=10-K&amp;dateb=20080101&amp;owner=exclude&amp;count=40&amp;search_text=</v>
      </c>
      <c r="J201">
        <v>78066</v>
      </c>
      <c r="K201" s="3">
        <v>2360.4</v>
      </c>
      <c r="L201">
        <f>K201+M201+O201</f>
        <v>2538.3000000000002</v>
      </c>
      <c r="M201" s="3">
        <v>122.9</v>
      </c>
      <c r="N201">
        <f t="shared" si="34"/>
        <v>122.9</v>
      </c>
      <c r="O201" s="3">
        <v>55</v>
      </c>
      <c r="P201">
        <v>55</v>
      </c>
      <c r="Q201" t="s">
        <v>95</v>
      </c>
      <c r="R201">
        <v>2538.3000000000002</v>
      </c>
      <c r="T201">
        <f>SUM(K201,M201,O201)</f>
        <v>2538.3000000000002</v>
      </c>
    </row>
    <row r="202" spans="1:21" x14ac:dyDescent="0.35">
      <c r="A202">
        <v>8536</v>
      </c>
      <c r="B202" s="1">
        <v>36525</v>
      </c>
      <c r="C202">
        <v>1999</v>
      </c>
      <c r="D202">
        <v>717265102</v>
      </c>
      <c r="E202" t="s">
        <v>31</v>
      </c>
      <c r="F202" t="str">
        <f t="shared" si="35"/>
        <v>78066_1999</v>
      </c>
      <c r="G202" s="2" t="str">
        <f t="shared" si="36"/>
        <v>extracted_filing/78066_1999_10-K.html</v>
      </c>
      <c r="H202" s="2" t="str">
        <f t="shared" si="37"/>
        <v>extracted_filing/78066_1999_10-K.txt</v>
      </c>
      <c r="I202" s="2" t="str">
        <f t="shared" si="38"/>
        <v>https://www.sec.gov/cgi-bin/browse-edgar?action=getcompany&amp;CIK=78066&amp;type=10-K&amp;dateb=20080101&amp;owner=exclude&amp;count=40&amp;search_text=</v>
      </c>
      <c r="J202">
        <v>78066</v>
      </c>
      <c r="K202" s="3">
        <v>2451.6999999999998</v>
      </c>
      <c r="L202">
        <f>K202+M202+O202</f>
        <v>2645.4999999999995</v>
      </c>
      <c r="M202" s="3">
        <v>141.6</v>
      </c>
      <c r="N202">
        <f t="shared" si="34"/>
        <v>141.6</v>
      </c>
      <c r="O202" s="3">
        <v>52.2</v>
      </c>
      <c r="P202">
        <v>52.2</v>
      </c>
      <c r="Q202" t="s">
        <v>95</v>
      </c>
      <c r="R202">
        <v>2645.5</v>
      </c>
      <c r="T202">
        <f>SUM(K202,M202,O202)</f>
        <v>2645.4999999999995</v>
      </c>
    </row>
    <row r="203" spans="1:21" x14ac:dyDescent="0.35">
      <c r="A203">
        <v>8536</v>
      </c>
      <c r="B203" s="1">
        <v>36891</v>
      </c>
      <c r="C203">
        <v>2000</v>
      </c>
      <c r="D203">
        <v>717265102</v>
      </c>
      <c r="E203" t="s">
        <v>31</v>
      </c>
      <c r="F203" t="str">
        <f t="shared" si="35"/>
        <v>78066_2000</v>
      </c>
      <c r="G203" s="2" t="str">
        <f t="shared" si="36"/>
        <v>extracted_filing/78066_2000_10-K.html</v>
      </c>
      <c r="H203" s="2" t="str">
        <f t="shared" si="37"/>
        <v>extracted_filing/78066_2000_10-K.txt</v>
      </c>
      <c r="I203" s="2" t="str">
        <f t="shared" si="38"/>
        <v>https://www.sec.gov/cgi-bin/browse-edgar?action=getcompany&amp;CIK=78066&amp;type=10-K&amp;dateb=20080101&amp;owner=exclude&amp;count=40&amp;search_text=</v>
      </c>
      <c r="J203">
        <v>78066</v>
      </c>
      <c r="K203" s="3">
        <v>3580.2</v>
      </c>
      <c r="L203">
        <f>K203+M203+O203</f>
        <v>3772.1</v>
      </c>
      <c r="M203" s="3">
        <v>135.1</v>
      </c>
      <c r="N203">
        <f t="shared" si="34"/>
        <v>135.1</v>
      </c>
      <c r="O203" s="3">
        <v>56.8</v>
      </c>
      <c r="P203">
        <v>56.8</v>
      </c>
      <c r="Q203" t="s">
        <v>95</v>
      </c>
      <c r="R203">
        <v>3766.5</v>
      </c>
      <c r="T203">
        <f>SUM(K203,M203,O203)</f>
        <v>3772.1</v>
      </c>
    </row>
    <row r="204" spans="1:21" x14ac:dyDescent="0.35">
      <c r="A204">
        <v>8536</v>
      </c>
      <c r="B204" s="1">
        <v>37256</v>
      </c>
      <c r="C204">
        <v>2001</v>
      </c>
      <c r="D204">
        <v>717265102</v>
      </c>
      <c r="E204" t="s">
        <v>31</v>
      </c>
      <c r="F204" t="str">
        <f t="shared" si="35"/>
        <v>78066_2001</v>
      </c>
      <c r="G204" s="2" t="str">
        <f t="shared" si="36"/>
        <v>extracted_filing/78066_2001_10-K.html</v>
      </c>
      <c r="H204" s="2" t="str">
        <f t="shared" si="37"/>
        <v>extracted_filing/78066_2001_10-K.txt</v>
      </c>
      <c r="I204" s="2" t="str">
        <f t="shared" si="38"/>
        <v>https://www.sec.gov/cgi-bin/browse-edgar?action=getcompany&amp;CIK=78066&amp;type=10-K&amp;dateb=20080101&amp;owner=exclude&amp;count=40&amp;search_text=</v>
      </c>
      <c r="J204">
        <v>78066</v>
      </c>
      <c r="K204" s="3">
        <v>3440.8</v>
      </c>
      <c r="L204">
        <f>K204+M204+O204</f>
        <v>3613.6000000000004</v>
      </c>
      <c r="M204" s="3">
        <v>116.5</v>
      </c>
      <c r="N204">
        <f t="shared" si="34"/>
        <v>116.5</v>
      </c>
      <c r="O204" s="3">
        <v>56.3</v>
      </c>
      <c r="P204">
        <v>56.3</v>
      </c>
      <c r="Q204" t="s">
        <v>95</v>
      </c>
      <c r="R204">
        <v>3613.6</v>
      </c>
      <c r="T204">
        <f>SUM(K204,M204,O204)</f>
        <v>3613.6000000000004</v>
      </c>
    </row>
    <row r="205" spans="1:21" x14ac:dyDescent="0.35">
      <c r="A205">
        <v>8536</v>
      </c>
      <c r="B205" s="1">
        <v>37621</v>
      </c>
      <c r="C205">
        <v>2002</v>
      </c>
      <c r="D205">
        <v>717265102</v>
      </c>
      <c r="E205" t="s">
        <v>31</v>
      </c>
      <c r="F205" t="str">
        <f t="shared" si="35"/>
        <v>78066_2002</v>
      </c>
      <c r="G205" s="2" t="str">
        <f t="shared" si="36"/>
        <v>extracted_filing/78066_2002_10-K.html</v>
      </c>
      <c r="H205" s="2" t="str">
        <f t="shared" si="37"/>
        <v>extracted_filing/78066_2002_10-K.txt</v>
      </c>
      <c r="I205" s="2" t="str">
        <f t="shared" si="38"/>
        <v>https://www.sec.gov/cgi-bin/browse-edgar?action=getcompany&amp;CIK=78066&amp;type=10-K&amp;dateb=20080101&amp;owner=exclude&amp;count=40&amp;search_text=</v>
      </c>
      <c r="J205">
        <v>78066</v>
      </c>
      <c r="K205">
        <v>3120.5</v>
      </c>
      <c r="L205">
        <f>K205+M205+O205</f>
        <v>3284.7000000000003</v>
      </c>
      <c r="M205" s="3">
        <v>123.9</v>
      </c>
      <c r="N205">
        <f t="shared" si="34"/>
        <v>123.9</v>
      </c>
      <c r="O205" s="3">
        <v>40.299999999999997</v>
      </c>
      <c r="P205">
        <v>40.299999999999997</v>
      </c>
      <c r="Q205" t="s">
        <v>94</v>
      </c>
      <c r="R205">
        <v>3120.5</v>
      </c>
      <c r="S205">
        <v>164.2</v>
      </c>
      <c r="T205">
        <f>SUM(K205,M205,O205)</f>
        <v>3284.7000000000003</v>
      </c>
      <c r="U205">
        <f t="shared" ref="U205:U208" si="39">SUM(R205:S205)</f>
        <v>3284.7</v>
      </c>
    </row>
    <row r="206" spans="1:21" x14ac:dyDescent="0.35">
      <c r="A206">
        <v>8536</v>
      </c>
      <c r="B206" s="1">
        <v>37986</v>
      </c>
      <c r="C206">
        <v>2003</v>
      </c>
      <c r="D206">
        <v>717265102</v>
      </c>
      <c r="E206" t="s">
        <v>31</v>
      </c>
      <c r="F206" t="str">
        <f t="shared" si="35"/>
        <v>78066_2003</v>
      </c>
      <c r="G206" s="2" t="str">
        <f t="shared" si="36"/>
        <v>extracted_filing/78066_2003_10-K.html</v>
      </c>
      <c r="H206" s="2" t="str">
        <f t="shared" si="37"/>
        <v>extracted_filing/78066_2003_10-K.txt</v>
      </c>
      <c r="I206" s="2" t="str">
        <f t="shared" si="38"/>
        <v>https://www.sec.gov/cgi-bin/browse-edgar?action=getcompany&amp;CIK=78066&amp;type=10-K&amp;dateb=20080101&amp;owner=exclude&amp;count=40&amp;search_text=</v>
      </c>
      <c r="J206">
        <v>78066</v>
      </c>
      <c r="K206">
        <v>3285.1</v>
      </c>
      <c r="L206">
        <f>K206+M206+O206</f>
        <v>3484.4999999999995</v>
      </c>
      <c r="M206" s="3">
        <v>148.69999999999999</v>
      </c>
      <c r="N206">
        <f t="shared" si="34"/>
        <v>148.69999999999999</v>
      </c>
      <c r="O206" s="3">
        <v>50.7</v>
      </c>
      <c r="P206">
        <v>50.7</v>
      </c>
      <c r="Q206" t="s">
        <v>94</v>
      </c>
      <c r="R206">
        <v>3285.1</v>
      </c>
      <c r="S206">
        <v>199.4</v>
      </c>
      <c r="T206">
        <f>SUM(K206,M206,O206)</f>
        <v>3484.4999999999995</v>
      </c>
      <c r="U206">
        <f t="shared" si="39"/>
        <v>3484.5</v>
      </c>
    </row>
    <row r="207" spans="1:21" x14ac:dyDescent="0.35">
      <c r="A207">
        <v>8536</v>
      </c>
      <c r="B207" s="1">
        <v>38352</v>
      </c>
      <c r="C207">
        <v>2004</v>
      </c>
      <c r="D207">
        <v>717265102</v>
      </c>
      <c r="E207" t="s">
        <v>31</v>
      </c>
      <c r="F207" t="str">
        <f t="shared" si="35"/>
        <v>78066_2004</v>
      </c>
      <c r="G207" s="2" t="str">
        <f t="shared" si="36"/>
        <v>extracted_filing/78066_2004_10-K.html</v>
      </c>
      <c r="H207" s="2" t="str">
        <f t="shared" si="37"/>
        <v>extracted_filing/78066_2004_10-K.txt</v>
      </c>
      <c r="I207" s="2" t="str">
        <f t="shared" si="38"/>
        <v>https://www.sec.gov/cgi-bin/browse-edgar?action=getcompany&amp;CIK=78066&amp;type=10-K&amp;dateb=20080101&amp;owner=exclude&amp;count=40&amp;search_text=</v>
      </c>
      <c r="J207">
        <v>78066</v>
      </c>
      <c r="K207">
        <v>4781.8</v>
      </c>
      <c r="L207">
        <f>K207+M207+O207</f>
        <v>5011.1000000000004</v>
      </c>
      <c r="M207" s="3">
        <v>166.2</v>
      </c>
      <c r="N207">
        <f t="shared" si="34"/>
        <v>166.2</v>
      </c>
      <c r="O207" s="3">
        <v>63.1</v>
      </c>
      <c r="P207">
        <v>63.1</v>
      </c>
      <c r="Q207" t="s">
        <v>94</v>
      </c>
      <c r="R207">
        <v>4781.8</v>
      </c>
      <c r="S207">
        <v>229.3</v>
      </c>
      <c r="T207">
        <f>SUM(K207,M207,O207)</f>
        <v>5011.1000000000004</v>
      </c>
      <c r="U207">
        <f t="shared" si="39"/>
        <v>5011.1000000000004</v>
      </c>
    </row>
    <row r="208" spans="1:21" x14ac:dyDescent="0.35">
      <c r="A208">
        <v>8536</v>
      </c>
      <c r="B208" s="1">
        <v>38717</v>
      </c>
      <c r="C208">
        <v>2005</v>
      </c>
      <c r="D208">
        <v>717265102</v>
      </c>
      <c r="E208" t="s">
        <v>31</v>
      </c>
      <c r="F208" t="str">
        <f t="shared" si="35"/>
        <v>78066_2005</v>
      </c>
      <c r="G208" s="2" t="str">
        <f t="shared" si="36"/>
        <v>extracted_filing/78066_2005_10-K.html</v>
      </c>
      <c r="H208" s="2" t="str">
        <f t="shared" si="37"/>
        <v>extracted_filing/78066_2005_10-K.txt</v>
      </c>
      <c r="I208" s="2" t="str">
        <f t="shared" si="38"/>
        <v>https://www.sec.gov/cgi-bin/browse-edgar?action=getcompany&amp;CIK=78066&amp;type=10-K&amp;dateb=20080101&amp;owner=exclude&amp;count=40&amp;search_text=</v>
      </c>
      <c r="J208">
        <v>78066</v>
      </c>
      <c r="K208">
        <v>5281.8</v>
      </c>
      <c r="L208">
        <f>K208+M208+O208</f>
        <v>5557.3</v>
      </c>
      <c r="M208" s="3">
        <v>158.5</v>
      </c>
      <c r="N208">
        <f t="shared" si="34"/>
        <v>158.5</v>
      </c>
      <c r="O208" s="3">
        <v>117</v>
      </c>
      <c r="P208">
        <v>117</v>
      </c>
      <c r="Q208" t="s">
        <v>94</v>
      </c>
      <c r="R208">
        <v>5281.8</v>
      </c>
      <c r="S208">
        <v>275.5</v>
      </c>
      <c r="T208">
        <f>SUM(K208,M208,O208)</f>
        <v>5557.3</v>
      </c>
      <c r="U208">
        <f t="shared" si="39"/>
        <v>5557.3</v>
      </c>
    </row>
    <row r="209" spans="1:21" x14ac:dyDescent="0.35">
      <c r="A209">
        <v>8536</v>
      </c>
      <c r="B209" s="1">
        <v>39082</v>
      </c>
      <c r="C209">
        <v>2006</v>
      </c>
      <c r="D209">
        <v>717265102</v>
      </c>
      <c r="E209" t="s">
        <v>31</v>
      </c>
      <c r="F209" t="str">
        <f t="shared" si="35"/>
        <v>78066_2006</v>
      </c>
      <c r="G209" s="2" t="str">
        <f t="shared" si="36"/>
        <v>extracted_filing/78066_2006_10-K.html</v>
      </c>
      <c r="H209" s="2" t="str">
        <f t="shared" si="37"/>
        <v>extracted_filing/78066_2006_10-K.txt</v>
      </c>
      <c r="I209" s="2" t="str">
        <f t="shared" si="38"/>
        <v>https://www.sec.gov/cgi-bin/browse-edgar?action=getcompany&amp;CIK=78066&amp;type=10-K&amp;dateb=20080101&amp;owner=exclude&amp;count=40&amp;search_text=</v>
      </c>
      <c r="J209">
        <v>78066</v>
      </c>
      <c r="K209">
        <v>6807.2</v>
      </c>
      <c r="L209">
        <f>K209+M209+O209</f>
        <v>7141.2</v>
      </c>
      <c r="M209" s="3">
        <v>207</v>
      </c>
      <c r="N209">
        <f t="shared" si="34"/>
        <v>207</v>
      </c>
      <c r="O209" s="3">
        <v>127</v>
      </c>
      <c r="P209">
        <v>127</v>
      </c>
      <c r="Q209" t="s">
        <v>94</v>
      </c>
      <c r="R209">
        <v>6807.2</v>
      </c>
      <c r="S209">
        <v>334</v>
      </c>
      <c r="T209">
        <f>SUM(K209,M209,O209)</f>
        <v>7141.2</v>
      </c>
      <c r="U209">
        <f t="shared" ref="U209" si="40">SUM(R209:S209)</f>
        <v>7141.2</v>
      </c>
    </row>
    <row r="210" spans="1:21" x14ac:dyDescent="0.35">
      <c r="A210">
        <v>9299</v>
      </c>
      <c r="B210" s="1">
        <v>35795</v>
      </c>
      <c r="C210">
        <v>1997</v>
      </c>
      <c r="D210">
        <v>783549108</v>
      </c>
      <c r="E210" t="s">
        <v>32</v>
      </c>
      <c r="F210" t="str">
        <f t="shared" si="35"/>
        <v>85961_1997</v>
      </c>
      <c r="G210" s="2" t="str">
        <f t="shared" si="36"/>
        <v>extracted_filing/85961_1997_10-K.html</v>
      </c>
      <c r="H210" s="2" t="str">
        <f t="shared" si="37"/>
        <v>extracted_filing/85961_1997_10-K.txt</v>
      </c>
      <c r="I210" s="2" t="str">
        <f t="shared" si="38"/>
        <v>https://www.sec.gov/cgi-bin/browse-edgar?action=getcompany&amp;CIK=85961&amp;type=10-K&amp;dateb=20080101&amp;owner=exclude&amp;count=40&amp;search_text=</v>
      </c>
      <c r="J210">
        <v>85961</v>
      </c>
      <c r="K210">
        <v>3857.98</v>
      </c>
      <c r="L210">
        <f>K210+M210+O210</f>
        <v>3857.98</v>
      </c>
      <c r="Q210" t="s">
        <v>96</v>
      </c>
      <c r="R210">
        <v>3857.98</v>
      </c>
    </row>
    <row r="211" spans="1:21" x14ac:dyDescent="0.35">
      <c r="A211">
        <v>9299</v>
      </c>
      <c r="B211" s="1">
        <v>36160</v>
      </c>
      <c r="C211">
        <v>1998</v>
      </c>
      <c r="D211">
        <v>783549108</v>
      </c>
      <c r="E211" t="s">
        <v>32</v>
      </c>
      <c r="F211" t="str">
        <f t="shared" si="35"/>
        <v>85961_1998</v>
      </c>
      <c r="G211" s="2" t="str">
        <f t="shared" si="36"/>
        <v>extracted_filing/85961_1998_10-K.html</v>
      </c>
      <c r="H211" s="2" t="str">
        <f t="shared" si="37"/>
        <v>extracted_filing/85961_1998_10-K.txt</v>
      </c>
      <c r="I211" s="2" t="str">
        <f t="shared" si="38"/>
        <v>https://www.sec.gov/cgi-bin/browse-edgar?action=getcompany&amp;CIK=85961&amp;type=10-K&amp;dateb=20080101&amp;owner=exclude&amp;count=40&amp;search_text=</v>
      </c>
      <c r="J211">
        <v>85961</v>
      </c>
      <c r="K211">
        <v>4097.1869999999999</v>
      </c>
      <c r="L211">
        <f>K211+M211+O211</f>
        <v>4097.1869999999999</v>
      </c>
      <c r="Q211" t="s">
        <v>96</v>
      </c>
      <c r="R211">
        <v>4097.1869999999999</v>
      </c>
    </row>
    <row r="212" spans="1:21" x14ac:dyDescent="0.35">
      <c r="A212">
        <v>9299</v>
      </c>
      <c r="B212" s="1">
        <v>36525</v>
      </c>
      <c r="C212">
        <v>1999</v>
      </c>
      <c r="D212">
        <v>783549108</v>
      </c>
      <c r="E212" t="s">
        <v>32</v>
      </c>
      <c r="F212" t="str">
        <f t="shared" si="35"/>
        <v>85961_1999</v>
      </c>
      <c r="G212" s="2" t="str">
        <f t="shared" si="36"/>
        <v>extracted_filing/85961_1999_10-K.html</v>
      </c>
      <c r="H212" s="2" t="str">
        <f t="shared" si="37"/>
        <v>extracted_filing/85961_1999_10-K.txt</v>
      </c>
      <c r="I212" s="2" t="str">
        <f t="shared" si="38"/>
        <v>https://www.sec.gov/cgi-bin/browse-edgar?action=getcompany&amp;CIK=85961&amp;type=10-K&amp;dateb=20080101&amp;owner=exclude&amp;count=40&amp;search_text=</v>
      </c>
      <c r="J212">
        <v>85961</v>
      </c>
      <c r="K212">
        <v>4010.848</v>
      </c>
      <c r="L212">
        <f>K212+M212+O212</f>
        <v>4010.848</v>
      </c>
      <c r="Q212" t="s">
        <v>96</v>
      </c>
      <c r="R212">
        <v>4010.848</v>
      </c>
    </row>
    <row r="213" spans="1:21" x14ac:dyDescent="0.35">
      <c r="A213">
        <v>9299</v>
      </c>
      <c r="B213" s="1">
        <v>36891</v>
      </c>
      <c r="C213">
        <v>2000</v>
      </c>
      <c r="D213">
        <v>783549108</v>
      </c>
      <c r="E213" t="s">
        <v>32</v>
      </c>
      <c r="F213" t="str">
        <f t="shared" si="35"/>
        <v>85961_2000</v>
      </c>
      <c r="G213" s="2" t="str">
        <f t="shared" si="36"/>
        <v>extracted_filing/85961_2000_10-K.html</v>
      </c>
      <c r="H213" s="2" t="str">
        <f t="shared" si="37"/>
        <v>extracted_filing/85961_2000_10-K.txt</v>
      </c>
      <c r="I213" s="2" t="str">
        <f t="shared" si="38"/>
        <v>https://www.sec.gov/cgi-bin/browse-edgar?action=getcompany&amp;CIK=85961&amp;type=10-K&amp;dateb=20080101&amp;owner=exclude&amp;count=40&amp;search_text=</v>
      </c>
      <c r="J213">
        <v>85961</v>
      </c>
      <c r="K213">
        <v>4430.857</v>
      </c>
      <c r="L213">
        <f>K213+M213+O213</f>
        <v>4430.857</v>
      </c>
      <c r="Q213" t="s">
        <v>96</v>
      </c>
      <c r="R213">
        <v>4430.857</v>
      </c>
    </row>
    <row r="214" spans="1:21" x14ac:dyDescent="0.35">
      <c r="A214">
        <v>9299</v>
      </c>
      <c r="B214" s="1">
        <v>37256</v>
      </c>
      <c r="C214">
        <v>2001</v>
      </c>
      <c r="D214">
        <v>783549108</v>
      </c>
      <c r="E214" t="s">
        <v>32</v>
      </c>
      <c r="F214" t="str">
        <f t="shared" si="35"/>
        <v>85961_2001</v>
      </c>
      <c r="G214" s="2" t="str">
        <f t="shared" si="36"/>
        <v>extracted_filing/85961_2001_10-K.html</v>
      </c>
      <c r="H214" s="2" t="str">
        <f t="shared" si="37"/>
        <v>extracted_filing/85961_2001_10-K.txt</v>
      </c>
      <c r="I214" s="2" t="str">
        <f t="shared" si="38"/>
        <v>https://www.sec.gov/cgi-bin/browse-edgar?action=getcompany&amp;CIK=85961&amp;type=10-K&amp;dateb=20080101&amp;owner=exclude&amp;count=40&amp;search_text=</v>
      </c>
      <c r="J214">
        <v>85961</v>
      </c>
      <c r="K214">
        <v>4208.1210000000001</v>
      </c>
      <c r="L214">
        <f>K214+M214+O214</f>
        <v>4208.1210000000001</v>
      </c>
      <c r="Q214" t="s">
        <v>96</v>
      </c>
      <c r="R214">
        <v>4208.1210000000001</v>
      </c>
    </row>
    <row r="215" spans="1:21" x14ac:dyDescent="0.35">
      <c r="A215">
        <v>9299</v>
      </c>
      <c r="B215" s="1">
        <v>37621</v>
      </c>
      <c r="C215">
        <v>2002</v>
      </c>
      <c r="D215">
        <v>783549108</v>
      </c>
      <c r="E215" t="s">
        <v>32</v>
      </c>
      <c r="F215" t="str">
        <f t="shared" si="35"/>
        <v>85961_2002</v>
      </c>
      <c r="G215" s="2" t="str">
        <f t="shared" si="36"/>
        <v>extracted_filing/85961_2002_10-K.html</v>
      </c>
      <c r="H215" s="2" t="str">
        <f t="shared" si="37"/>
        <v>extracted_filing/85961_2002_10-K.txt</v>
      </c>
      <c r="I215" s="2" t="str">
        <f t="shared" si="38"/>
        <v>https://www.sec.gov/cgi-bin/browse-edgar?action=getcompany&amp;CIK=85961&amp;type=10-K&amp;dateb=20080101&amp;owner=exclude&amp;count=40&amp;search_text=</v>
      </c>
      <c r="J215">
        <v>85961</v>
      </c>
      <c r="K215">
        <v>3975.9879999999998</v>
      </c>
      <c r="L215">
        <f>K215+M215+O215</f>
        <v>3975.9879999999998</v>
      </c>
      <c r="Q215" t="s">
        <v>96</v>
      </c>
      <c r="R215">
        <v>3975.9879999999998</v>
      </c>
    </row>
    <row r="216" spans="1:21" x14ac:dyDescent="0.35">
      <c r="A216">
        <v>9299</v>
      </c>
      <c r="B216" s="1">
        <v>37986</v>
      </c>
      <c r="C216">
        <v>2003</v>
      </c>
      <c r="D216">
        <v>783549108</v>
      </c>
      <c r="E216" t="s">
        <v>32</v>
      </c>
      <c r="F216" t="str">
        <f t="shared" si="35"/>
        <v>85961_2003</v>
      </c>
      <c r="G216" s="2" t="str">
        <f t="shared" si="36"/>
        <v>extracted_filing/85961_2003_10-K.html</v>
      </c>
      <c r="H216" s="2" t="str">
        <f t="shared" si="37"/>
        <v>extracted_filing/85961_2003_10-K.txt</v>
      </c>
      <c r="I216" s="2" t="str">
        <f t="shared" si="38"/>
        <v>https://www.sec.gov/cgi-bin/browse-edgar?action=getcompany&amp;CIK=85961&amp;type=10-K&amp;dateb=20080101&amp;owner=exclude&amp;count=40&amp;search_text=</v>
      </c>
      <c r="J216">
        <v>85961</v>
      </c>
      <c r="K216">
        <v>3897.2379999999998</v>
      </c>
      <c r="L216">
        <f>K216+M216+O216</f>
        <v>3897.2379999999998</v>
      </c>
      <c r="Q216" t="s">
        <v>96</v>
      </c>
      <c r="R216">
        <v>3897.2379999999998</v>
      </c>
    </row>
    <row r="217" spans="1:21" x14ac:dyDescent="0.35">
      <c r="A217">
        <v>9299</v>
      </c>
      <c r="B217" s="1">
        <v>38352</v>
      </c>
      <c r="C217">
        <v>2004</v>
      </c>
      <c r="D217">
        <v>783549108</v>
      </c>
      <c r="E217" t="s">
        <v>32</v>
      </c>
      <c r="F217" t="str">
        <f t="shared" si="35"/>
        <v>85961_2004</v>
      </c>
      <c r="G217" s="2" t="str">
        <f t="shared" si="36"/>
        <v>extracted_filing/85961_2004_10-K.html</v>
      </c>
      <c r="H217" s="2" t="str">
        <f t="shared" si="37"/>
        <v>extracted_filing/85961_2004_10-K.txt</v>
      </c>
      <c r="I217" s="2" t="str">
        <f t="shared" si="38"/>
        <v>https://www.sec.gov/cgi-bin/browse-edgar?action=getcompany&amp;CIK=85961&amp;type=10-K&amp;dateb=20080101&amp;owner=exclude&amp;count=40&amp;search_text=</v>
      </c>
      <c r="J217">
        <v>85961</v>
      </c>
      <c r="K217">
        <v>4073.9479999999999</v>
      </c>
      <c r="L217">
        <f>K217+M217+O217</f>
        <v>4073.9479999999999</v>
      </c>
      <c r="Q217" t="s">
        <v>96</v>
      </c>
      <c r="R217">
        <v>4073.9479999999999</v>
      </c>
    </row>
    <row r="218" spans="1:21" x14ac:dyDescent="0.35">
      <c r="A218">
        <v>9299</v>
      </c>
      <c r="B218" s="1">
        <v>38717</v>
      </c>
      <c r="C218">
        <v>2005</v>
      </c>
      <c r="D218">
        <v>783549108</v>
      </c>
      <c r="E218" t="s">
        <v>32</v>
      </c>
      <c r="F218" t="str">
        <f t="shared" si="35"/>
        <v>85961_2005</v>
      </c>
      <c r="G218" s="2" t="str">
        <f t="shared" si="36"/>
        <v>extracted_filing/85961_2005_10-K.html</v>
      </c>
      <c r="H218" s="2" t="str">
        <f t="shared" si="37"/>
        <v>extracted_filing/85961_2005_10-K.txt</v>
      </c>
      <c r="I218" s="2" t="str">
        <f t="shared" si="38"/>
        <v>https://www.sec.gov/cgi-bin/browse-edgar?action=getcompany&amp;CIK=85961&amp;type=10-K&amp;dateb=20080101&amp;owner=exclude&amp;count=40&amp;search_text=</v>
      </c>
      <c r="J218">
        <v>85961</v>
      </c>
      <c r="K218">
        <v>4575.5360000000001</v>
      </c>
      <c r="L218">
        <f>K218+M218+O218</f>
        <v>4575.5360000000001</v>
      </c>
      <c r="Q218" t="s">
        <v>96</v>
      </c>
      <c r="R218">
        <v>4575.5360000000001</v>
      </c>
    </row>
    <row r="219" spans="1:21" x14ac:dyDescent="0.35">
      <c r="A219">
        <v>9299</v>
      </c>
      <c r="B219" s="1">
        <v>39082</v>
      </c>
      <c r="C219">
        <v>2006</v>
      </c>
      <c r="D219">
        <v>783549108</v>
      </c>
      <c r="E219" t="s">
        <v>32</v>
      </c>
      <c r="F219" t="str">
        <f t="shared" si="35"/>
        <v>85961_2006</v>
      </c>
      <c r="G219" s="2" t="str">
        <f t="shared" si="36"/>
        <v>extracted_filing/85961_2006_10-K.html</v>
      </c>
      <c r="H219" s="2" t="str">
        <f t="shared" si="37"/>
        <v>extracted_filing/85961_2006_10-K.txt</v>
      </c>
      <c r="I219" s="2" t="str">
        <f t="shared" si="38"/>
        <v>https://www.sec.gov/cgi-bin/browse-edgar?action=getcompany&amp;CIK=85961&amp;type=10-K&amp;dateb=20080101&amp;owner=exclude&amp;count=40&amp;search_text=</v>
      </c>
      <c r="J219">
        <v>85961</v>
      </c>
      <c r="K219">
        <v>5085.7079999999996</v>
      </c>
      <c r="L219">
        <f>K219+M219+O219</f>
        <v>5085.7079999999996</v>
      </c>
      <c r="Q219" t="s">
        <v>96</v>
      </c>
      <c r="R219">
        <v>5085.7079999999996</v>
      </c>
    </row>
    <row r="220" spans="1:21" x14ac:dyDescent="0.35">
      <c r="A220">
        <v>10002</v>
      </c>
      <c r="B220" s="1">
        <v>35795</v>
      </c>
      <c r="C220">
        <v>1997</v>
      </c>
      <c r="D220" t="s">
        <v>33</v>
      </c>
      <c r="E220" t="s">
        <v>34</v>
      </c>
      <c r="F220" t="str">
        <f t="shared" si="35"/>
        <v>878560_1997</v>
      </c>
      <c r="G220" s="2" t="str">
        <f t="shared" si="36"/>
        <v>extracted_filing/878560_1997_10-K.html</v>
      </c>
      <c r="H220" s="2" t="str">
        <f t="shared" si="37"/>
        <v>extracted_filing/878560_1997_10-K.txt</v>
      </c>
      <c r="I220" s="2" t="str">
        <f t="shared" si="38"/>
        <v>https://www.sec.gov/cgi-bin/browse-edgar?action=getcompany&amp;CIK=878560&amp;type=10-K&amp;dateb=20080101&amp;owner=exclude&amp;count=40&amp;search_text=</v>
      </c>
      <c r="J220">
        <v>878560</v>
      </c>
      <c r="K220">
        <v>490.29</v>
      </c>
      <c r="L220">
        <f>K220+M220+O220</f>
        <v>542.43100000000004</v>
      </c>
      <c r="M220">
        <v>52.140999999999998</v>
      </c>
      <c r="N220">
        <f t="shared" si="34"/>
        <v>52.140999999999998</v>
      </c>
      <c r="Q220" t="s">
        <v>137</v>
      </c>
      <c r="R220">
        <v>490.29</v>
      </c>
      <c r="S220">
        <f>M220</f>
        <v>52.140999999999998</v>
      </c>
      <c r="T220">
        <f>K220+M220+O220</f>
        <v>542.43100000000004</v>
      </c>
      <c r="U220">
        <f t="shared" ref="U220" si="41">SUM(R220:S220)</f>
        <v>542.43100000000004</v>
      </c>
    </row>
    <row r="221" spans="1:21" x14ac:dyDescent="0.35">
      <c r="A221">
        <v>10002</v>
      </c>
      <c r="B221" s="1">
        <v>36160</v>
      </c>
      <c r="C221">
        <v>1998</v>
      </c>
      <c r="D221" t="s">
        <v>33</v>
      </c>
      <c r="E221" t="s">
        <v>34</v>
      </c>
      <c r="F221" t="str">
        <f t="shared" si="35"/>
        <v>878560_1998</v>
      </c>
      <c r="G221" s="2" t="str">
        <f t="shared" si="36"/>
        <v>extracted_filing/878560_1998_10-K.html</v>
      </c>
      <c r="H221" s="2" t="str">
        <f t="shared" si="37"/>
        <v>extracted_filing/878560_1998_10-K.txt</v>
      </c>
      <c r="I221" s="2" t="str">
        <f t="shared" si="38"/>
        <v>https://www.sec.gov/cgi-bin/browse-edgar?action=getcompany&amp;CIK=878560&amp;type=10-K&amp;dateb=20080101&amp;owner=exclude&amp;count=40&amp;search_text=</v>
      </c>
      <c r="J221">
        <v>878560</v>
      </c>
      <c r="K221" s="3">
        <f>R221-M221</f>
        <v>618.93299999999999</v>
      </c>
      <c r="L221">
        <f>K221+M221+O221</f>
        <v>680.62400000000002</v>
      </c>
      <c r="M221" s="3">
        <f>61.691</f>
        <v>61.691000000000003</v>
      </c>
      <c r="N221">
        <f t="shared" si="34"/>
        <v>61.691000000000003</v>
      </c>
      <c r="Q221" t="s">
        <v>97</v>
      </c>
      <c r="R221">
        <v>680.62400000000002</v>
      </c>
      <c r="T221">
        <f>SUM(K221,M221)</f>
        <v>680.62400000000002</v>
      </c>
    </row>
    <row r="222" spans="1:21" x14ac:dyDescent="0.35">
      <c r="A222">
        <v>10002</v>
      </c>
      <c r="B222" s="1">
        <v>36525</v>
      </c>
      <c r="C222">
        <v>1999</v>
      </c>
      <c r="D222" t="s">
        <v>33</v>
      </c>
      <c r="E222" t="s">
        <v>34</v>
      </c>
      <c r="F222" t="str">
        <f t="shared" si="35"/>
        <v>878560_1999</v>
      </c>
      <c r="G222" s="2" t="str">
        <f t="shared" si="36"/>
        <v>extracted_filing/878560_1999_10-K.html</v>
      </c>
      <c r="H222" s="2" t="str">
        <f t="shared" si="37"/>
        <v>extracted_filing/878560_1999_10-K.txt</v>
      </c>
      <c r="I222" s="2" t="str">
        <f t="shared" si="38"/>
        <v>https://www.sec.gov/cgi-bin/browse-edgar?action=getcompany&amp;CIK=878560&amp;type=10-K&amp;dateb=20080101&amp;owner=exclude&amp;count=40&amp;search_text=</v>
      </c>
      <c r="J222">
        <v>878560</v>
      </c>
      <c r="K222" s="3">
        <f t="shared" ref="K222:K223" si="42">R222-M222</f>
        <v>988.69499999999994</v>
      </c>
      <c r="L222">
        <f>K222+M222+O222</f>
        <v>1088.6659999999999</v>
      </c>
      <c r="M222" s="3">
        <v>99.971000000000004</v>
      </c>
      <c r="N222">
        <f t="shared" si="34"/>
        <v>99.971000000000004</v>
      </c>
      <c r="Q222" t="s">
        <v>97</v>
      </c>
      <c r="R222">
        <v>1088.6659999999999</v>
      </c>
      <c r="T222">
        <f>SUM(K222,M222)</f>
        <v>1088.6659999999999</v>
      </c>
    </row>
    <row r="223" spans="1:21" x14ac:dyDescent="0.35">
      <c r="A223">
        <v>10002</v>
      </c>
      <c r="B223" s="1">
        <v>36891</v>
      </c>
      <c r="C223">
        <v>2000</v>
      </c>
      <c r="D223" t="s">
        <v>33</v>
      </c>
      <c r="E223" t="s">
        <v>34</v>
      </c>
      <c r="F223" t="str">
        <f t="shared" si="35"/>
        <v>878560_2000</v>
      </c>
      <c r="G223" s="2" t="str">
        <f t="shared" si="36"/>
        <v>extracted_filing/878560_2000_10-K.html</v>
      </c>
      <c r="H223" s="2" t="str">
        <f t="shared" si="37"/>
        <v>extracted_filing/878560_2000_10-K.txt</v>
      </c>
      <c r="I223" s="2" t="str">
        <f t="shared" si="38"/>
        <v>https://www.sec.gov/cgi-bin/browse-edgar?action=getcompany&amp;CIK=878560&amp;type=10-K&amp;dateb=20080101&amp;owner=exclude&amp;count=40&amp;search_text=</v>
      </c>
      <c r="J223">
        <v>878560</v>
      </c>
      <c r="K223" s="3">
        <f t="shared" si="42"/>
        <v>1060.5639999999999</v>
      </c>
      <c r="L223">
        <f>K223+M223+O223</f>
        <v>1165.704</v>
      </c>
      <c r="M223" s="3">
        <v>105.14</v>
      </c>
      <c r="N223">
        <f t="shared" si="34"/>
        <v>105.14</v>
      </c>
      <c r="Q223" t="s">
        <v>97</v>
      </c>
      <c r="R223">
        <v>1165.704</v>
      </c>
      <c r="T223">
        <f>SUM(K223,M223)</f>
        <v>1165.704</v>
      </c>
    </row>
    <row r="224" spans="1:21" x14ac:dyDescent="0.35">
      <c r="A224">
        <v>10002</v>
      </c>
      <c r="B224" s="1">
        <v>37256</v>
      </c>
      <c r="C224">
        <v>2001</v>
      </c>
      <c r="D224" t="s">
        <v>33</v>
      </c>
      <c r="E224" t="s">
        <v>34</v>
      </c>
      <c r="F224" t="str">
        <f t="shared" si="35"/>
        <v>878560_2001</v>
      </c>
      <c r="G224" s="2" t="str">
        <f t="shared" si="36"/>
        <v>extracted_filing/878560_2001_10-K.html</v>
      </c>
      <c r="H224" s="2" t="str">
        <f t="shared" si="37"/>
        <v>extracted_filing/878560_2001_10-K.txt</v>
      </c>
      <c r="I224" s="2" t="str">
        <f t="shared" si="38"/>
        <v>https://www.sec.gov/cgi-bin/browse-edgar?action=getcompany&amp;CIK=878560&amp;type=10-K&amp;dateb=20080101&amp;owner=exclude&amp;count=40&amp;search_text=</v>
      </c>
      <c r="J224">
        <v>878560</v>
      </c>
      <c r="K224" s="3">
        <f>R224-M224</f>
        <v>1095.8599999999999</v>
      </c>
      <c r="L224">
        <f>K224+M224+O224</f>
        <v>1220.328</v>
      </c>
      <c r="M224" s="3">
        <v>124.468</v>
      </c>
      <c r="N224">
        <f t="shared" si="34"/>
        <v>124.468</v>
      </c>
      <c r="Q224" t="s">
        <v>97</v>
      </c>
      <c r="R224">
        <v>1220.328</v>
      </c>
      <c r="T224">
        <f>SUM(K224,M224)</f>
        <v>1220.328</v>
      </c>
    </row>
    <row r="225" spans="1:21" x14ac:dyDescent="0.35">
      <c r="A225">
        <v>10002</v>
      </c>
      <c r="B225" s="1">
        <v>37621</v>
      </c>
      <c r="C225">
        <v>2002</v>
      </c>
      <c r="D225" t="s">
        <v>33</v>
      </c>
      <c r="E225" t="s">
        <v>34</v>
      </c>
      <c r="F225" t="str">
        <f t="shared" si="35"/>
        <v>878560_2002</v>
      </c>
      <c r="G225" s="2" t="str">
        <f t="shared" si="36"/>
        <v>extracted_filing/878560_2002_10-K.html</v>
      </c>
      <c r="H225" s="2" t="str">
        <f t="shared" si="37"/>
        <v>extracted_filing/878560_2002_10-K.txt</v>
      </c>
      <c r="I225" s="2" t="str">
        <f t="shared" si="38"/>
        <v>https://www.sec.gov/cgi-bin/browse-edgar?action=getcompany&amp;CIK=878560&amp;type=10-K&amp;dateb=20080101&amp;owner=exclude&amp;count=40&amp;search_text=</v>
      </c>
      <c r="J225">
        <v>878560</v>
      </c>
      <c r="K225">
        <v>1530.172</v>
      </c>
      <c r="L225">
        <f>K225+M225+O225</f>
        <v>1705.39</v>
      </c>
      <c r="M225">
        <v>175.21799999999999</v>
      </c>
      <c r="N225">
        <f t="shared" si="34"/>
        <v>175.21799999999999</v>
      </c>
      <c r="Q225" t="s">
        <v>137</v>
      </c>
      <c r="R225">
        <v>1530.172</v>
      </c>
      <c r="S225">
        <v>175.21799999999999</v>
      </c>
      <c r="T225">
        <f>SUM(K225,M225)</f>
        <v>1705.39</v>
      </c>
      <c r="U225">
        <f t="shared" ref="U225:U228" si="43">SUM(R225:S225)</f>
        <v>1705.39</v>
      </c>
    </row>
    <row r="226" spans="1:21" x14ac:dyDescent="0.35">
      <c r="A226">
        <v>10002</v>
      </c>
      <c r="B226" s="1">
        <v>37986</v>
      </c>
      <c r="C226">
        <v>2003</v>
      </c>
      <c r="D226" t="s">
        <v>33</v>
      </c>
      <c r="E226" t="s">
        <v>34</v>
      </c>
      <c r="F226" t="str">
        <f t="shared" si="35"/>
        <v>878560_2003</v>
      </c>
      <c r="G226" s="2" t="str">
        <f t="shared" si="36"/>
        <v>extracted_filing/878560_2003_10-K.html</v>
      </c>
      <c r="H226" s="2" t="str">
        <f t="shared" si="37"/>
        <v>extracted_filing/878560_2003_10-K.txt</v>
      </c>
      <c r="I226" s="2" t="str">
        <f t="shared" si="38"/>
        <v>https://www.sec.gov/cgi-bin/browse-edgar?action=getcompany&amp;CIK=878560&amp;type=10-K&amp;dateb=20080101&amp;owner=exclude&amp;count=40&amp;search_text=</v>
      </c>
      <c r="J226">
        <v>878560</v>
      </c>
      <c r="K226">
        <v>1849.502</v>
      </c>
      <c r="L226">
        <f>K226+M226+O226</f>
        <v>2077.3330000000001</v>
      </c>
      <c r="M226">
        <v>227.83099999999999</v>
      </c>
      <c r="N226">
        <f t="shared" si="34"/>
        <v>227.83099999999999</v>
      </c>
      <c r="Q226" t="s">
        <v>137</v>
      </c>
      <c r="R226">
        <v>1849.502</v>
      </c>
      <c r="S226">
        <v>227.83099999999999</v>
      </c>
      <c r="T226">
        <f>SUM(K226,M226)</f>
        <v>2077.3330000000001</v>
      </c>
      <c r="U226">
        <f t="shared" si="43"/>
        <v>2077.3330000000001</v>
      </c>
    </row>
    <row r="227" spans="1:21" x14ac:dyDescent="0.35">
      <c r="A227">
        <v>10002</v>
      </c>
      <c r="B227" s="1">
        <v>38352</v>
      </c>
      <c r="C227">
        <v>2004</v>
      </c>
      <c r="D227" t="s">
        <v>33</v>
      </c>
      <c r="E227" t="s">
        <v>34</v>
      </c>
      <c r="F227" t="str">
        <f t="shared" si="35"/>
        <v>878560_2004</v>
      </c>
      <c r="G227" s="2" t="str">
        <f t="shared" si="36"/>
        <v>extracted_filing/878560_2004_10-K.html</v>
      </c>
      <c r="H227" s="2" t="str">
        <f t="shared" si="37"/>
        <v>extracted_filing/878560_2004_10-K.txt</v>
      </c>
      <c r="I227" s="2" t="str">
        <f t="shared" si="38"/>
        <v>https://www.sec.gov/cgi-bin/browse-edgar?action=getcompany&amp;CIK=878560&amp;type=10-K&amp;dateb=20080101&amp;owner=exclude&amp;count=40&amp;search_text=</v>
      </c>
      <c r="J227">
        <v>878560</v>
      </c>
      <c r="K227">
        <v>2534.076</v>
      </c>
      <c r="L227">
        <f>K227+M227+O227</f>
        <v>2877.9450000000002</v>
      </c>
      <c r="M227">
        <v>343.86900000000003</v>
      </c>
      <c r="N227">
        <f t="shared" si="34"/>
        <v>343.86900000000003</v>
      </c>
      <c r="Q227" t="s">
        <v>137</v>
      </c>
      <c r="R227">
        <v>2534.076</v>
      </c>
      <c r="S227">
        <v>343.86900000000003</v>
      </c>
      <c r="T227">
        <f>SUM(K227,M227)</f>
        <v>2877.9450000000002</v>
      </c>
      <c r="U227">
        <f t="shared" si="43"/>
        <v>2877.9450000000002</v>
      </c>
    </row>
    <row r="228" spans="1:21" x14ac:dyDescent="0.35">
      <c r="A228">
        <v>10002</v>
      </c>
      <c r="B228" s="1">
        <v>38717</v>
      </c>
      <c r="C228">
        <v>2005</v>
      </c>
      <c r="D228" t="s">
        <v>33</v>
      </c>
      <c r="E228" t="s">
        <v>34</v>
      </c>
      <c r="F228" t="str">
        <f t="shared" si="35"/>
        <v>878560_2005</v>
      </c>
      <c r="G228" s="2" t="str">
        <f t="shared" si="36"/>
        <v>extracted_filing/878560_2005_10-K.html</v>
      </c>
      <c r="H228" s="2" t="str">
        <f t="shared" si="37"/>
        <v>extracted_filing/878560_2005_10-K.txt</v>
      </c>
      <c r="I228" s="2" t="str">
        <f t="shared" si="38"/>
        <v>https://www.sec.gov/cgi-bin/browse-edgar?action=getcompany&amp;CIK=878560&amp;type=10-K&amp;dateb=20080101&amp;owner=exclude&amp;count=40&amp;search_text=</v>
      </c>
      <c r="J228">
        <v>878560</v>
      </c>
      <c r="K228">
        <v>2917.3020000000001</v>
      </c>
      <c r="L228">
        <f>K228+M228+O228</f>
        <v>3357.152</v>
      </c>
      <c r="M228">
        <v>439.85</v>
      </c>
      <c r="N228">
        <f t="shared" si="34"/>
        <v>439.85</v>
      </c>
      <c r="Q228" t="s">
        <v>137</v>
      </c>
      <c r="R228">
        <v>2917.3020000000001</v>
      </c>
      <c r="S228">
        <v>439.85</v>
      </c>
      <c r="T228">
        <f>SUM(K228,M228)</f>
        <v>3357.152</v>
      </c>
      <c r="U228">
        <f t="shared" si="43"/>
        <v>3357.152</v>
      </c>
    </row>
    <row r="229" spans="1:21" x14ac:dyDescent="0.35">
      <c r="A229">
        <v>10002</v>
      </c>
      <c r="B229" s="1">
        <v>39082</v>
      </c>
      <c r="C229">
        <v>2006</v>
      </c>
      <c r="D229" t="s">
        <v>33</v>
      </c>
      <c r="E229" t="s">
        <v>34</v>
      </c>
      <c r="F229" t="str">
        <f t="shared" si="35"/>
        <v>878560_2006</v>
      </c>
      <c r="G229" s="2" t="str">
        <f t="shared" si="36"/>
        <v>extracted_filing/878560_2006_10-K.html</v>
      </c>
      <c r="H229" s="2" t="str">
        <f t="shared" si="37"/>
        <v>extracted_filing/878560_2006_10-K.txt</v>
      </c>
      <c r="I229" s="2" t="str">
        <f t="shared" si="38"/>
        <v>https://www.sec.gov/cgi-bin/browse-edgar?action=getcompany&amp;CIK=878560&amp;type=10-K&amp;dateb=20080101&amp;owner=exclude&amp;count=40&amp;search_text=</v>
      </c>
      <c r="J229">
        <v>878560</v>
      </c>
      <c r="K229">
        <v>3229.116</v>
      </c>
      <c r="L229">
        <f>K229+M229+O229</f>
        <v>3701.2449999999999</v>
      </c>
      <c r="M229">
        <v>472.12900000000002</v>
      </c>
      <c r="N229">
        <f t="shared" si="34"/>
        <v>472.12900000000002</v>
      </c>
      <c r="Q229" t="s">
        <v>137</v>
      </c>
      <c r="R229">
        <v>3229.116</v>
      </c>
      <c r="S229">
        <v>472.12900000000002</v>
      </c>
      <c r="T229">
        <f>SUM(K229,M229)</f>
        <v>3701.2449999999999</v>
      </c>
      <c r="U229">
        <f t="shared" ref="U229" si="44">SUM(R229:S229)</f>
        <v>3701.2449999999999</v>
      </c>
    </row>
    <row r="230" spans="1:21" x14ac:dyDescent="0.35">
      <c r="A230">
        <v>10920</v>
      </c>
      <c r="B230" s="1">
        <v>36525</v>
      </c>
      <c r="C230">
        <v>1999</v>
      </c>
      <c r="D230">
        <v>911312106</v>
      </c>
      <c r="E230" t="s">
        <v>35</v>
      </c>
      <c r="F230" t="str">
        <f t="shared" si="35"/>
        <v>1090727_1999</v>
      </c>
      <c r="G230" s="2" t="str">
        <f t="shared" si="36"/>
        <v>extracted_filing/1090727_1999_10-K.html</v>
      </c>
      <c r="H230" s="2" t="str">
        <f t="shared" si="37"/>
        <v>extracted_filing/1090727_1999_10-K.txt</v>
      </c>
      <c r="I230" s="2" t="str">
        <f t="shared" si="38"/>
        <v>https://www.sec.gov/cgi-bin/browse-edgar?action=getcompany&amp;CIK=1090727&amp;type=10-K&amp;dateb=20080101&amp;owner=exclude&amp;count=40&amp;search_text=</v>
      </c>
      <c r="J230">
        <v>1090727</v>
      </c>
      <c r="K230">
        <v>21925</v>
      </c>
      <c r="L230">
        <f>K230+M230+O230</f>
        <v>21925</v>
      </c>
      <c r="Q230" t="s">
        <v>98</v>
      </c>
      <c r="R230">
        <v>21925</v>
      </c>
    </row>
    <row r="231" spans="1:21" x14ac:dyDescent="0.35">
      <c r="A231">
        <v>10920</v>
      </c>
      <c r="B231" s="1">
        <v>36891</v>
      </c>
      <c r="C231">
        <v>2000</v>
      </c>
      <c r="D231">
        <v>911312106</v>
      </c>
      <c r="E231" t="s">
        <v>35</v>
      </c>
      <c r="F231" t="str">
        <f t="shared" si="35"/>
        <v>1090727_2000</v>
      </c>
      <c r="G231" s="2" t="str">
        <f t="shared" si="36"/>
        <v>extracted_filing/1090727_2000_10-K.html</v>
      </c>
      <c r="H231" s="2" t="str">
        <f t="shared" si="37"/>
        <v>extracted_filing/1090727_2000_10-K.txt</v>
      </c>
      <c r="I231" s="2" t="str">
        <f t="shared" si="38"/>
        <v>https://www.sec.gov/cgi-bin/browse-edgar?action=getcompany&amp;CIK=1090727&amp;type=10-K&amp;dateb=20080101&amp;owner=exclude&amp;count=40&amp;search_text=</v>
      </c>
      <c r="J231">
        <v>1090727</v>
      </c>
      <c r="K231">
        <v>24076</v>
      </c>
      <c r="L231">
        <f>K231+M231+O231</f>
        <v>24076</v>
      </c>
      <c r="Q231" t="s">
        <v>98</v>
      </c>
      <c r="R231">
        <v>24076</v>
      </c>
    </row>
    <row r="232" spans="1:21" x14ac:dyDescent="0.35">
      <c r="A232">
        <v>10920</v>
      </c>
      <c r="B232" s="1">
        <v>37256</v>
      </c>
      <c r="C232">
        <v>2001</v>
      </c>
      <c r="D232">
        <v>911312106</v>
      </c>
      <c r="E232" t="s">
        <v>35</v>
      </c>
      <c r="F232" t="str">
        <f t="shared" si="35"/>
        <v>1090727_2001</v>
      </c>
      <c r="G232" s="2" t="str">
        <f t="shared" si="36"/>
        <v>extracted_filing/1090727_2001_10-K.html</v>
      </c>
      <c r="H232" s="2" t="str">
        <f t="shared" si="37"/>
        <v>extracted_filing/1090727_2001_10-K.txt</v>
      </c>
      <c r="I232" s="2" t="str">
        <f t="shared" si="38"/>
        <v>https://www.sec.gov/cgi-bin/browse-edgar?action=getcompany&amp;CIK=1090727&amp;type=10-K&amp;dateb=20080101&amp;owner=exclude&amp;count=40&amp;search_text=</v>
      </c>
      <c r="J232">
        <v>1090727</v>
      </c>
      <c r="K232">
        <v>25362</v>
      </c>
      <c r="L232">
        <f>K232+M232+O232</f>
        <v>25362</v>
      </c>
      <c r="Q232" t="s">
        <v>98</v>
      </c>
      <c r="R232">
        <v>25362</v>
      </c>
    </row>
    <row r="233" spans="1:21" x14ac:dyDescent="0.35">
      <c r="A233">
        <v>10920</v>
      </c>
      <c r="B233" s="1">
        <v>37621</v>
      </c>
      <c r="C233">
        <v>2002</v>
      </c>
      <c r="D233">
        <v>911312106</v>
      </c>
      <c r="E233" t="s">
        <v>35</v>
      </c>
      <c r="F233" t="str">
        <f t="shared" si="35"/>
        <v>1090727_2002</v>
      </c>
      <c r="G233" s="2" t="str">
        <f t="shared" si="36"/>
        <v>extracted_filing/1090727_2002_10-K.html</v>
      </c>
      <c r="H233" s="2" t="str">
        <f t="shared" si="37"/>
        <v>extracted_filing/1090727_2002_10-K.txt</v>
      </c>
      <c r="I233" s="2" t="str">
        <f t="shared" si="38"/>
        <v>https://www.sec.gov/cgi-bin/browse-edgar?action=getcompany&amp;CIK=1090727&amp;type=10-K&amp;dateb=20080101&amp;owner=exclude&amp;count=40&amp;search_text=</v>
      </c>
      <c r="J233">
        <v>1090727</v>
      </c>
      <c r="K233">
        <v>25803</v>
      </c>
      <c r="L233">
        <f>K233+M233+O233</f>
        <v>25803</v>
      </c>
      <c r="Q233" t="s">
        <v>98</v>
      </c>
      <c r="R233">
        <v>25803</v>
      </c>
    </row>
    <row r="234" spans="1:21" x14ac:dyDescent="0.35">
      <c r="A234">
        <v>10920</v>
      </c>
      <c r="B234" s="1">
        <v>37986</v>
      </c>
      <c r="C234">
        <v>2003</v>
      </c>
      <c r="D234">
        <v>911312106</v>
      </c>
      <c r="E234" t="s">
        <v>35</v>
      </c>
      <c r="F234" t="str">
        <f t="shared" si="35"/>
        <v>1090727_2003</v>
      </c>
      <c r="G234" s="2" t="str">
        <f t="shared" si="36"/>
        <v>extracted_filing/1090727_2003_10-K.html</v>
      </c>
      <c r="H234" s="2" t="str">
        <f t="shared" si="37"/>
        <v>extracted_filing/1090727_2003_10-K.txt</v>
      </c>
      <c r="I234" s="2" t="str">
        <f t="shared" si="38"/>
        <v>https://www.sec.gov/cgi-bin/browse-edgar?action=getcompany&amp;CIK=1090727&amp;type=10-K&amp;dateb=20080101&amp;owner=exclude&amp;count=40&amp;search_text=</v>
      </c>
      <c r="J234">
        <v>1090727</v>
      </c>
      <c r="K234">
        <v>27530</v>
      </c>
      <c r="L234">
        <f>K234+M234+O234</f>
        <v>27530</v>
      </c>
      <c r="Q234" t="s">
        <v>98</v>
      </c>
      <c r="R234">
        <v>27530</v>
      </c>
    </row>
    <row r="235" spans="1:21" x14ac:dyDescent="0.35">
      <c r="A235">
        <v>10920</v>
      </c>
      <c r="B235" s="1">
        <v>38352</v>
      </c>
      <c r="C235">
        <v>2004</v>
      </c>
      <c r="D235">
        <v>911312106</v>
      </c>
      <c r="E235" t="s">
        <v>35</v>
      </c>
      <c r="F235" t="str">
        <f t="shared" si="35"/>
        <v>1090727_2004</v>
      </c>
      <c r="G235" s="2" t="str">
        <f t="shared" si="36"/>
        <v>extracted_filing/1090727_2004_10-K.html</v>
      </c>
      <c r="H235" s="2" t="str">
        <f t="shared" si="37"/>
        <v>extracted_filing/1090727_2004_10-K.txt</v>
      </c>
      <c r="I235" s="2" t="str">
        <f t="shared" si="38"/>
        <v>https://www.sec.gov/cgi-bin/browse-edgar?action=getcompany&amp;CIK=1090727&amp;type=10-K&amp;dateb=20080101&amp;owner=exclude&amp;count=40&amp;search_text=</v>
      </c>
      <c r="J235">
        <v>1090727</v>
      </c>
      <c r="K235">
        <v>29877</v>
      </c>
      <c r="L235">
        <f>K235+M235+O235</f>
        <v>29877</v>
      </c>
      <c r="Q235" t="s">
        <v>98</v>
      </c>
      <c r="R235">
        <v>29877</v>
      </c>
    </row>
    <row r="236" spans="1:21" x14ac:dyDescent="0.35">
      <c r="A236">
        <v>10920</v>
      </c>
      <c r="B236" s="1">
        <v>38717</v>
      </c>
      <c r="C236">
        <v>2005</v>
      </c>
      <c r="D236">
        <v>911312106</v>
      </c>
      <c r="E236" t="s">
        <v>35</v>
      </c>
      <c r="F236" t="str">
        <f t="shared" si="35"/>
        <v>1090727_2005</v>
      </c>
      <c r="G236" s="2" t="str">
        <f t="shared" si="36"/>
        <v>extracted_filing/1090727_2005_10-K.html</v>
      </c>
      <c r="H236" s="2" t="str">
        <f t="shared" si="37"/>
        <v>extracted_filing/1090727_2005_10-K.txt</v>
      </c>
      <c r="I236" s="2" t="str">
        <f t="shared" si="38"/>
        <v>https://www.sec.gov/cgi-bin/browse-edgar?action=getcompany&amp;CIK=1090727&amp;type=10-K&amp;dateb=20080101&amp;owner=exclude&amp;count=40&amp;search_text=</v>
      </c>
      <c r="J236">
        <v>1090727</v>
      </c>
      <c r="K236">
        <v>34794</v>
      </c>
      <c r="L236">
        <f>K236+M236+O236</f>
        <v>34794</v>
      </c>
      <c r="Q236" t="s">
        <v>98</v>
      </c>
      <c r="R236">
        <v>34794</v>
      </c>
    </row>
    <row r="237" spans="1:21" x14ac:dyDescent="0.35">
      <c r="A237">
        <v>10920</v>
      </c>
      <c r="B237" s="1">
        <v>39082</v>
      </c>
      <c r="C237">
        <v>2006</v>
      </c>
      <c r="D237">
        <v>911312106</v>
      </c>
      <c r="E237" t="s">
        <v>35</v>
      </c>
      <c r="F237" t="str">
        <f t="shared" si="35"/>
        <v>1090727_2006</v>
      </c>
      <c r="G237" s="2" t="str">
        <f t="shared" si="36"/>
        <v>extracted_filing/1090727_2006_10-K.html</v>
      </c>
      <c r="H237" s="2" t="str">
        <f t="shared" si="37"/>
        <v>extracted_filing/1090727_2006_10-K.txt</v>
      </c>
      <c r="I237" s="2" t="str">
        <f t="shared" si="38"/>
        <v>https://www.sec.gov/cgi-bin/browse-edgar?action=getcompany&amp;CIK=1090727&amp;type=10-K&amp;dateb=20080101&amp;owner=exclude&amp;count=40&amp;search_text=</v>
      </c>
      <c r="J237">
        <v>1090727</v>
      </c>
      <c r="K237">
        <v>39164</v>
      </c>
      <c r="L237">
        <f>K237+M237+O237</f>
        <v>39164</v>
      </c>
      <c r="Q237" t="s">
        <v>98</v>
      </c>
      <c r="R237">
        <v>39164</v>
      </c>
    </row>
    <row r="238" spans="1:21" x14ac:dyDescent="0.35">
      <c r="A238">
        <v>11032</v>
      </c>
      <c r="B238" s="1">
        <v>35795</v>
      </c>
      <c r="C238">
        <v>1997</v>
      </c>
      <c r="D238">
        <v>913903100</v>
      </c>
      <c r="E238" t="s">
        <v>36</v>
      </c>
      <c r="F238" t="str">
        <f t="shared" si="35"/>
        <v>352915_1997</v>
      </c>
      <c r="G238" s="2" t="str">
        <f t="shared" si="36"/>
        <v>extracted_filing/352915_1997_10-K.html</v>
      </c>
      <c r="H238" s="2" t="str">
        <f t="shared" si="37"/>
        <v>extracted_filing/352915_1997_10-K.txt</v>
      </c>
      <c r="I238" s="2" t="str">
        <f t="shared" si="38"/>
        <v>https://www.sec.gov/cgi-bin/browse-edgar?action=getcompany&amp;CIK=352915&amp;type=10-K&amp;dateb=20080101&amp;owner=exclude&amp;count=40&amp;search_text=</v>
      </c>
      <c r="J238">
        <v>352915</v>
      </c>
      <c r="K238">
        <v>1236.4349999999999</v>
      </c>
      <c r="L238">
        <f>K238+M238+O238</f>
        <v>1236.4349999999999</v>
      </c>
      <c r="Q238" t="s">
        <v>99</v>
      </c>
      <c r="R238">
        <v>1236.4349999999999</v>
      </c>
    </row>
    <row r="239" spans="1:21" x14ac:dyDescent="0.35">
      <c r="A239">
        <v>11032</v>
      </c>
      <c r="B239" s="1">
        <v>36160</v>
      </c>
      <c r="C239">
        <v>1998</v>
      </c>
      <c r="D239">
        <v>913903100</v>
      </c>
      <c r="E239" t="s">
        <v>36</v>
      </c>
      <c r="F239" t="str">
        <f t="shared" si="35"/>
        <v>352915_1998</v>
      </c>
      <c r="G239" s="2" t="str">
        <f t="shared" si="36"/>
        <v>extracted_filing/352915_1998_10-K.html</v>
      </c>
      <c r="H239" s="2" t="str">
        <f t="shared" si="37"/>
        <v>extracted_filing/352915_1998_10-K.txt</v>
      </c>
      <c r="I239" s="2" t="str">
        <f t="shared" si="38"/>
        <v>https://www.sec.gov/cgi-bin/browse-edgar?action=getcompany&amp;CIK=352915&amp;type=10-K&amp;dateb=20080101&amp;owner=exclude&amp;count=40&amp;search_text=</v>
      </c>
      <c r="J239">
        <v>352915</v>
      </c>
      <c r="K239">
        <v>1607.3330000000001</v>
      </c>
      <c r="L239">
        <f>K239+M239+O239</f>
        <v>1607.3330000000001</v>
      </c>
      <c r="Q239" t="s">
        <v>99</v>
      </c>
      <c r="R239">
        <v>1607.3330000000001</v>
      </c>
    </row>
    <row r="240" spans="1:21" x14ac:dyDescent="0.35">
      <c r="A240">
        <v>11032</v>
      </c>
      <c r="B240" s="1">
        <v>36525</v>
      </c>
      <c r="C240">
        <v>1999</v>
      </c>
      <c r="D240">
        <v>913903100</v>
      </c>
      <c r="E240" t="s">
        <v>36</v>
      </c>
      <c r="F240" t="str">
        <f t="shared" si="35"/>
        <v>352915_1999</v>
      </c>
      <c r="G240" s="2" t="str">
        <f t="shared" si="36"/>
        <v>extracted_filing/352915_1999_10-K.html</v>
      </c>
      <c r="H240" s="2" t="str">
        <f t="shared" si="37"/>
        <v>extracted_filing/352915_1999_10-K.txt</v>
      </c>
      <c r="I240" s="2" t="str">
        <f t="shared" si="38"/>
        <v>https://www.sec.gov/cgi-bin/browse-edgar?action=getcompany&amp;CIK=352915&amp;type=10-K&amp;dateb=20080101&amp;owner=exclude&amp;count=40&amp;search_text=</v>
      </c>
      <c r="J240">
        <v>352915</v>
      </c>
      <c r="K240">
        <v>1772.8409999999999</v>
      </c>
      <c r="L240">
        <f>K240+M240+O240</f>
        <v>1772.8409999999999</v>
      </c>
      <c r="Q240" t="s">
        <v>99</v>
      </c>
      <c r="R240">
        <v>1772.8409999999999</v>
      </c>
    </row>
    <row r="241" spans="1:18" x14ac:dyDescent="0.35">
      <c r="A241">
        <v>11032</v>
      </c>
      <c r="B241" s="1">
        <v>36891</v>
      </c>
      <c r="C241">
        <v>2000</v>
      </c>
      <c r="D241">
        <v>913903100</v>
      </c>
      <c r="E241" t="s">
        <v>36</v>
      </c>
      <c r="F241" t="str">
        <f t="shared" si="35"/>
        <v>352915_2000</v>
      </c>
      <c r="G241" s="2" t="str">
        <f t="shared" si="36"/>
        <v>extracted_filing/352915_2000_10-K.html</v>
      </c>
      <c r="H241" s="2" t="str">
        <f t="shared" si="37"/>
        <v>extracted_filing/352915_2000_10-K.txt</v>
      </c>
      <c r="I241" s="2" t="str">
        <f t="shared" si="38"/>
        <v>https://www.sec.gov/cgi-bin/browse-edgar?action=getcompany&amp;CIK=352915&amp;type=10-K&amp;dateb=20080101&amp;owner=exclude&amp;count=40&amp;search_text=</v>
      </c>
      <c r="J241">
        <v>352915</v>
      </c>
      <c r="K241">
        <v>1932.1579999999999</v>
      </c>
      <c r="L241">
        <f>K241+M241+O241</f>
        <v>1932.1579999999999</v>
      </c>
      <c r="Q241" t="s">
        <v>99</v>
      </c>
      <c r="R241">
        <v>1932.1579999999999</v>
      </c>
    </row>
    <row r="242" spans="1:18" x14ac:dyDescent="0.35">
      <c r="A242">
        <v>11032</v>
      </c>
      <c r="B242" s="1">
        <v>37256</v>
      </c>
      <c r="C242">
        <v>2001</v>
      </c>
      <c r="D242">
        <v>913903100</v>
      </c>
      <c r="E242" t="s">
        <v>36</v>
      </c>
      <c r="F242" t="str">
        <f t="shared" si="35"/>
        <v>352915_2001</v>
      </c>
      <c r="G242" s="2" t="str">
        <f t="shared" si="36"/>
        <v>extracted_filing/352915_2001_10-K.html</v>
      </c>
      <c r="H242" s="2" t="str">
        <f t="shared" si="37"/>
        <v>extracted_filing/352915_2001_10-K.txt</v>
      </c>
      <c r="I242" s="2" t="str">
        <f t="shared" si="38"/>
        <v>https://www.sec.gov/cgi-bin/browse-edgar?action=getcompany&amp;CIK=352915&amp;type=10-K&amp;dateb=20080101&amp;owner=exclude&amp;count=40&amp;search_text=</v>
      </c>
      <c r="J242">
        <v>352915</v>
      </c>
      <c r="K242">
        <v>2452.5149999999999</v>
      </c>
      <c r="L242">
        <f>K242+M242+O242</f>
        <v>2452.5149999999999</v>
      </c>
      <c r="Q242" t="s">
        <v>99</v>
      </c>
      <c r="R242">
        <v>2452.5149999999999</v>
      </c>
    </row>
    <row r="243" spans="1:18" x14ac:dyDescent="0.35">
      <c r="A243">
        <v>11032</v>
      </c>
      <c r="B243" s="1">
        <v>37621</v>
      </c>
      <c r="C243">
        <v>2002</v>
      </c>
      <c r="D243">
        <v>913903100</v>
      </c>
      <c r="E243" t="s">
        <v>36</v>
      </c>
      <c r="F243" t="str">
        <f t="shared" si="35"/>
        <v>352915_2002</v>
      </c>
      <c r="G243" s="2" t="str">
        <f t="shared" si="36"/>
        <v>extracted_filing/352915_2002_10-K.html</v>
      </c>
      <c r="H243" s="2" t="str">
        <f t="shared" si="37"/>
        <v>extracted_filing/352915_2002_10-K.txt</v>
      </c>
      <c r="I243" s="2" t="str">
        <f t="shared" si="38"/>
        <v>https://www.sec.gov/cgi-bin/browse-edgar?action=getcompany&amp;CIK=352915&amp;type=10-K&amp;dateb=20080101&amp;owner=exclude&amp;count=40&amp;search_text=</v>
      </c>
      <c r="J243">
        <v>352915</v>
      </c>
      <c r="K243">
        <v>2804.5909999999999</v>
      </c>
      <c r="L243">
        <f>K243+M243+O243</f>
        <v>2804.5909999999999</v>
      </c>
      <c r="Q243" t="s">
        <v>99</v>
      </c>
      <c r="R243">
        <v>2804.5909999999999</v>
      </c>
    </row>
    <row r="244" spans="1:18" x14ac:dyDescent="0.35">
      <c r="A244">
        <v>11032</v>
      </c>
      <c r="B244" s="1">
        <v>37986</v>
      </c>
      <c r="C244">
        <v>2003</v>
      </c>
      <c r="D244">
        <v>913903100</v>
      </c>
      <c r="E244" t="s">
        <v>36</v>
      </c>
      <c r="F244" t="str">
        <f t="shared" si="35"/>
        <v>352915_2003</v>
      </c>
      <c r="G244" s="2" t="str">
        <f t="shared" si="36"/>
        <v>extracted_filing/352915_2003_10-K.html</v>
      </c>
      <c r="H244" s="2" t="str">
        <f t="shared" si="37"/>
        <v>extracted_filing/352915_2003_10-K.txt</v>
      </c>
      <c r="I244" s="2" t="str">
        <f t="shared" si="38"/>
        <v>https://www.sec.gov/cgi-bin/browse-edgar?action=getcompany&amp;CIK=352915&amp;type=10-K&amp;dateb=20080101&amp;owner=exclude&amp;count=40&amp;search_text=</v>
      </c>
      <c r="J244">
        <v>352915</v>
      </c>
      <c r="K244">
        <v>3145.902</v>
      </c>
      <c r="L244">
        <f>K244+M244+O244</f>
        <v>3145.902</v>
      </c>
      <c r="Q244" t="s">
        <v>99</v>
      </c>
      <c r="R244">
        <v>3145.902</v>
      </c>
    </row>
    <row r="245" spans="1:18" x14ac:dyDescent="0.35">
      <c r="A245">
        <v>11032</v>
      </c>
      <c r="B245" s="1">
        <v>38352</v>
      </c>
      <c r="C245">
        <v>2004</v>
      </c>
      <c r="D245">
        <v>913903100</v>
      </c>
      <c r="E245" t="s">
        <v>36</v>
      </c>
      <c r="F245" t="str">
        <f t="shared" si="35"/>
        <v>352915_2004</v>
      </c>
      <c r="G245" s="2" t="str">
        <f t="shared" si="36"/>
        <v>extracted_filing/352915_2004_10-K.html</v>
      </c>
      <c r="H245" s="2" t="str">
        <f t="shared" si="37"/>
        <v>extracted_filing/352915_2004_10-K.txt</v>
      </c>
      <c r="I245" s="2" t="str">
        <f t="shared" si="38"/>
        <v>https://www.sec.gov/cgi-bin/browse-edgar?action=getcompany&amp;CIK=352915&amp;type=10-K&amp;dateb=20080101&amp;owner=exclude&amp;count=40&amp;search_text=</v>
      </c>
      <c r="J245">
        <v>352915</v>
      </c>
      <c r="K245">
        <v>3458.1559999999999</v>
      </c>
      <c r="L245">
        <f>K245+M245+O245</f>
        <v>3458.1559999999999</v>
      </c>
      <c r="Q245" t="s">
        <v>99</v>
      </c>
      <c r="R245">
        <v>3458.1559999999999</v>
      </c>
    </row>
    <row r="246" spans="1:18" x14ac:dyDescent="0.35">
      <c r="A246">
        <v>11032</v>
      </c>
      <c r="B246" s="1">
        <v>38717</v>
      </c>
      <c r="C246">
        <v>2005</v>
      </c>
      <c r="D246">
        <v>913903100</v>
      </c>
      <c r="E246" t="s">
        <v>36</v>
      </c>
      <c r="F246" t="str">
        <f t="shared" si="35"/>
        <v>352915_2005</v>
      </c>
      <c r="G246" s="2" t="str">
        <f t="shared" si="36"/>
        <v>extracted_filing/352915_2005_10-K.html</v>
      </c>
      <c r="H246" s="2" t="str">
        <f t="shared" si="37"/>
        <v>extracted_filing/352915_2005_10-K.txt</v>
      </c>
      <c r="I246" s="2" t="str">
        <f t="shared" si="38"/>
        <v>https://www.sec.gov/cgi-bin/browse-edgar?action=getcompany&amp;CIK=352915&amp;type=10-K&amp;dateb=20080101&amp;owner=exclude&amp;count=40&amp;search_text=</v>
      </c>
      <c r="J246">
        <v>352915</v>
      </c>
      <c r="K246">
        <v>3485.6390000000001</v>
      </c>
      <c r="L246">
        <f>K246+M246+O246</f>
        <v>3485.6390000000001</v>
      </c>
      <c r="Q246" t="s">
        <v>99</v>
      </c>
      <c r="R246">
        <v>3485.6390000000001</v>
      </c>
    </row>
    <row r="247" spans="1:18" x14ac:dyDescent="0.35">
      <c r="A247">
        <v>11032</v>
      </c>
      <c r="B247" s="1">
        <v>39082</v>
      </c>
      <c r="C247">
        <v>2006</v>
      </c>
      <c r="D247">
        <v>913903100</v>
      </c>
      <c r="E247" t="s">
        <v>36</v>
      </c>
      <c r="F247" t="str">
        <f t="shared" si="35"/>
        <v>352915_2006</v>
      </c>
      <c r="G247" s="2" t="str">
        <f t="shared" si="36"/>
        <v>extracted_filing/352915_2006_10-K.html</v>
      </c>
      <c r="H247" s="2" t="str">
        <f t="shared" si="37"/>
        <v>extracted_filing/352915_2006_10-K.txt</v>
      </c>
      <c r="I247" s="2" t="str">
        <f t="shared" si="38"/>
        <v>https://www.sec.gov/cgi-bin/browse-edgar?action=getcompany&amp;CIK=352915&amp;type=10-K&amp;dateb=20080101&amp;owner=exclude&amp;count=40&amp;search_text=</v>
      </c>
      <c r="J247">
        <v>352915</v>
      </c>
      <c r="K247">
        <v>3721.3310000000001</v>
      </c>
      <c r="L247">
        <f>K247+M247+O247</f>
        <v>3721.3310000000001</v>
      </c>
      <c r="Q247" t="s">
        <v>99</v>
      </c>
      <c r="R247">
        <v>3721.3310000000001</v>
      </c>
    </row>
    <row r="248" spans="1:18" x14ac:dyDescent="0.35">
      <c r="A248">
        <v>12266</v>
      </c>
      <c r="B248" s="1">
        <v>35795</v>
      </c>
      <c r="C248">
        <v>1997</v>
      </c>
      <c r="D248">
        <v>950755108</v>
      </c>
      <c r="E248" t="s">
        <v>37</v>
      </c>
      <c r="F248" t="str">
        <f t="shared" si="35"/>
        <v>793074_1997</v>
      </c>
      <c r="G248" s="2" t="str">
        <f t="shared" si="36"/>
        <v>extracted_filing/793074_1997_10-K.html</v>
      </c>
      <c r="H248" s="2" t="str">
        <f t="shared" si="37"/>
        <v>extracted_filing/793074_1997_10-K.txt</v>
      </c>
      <c r="I248" s="2" t="str">
        <f t="shared" si="38"/>
        <v>https://www.sec.gov/cgi-bin/browse-edgar?action=getcompany&amp;CIK=793074&amp;type=10-K&amp;dateb=20080101&amp;owner=exclude&amp;count=40&amp;search_text=</v>
      </c>
      <c r="J248">
        <v>793074</v>
      </c>
      <c r="K248">
        <v>621.81399999999996</v>
      </c>
      <c r="L248">
        <f>K248+M248+O248</f>
        <v>621.81399999999996</v>
      </c>
      <c r="Q248" t="s">
        <v>96</v>
      </c>
      <c r="R248">
        <v>621.81399999999996</v>
      </c>
    </row>
    <row r="249" spans="1:18" x14ac:dyDescent="0.35">
      <c r="A249">
        <v>12266</v>
      </c>
      <c r="B249" s="1">
        <v>36160</v>
      </c>
      <c r="C249">
        <v>1998</v>
      </c>
      <c r="D249">
        <v>950755108</v>
      </c>
      <c r="E249" t="s">
        <v>37</v>
      </c>
      <c r="F249" t="str">
        <f t="shared" si="35"/>
        <v>793074_1998</v>
      </c>
      <c r="G249" s="2" t="str">
        <f t="shared" si="36"/>
        <v>extracted_filing/793074_1998_10-K.html</v>
      </c>
      <c r="H249" s="2" t="str">
        <f t="shared" si="37"/>
        <v>extracted_filing/793074_1998_10-K.txt</v>
      </c>
      <c r="I249" s="2" t="str">
        <f t="shared" si="38"/>
        <v>https://www.sec.gov/cgi-bin/browse-edgar?action=getcompany&amp;CIK=793074&amp;type=10-K&amp;dateb=20080101&amp;owner=exclude&amp;count=40&amp;search_text=</v>
      </c>
      <c r="J249">
        <v>793074</v>
      </c>
      <c r="K249">
        <v>685.25699999999904</v>
      </c>
      <c r="L249">
        <f>K249+M249+O249</f>
        <v>685.25699999999904</v>
      </c>
      <c r="Q249" t="s">
        <v>96</v>
      </c>
      <c r="R249">
        <v>685.25699999999904</v>
      </c>
    </row>
    <row r="250" spans="1:18" x14ac:dyDescent="0.35">
      <c r="A250">
        <v>12266</v>
      </c>
      <c r="B250" s="1">
        <v>36525</v>
      </c>
      <c r="C250">
        <v>1999</v>
      </c>
      <c r="D250">
        <v>950755108</v>
      </c>
      <c r="E250" t="s">
        <v>37</v>
      </c>
      <c r="F250" t="str">
        <f t="shared" si="35"/>
        <v>793074_1999</v>
      </c>
      <c r="G250" s="2" t="str">
        <f t="shared" si="36"/>
        <v>extracted_filing/793074_1999_10-K.html</v>
      </c>
      <c r="H250" s="2" t="str">
        <f t="shared" si="37"/>
        <v>extracted_filing/793074_1999_10-K.txt</v>
      </c>
      <c r="I250" s="2" t="str">
        <f t="shared" si="38"/>
        <v>https://www.sec.gov/cgi-bin/browse-edgar?action=getcompany&amp;CIK=793074&amp;type=10-K&amp;dateb=20080101&amp;owner=exclude&amp;count=40&amp;search_text=</v>
      </c>
      <c r="J250">
        <v>793074</v>
      </c>
      <c r="K250">
        <v>850.17700000000002</v>
      </c>
      <c r="L250">
        <f>K250+M250+O250</f>
        <v>850.17700000000002</v>
      </c>
      <c r="Q250" t="s">
        <v>96</v>
      </c>
      <c r="R250">
        <v>850.17700000000002</v>
      </c>
    </row>
    <row r="251" spans="1:18" x14ac:dyDescent="0.35">
      <c r="A251">
        <v>12266</v>
      </c>
      <c r="B251" s="1">
        <v>36891</v>
      </c>
      <c r="C251">
        <v>2000</v>
      </c>
      <c r="D251">
        <v>950755108</v>
      </c>
      <c r="E251" t="s">
        <v>37</v>
      </c>
      <c r="F251" t="str">
        <f t="shared" si="35"/>
        <v>793074_2000</v>
      </c>
      <c r="G251" s="2" t="str">
        <f t="shared" si="36"/>
        <v>extracted_filing/793074_2000_10-K.html</v>
      </c>
      <c r="H251" s="2" t="str">
        <f t="shared" si="37"/>
        <v>extracted_filing/793074_2000_10-K.txt</v>
      </c>
      <c r="I251" s="2" t="str">
        <f t="shared" si="38"/>
        <v>https://www.sec.gov/cgi-bin/browse-edgar?action=getcompany&amp;CIK=793074&amp;type=10-K&amp;dateb=20080101&amp;owner=exclude&amp;count=40&amp;search_text=</v>
      </c>
      <c r="J251">
        <v>793074</v>
      </c>
      <c r="K251">
        <v>1022.7</v>
      </c>
      <c r="L251">
        <f>K251+M251+O251</f>
        <v>1022.7</v>
      </c>
      <c r="Q251" t="s">
        <v>96</v>
      </c>
      <c r="R251">
        <v>1022.7</v>
      </c>
    </row>
    <row r="252" spans="1:18" x14ac:dyDescent="0.35">
      <c r="A252">
        <v>12266</v>
      </c>
      <c r="B252" s="1">
        <v>37256</v>
      </c>
      <c r="C252">
        <v>2001</v>
      </c>
      <c r="D252">
        <v>950755108</v>
      </c>
      <c r="E252" t="s">
        <v>37</v>
      </c>
      <c r="F252" t="str">
        <f t="shared" si="35"/>
        <v>793074_2001</v>
      </c>
      <c r="G252" s="2" t="str">
        <f t="shared" si="36"/>
        <v>extracted_filing/793074_2001_10-K.html</v>
      </c>
      <c r="H252" s="2" t="str">
        <f t="shared" si="37"/>
        <v>extracted_filing/793074_2001_10-K.txt</v>
      </c>
      <c r="I252" s="2" t="str">
        <f t="shared" si="38"/>
        <v>https://www.sec.gov/cgi-bin/browse-edgar?action=getcompany&amp;CIK=793074&amp;type=10-K&amp;dateb=20080101&amp;owner=exclude&amp;count=40&amp;search_text=</v>
      </c>
      <c r="J252">
        <v>793074</v>
      </c>
      <c r="K252">
        <v>1075.1469999999999</v>
      </c>
      <c r="L252">
        <f>K252+M252+O252</f>
        <v>1075.1469999999999</v>
      </c>
      <c r="Q252" t="s">
        <v>96</v>
      </c>
      <c r="R252">
        <v>1075.1469999999999</v>
      </c>
    </row>
    <row r="253" spans="1:18" x14ac:dyDescent="0.35">
      <c r="A253">
        <v>12266</v>
      </c>
      <c r="B253" s="1">
        <v>37621</v>
      </c>
      <c r="C253">
        <v>2002</v>
      </c>
      <c r="D253">
        <v>950755108</v>
      </c>
      <c r="E253" t="s">
        <v>37</v>
      </c>
      <c r="F253" t="str">
        <f t="shared" si="35"/>
        <v>793074_2002</v>
      </c>
      <c r="G253" s="2" t="str">
        <f t="shared" si="36"/>
        <v>extracted_filing/793074_2002_10-K.html</v>
      </c>
      <c r="H253" s="2" t="str">
        <f t="shared" si="37"/>
        <v>extracted_filing/793074_2002_10-K.txt</v>
      </c>
      <c r="I253" s="2" t="str">
        <f t="shared" si="38"/>
        <v>https://www.sec.gov/cgi-bin/browse-edgar?action=getcompany&amp;CIK=793074&amp;type=10-K&amp;dateb=20080101&amp;owner=exclude&amp;count=40&amp;search_text=</v>
      </c>
      <c r="J253">
        <v>793074</v>
      </c>
      <c r="K253">
        <v>1120.3</v>
      </c>
      <c r="L253">
        <f>K253+M253+O253</f>
        <v>1120.3</v>
      </c>
      <c r="Q253" t="s">
        <v>96</v>
      </c>
      <c r="R253">
        <v>1120.3</v>
      </c>
    </row>
    <row r="254" spans="1:18" x14ac:dyDescent="0.35">
      <c r="A254">
        <v>12266</v>
      </c>
      <c r="B254" s="1">
        <v>37986</v>
      </c>
      <c r="C254">
        <v>2003</v>
      </c>
      <c r="D254">
        <v>950755108</v>
      </c>
      <c r="E254" t="s">
        <v>37</v>
      </c>
      <c r="F254" t="str">
        <f t="shared" si="35"/>
        <v>793074_2003</v>
      </c>
      <c r="G254" s="2" t="str">
        <f t="shared" si="36"/>
        <v>extracted_filing/793074_2003_10-K.html</v>
      </c>
      <c r="H254" s="2" t="str">
        <f t="shared" si="37"/>
        <v>extracted_filing/793074_2003_10-K.txt</v>
      </c>
      <c r="I254" s="2" t="str">
        <f t="shared" si="38"/>
        <v>https://www.sec.gov/cgi-bin/browse-edgar?action=getcompany&amp;CIK=793074&amp;type=10-K&amp;dateb=20080101&amp;owner=exclude&amp;count=40&amp;search_text=</v>
      </c>
      <c r="J254">
        <v>793074</v>
      </c>
      <c r="K254">
        <v>1205.0940000000001</v>
      </c>
      <c r="L254">
        <f>K254+M254+O254</f>
        <v>1205.0940000000001</v>
      </c>
      <c r="Q254" t="s">
        <v>96</v>
      </c>
      <c r="R254">
        <v>1205.0940000000001</v>
      </c>
    </row>
    <row r="255" spans="1:18" x14ac:dyDescent="0.35">
      <c r="A255">
        <v>12266</v>
      </c>
      <c r="B255" s="1">
        <v>38352</v>
      </c>
      <c r="C255">
        <v>2004</v>
      </c>
      <c r="D255">
        <v>950755108</v>
      </c>
      <c r="E255" t="s">
        <v>37</v>
      </c>
      <c r="F255" t="str">
        <f t="shared" si="35"/>
        <v>793074_2004</v>
      </c>
      <c r="G255" s="2" t="str">
        <f t="shared" si="36"/>
        <v>extracted_filing/793074_2004_10-K.html</v>
      </c>
      <c r="H255" s="2" t="str">
        <f t="shared" si="37"/>
        <v>extracted_filing/793074_2004_10-K.txt</v>
      </c>
      <c r="I255" s="2" t="str">
        <f t="shared" si="38"/>
        <v>https://www.sec.gov/cgi-bin/browse-edgar?action=getcompany&amp;CIK=793074&amp;type=10-K&amp;dateb=20080101&amp;owner=exclude&amp;count=40&amp;search_text=</v>
      </c>
      <c r="J255">
        <v>793074</v>
      </c>
      <c r="K255">
        <v>1392.18</v>
      </c>
      <c r="L255">
        <f>K255+M255+O255</f>
        <v>1392.18</v>
      </c>
      <c r="Q255" t="s">
        <v>96</v>
      </c>
      <c r="R255">
        <v>1392.18</v>
      </c>
    </row>
    <row r="256" spans="1:18" x14ac:dyDescent="0.35">
      <c r="A256">
        <v>12266</v>
      </c>
      <c r="B256" s="1">
        <v>38717</v>
      </c>
      <c r="C256">
        <v>2005</v>
      </c>
      <c r="D256">
        <v>950755108</v>
      </c>
      <c r="E256" t="s">
        <v>37</v>
      </c>
      <c r="F256" t="str">
        <f t="shared" si="35"/>
        <v>793074_2005</v>
      </c>
      <c r="G256" s="2" t="str">
        <f t="shared" si="36"/>
        <v>extracted_filing/793074_2005_10-K.html</v>
      </c>
      <c r="H256" s="2" t="str">
        <f t="shared" si="37"/>
        <v>extracted_filing/793074_2005_10-K.txt</v>
      </c>
      <c r="I256" s="2" t="str">
        <f t="shared" si="38"/>
        <v>https://www.sec.gov/cgi-bin/browse-edgar?action=getcompany&amp;CIK=793074&amp;type=10-K&amp;dateb=20080101&amp;owner=exclude&amp;count=40&amp;search_text=</v>
      </c>
      <c r="J256">
        <v>793074</v>
      </c>
      <c r="K256">
        <v>1644.7739999999999</v>
      </c>
      <c r="L256">
        <f>K256+M256+O256</f>
        <v>1644.7739999999999</v>
      </c>
      <c r="Q256" t="s">
        <v>96</v>
      </c>
      <c r="R256">
        <v>1644.7739999999999</v>
      </c>
    </row>
    <row r="257" spans="1:21" x14ac:dyDescent="0.35">
      <c r="A257">
        <v>12266</v>
      </c>
      <c r="B257" s="1">
        <v>39082</v>
      </c>
      <c r="C257">
        <v>2006</v>
      </c>
      <c r="D257">
        <v>950755108</v>
      </c>
      <c r="E257" t="s">
        <v>37</v>
      </c>
      <c r="F257" t="str">
        <f t="shared" si="35"/>
        <v>793074_2006</v>
      </c>
      <c r="G257" s="2" t="str">
        <f t="shared" si="36"/>
        <v>extracted_filing/793074_2006_10-K.html</v>
      </c>
      <c r="H257" s="2" t="str">
        <f t="shared" si="37"/>
        <v>extracted_filing/793074_2006_10-K.txt</v>
      </c>
      <c r="I257" s="2" t="str">
        <f t="shared" si="38"/>
        <v>https://www.sec.gov/cgi-bin/browse-edgar?action=getcompany&amp;CIK=793074&amp;type=10-K&amp;dateb=20080101&amp;owner=exclude&amp;count=40&amp;search_text=</v>
      </c>
      <c r="J257">
        <v>793074</v>
      </c>
      <c r="K257">
        <v>1741.338</v>
      </c>
      <c r="L257">
        <f>K257+M257+O257</f>
        <v>1741.338</v>
      </c>
      <c r="Q257" t="s">
        <v>96</v>
      </c>
      <c r="R257">
        <v>1741.338</v>
      </c>
    </row>
    <row r="258" spans="1:21" x14ac:dyDescent="0.35">
      <c r="A258">
        <v>12338</v>
      </c>
      <c r="B258" s="1">
        <v>35703</v>
      </c>
      <c r="C258">
        <v>1997</v>
      </c>
      <c r="D258">
        <v>421933102</v>
      </c>
      <c r="E258" t="s">
        <v>38</v>
      </c>
      <c r="F258" t="str">
        <f t="shared" ref="F258:F321" si="45">_xlfn.CONCAT(TEXT(J258,0),"_",TEXT(C258,0))</f>
        <v>792985_1997</v>
      </c>
      <c r="G258" s="2" t="str">
        <f t="shared" si="36"/>
        <v>extracted_filing/792985_1997_10-K.html</v>
      </c>
      <c r="H258" s="2" t="str">
        <f t="shared" si="37"/>
        <v>extracted_filing/792985_1997_10-K.txt</v>
      </c>
      <c r="I258" s="2" t="str">
        <f t="shared" si="38"/>
        <v>https://www.sec.gov/cgi-bin/browse-edgar?action=getcompany&amp;CIK=792985&amp;type=10-K&amp;dateb=20080101&amp;owner=exclude&amp;count=40&amp;search_text=</v>
      </c>
      <c r="J258">
        <v>792985</v>
      </c>
      <c r="K258">
        <v>676.9</v>
      </c>
      <c r="L258">
        <f>K258+M258+O258</f>
        <v>676.9</v>
      </c>
      <c r="Q258" t="s">
        <v>99</v>
      </c>
      <c r="R258">
        <v>676.9</v>
      </c>
    </row>
    <row r="259" spans="1:21" x14ac:dyDescent="0.35">
      <c r="A259">
        <v>12338</v>
      </c>
      <c r="B259" s="1">
        <v>36068</v>
      </c>
      <c r="C259">
        <v>1998</v>
      </c>
      <c r="D259">
        <v>421933102</v>
      </c>
      <c r="E259" t="s">
        <v>38</v>
      </c>
      <c r="F259" t="str">
        <f t="shared" si="45"/>
        <v>792985_1998</v>
      </c>
      <c r="G259" s="2" t="str">
        <f t="shared" ref="G259:G322" si="46">HYPERLINK(_xlfn.CONCAT("extracted_filing/",$F259,"_10-K.html"))</f>
        <v>extracted_filing/792985_1998_10-K.html</v>
      </c>
      <c r="H259" s="2" t="str">
        <f t="shared" ref="H259:H322" si="47">HYPERLINK(_xlfn.CONCAT("extracted_filing/",$F259,"_10-K.txt"))</f>
        <v>extracted_filing/792985_1998_10-K.txt</v>
      </c>
      <c r="I259" s="2" t="str">
        <f t="shared" ref="I259:I322" si="48">HYPERLINK(_xlfn.CONCAT("https://www.sec.gov/cgi-bin/browse-edgar?action=getcompany&amp;CIK=",TEXT(J259,0),"&amp;type=10-K&amp;dateb=20080101&amp;owner=exclude&amp;count=40&amp;search_text="))</f>
        <v>https://www.sec.gov/cgi-bin/browse-edgar?action=getcompany&amp;CIK=792985&amp;type=10-K&amp;dateb=20080101&amp;owner=exclude&amp;count=40&amp;search_text=</v>
      </c>
      <c r="J259">
        <v>792985</v>
      </c>
      <c r="K259">
        <v>864.86400000000003</v>
      </c>
      <c r="L259">
        <f>K259+M259+O259</f>
        <v>864.86400000000003</v>
      </c>
      <c r="Q259" t="s">
        <v>99</v>
      </c>
      <c r="R259">
        <v>864.86400000000003</v>
      </c>
    </row>
    <row r="260" spans="1:21" x14ac:dyDescent="0.35">
      <c r="A260">
        <v>12338</v>
      </c>
      <c r="B260" s="1">
        <v>36433</v>
      </c>
      <c r="C260">
        <v>1999</v>
      </c>
      <c r="D260">
        <v>421933102</v>
      </c>
      <c r="E260" t="s">
        <v>38</v>
      </c>
      <c r="F260" t="str">
        <f t="shared" si="45"/>
        <v>792985_1999</v>
      </c>
      <c r="G260" s="2" t="str">
        <f t="shared" si="46"/>
        <v>extracted_filing/792985_1999_10-K.html</v>
      </c>
      <c r="H260" s="2" t="str">
        <f t="shared" si="47"/>
        <v>extracted_filing/792985_1999_10-K.txt</v>
      </c>
      <c r="I260" s="2" t="str">
        <f t="shared" si="48"/>
        <v>https://www.sec.gov/cgi-bin/browse-edgar?action=getcompany&amp;CIK=792985&amp;type=10-K&amp;dateb=20080101&amp;owner=exclude&amp;count=40&amp;search_text=</v>
      </c>
      <c r="J260">
        <v>792985</v>
      </c>
      <c r="K260">
        <v>1048.9690000000001</v>
      </c>
      <c r="L260">
        <f>K260+M260+O260</f>
        <v>1048.9690000000001</v>
      </c>
      <c r="Q260" t="s">
        <v>99</v>
      </c>
      <c r="R260">
        <v>1048.9690000000001</v>
      </c>
    </row>
    <row r="261" spans="1:21" x14ac:dyDescent="0.35">
      <c r="A261">
        <v>12338</v>
      </c>
      <c r="B261" s="1">
        <v>36799</v>
      </c>
      <c r="C261">
        <v>2000</v>
      </c>
      <c r="D261">
        <v>421933102</v>
      </c>
      <c r="E261" t="s">
        <v>38</v>
      </c>
      <c r="F261" t="str">
        <f t="shared" si="45"/>
        <v>792985_2000</v>
      </c>
      <c r="G261" s="2" t="str">
        <f t="shared" si="46"/>
        <v>extracted_filing/792985_2000_10-K.html</v>
      </c>
      <c r="H261" s="2" t="str">
        <f t="shared" si="47"/>
        <v>extracted_filing/792985_2000_10-K.txt</v>
      </c>
      <c r="I261" s="2" t="str">
        <f t="shared" si="48"/>
        <v>https://www.sec.gov/cgi-bin/browse-edgar?action=getcompany&amp;CIK=792985&amp;type=10-K&amp;dateb=20080101&amp;owner=exclude&amp;count=40&amp;search_text=</v>
      </c>
      <c r="J261">
        <v>792985</v>
      </c>
      <c r="K261">
        <v>1212.7080000000001</v>
      </c>
      <c r="L261">
        <f>K261+M261+O261</f>
        <v>1212.7080000000001</v>
      </c>
      <c r="Q261" t="s">
        <v>99</v>
      </c>
      <c r="R261">
        <v>1212.7080000000001</v>
      </c>
    </row>
    <row r="262" spans="1:21" x14ac:dyDescent="0.35">
      <c r="A262">
        <v>12338</v>
      </c>
      <c r="B262" s="1">
        <v>37164</v>
      </c>
      <c r="C262">
        <v>2001</v>
      </c>
      <c r="D262">
        <v>421933102</v>
      </c>
      <c r="E262" t="s">
        <v>38</v>
      </c>
      <c r="F262" t="str">
        <f t="shared" si="45"/>
        <v>792985_2001</v>
      </c>
      <c r="G262" s="2" t="str">
        <f t="shared" si="46"/>
        <v>extracted_filing/792985_2001_10-K.html</v>
      </c>
      <c r="H262" s="2" t="str">
        <f t="shared" si="47"/>
        <v>extracted_filing/792985_2001_10-K.txt</v>
      </c>
      <c r="I262" s="2" t="str">
        <f t="shared" si="48"/>
        <v>https://www.sec.gov/cgi-bin/browse-edgar?action=getcompany&amp;CIK=792985&amp;type=10-K&amp;dateb=20080101&amp;owner=exclude&amp;count=40&amp;search_text=</v>
      </c>
      <c r="J262">
        <v>792985</v>
      </c>
      <c r="K262">
        <v>1431.2339999999999</v>
      </c>
      <c r="L262">
        <f>K262+M262+O262</f>
        <v>1431.2339999999999</v>
      </c>
      <c r="Q262" t="s">
        <v>99</v>
      </c>
      <c r="R262">
        <v>1431.2339999999999</v>
      </c>
    </row>
    <row r="263" spans="1:21" x14ac:dyDescent="0.35">
      <c r="A263">
        <v>12338</v>
      </c>
      <c r="B263" s="1">
        <v>37529</v>
      </c>
      <c r="C263">
        <v>2002</v>
      </c>
      <c r="D263">
        <v>421933102</v>
      </c>
      <c r="E263" t="s">
        <v>38</v>
      </c>
      <c r="F263" t="str">
        <f t="shared" si="45"/>
        <v>792985_2002</v>
      </c>
      <c r="G263" s="2" t="str">
        <f t="shared" si="46"/>
        <v>extracted_filing/792985_2002_10-K.html</v>
      </c>
      <c r="H263" s="2" t="str">
        <f t="shared" si="47"/>
        <v>extracted_filing/792985_2002_10-K.txt</v>
      </c>
      <c r="I263" s="2" t="str">
        <f t="shared" si="48"/>
        <v>https://www.sec.gov/cgi-bin/browse-edgar?action=getcompany&amp;CIK=792985&amp;type=10-K&amp;dateb=20080101&amp;owner=exclude&amp;count=40&amp;search_text=</v>
      </c>
      <c r="J263">
        <v>792985</v>
      </c>
      <c r="K263">
        <v>1748.4870000000001</v>
      </c>
      <c r="L263">
        <f>K263+M263+O263</f>
        <v>1748.4870000000001</v>
      </c>
      <c r="Q263" t="s">
        <v>99</v>
      </c>
      <c r="R263">
        <v>1748.4870000000001</v>
      </c>
    </row>
    <row r="264" spans="1:21" x14ac:dyDescent="0.35">
      <c r="A264">
        <v>12338</v>
      </c>
      <c r="B264" s="1">
        <v>37894</v>
      </c>
      <c r="C264">
        <v>2003</v>
      </c>
      <c r="D264">
        <v>421933102</v>
      </c>
      <c r="E264" t="s">
        <v>38</v>
      </c>
      <c r="F264" t="str">
        <f t="shared" si="45"/>
        <v>792985_2003</v>
      </c>
      <c r="G264" s="2" t="str">
        <f t="shared" si="46"/>
        <v>extracted_filing/792985_2003_10-K.html</v>
      </c>
      <c r="H264" s="2" t="str">
        <f t="shared" si="47"/>
        <v>extracted_filing/792985_2003_10-K.txt</v>
      </c>
      <c r="I264" s="2" t="str">
        <f t="shared" si="48"/>
        <v>https://www.sec.gov/cgi-bin/browse-edgar?action=getcompany&amp;CIK=792985&amp;type=10-K&amp;dateb=20080101&amp;owner=exclude&amp;count=40&amp;search_text=</v>
      </c>
      <c r="J264">
        <v>792985</v>
      </c>
      <c r="K264">
        <v>1972.653</v>
      </c>
      <c r="L264">
        <f>K264+M264+O264</f>
        <v>1972.653</v>
      </c>
      <c r="Q264" t="s">
        <v>99</v>
      </c>
      <c r="R264">
        <v>1972.653</v>
      </c>
    </row>
    <row r="265" spans="1:21" x14ac:dyDescent="0.35">
      <c r="A265">
        <v>12338</v>
      </c>
      <c r="B265" s="1">
        <v>38260</v>
      </c>
      <c r="C265">
        <v>2004</v>
      </c>
      <c r="D265">
        <v>421933102</v>
      </c>
      <c r="E265" t="s">
        <v>38</v>
      </c>
      <c r="F265" t="str">
        <f t="shared" si="45"/>
        <v>792985_2004</v>
      </c>
      <c r="G265" s="2" t="str">
        <f t="shared" si="46"/>
        <v>extracted_filing/792985_2004_10-K.html</v>
      </c>
      <c r="H265" s="2" t="str">
        <f t="shared" si="47"/>
        <v>extracted_filing/792985_2004_10-K.txt</v>
      </c>
      <c r="I265" s="2" t="str">
        <f t="shared" si="48"/>
        <v>https://www.sec.gov/cgi-bin/browse-edgar?action=getcompany&amp;CIK=792985&amp;type=10-K&amp;dateb=20080101&amp;owner=exclude&amp;count=40&amp;search_text=</v>
      </c>
      <c r="J265">
        <v>792985</v>
      </c>
      <c r="K265">
        <v>2522.59</v>
      </c>
      <c r="L265">
        <f>K265+M265+O265</f>
        <v>2522.59</v>
      </c>
      <c r="Q265" t="s">
        <v>99</v>
      </c>
      <c r="R265">
        <v>2522.59</v>
      </c>
    </row>
    <row r="266" spans="1:21" x14ac:dyDescent="0.35">
      <c r="A266">
        <v>12338</v>
      </c>
      <c r="B266" s="1">
        <v>38625</v>
      </c>
      <c r="C266">
        <v>2005</v>
      </c>
      <c r="D266">
        <v>421933102</v>
      </c>
      <c r="E266" t="s">
        <v>38</v>
      </c>
      <c r="F266" t="str">
        <f t="shared" si="45"/>
        <v>792985_2005</v>
      </c>
      <c r="G266" s="2" t="str">
        <f t="shared" si="46"/>
        <v>extracted_filing/792985_2005_10-K.html</v>
      </c>
      <c r="H266" s="2" t="str">
        <f t="shared" si="47"/>
        <v>extracted_filing/792985_2005_10-K.txt</v>
      </c>
      <c r="I266" s="2" t="str">
        <f t="shared" si="48"/>
        <v>https://www.sec.gov/cgi-bin/browse-edgar?action=getcompany&amp;CIK=792985&amp;type=10-K&amp;dateb=20080101&amp;owner=exclude&amp;count=40&amp;search_text=</v>
      </c>
      <c r="J266">
        <v>792985</v>
      </c>
      <c r="K266">
        <v>2824.982</v>
      </c>
      <c r="L266">
        <f>K266+M266+O266</f>
        <v>2824.982</v>
      </c>
      <c r="Q266" t="s">
        <v>99</v>
      </c>
      <c r="R266">
        <v>2824.982</v>
      </c>
    </row>
    <row r="267" spans="1:21" x14ac:dyDescent="0.35">
      <c r="A267">
        <v>12338</v>
      </c>
      <c r="B267" s="1">
        <v>39082</v>
      </c>
      <c r="C267">
        <v>2006</v>
      </c>
      <c r="D267">
        <v>421933102</v>
      </c>
      <c r="E267" t="s">
        <v>38</v>
      </c>
      <c r="F267" t="str">
        <f t="shared" si="45"/>
        <v>792985_2006</v>
      </c>
      <c r="G267" s="2" t="str">
        <f t="shared" si="46"/>
        <v>extracted_filing/792985_2006_10-K.html</v>
      </c>
      <c r="H267" s="2" t="str">
        <f t="shared" si="47"/>
        <v>extracted_filing/792985_2006_10-K.txt</v>
      </c>
      <c r="I267" s="2" t="str">
        <f t="shared" si="48"/>
        <v>https://www.sec.gov/cgi-bin/browse-edgar?action=getcompany&amp;CIK=792985&amp;type=10-K&amp;dateb=20080101&amp;owner=exclude&amp;count=40&amp;search_text=</v>
      </c>
      <c r="J267">
        <v>792985</v>
      </c>
      <c r="K267">
        <v>3547.53</v>
      </c>
      <c r="L267">
        <f>K267+M267+O267</f>
        <v>3547.53</v>
      </c>
      <c r="Q267" t="s">
        <v>99</v>
      </c>
      <c r="R267">
        <v>3547.53</v>
      </c>
    </row>
    <row r="268" spans="1:21" x14ac:dyDescent="0.35">
      <c r="A268">
        <v>12540</v>
      </c>
      <c r="B268" s="1">
        <v>35764</v>
      </c>
      <c r="C268">
        <v>1997</v>
      </c>
      <c r="D268" t="s">
        <v>39</v>
      </c>
      <c r="E268" t="s">
        <v>40</v>
      </c>
      <c r="F268" t="str">
        <f t="shared" si="45"/>
        <v>796343_1997</v>
      </c>
      <c r="G268" s="2" t="str">
        <f t="shared" si="46"/>
        <v>extracted_filing/796343_1997_10-K.html</v>
      </c>
      <c r="H268" s="2" t="str">
        <f t="shared" si="47"/>
        <v>extracted_filing/796343_1997_10-K.txt</v>
      </c>
      <c r="I268" s="2" t="str">
        <f t="shared" si="48"/>
        <v>https://www.sec.gov/cgi-bin/browse-edgar?action=getcompany&amp;CIK=796343&amp;type=10-K&amp;dateb=20080101&amp;owner=exclude&amp;count=40&amp;search_text=</v>
      </c>
      <c r="J268">
        <v>796343</v>
      </c>
      <c r="K268" s="3">
        <v>126.271</v>
      </c>
      <c r="L268">
        <f>K268+M268+O268</f>
        <v>675.75900000000001</v>
      </c>
      <c r="M268" s="3">
        <f>303.268+75.358</f>
        <v>378.62599999999998</v>
      </c>
      <c r="N268">
        <f>M268</f>
        <v>378.62599999999998</v>
      </c>
      <c r="O268" s="3">
        <v>170.86199999999999</v>
      </c>
      <c r="P268">
        <v>170.86199999999999</v>
      </c>
      <c r="Q268" t="s">
        <v>121</v>
      </c>
      <c r="R268" s="4">
        <v>616.375</v>
      </c>
      <c r="S268" s="4"/>
    </row>
    <row r="269" spans="1:21" x14ac:dyDescent="0.35">
      <c r="A269">
        <v>12540</v>
      </c>
      <c r="B269" s="1">
        <v>36129</v>
      </c>
      <c r="C269">
        <v>1998</v>
      </c>
      <c r="D269" t="s">
        <v>39</v>
      </c>
      <c r="E269" t="s">
        <v>40</v>
      </c>
      <c r="F269" t="str">
        <f t="shared" si="45"/>
        <v>796343_1998</v>
      </c>
      <c r="G269" s="2" t="str">
        <f t="shared" si="46"/>
        <v>extracted_filing/796343_1998_10-K.html</v>
      </c>
      <c r="H269" s="2" t="str">
        <f t="shared" si="47"/>
        <v>extracted_filing/796343_1998_10-K.txt</v>
      </c>
      <c r="I269" s="2" t="str">
        <f t="shared" si="48"/>
        <v>https://www.sec.gov/cgi-bin/browse-edgar?action=getcompany&amp;CIK=796343&amp;type=10-K&amp;dateb=20080101&amp;owner=exclude&amp;count=40&amp;search_text=</v>
      </c>
      <c r="J269">
        <v>796343</v>
      </c>
      <c r="K269" s="3">
        <v>111.437</v>
      </c>
      <c r="L269">
        <f>K269+M269+O269</f>
        <v>731.19800000000009</v>
      </c>
      <c r="M269" s="3">
        <f>316.69+95.732</f>
        <v>412.42200000000003</v>
      </c>
      <c r="N269">
        <f t="shared" ref="N269:N277" si="49">M269</f>
        <v>412.42200000000003</v>
      </c>
      <c r="O269" s="3">
        <v>207.339</v>
      </c>
      <c r="P269">
        <v>207.339</v>
      </c>
      <c r="Q269" t="s">
        <v>121</v>
      </c>
      <c r="R269" s="4">
        <v>674.93499999999904</v>
      </c>
      <c r="S269" s="4"/>
    </row>
    <row r="270" spans="1:21" x14ac:dyDescent="0.35">
      <c r="A270">
        <v>12540</v>
      </c>
      <c r="B270" s="1">
        <v>36494</v>
      </c>
      <c r="C270">
        <v>1999</v>
      </c>
      <c r="D270" t="s">
        <v>39</v>
      </c>
      <c r="E270" t="s">
        <v>40</v>
      </c>
      <c r="F270" t="str">
        <f t="shared" si="45"/>
        <v>796343_1999</v>
      </c>
      <c r="G270" s="2" t="str">
        <f t="shared" si="46"/>
        <v>extracted_filing/796343_1999_10-K.html</v>
      </c>
      <c r="H270" s="2" t="str">
        <f t="shared" si="47"/>
        <v>extracted_filing/796343_1999_10-K.txt</v>
      </c>
      <c r="I270" s="2" t="str">
        <f t="shared" si="48"/>
        <v>https://www.sec.gov/cgi-bin/browse-edgar?action=getcompany&amp;CIK=796343&amp;type=10-K&amp;dateb=20080101&amp;owner=exclude&amp;count=40&amp;search_text=</v>
      </c>
      <c r="J270">
        <v>796343</v>
      </c>
      <c r="K270" s="3">
        <v>94.54</v>
      </c>
      <c r="L270">
        <f>K270+M270+O270</f>
        <v>724.14</v>
      </c>
      <c r="M270" s="3">
        <f>328.5+103.62</f>
        <v>432.12</v>
      </c>
      <c r="N270">
        <f t="shared" si="49"/>
        <v>432.12</v>
      </c>
      <c r="O270" s="3">
        <v>197.48</v>
      </c>
      <c r="P270">
        <v>197.48</v>
      </c>
      <c r="Q270" t="s">
        <v>121</v>
      </c>
      <c r="R270" s="4">
        <v>678.20299999999997</v>
      </c>
      <c r="S270" s="4"/>
    </row>
    <row r="271" spans="1:21" x14ac:dyDescent="0.35">
      <c r="A271">
        <v>12540</v>
      </c>
      <c r="B271" s="1">
        <v>36860</v>
      </c>
      <c r="C271">
        <v>2000</v>
      </c>
      <c r="D271" t="s">
        <v>39</v>
      </c>
      <c r="E271" t="s">
        <v>40</v>
      </c>
      <c r="F271" t="str">
        <f t="shared" si="45"/>
        <v>796343_2000</v>
      </c>
      <c r="G271" s="2" t="str">
        <f t="shared" si="46"/>
        <v>extracted_filing/796343_2000_10-K.html</v>
      </c>
      <c r="H271" s="2" t="str">
        <f t="shared" si="47"/>
        <v>extracted_filing/796343_2000_10-K.txt</v>
      </c>
      <c r="I271" s="2" t="str">
        <f t="shared" si="48"/>
        <v>https://www.sec.gov/cgi-bin/browse-edgar?action=getcompany&amp;CIK=796343&amp;type=10-K&amp;dateb=20080101&amp;owner=exclude&amp;count=40&amp;search_text=</v>
      </c>
      <c r="J271">
        <v>796343</v>
      </c>
      <c r="K271" s="3">
        <v>87.254999999999995</v>
      </c>
      <c r="L271">
        <f>K271+M271+O271</f>
        <v>845.15499999999997</v>
      </c>
      <c r="M271" s="3">
        <f>401.2+116.5</f>
        <v>517.70000000000005</v>
      </c>
      <c r="N271">
        <f t="shared" si="49"/>
        <v>517.70000000000005</v>
      </c>
      <c r="O271" s="3">
        <v>240.2</v>
      </c>
      <c r="P271">
        <v>240.2</v>
      </c>
      <c r="Q271" t="s">
        <v>121</v>
      </c>
      <c r="R271" s="4">
        <v>808.92100000000005</v>
      </c>
      <c r="S271" s="4"/>
    </row>
    <row r="272" spans="1:21" x14ac:dyDescent="0.35">
      <c r="A272">
        <v>12540</v>
      </c>
      <c r="B272" s="1">
        <v>37225</v>
      </c>
      <c r="C272">
        <v>2001</v>
      </c>
      <c r="D272" t="s">
        <v>39</v>
      </c>
      <c r="E272" t="s">
        <v>40</v>
      </c>
      <c r="F272" t="str">
        <f t="shared" si="45"/>
        <v>796343_2001</v>
      </c>
      <c r="G272" s="2" t="str">
        <f t="shared" si="46"/>
        <v>extracted_filing/796343_2001_10-K.html</v>
      </c>
      <c r="H272" s="2" t="str">
        <f t="shared" si="47"/>
        <v>extracted_filing/796343_2001_10-K.txt</v>
      </c>
      <c r="I272" s="2" t="str">
        <f t="shared" si="48"/>
        <v>https://www.sec.gov/cgi-bin/browse-edgar?action=getcompany&amp;CIK=796343&amp;type=10-K&amp;dateb=20080101&amp;owner=exclude&amp;count=40&amp;search_text=</v>
      </c>
      <c r="J272">
        <v>796343</v>
      </c>
      <c r="K272" s="3">
        <v>81.450999999999993</v>
      </c>
      <c r="L272">
        <f>K272+M272+O272</f>
        <v>824.91300000000001</v>
      </c>
      <c r="M272" s="3">
        <f>403.72+115.62</f>
        <v>519.34</v>
      </c>
      <c r="N272">
        <f t="shared" si="49"/>
        <v>519.34</v>
      </c>
      <c r="O272" s="3">
        <v>224.12200000000001</v>
      </c>
      <c r="P272">
        <v>224.12200000000001</v>
      </c>
      <c r="Q272" t="s">
        <v>100</v>
      </c>
      <c r="R272" s="4">
        <v>39.087000000000003</v>
      </c>
      <c r="S272" s="4">
        <v>743.46799999999996</v>
      </c>
      <c r="T272">
        <f>SUM(K272,M272,O272)</f>
        <v>824.91300000000001</v>
      </c>
      <c r="U272">
        <f t="shared" ref="U272:U276" si="50">SUM(R272:S272)</f>
        <v>782.55499999999995</v>
      </c>
    </row>
    <row r="273" spans="1:21" x14ac:dyDescent="0.35">
      <c r="A273">
        <v>12540</v>
      </c>
      <c r="B273" s="1">
        <v>37590</v>
      </c>
      <c r="C273">
        <v>2002</v>
      </c>
      <c r="D273" t="s">
        <v>39</v>
      </c>
      <c r="E273" t="s">
        <v>40</v>
      </c>
      <c r="F273" t="str">
        <f t="shared" si="45"/>
        <v>796343_2002</v>
      </c>
      <c r="G273" s="2" t="str">
        <f t="shared" si="46"/>
        <v>extracted_filing/796343_2002_10-K.html</v>
      </c>
      <c r="H273" s="2" t="str">
        <f t="shared" si="47"/>
        <v>extracted_filing/796343_2002_10-K.txt</v>
      </c>
      <c r="I273" s="2" t="str">
        <f t="shared" si="48"/>
        <v>https://www.sec.gov/cgi-bin/browse-edgar?action=getcompany&amp;CIK=796343&amp;type=10-K&amp;dateb=20080101&amp;owner=exclude&amp;count=40&amp;search_text=</v>
      </c>
      <c r="J273">
        <v>796343</v>
      </c>
      <c r="K273" s="3">
        <f>96.853+7.435</f>
        <v>104.288</v>
      </c>
      <c r="L273">
        <f>K273+M273+O273</f>
        <v>838.87099999999998</v>
      </c>
      <c r="M273" s="3">
        <f>380.367+108.134</f>
        <v>488.50100000000003</v>
      </c>
      <c r="N273">
        <f t="shared" si="49"/>
        <v>488.50100000000003</v>
      </c>
      <c r="O273" s="3">
        <v>246.08199999999999</v>
      </c>
      <c r="P273">
        <v>246.08199999999999</v>
      </c>
      <c r="Q273" t="s">
        <v>100</v>
      </c>
      <c r="R273" s="4">
        <v>48.68</v>
      </c>
      <c r="S273" s="4">
        <v>734.58299999999997</v>
      </c>
      <c r="T273">
        <f>SUM(K273,M273,O273)</f>
        <v>838.87099999999998</v>
      </c>
      <c r="U273">
        <f t="shared" si="50"/>
        <v>783.26299999999992</v>
      </c>
    </row>
    <row r="274" spans="1:21" x14ac:dyDescent="0.35">
      <c r="A274">
        <v>12540</v>
      </c>
      <c r="B274" s="1">
        <v>37955</v>
      </c>
      <c r="C274">
        <v>2003</v>
      </c>
      <c r="D274" t="s">
        <v>39</v>
      </c>
      <c r="E274" t="s">
        <v>40</v>
      </c>
      <c r="F274" t="str">
        <f t="shared" si="45"/>
        <v>796343_2003</v>
      </c>
      <c r="G274" s="2" t="str">
        <f t="shared" si="46"/>
        <v>extracted_filing/796343_2003_10-K.html</v>
      </c>
      <c r="H274" s="2" t="str">
        <f t="shared" si="47"/>
        <v>extracted_filing/796343_2003_10-K.txt</v>
      </c>
      <c r="I274" s="2" t="str">
        <f t="shared" si="48"/>
        <v>https://www.sec.gov/cgi-bin/browse-edgar?action=getcompany&amp;CIK=796343&amp;type=10-K&amp;dateb=20080101&amp;owner=exclude&amp;count=40&amp;search_text=</v>
      </c>
      <c r="J274">
        <v>796343</v>
      </c>
      <c r="K274" s="3">
        <f>79.9+13.12</f>
        <v>93.02000000000001</v>
      </c>
      <c r="L274">
        <f>K274+M274+O274</f>
        <v>915.8</v>
      </c>
      <c r="M274" s="3">
        <f>423.4+122.4</f>
        <v>545.79999999999995</v>
      </c>
      <c r="N274">
        <f t="shared" si="49"/>
        <v>545.79999999999995</v>
      </c>
      <c r="O274" s="3">
        <v>276.98</v>
      </c>
      <c r="P274">
        <v>276.98</v>
      </c>
      <c r="Q274" t="s">
        <v>100</v>
      </c>
      <c r="R274" s="4">
        <v>44.008000000000003</v>
      </c>
      <c r="S274" s="4">
        <v>822.82399999999996</v>
      </c>
      <c r="T274">
        <f>SUM(K274,M274,O274)</f>
        <v>915.8</v>
      </c>
      <c r="U274">
        <f t="shared" si="50"/>
        <v>866.83199999999999</v>
      </c>
    </row>
    <row r="275" spans="1:21" x14ac:dyDescent="0.35">
      <c r="A275">
        <v>12540</v>
      </c>
      <c r="B275" s="1">
        <v>38321</v>
      </c>
      <c r="C275">
        <v>2004</v>
      </c>
      <c r="D275" t="s">
        <v>39</v>
      </c>
      <c r="E275" t="s">
        <v>40</v>
      </c>
      <c r="F275" t="str">
        <f t="shared" si="45"/>
        <v>796343_2004</v>
      </c>
      <c r="G275" s="2" t="str">
        <f t="shared" si="46"/>
        <v>extracted_filing/796343_2004_10-K.html</v>
      </c>
      <c r="H275" s="2" t="str">
        <f t="shared" si="47"/>
        <v>extracted_filing/796343_2004_10-K.txt</v>
      </c>
      <c r="I275" s="2" t="str">
        <f t="shared" si="48"/>
        <v>https://www.sec.gov/cgi-bin/browse-edgar?action=getcompany&amp;CIK=796343&amp;type=10-K&amp;dateb=20080101&amp;owner=exclude&amp;count=40&amp;search_text=</v>
      </c>
      <c r="J275">
        <v>796343</v>
      </c>
      <c r="K275" s="3">
        <v>104.378</v>
      </c>
      <c r="L275">
        <f>K275+M275+O275</f>
        <v>1074.787</v>
      </c>
      <c r="M275" s="3">
        <f>521.143+137.97</f>
        <v>659.11300000000006</v>
      </c>
      <c r="N275">
        <f t="shared" si="49"/>
        <v>659.11300000000006</v>
      </c>
      <c r="O275" s="3">
        <v>311.29599999999999</v>
      </c>
      <c r="P275">
        <v>311.29599999999999</v>
      </c>
      <c r="Q275" t="s">
        <v>100</v>
      </c>
      <c r="R275" s="4">
        <v>43.57</v>
      </c>
      <c r="S275" s="4">
        <v>970.40899999999999</v>
      </c>
      <c r="T275">
        <f>SUM(K275,M275,O275)</f>
        <v>1074.787</v>
      </c>
      <c r="U275">
        <f t="shared" si="50"/>
        <v>1013.979</v>
      </c>
    </row>
    <row r="276" spans="1:21" x14ac:dyDescent="0.35">
      <c r="A276">
        <v>12540</v>
      </c>
      <c r="B276" s="1">
        <v>38686</v>
      </c>
      <c r="C276">
        <v>2005</v>
      </c>
      <c r="D276" t="s">
        <v>39</v>
      </c>
      <c r="E276" t="s">
        <v>40</v>
      </c>
      <c r="F276" t="str">
        <f t="shared" si="45"/>
        <v>796343_2005</v>
      </c>
      <c r="G276" s="2" t="str">
        <f t="shared" si="46"/>
        <v>extracted_filing/796343_2005_10-K.html</v>
      </c>
      <c r="H276" s="2" t="str">
        <f t="shared" si="47"/>
        <v>extracted_filing/796343_2005_10-K.txt</v>
      </c>
      <c r="I276" s="2" t="str">
        <f t="shared" si="48"/>
        <v>https://www.sec.gov/cgi-bin/browse-edgar?action=getcompany&amp;CIK=796343&amp;type=10-K&amp;dateb=20080101&amp;owner=exclude&amp;count=40&amp;search_text=</v>
      </c>
      <c r="J276">
        <v>796343</v>
      </c>
      <c r="K276" s="3">
        <v>112.578</v>
      </c>
      <c r="L276">
        <f>K276+M276+O276</f>
        <v>1237.8869999999999</v>
      </c>
      <c r="M276" s="3">
        <f>593.323+166.658</f>
        <v>759.98099999999999</v>
      </c>
      <c r="N276">
        <f t="shared" si="49"/>
        <v>759.98099999999999</v>
      </c>
      <c r="O276" s="3">
        <v>365.32799999999997</v>
      </c>
      <c r="P276">
        <v>365.32799999999997</v>
      </c>
      <c r="Q276" t="s">
        <v>100</v>
      </c>
      <c r="R276" s="4">
        <v>48.243000000000002</v>
      </c>
      <c r="S276" s="4">
        <v>1125.309</v>
      </c>
      <c r="T276">
        <f>SUM(K276,M276,O276)</f>
        <v>1237.8869999999999</v>
      </c>
      <c r="U276">
        <f t="shared" si="50"/>
        <v>1173.5519999999999</v>
      </c>
    </row>
    <row r="277" spans="1:21" x14ac:dyDescent="0.35">
      <c r="A277">
        <v>12540</v>
      </c>
      <c r="B277" s="1">
        <v>39051</v>
      </c>
      <c r="C277">
        <v>2006</v>
      </c>
      <c r="D277" t="s">
        <v>39</v>
      </c>
      <c r="E277" t="s">
        <v>40</v>
      </c>
      <c r="F277" t="str">
        <f t="shared" si="45"/>
        <v>796343_2006</v>
      </c>
      <c r="G277" s="2" t="str">
        <f t="shared" si="46"/>
        <v>extracted_filing/796343_2006_10-K.html</v>
      </c>
      <c r="H277" s="2" t="str">
        <f t="shared" si="47"/>
        <v>extracted_filing/796343_2006_10-K.txt</v>
      </c>
      <c r="I277" s="2" t="str">
        <f t="shared" si="48"/>
        <v>https://www.sec.gov/cgi-bin/browse-edgar?action=getcompany&amp;CIK=796343&amp;type=10-K&amp;dateb=20080101&amp;owner=exclude&amp;count=40&amp;search_text=</v>
      </c>
      <c r="J277">
        <v>796343</v>
      </c>
      <c r="K277" s="3">
        <v>292.45699999999999</v>
      </c>
      <c r="L277">
        <f>K277+M277+O277</f>
        <v>1934.4010000000001</v>
      </c>
      <c r="M277" s="3">
        <f>867.145+235.115</f>
        <v>1102.26</v>
      </c>
      <c r="N277">
        <f t="shared" si="49"/>
        <v>1102.26</v>
      </c>
      <c r="O277" s="3">
        <v>539.68399999999997</v>
      </c>
      <c r="P277">
        <v>539.68399999999997</v>
      </c>
      <c r="Q277" t="s">
        <v>100</v>
      </c>
      <c r="R277" s="4">
        <v>87.257000000000005</v>
      </c>
      <c r="S277" s="4">
        <v>1618.117</v>
      </c>
      <c r="T277">
        <f>SUM(K277,M277,O277)</f>
        <v>1934.4010000000001</v>
      </c>
      <c r="U277">
        <f>SUM(R277:S277)</f>
        <v>1705.374</v>
      </c>
    </row>
    <row r="278" spans="1:21" x14ac:dyDescent="0.35">
      <c r="A278">
        <v>12635</v>
      </c>
      <c r="B278" s="1">
        <v>35795</v>
      </c>
      <c r="C278">
        <v>1997</v>
      </c>
      <c r="D278">
        <v>337738108</v>
      </c>
      <c r="E278" t="s">
        <v>41</v>
      </c>
      <c r="F278" t="str">
        <f t="shared" si="45"/>
        <v>798354_1997</v>
      </c>
      <c r="G278" s="2" t="str">
        <f t="shared" si="46"/>
        <v>extracted_filing/798354_1997_10-K.html</v>
      </c>
      <c r="H278" s="2" t="str">
        <f t="shared" si="47"/>
        <v>extracted_filing/798354_1997_10-K.txt</v>
      </c>
      <c r="I278" s="2" t="str">
        <f t="shared" si="48"/>
        <v>https://www.sec.gov/cgi-bin/browse-edgar?action=getcompany&amp;CIK=798354&amp;type=10-K&amp;dateb=20080101&amp;owner=exclude&amp;count=40&amp;search_text=</v>
      </c>
      <c r="J278">
        <v>798354</v>
      </c>
      <c r="K278">
        <v>755.83600000000001</v>
      </c>
      <c r="L278">
        <f>K278+M278+O278</f>
        <v>755.83600000000001</v>
      </c>
      <c r="Q278" t="s">
        <v>102</v>
      </c>
      <c r="R278">
        <v>755.83600000000001</v>
      </c>
    </row>
    <row r="279" spans="1:21" x14ac:dyDescent="0.35">
      <c r="A279">
        <v>12635</v>
      </c>
      <c r="B279" s="1">
        <v>36160</v>
      </c>
      <c r="C279">
        <v>1998</v>
      </c>
      <c r="D279">
        <v>337738108</v>
      </c>
      <c r="E279" t="s">
        <v>41</v>
      </c>
      <c r="F279" t="str">
        <f t="shared" si="45"/>
        <v>798354_1998</v>
      </c>
      <c r="G279" s="2" t="str">
        <f t="shared" si="46"/>
        <v>extracted_filing/798354_1998_10-K.html</v>
      </c>
      <c r="H279" s="2" t="str">
        <f t="shared" si="47"/>
        <v>extracted_filing/798354_1998_10-K.txt</v>
      </c>
      <c r="I279" s="2" t="str">
        <f t="shared" si="48"/>
        <v>https://www.sec.gov/cgi-bin/browse-edgar?action=getcompany&amp;CIK=798354&amp;type=10-K&amp;dateb=20080101&amp;owner=exclude&amp;count=40&amp;search_text=</v>
      </c>
      <c r="J279">
        <v>798354</v>
      </c>
      <c r="K279">
        <v>963.33399999999904</v>
      </c>
      <c r="L279">
        <f>K279+M279+O279</f>
        <v>963.33399999999904</v>
      </c>
      <c r="Q279" t="s">
        <v>102</v>
      </c>
      <c r="R279">
        <v>963.33399999999904</v>
      </c>
    </row>
    <row r="280" spans="1:21" x14ac:dyDescent="0.35">
      <c r="A280">
        <v>12635</v>
      </c>
      <c r="B280" s="1">
        <v>36525</v>
      </c>
      <c r="C280">
        <v>1999</v>
      </c>
      <c r="D280">
        <v>337738108</v>
      </c>
      <c r="E280" t="s">
        <v>41</v>
      </c>
      <c r="F280" t="str">
        <f t="shared" si="45"/>
        <v>798354_1999</v>
      </c>
      <c r="G280" s="2" t="str">
        <f t="shared" si="46"/>
        <v>extracted_filing/798354_1999_10-K.html</v>
      </c>
      <c r="H280" s="2" t="str">
        <f t="shared" si="47"/>
        <v>extracted_filing/798354_1999_10-K.txt</v>
      </c>
      <c r="I280" s="2" t="str">
        <f t="shared" si="48"/>
        <v>https://www.sec.gov/cgi-bin/browse-edgar?action=getcompany&amp;CIK=798354&amp;type=10-K&amp;dateb=20080101&amp;owner=exclude&amp;count=40&amp;search_text=</v>
      </c>
      <c r="J280">
        <v>798354</v>
      </c>
      <c r="K280">
        <v>1090.7470000000001</v>
      </c>
      <c r="L280">
        <f>K280+M280+O280</f>
        <v>1090.7470000000001</v>
      </c>
      <c r="Q280" t="s">
        <v>102</v>
      </c>
      <c r="R280">
        <v>1090.7470000000001</v>
      </c>
    </row>
    <row r="281" spans="1:21" x14ac:dyDescent="0.35">
      <c r="A281">
        <v>12635</v>
      </c>
      <c r="B281" s="1">
        <v>36891</v>
      </c>
      <c r="C281">
        <v>2000</v>
      </c>
      <c r="D281">
        <v>337738108</v>
      </c>
      <c r="E281" t="s">
        <v>41</v>
      </c>
      <c r="F281" t="str">
        <f t="shared" si="45"/>
        <v>798354_2000</v>
      </c>
      <c r="G281" s="2" t="str">
        <f t="shared" si="46"/>
        <v>extracted_filing/798354_2000_10-K.html</v>
      </c>
      <c r="H281" s="2" t="str">
        <f t="shared" si="47"/>
        <v>extracted_filing/798354_2000_10-K.txt</v>
      </c>
      <c r="I281" s="2" t="str">
        <f t="shared" si="48"/>
        <v>https://www.sec.gov/cgi-bin/browse-edgar?action=getcompany&amp;CIK=798354&amp;type=10-K&amp;dateb=20080101&amp;owner=exclude&amp;count=40&amp;search_text=</v>
      </c>
      <c r="J281">
        <v>798354</v>
      </c>
      <c r="K281">
        <v>1258.153</v>
      </c>
      <c r="L281">
        <f>K281+M281+O281</f>
        <v>1258.153</v>
      </c>
      <c r="Q281" t="s">
        <v>102</v>
      </c>
      <c r="R281">
        <v>1258.153</v>
      </c>
    </row>
    <row r="282" spans="1:21" x14ac:dyDescent="0.35">
      <c r="A282">
        <v>12635</v>
      </c>
      <c r="B282" s="1">
        <v>37256</v>
      </c>
      <c r="C282">
        <v>2001</v>
      </c>
      <c r="D282">
        <v>337738108</v>
      </c>
      <c r="E282" t="s">
        <v>41</v>
      </c>
      <c r="F282" t="str">
        <f t="shared" si="45"/>
        <v>798354_2001</v>
      </c>
      <c r="G282" s="2" t="str">
        <f t="shared" si="46"/>
        <v>extracted_filing/798354_2001_10-K.html</v>
      </c>
      <c r="H282" s="2" t="str">
        <f t="shared" si="47"/>
        <v>extracted_filing/798354_2001_10-K.txt</v>
      </c>
      <c r="I282" s="2" t="str">
        <f t="shared" si="48"/>
        <v>https://www.sec.gov/cgi-bin/browse-edgar?action=getcompany&amp;CIK=798354&amp;type=10-K&amp;dateb=20080101&amp;owner=exclude&amp;count=40&amp;search_text=</v>
      </c>
      <c r="J282">
        <v>798354</v>
      </c>
      <c r="K282">
        <v>1447.769</v>
      </c>
      <c r="L282">
        <f>K282+M282+O282</f>
        <v>1447.769</v>
      </c>
      <c r="Q282" t="s">
        <v>102</v>
      </c>
      <c r="R282">
        <v>1447.769</v>
      </c>
    </row>
    <row r="283" spans="1:21" x14ac:dyDescent="0.35">
      <c r="A283">
        <v>12635</v>
      </c>
      <c r="B283" s="1">
        <v>37621</v>
      </c>
      <c r="C283">
        <v>2002</v>
      </c>
      <c r="D283">
        <v>337738108</v>
      </c>
      <c r="E283" t="s">
        <v>41</v>
      </c>
      <c r="F283" t="str">
        <f t="shared" si="45"/>
        <v>798354_2002</v>
      </c>
      <c r="G283" s="2" t="str">
        <f t="shared" si="46"/>
        <v>extracted_filing/798354_2002_10-K.html</v>
      </c>
      <c r="H283" s="2" t="str">
        <f t="shared" si="47"/>
        <v>extracted_filing/798354_2002_10-K.txt</v>
      </c>
      <c r="I283" s="2" t="str">
        <f t="shared" si="48"/>
        <v>https://www.sec.gov/cgi-bin/browse-edgar?action=getcompany&amp;CIK=798354&amp;type=10-K&amp;dateb=20080101&amp;owner=exclude&amp;count=40&amp;search_text=</v>
      </c>
      <c r="J283">
        <v>798354</v>
      </c>
      <c r="K283">
        <v>1984.7339999999999</v>
      </c>
      <c r="L283">
        <f>K283+M283+O283</f>
        <v>1984.7339999999999</v>
      </c>
      <c r="Q283" t="s">
        <v>102</v>
      </c>
      <c r="R283">
        <v>1984.7339999999999</v>
      </c>
    </row>
    <row r="284" spans="1:21" x14ac:dyDescent="0.35">
      <c r="A284">
        <v>12635</v>
      </c>
      <c r="B284" s="1">
        <v>37986</v>
      </c>
      <c r="C284">
        <v>2003</v>
      </c>
      <c r="D284">
        <v>337738108</v>
      </c>
      <c r="E284" t="s">
        <v>41</v>
      </c>
      <c r="F284" t="str">
        <f t="shared" si="45"/>
        <v>798354_2003</v>
      </c>
      <c r="G284" s="2" t="str">
        <f t="shared" si="46"/>
        <v>extracted_filing/798354_2003_10-K.html</v>
      </c>
      <c r="H284" s="2" t="str">
        <f t="shared" si="47"/>
        <v>extracted_filing/798354_2003_10-K.txt</v>
      </c>
      <c r="I284" s="2" t="str">
        <f t="shared" si="48"/>
        <v>https://www.sec.gov/cgi-bin/browse-edgar?action=getcompany&amp;CIK=798354&amp;type=10-K&amp;dateb=20080101&amp;owner=exclude&amp;count=40&amp;search_text=</v>
      </c>
      <c r="J284">
        <v>798354</v>
      </c>
      <c r="K284">
        <v>2377.7109999999998</v>
      </c>
      <c r="L284">
        <f>K284+M284+O284</f>
        <v>2377.7109999999998</v>
      </c>
      <c r="Q284" t="s">
        <v>102</v>
      </c>
      <c r="R284">
        <v>2377.7109999999998</v>
      </c>
    </row>
    <row r="285" spans="1:21" x14ac:dyDescent="0.35">
      <c r="A285">
        <v>12635</v>
      </c>
      <c r="B285" s="1">
        <v>38352</v>
      </c>
      <c r="C285">
        <v>2004</v>
      </c>
      <c r="D285">
        <v>337738108</v>
      </c>
      <c r="E285" t="s">
        <v>41</v>
      </c>
      <c r="F285" t="str">
        <f t="shared" si="45"/>
        <v>798354_2004</v>
      </c>
      <c r="G285" s="2" t="str">
        <f t="shared" si="46"/>
        <v>extracted_filing/798354_2004_10-K.html</v>
      </c>
      <c r="H285" s="2" t="str">
        <f t="shared" si="47"/>
        <v>extracted_filing/798354_2004_10-K.txt</v>
      </c>
      <c r="I285" s="2" t="str">
        <f t="shared" si="48"/>
        <v>https://www.sec.gov/cgi-bin/browse-edgar?action=getcompany&amp;CIK=798354&amp;type=10-K&amp;dateb=20080101&amp;owner=exclude&amp;count=40&amp;search_text=</v>
      </c>
      <c r="J285">
        <v>798354</v>
      </c>
      <c r="K285">
        <v>2945.0230000000001</v>
      </c>
      <c r="L285">
        <f>K285+M285+O285</f>
        <v>2945.0230000000001</v>
      </c>
      <c r="Q285" t="s">
        <v>102</v>
      </c>
      <c r="R285">
        <v>2945.0230000000001</v>
      </c>
    </row>
    <row r="286" spans="1:21" x14ac:dyDescent="0.35">
      <c r="A286">
        <v>12635</v>
      </c>
      <c r="B286" s="1">
        <v>38717</v>
      </c>
      <c r="C286">
        <v>2005</v>
      </c>
      <c r="D286">
        <v>337738108</v>
      </c>
      <c r="E286" t="s">
        <v>41</v>
      </c>
      <c r="F286" t="str">
        <f t="shared" si="45"/>
        <v>798354_2005</v>
      </c>
      <c r="G286" s="2" t="str">
        <f t="shared" si="46"/>
        <v>extracted_filing/798354_2005_10-K.html</v>
      </c>
      <c r="H286" s="2" t="str">
        <f t="shared" si="47"/>
        <v>extracted_filing/798354_2005_10-K.txt</v>
      </c>
      <c r="I286" s="2" t="str">
        <f t="shared" si="48"/>
        <v>https://www.sec.gov/cgi-bin/browse-edgar?action=getcompany&amp;CIK=798354&amp;type=10-K&amp;dateb=20080101&amp;owner=exclude&amp;count=40&amp;search_text=</v>
      </c>
      <c r="J286">
        <v>798354</v>
      </c>
      <c r="K286">
        <v>2618.7759999999998</v>
      </c>
      <c r="L286">
        <f>K286+M286+O286</f>
        <v>3134.9029999999998</v>
      </c>
      <c r="M286" s="5">
        <v>516.12699999999995</v>
      </c>
      <c r="N286" s="6"/>
      <c r="Q286" t="s">
        <v>138</v>
      </c>
      <c r="R286">
        <v>2618.7759999999998</v>
      </c>
      <c r="S286" s="6">
        <v>516.12699999999995</v>
      </c>
      <c r="T286">
        <f>SUM(K286,M286,O286)</f>
        <v>3134.9029999999998</v>
      </c>
      <c r="U286">
        <f>SUM(R286:S286)</f>
        <v>3134.9029999999998</v>
      </c>
    </row>
    <row r="287" spans="1:21" x14ac:dyDescent="0.35">
      <c r="A287">
        <v>12635</v>
      </c>
      <c r="B287" s="1">
        <v>39082</v>
      </c>
      <c r="C287">
        <v>2006</v>
      </c>
      <c r="D287">
        <v>337738108</v>
      </c>
      <c r="E287" t="s">
        <v>41</v>
      </c>
      <c r="F287" t="str">
        <f t="shared" si="45"/>
        <v>798354_2006</v>
      </c>
      <c r="G287" s="2" t="str">
        <f t="shared" si="46"/>
        <v>extracted_filing/798354_2006_10-K.html</v>
      </c>
      <c r="H287" s="2" t="str">
        <f t="shared" si="47"/>
        <v>extracted_filing/798354_2006_10-K.txt</v>
      </c>
      <c r="I287" s="2" t="str">
        <f t="shared" si="48"/>
        <v>https://www.sec.gov/cgi-bin/browse-edgar?action=getcompany&amp;CIK=798354&amp;type=10-K&amp;dateb=20080101&amp;owner=exclude&amp;count=40&amp;search_text=</v>
      </c>
      <c r="J287">
        <v>798354</v>
      </c>
      <c r="K287">
        <v>3011.41</v>
      </c>
      <c r="L287">
        <f>K287+M287+O287</f>
        <v>3600.7640000000001</v>
      </c>
      <c r="M287" s="3">
        <v>589.35400000000004</v>
      </c>
      <c r="Q287" t="s">
        <v>101</v>
      </c>
      <c r="R287">
        <v>3011.41</v>
      </c>
      <c r="S287" s="4">
        <v>580.35400000000004</v>
      </c>
      <c r="T287">
        <f>SUM(K287,M287,O287)</f>
        <v>3600.7640000000001</v>
      </c>
      <c r="U287">
        <f>SUM(R287:S287)</f>
        <v>3591.7640000000001</v>
      </c>
    </row>
    <row r="288" spans="1:21" x14ac:dyDescent="0.35">
      <c r="A288">
        <v>12840</v>
      </c>
      <c r="B288" s="1">
        <v>35795</v>
      </c>
      <c r="C288">
        <v>1997</v>
      </c>
      <c r="D288">
        <v>422347104</v>
      </c>
      <c r="E288" t="s">
        <v>42</v>
      </c>
      <c r="F288" t="str">
        <f t="shared" si="45"/>
        <v>799233_1997</v>
      </c>
      <c r="G288" s="2" t="str">
        <f t="shared" si="46"/>
        <v>extracted_filing/799233_1997_10-K.html</v>
      </c>
      <c r="H288" s="2" t="str">
        <f t="shared" si="47"/>
        <v>extracted_filing/799233_1997_10-K.txt</v>
      </c>
      <c r="I288" s="2" t="str">
        <f t="shared" si="48"/>
        <v>https://www.sec.gov/cgi-bin/browse-edgar?action=getcompany&amp;CIK=799233&amp;type=10-K&amp;dateb=20080101&amp;owner=exclude&amp;count=40&amp;search_text=</v>
      </c>
      <c r="J288">
        <v>799233</v>
      </c>
      <c r="K288">
        <v>202.625</v>
      </c>
      <c r="L288">
        <f>K288+M288+O288</f>
        <v>202.625</v>
      </c>
      <c r="Q288" t="s">
        <v>105</v>
      </c>
      <c r="R288">
        <v>202.625</v>
      </c>
    </row>
    <row r="289" spans="1:21" x14ac:dyDescent="0.35">
      <c r="A289">
        <v>12840</v>
      </c>
      <c r="B289" s="1">
        <v>36160</v>
      </c>
      <c r="C289">
        <v>1998</v>
      </c>
      <c r="D289">
        <v>422347104</v>
      </c>
      <c r="E289" t="s">
        <v>42</v>
      </c>
      <c r="F289" t="str">
        <f t="shared" si="45"/>
        <v>799233_1998</v>
      </c>
      <c r="G289" s="2" t="str">
        <f t="shared" si="46"/>
        <v>extracted_filing/799233_1998_10-K.html</v>
      </c>
      <c r="H289" s="2" t="str">
        <f t="shared" si="47"/>
        <v>extracted_filing/799233_1998_10-K.txt</v>
      </c>
      <c r="I289" s="2" t="str">
        <f t="shared" si="48"/>
        <v>https://www.sec.gov/cgi-bin/browse-edgar?action=getcompany&amp;CIK=799233&amp;type=10-K&amp;dateb=20080101&amp;owner=exclude&amp;count=40&amp;search_text=</v>
      </c>
      <c r="J289">
        <v>799233</v>
      </c>
      <c r="K289">
        <v>199.672</v>
      </c>
      <c r="L289">
        <f>K289+M289+O289</f>
        <v>199.672</v>
      </c>
      <c r="Q289" t="s">
        <v>105</v>
      </c>
      <c r="R289">
        <v>199.672</v>
      </c>
    </row>
    <row r="290" spans="1:21" x14ac:dyDescent="0.35">
      <c r="A290">
        <v>12840</v>
      </c>
      <c r="B290" s="1">
        <v>36525</v>
      </c>
      <c r="C290">
        <v>1999</v>
      </c>
      <c r="D290">
        <v>422347104</v>
      </c>
      <c r="E290" t="s">
        <v>42</v>
      </c>
      <c r="F290" t="str">
        <f t="shared" si="45"/>
        <v>799233_1999</v>
      </c>
      <c r="G290" s="2" t="str">
        <f t="shared" si="46"/>
        <v>extracted_filing/799233_1999_10-K.html</v>
      </c>
      <c r="H290" s="2" t="str">
        <f t="shared" si="47"/>
        <v>extracted_filing/799233_1999_10-K.txt</v>
      </c>
      <c r="I290" s="2" t="str">
        <f t="shared" si="48"/>
        <v>https://www.sec.gov/cgi-bin/browse-edgar?action=getcompany&amp;CIK=799233&amp;type=10-K&amp;dateb=20080101&amp;owner=exclude&amp;count=40&amp;search_text=</v>
      </c>
      <c r="J290">
        <v>799233</v>
      </c>
      <c r="K290">
        <v>201.01</v>
      </c>
      <c r="L290">
        <f>K290+M290+O290</f>
        <v>201.01</v>
      </c>
      <c r="Q290" t="s">
        <v>105</v>
      </c>
      <c r="R290">
        <v>201.01</v>
      </c>
    </row>
    <row r="291" spans="1:21" x14ac:dyDescent="0.35">
      <c r="A291">
        <v>12840</v>
      </c>
      <c r="B291" s="1">
        <v>36891</v>
      </c>
      <c r="C291">
        <v>2000</v>
      </c>
      <c r="D291">
        <v>422347104</v>
      </c>
      <c r="E291" t="s">
        <v>42</v>
      </c>
      <c r="F291" t="str">
        <f t="shared" si="45"/>
        <v>799233_2000</v>
      </c>
      <c r="G291" s="2" t="str">
        <f t="shared" si="46"/>
        <v>extracted_filing/799233_2000_10-K.html</v>
      </c>
      <c r="H291" s="2" t="str">
        <f t="shared" si="47"/>
        <v>extracted_filing/799233_2000_10-K.txt</v>
      </c>
      <c r="I291" s="2" t="str">
        <f t="shared" si="48"/>
        <v>https://www.sec.gov/cgi-bin/browse-edgar?action=getcompany&amp;CIK=799233&amp;type=10-K&amp;dateb=20080101&amp;owner=exclude&amp;count=40&amp;search_text=</v>
      </c>
      <c r="J291">
        <v>799233</v>
      </c>
      <c r="K291">
        <v>213.80500000000001</v>
      </c>
      <c r="L291">
        <f>K291+M291+O291</f>
        <v>213.80500000000001</v>
      </c>
      <c r="Q291" t="s">
        <v>105</v>
      </c>
      <c r="R291">
        <v>213.80500000000001</v>
      </c>
    </row>
    <row r="292" spans="1:21" x14ac:dyDescent="0.35">
      <c r="A292">
        <v>12840</v>
      </c>
      <c r="B292" s="1">
        <v>37256</v>
      </c>
      <c r="C292">
        <v>2001</v>
      </c>
      <c r="D292">
        <v>422347104</v>
      </c>
      <c r="E292" t="s">
        <v>42</v>
      </c>
      <c r="F292" t="str">
        <f t="shared" si="45"/>
        <v>799233_2001</v>
      </c>
      <c r="G292" s="2" t="str">
        <f t="shared" si="46"/>
        <v>extracted_filing/799233_2001_10-K.html</v>
      </c>
      <c r="H292" s="2" t="str">
        <f t="shared" si="47"/>
        <v>extracted_filing/799233_2001_10-K.txt</v>
      </c>
      <c r="I292" s="2" t="str">
        <f t="shared" si="48"/>
        <v>https://www.sec.gov/cgi-bin/browse-edgar?action=getcompany&amp;CIK=799233&amp;type=10-K&amp;dateb=20080101&amp;owner=exclude&amp;count=40&amp;search_text=</v>
      </c>
      <c r="J292">
        <v>799233</v>
      </c>
      <c r="K292">
        <v>224.983</v>
      </c>
      <c r="L292">
        <f>K292+M292+O292</f>
        <v>224.983</v>
      </c>
      <c r="Q292" t="s">
        <v>105</v>
      </c>
      <c r="R292">
        <v>224.983</v>
      </c>
    </row>
    <row r="293" spans="1:21" x14ac:dyDescent="0.35">
      <c r="A293">
        <v>12840</v>
      </c>
      <c r="B293" s="1">
        <v>37621</v>
      </c>
      <c r="C293">
        <v>2002</v>
      </c>
      <c r="D293">
        <v>422347104</v>
      </c>
      <c r="E293" t="s">
        <v>42</v>
      </c>
      <c r="F293" t="str">
        <f t="shared" si="45"/>
        <v>799233_2002</v>
      </c>
      <c r="G293" s="2" t="str">
        <f t="shared" si="46"/>
        <v>extracted_filing/799233_2002_10-K.html</v>
      </c>
      <c r="H293" s="2" t="str">
        <f t="shared" si="47"/>
        <v>extracted_filing/799233_2002_10-K.txt</v>
      </c>
      <c r="I293" s="2" t="str">
        <f t="shared" si="48"/>
        <v>https://www.sec.gov/cgi-bin/browse-edgar?action=getcompany&amp;CIK=799233&amp;type=10-K&amp;dateb=20080101&amp;owner=exclude&amp;count=40&amp;search_text=</v>
      </c>
      <c r="J293">
        <v>799233</v>
      </c>
      <c r="K293">
        <v>258.59100000000001</v>
      </c>
      <c r="L293">
        <f>K293+M293+O293</f>
        <v>258.59100000000001</v>
      </c>
      <c r="Q293" t="s">
        <v>105</v>
      </c>
      <c r="R293">
        <v>258.59100000000001</v>
      </c>
    </row>
    <row r="294" spans="1:21" x14ac:dyDescent="0.35">
      <c r="A294">
        <v>12840</v>
      </c>
      <c r="B294" s="1">
        <v>37986</v>
      </c>
      <c r="C294">
        <v>2003</v>
      </c>
      <c r="D294">
        <v>422347104</v>
      </c>
      <c r="E294" t="s">
        <v>42</v>
      </c>
      <c r="F294" t="str">
        <f t="shared" si="45"/>
        <v>799233_2003</v>
      </c>
      <c r="G294" s="2" t="str">
        <f t="shared" si="46"/>
        <v>extracted_filing/799233_2003_10-K.html</v>
      </c>
      <c r="H294" s="2" t="str">
        <f t="shared" si="47"/>
        <v>extracted_filing/799233_2003_10-K.txt</v>
      </c>
      <c r="I294" s="2" t="str">
        <f t="shared" si="48"/>
        <v>https://www.sec.gov/cgi-bin/browse-edgar?action=getcompany&amp;CIK=799233&amp;type=10-K&amp;dateb=20080101&amp;owner=exclude&amp;count=40&amp;search_text=</v>
      </c>
      <c r="J294">
        <v>799233</v>
      </c>
      <c r="K294">
        <v>293.53100000000001</v>
      </c>
      <c r="L294">
        <f>K294+M294+O294</f>
        <v>293.53100000000001</v>
      </c>
      <c r="Q294" t="s">
        <v>105</v>
      </c>
      <c r="R294">
        <v>293.53100000000001</v>
      </c>
    </row>
    <row r="295" spans="1:21" x14ac:dyDescent="0.35">
      <c r="A295">
        <v>12840</v>
      </c>
      <c r="B295" s="1">
        <v>38352</v>
      </c>
      <c r="C295">
        <v>2004</v>
      </c>
      <c r="D295">
        <v>422347104</v>
      </c>
      <c r="E295" t="s">
        <v>42</v>
      </c>
      <c r="F295" t="str">
        <f t="shared" si="45"/>
        <v>799233_2004</v>
      </c>
      <c r="G295" s="2" t="str">
        <f t="shared" si="46"/>
        <v>extracted_filing/799233_2004_10-K.html</v>
      </c>
      <c r="H295" s="2" t="str">
        <f t="shared" si="47"/>
        <v>extracted_filing/799233_2004_10-K.txt</v>
      </c>
      <c r="I295" s="2" t="str">
        <f t="shared" si="48"/>
        <v>https://www.sec.gov/cgi-bin/browse-edgar?action=getcompany&amp;CIK=799233&amp;type=10-K&amp;dateb=20080101&amp;owner=exclude&amp;count=40&amp;search_text=</v>
      </c>
      <c r="J295">
        <v>799233</v>
      </c>
      <c r="K295">
        <v>334.07499999999999</v>
      </c>
      <c r="L295">
        <f>K295+M295+O295</f>
        <v>334.07499999999999</v>
      </c>
      <c r="Q295" t="s">
        <v>105</v>
      </c>
      <c r="R295">
        <v>334.07499999999999</v>
      </c>
    </row>
    <row r="296" spans="1:21" x14ac:dyDescent="0.35">
      <c r="A296">
        <v>12840</v>
      </c>
      <c r="B296" s="1">
        <v>38717</v>
      </c>
      <c r="C296">
        <v>2005</v>
      </c>
      <c r="D296">
        <v>422347104</v>
      </c>
      <c r="E296" t="s">
        <v>42</v>
      </c>
      <c r="F296" t="str">
        <f t="shared" si="45"/>
        <v>799233_2005</v>
      </c>
      <c r="G296" s="2" t="str">
        <f t="shared" si="46"/>
        <v>extracted_filing/799233_2005_10-K.html</v>
      </c>
      <c r="H296" s="2" t="str">
        <f t="shared" si="47"/>
        <v>extracted_filing/799233_2005_10-K.txt</v>
      </c>
      <c r="I296" s="2" t="str">
        <f t="shared" si="48"/>
        <v>https://www.sec.gov/cgi-bin/browse-edgar?action=getcompany&amp;CIK=799233&amp;type=10-K&amp;dateb=20080101&amp;owner=exclude&amp;count=40&amp;search_text=</v>
      </c>
      <c r="J296">
        <v>799233</v>
      </c>
      <c r="K296">
        <v>389.48500000000001</v>
      </c>
      <c r="L296">
        <f>K296+M296+O296</f>
        <v>389.48500000000001</v>
      </c>
      <c r="Q296" t="s">
        <v>105</v>
      </c>
      <c r="R296">
        <v>389.48500000000001</v>
      </c>
    </row>
    <row r="297" spans="1:21" x14ac:dyDescent="0.35">
      <c r="A297">
        <v>12840</v>
      </c>
      <c r="B297" s="1">
        <v>39082</v>
      </c>
      <c r="C297">
        <v>2006</v>
      </c>
      <c r="D297">
        <v>422347104</v>
      </c>
      <c r="E297" t="s">
        <v>42</v>
      </c>
      <c r="F297" t="str">
        <f t="shared" si="45"/>
        <v>799233_2006</v>
      </c>
      <c r="G297" s="2" t="str">
        <f t="shared" si="46"/>
        <v>extracted_filing/799233_2006_10-K.html</v>
      </c>
      <c r="H297" s="2" t="str">
        <f t="shared" si="47"/>
        <v>extracted_filing/799233_2006_10-K.txt</v>
      </c>
      <c r="I297" s="2" t="str">
        <f t="shared" si="48"/>
        <v>https://www.sec.gov/cgi-bin/browse-edgar?action=getcompany&amp;CIK=799233&amp;type=10-K&amp;dateb=20080101&amp;owner=exclude&amp;count=40&amp;search_text=</v>
      </c>
      <c r="J297">
        <v>799233</v>
      </c>
      <c r="K297">
        <v>419.29599999999999</v>
      </c>
      <c r="L297">
        <f>K297+M297+O297</f>
        <v>419.29599999999999</v>
      </c>
      <c r="Q297" t="s">
        <v>105</v>
      </c>
      <c r="R297">
        <v>419.29599999999999</v>
      </c>
    </row>
    <row r="298" spans="1:21" x14ac:dyDescent="0.35">
      <c r="A298">
        <v>13599</v>
      </c>
      <c r="B298" s="1">
        <v>36891</v>
      </c>
      <c r="C298">
        <v>2000</v>
      </c>
      <c r="D298">
        <v>151020104</v>
      </c>
      <c r="E298" t="s">
        <v>43</v>
      </c>
      <c r="F298" t="str">
        <f t="shared" si="45"/>
        <v>816284_2000</v>
      </c>
      <c r="G298" s="2" t="str">
        <f t="shared" si="46"/>
        <v>extracted_filing/816284_2000_10-K.html</v>
      </c>
      <c r="H298" s="2" t="str">
        <f t="shared" si="47"/>
        <v>extracted_filing/816284_2000_10-K.txt</v>
      </c>
      <c r="I298" s="2" t="str">
        <f t="shared" si="48"/>
        <v>https://www.sec.gov/cgi-bin/browse-edgar?action=getcompany&amp;CIK=816284&amp;type=10-K&amp;dateb=20080101&amp;owner=exclude&amp;count=40&amp;search_text=</v>
      </c>
      <c r="J298">
        <v>816284</v>
      </c>
      <c r="K298" s="3">
        <v>9.3279999999999994</v>
      </c>
      <c r="L298">
        <f>K298+M298+O298</f>
        <v>111.889</v>
      </c>
      <c r="M298" s="3">
        <v>49.85</v>
      </c>
      <c r="N298">
        <f t="shared" ref="N298:N314" si="51">M298</f>
        <v>49.85</v>
      </c>
      <c r="O298" s="3">
        <v>52.710999999999999</v>
      </c>
      <c r="P298">
        <v>52.710999999999999</v>
      </c>
      <c r="Q298" t="s">
        <v>103</v>
      </c>
      <c r="R298" s="4">
        <v>108.16800000000001</v>
      </c>
      <c r="S298" s="4"/>
      <c r="T298">
        <f>SUM(K298,M298,O298)</f>
        <v>111.889</v>
      </c>
    </row>
    <row r="299" spans="1:21" x14ac:dyDescent="0.35">
      <c r="A299">
        <v>13599</v>
      </c>
      <c r="B299" s="1">
        <v>37256</v>
      </c>
      <c r="C299">
        <v>2001</v>
      </c>
      <c r="D299">
        <v>151020104</v>
      </c>
      <c r="E299" t="s">
        <v>43</v>
      </c>
      <c r="F299" t="str">
        <f t="shared" si="45"/>
        <v>816284_2001</v>
      </c>
      <c r="G299" s="2" t="str">
        <f t="shared" si="46"/>
        <v>extracted_filing/816284_2001_10-K.html</v>
      </c>
      <c r="H299" s="2" t="str">
        <f t="shared" si="47"/>
        <v>extracted_filing/816284_2001_10-K.txt</v>
      </c>
      <c r="I299" s="2" t="str">
        <f t="shared" si="48"/>
        <v>https://www.sec.gov/cgi-bin/browse-edgar?action=getcompany&amp;CIK=816284&amp;type=10-K&amp;dateb=20080101&amp;owner=exclude&amp;count=40&amp;search_text=</v>
      </c>
      <c r="J299">
        <v>816284</v>
      </c>
      <c r="K299">
        <v>8.4849999999999905</v>
      </c>
      <c r="L299">
        <f>K299+M299+O299</f>
        <v>134.09899999999999</v>
      </c>
      <c r="M299" s="3">
        <v>57.960999999999999</v>
      </c>
      <c r="N299">
        <f t="shared" si="51"/>
        <v>57.960999999999999</v>
      </c>
      <c r="O299" s="3">
        <v>67.653000000000006</v>
      </c>
      <c r="P299">
        <v>67.653000000000006</v>
      </c>
      <c r="Q299" t="s">
        <v>104</v>
      </c>
      <c r="R299" s="4">
        <v>8.4849999999999905</v>
      </c>
      <c r="S299" s="4">
        <v>125.61499999999999</v>
      </c>
      <c r="T299">
        <f>SUM(K299,M299,O299)</f>
        <v>134.09899999999999</v>
      </c>
      <c r="U299">
        <f t="shared" ref="U299:U303" si="52">SUM(R299:S299)</f>
        <v>134.1</v>
      </c>
    </row>
    <row r="300" spans="1:21" x14ac:dyDescent="0.35">
      <c r="A300">
        <v>13599</v>
      </c>
      <c r="B300" s="1">
        <v>37621</v>
      </c>
      <c r="C300">
        <v>2002</v>
      </c>
      <c r="D300">
        <v>151020104</v>
      </c>
      <c r="E300" t="s">
        <v>43</v>
      </c>
      <c r="F300" t="str">
        <f t="shared" si="45"/>
        <v>816284_2002</v>
      </c>
      <c r="G300" s="2" t="str">
        <f t="shared" si="46"/>
        <v>extracted_filing/816284_2002_10-K.html</v>
      </c>
      <c r="H300" s="2" t="str">
        <f t="shared" si="47"/>
        <v>extracted_filing/816284_2002_10-K.txt</v>
      </c>
      <c r="I300" s="2" t="str">
        <f t="shared" si="48"/>
        <v>https://www.sec.gov/cgi-bin/browse-edgar?action=getcompany&amp;CIK=816284&amp;type=10-K&amp;dateb=20080101&amp;owner=exclude&amp;count=40&amp;search_text=</v>
      </c>
      <c r="J300">
        <v>816284</v>
      </c>
      <c r="K300">
        <v>12.141</v>
      </c>
      <c r="L300">
        <f>K300+M300+O300</f>
        <v>166.78100000000001</v>
      </c>
      <c r="M300" s="3">
        <v>69.715999999999994</v>
      </c>
      <c r="N300">
        <f t="shared" si="51"/>
        <v>69.715999999999994</v>
      </c>
      <c r="O300" s="3">
        <v>84.924000000000007</v>
      </c>
      <c r="P300">
        <v>84.924000000000007</v>
      </c>
      <c r="Q300" t="s">
        <v>104</v>
      </c>
      <c r="R300" s="4">
        <v>12.141</v>
      </c>
      <c r="S300" s="4">
        <v>154.64099999999999</v>
      </c>
      <c r="T300">
        <f>SUM(K300,M300,O300)</f>
        <v>166.78100000000001</v>
      </c>
      <c r="U300">
        <f t="shared" si="52"/>
        <v>166.78199999999998</v>
      </c>
    </row>
    <row r="301" spans="1:21" x14ac:dyDescent="0.35">
      <c r="A301">
        <v>13599</v>
      </c>
      <c r="B301" s="1">
        <v>37986</v>
      </c>
      <c r="C301">
        <v>2003</v>
      </c>
      <c r="D301">
        <v>151020104</v>
      </c>
      <c r="E301" t="s">
        <v>43</v>
      </c>
      <c r="F301" t="str">
        <f t="shared" si="45"/>
        <v>816284_2003</v>
      </c>
      <c r="G301" s="2" t="str">
        <f t="shared" si="46"/>
        <v>extracted_filing/816284_2003_10-K.html</v>
      </c>
      <c r="H301" s="2" t="str">
        <f t="shared" si="47"/>
        <v>extracted_filing/816284_2003_10-K.txt</v>
      </c>
      <c r="I301" s="2" t="str">
        <f t="shared" si="48"/>
        <v>https://www.sec.gov/cgi-bin/browse-edgar?action=getcompany&amp;CIK=816284&amp;type=10-K&amp;dateb=20080101&amp;owner=exclude&amp;count=40&amp;search_text=</v>
      </c>
      <c r="J301">
        <v>816284</v>
      </c>
      <c r="K301">
        <v>41.058</v>
      </c>
      <c r="L301">
        <f>K301+M301+O301</f>
        <v>266.09699999999998</v>
      </c>
      <c r="M301" s="3">
        <v>102.339</v>
      </c>
      <c r="N301">
        <f t="shared" si="51"/>
        <v>102.339</v>
      </c>
      <c r="O301" s="3">
        <v>122.7</v>
      </c>
      <c r="P301">
        <v>122.7</v>
      </c>
      <c r="Q301" t="s">
        <v>104</v>
      </c>
      <c r="R301" s="4">
        <v>41.058</v>
      </c>
      <c r="S301" s="4">
        <v>225.03899999999999</v>
      </c>
      <c r="T301">
        <f>SUM(K301,M301,O301)</f>
        <v>266.09699999999998</v>
      </c>
      <c r="U301">
        <f t="shared" si="52"/>
        <v>266.09699999999998</v>
      </c>
    </row>
    <row r="302" spans="1:21" x14ac:dyDescent="0.35">
      <c r="A302">
        <v>13599</v>
      </c>
      <c r="B302" s="1">
        <v>38352</v>
      </c>
      <c r="C302">
        <v>2004</v>
      </c>
      <c r="D302">
        <v>151020104</v>
      </c>
      <c r="E302" t="s">
        <v>43</v>
      </c>
      <c r="F302" t="str">
        <f t="shared" si="45"/>
        <v>816284_2004</v>
      </c>
      <c r="G302" s="2" t="str">
        <f t="shared" si="46"/>
        <v>extracted_filing/816284_2004_10-K.html</v>
      </c>
      <c r="H302" s="2" t="str">
        <f t="shared" si="47"/>
        <v>extracted_filing/816284_2004_10-K.txt</v>
      </c>
      <c r="I302" s="2" t="str">
        <f t="shared" si="48"/>
        <v>https://www.sec.gov/cgi-bin/browse-edgar?action=getcompany&amp;CIK=816284&amp;type=10-K&amp;dateb=20080101&amp;owner=exclude&amp;count=40&amp;search_text=</v>
      </c>
      <c r="J302">
        <v>816284</v>
      </c>
      <c r="K302">
        <v>50.036000000000001</v>
      </c>
      <c r="L302">
        <f>K302+M302+O302</f>
        <v>325.084</v>
      </c>
      <c r="M302" s="3">
        <v>114.196</v>
      </c>
      <c r="N302">
        <f t="shared" si="51"/>
        <v>114.196</v>
      </c>
      <c r="O302" s="3">
        <v>160.852</v>
      </c>
      <c r="P302">
        <v>160.852</v>
      </c>
      <c r="Q302" t="s">
        <v>104</v>
      </c>
      <c r="R302" s="4">
        <v>50.036000000000001</v>
      </c>
      <c r="S302" s="4">
        <v>269.048</v>
      </c>
      <c r="T302">
        <f>SUM(K302,M302,O302)</f>
        <v>325.084</v>
      </c>
      <c r="U302">
        <f t="shared" si="52"/>
        <v>319.084</v>
      </c>
    </row>
    <row r="303" spans="1:21" x14ac:dyDescent="0.35">
      <c r="A303">
        <v>13599</v>
      </c>
      <c r="B303" s="1">
        <v>38717</v>
      </c>
      <c r="C303">
        <v>2005</v>
      </c>
      <c r="D303">
        <v>151020104</v>
      </c>
      <c r="E303" t="s">
        <v>43</v>
      </c>
      <c r="F303" t="str">
        <f t="shared" si="45"/>
        <v>816284_2005</v>
      </c>
      <c r="G303" s="2" t="str">
        <f t="shared" si="46"/>
        <v>extracted_filing/816284_2005_10-K.html</v>
      </c>
      <c r="H303" s="2" t="str">
        <f t="shared" si="47"/>
        <v>extracted_filing/816284_2005_10-K.txt</v>
      </c>
      <c r="I303" s="2" t="str">
        <f t="shared" si="48"/>
        <v>https://www.sec.gov/cgi-bin/browse-edgar?action=getcompany&amp;CIK=816284&amp;type=10-K&amp;dateb=20080101&amp;owner=exclude&amp;count=40&amp;search_text=</v>
      </c>
      <c r="J303">
        <v>816284</v>
      </c>
      <c r="K303">
        <v>66.441000000000003</v>
      </c>
      <c r="L303">
        <f>K303+M303+O303</f>
        <v>439.07100000000003</v>
      </c>
      <c r="M303" s="3">
        <v>181.79599999999999</v>
      </c>
      <c r="N303">
        <f t="shared" si="51"/>
        <v>181.79599999999999</v>
      </c>
      <c r="O303" s="3">
        <v>190.834</v>
      </c>
      <c r="P303">
        <v>190.834</v>
      </c>
      <c r="Q303" t="s">
        <v>104</v>
      </c>
      <c r="R303" s="4">
        <v>66.441000000000003</v>
      </c>
      <c r="S303" s="4">
        <v>370.17399999999998</v>
      </c>
      <c r="T303">
        <f>SUM(K303,M303,O303)</f>
        <v>439.07100000000003</v>
      </c>
      <c r="U303">
        <f t="shared" si="52"/>
        <v>436.61500000000001</v>
      </c>
    </row>
    <row r="304" spans="1:21" x14ac:dyDescent="0.35">
      <c r="A304">
        <v>13599</v>
      </c>
      <c r="B304" s="1">
        <v>39082</v>
      </c>
      <c r="C304">
        <v>2006</v>
      </c>
      <c r="D304">
        <v>151020104</v>
      </c>
      <c r="E304" t="s">
        <v>43</v>
      </c>
      <c r="F304" t="str">
        <f t="shared" si="45"/>
        <v>816284_2006</v>
      </c>
      <c r="G304" s="2" t="str">
        <f t="shared" si="46"/>
        <v>extracted_filing/816284_2006_10-K.html</v>
      </c>
      <c r="H304" s="2" t="str">
        <f t="shared" si="47"/>
        <v>extracted_filing/816284_2006_10-K.txt</v>
      </c>
      <c r="I304" s="2" t="str">
        <f t="shared" si="48"/>
        <v>https://www.sec.gov/cgi-bin/browse-edgar?action=getcompany&amp;CIK=816284&amp;type=10-K&amp;dateb=20080101&amp;owner=exclude&amp;count=40&amp;search_text=</v>
      </c>
      <c r="J304">
        <v>816284</v>
      </c>
      <c r="K304">
        <v>100.178</v>
      </c>
      <c r="L304">
        <f>K304+M304+O304</f>
        <v>698.46799999999996</v>
      </c>
      <c r="M304" s="3">
        <v>339.66899999999998</v>
      </c>
      <c r="N304">
        <f t="shared" si="51"/>
        <v>339.66899999999998</v>
      </c>
      <c r="O304" s="3">
        <v>258.62099999999998</v>
      </c>
      <c r="P304">
        <v>258.62099999999998</v>
      </c>
      <c r="Q304" t="s">
        <v>104</v>
      </c>
      <c r="R304" s="4">
        <v>100.178</v>
      </c>
      <c r="S304" s="4">
        <v>598.29</v>
      </c>
      <c r="T304">
        <f>SUM(K304,M304,O304)</f>
        <v>698.46799999999996</v>
      </c>
      <c r="U304">
        <f t="shared" ref="U304" si="53">SUM(R304:S304)</f>
        <v>698.46799999999996</v>
      </c>
    </row>
    <row r="305" spans="1:21" x14ac:dyDescent="0.35">
      <c r="A305">
        <v>15337</v>
      </c>
      <c r="B305" s="1">
        <v>35854</v>
      </c>
      <c r="C305">
        <v>1997</v>
      </c>
      <c r="D305">
        <v>291525103</v>
      </c>
      <c r="E305" t="s">
        <v>44</v>
      </c>
      <c r="F305" t="str">
        <f t="shared" si="45"/>
        <v>783005_1997</v>
      </c>
      <c r="G305" s="2" t="str">
        <f t="shared" si="46"/>
        <v>extracted_filing/783005_1997_10-K.html</v>
      </c>
      <c r="H305" s="2" t="str">
        <f t="shared" si="47"/>
        <v>extracted_filing/783005_1997_10-K.txt</v>
      </c>
      <c r="I305" s="2" t="str">
        <f t="shared" si="48"/>
        <v>https://www.sec.gov/cgi-bin/browse-edgar?action=getcompany&amp;CIK=783005&amp;type=10-K&amp;dateb=20080101&amp;owner=exclude&amp;count=40&amp;search_text=</v>
      </c>
      <c r="J305">
        <v>783005</v>
      </c>
      <c r="K305" s="3">
        <v>67.646000000000001</v>
      </c>
      <c r="L305">
        <f>K305+M305+O305</f>
        <v>79.373999999999995</v>
      </c>
      <c r="M305" s="3">
        <f>6.846+4.882</f>
        <v>11.728</v>
      </c>
      <c r="N305">
        <f t="shared" si="51"/>
        <v>11.728</v>
      </c>
      <c r="Q305" s="4" t="s">
        <v>108</v>
      </c>
      <c r="R305" s="4">
        <v>96.164000000000001</v>
      </c>
      <c r="T305">
        <f>SUM(K305,M305,O305)</f>
        <v>79.373999999999995</v>
      </c>
    </row>
    <row r="306" spans="1:21" x14ac:dyDescent="0.35">
      <c r="A306">
        <v>15337</v>
      </c>
      <c r="B306" s="1">
        <v>36219</v>
      </c>
      <c r="C306">
        <v>1998</v>
      </c>
      <c r="D306">
        <v>291525103</v>
      </c>
      <c r="E306" t="s">
        <v>44</v>
      </c>
      <c r="F306" t="str">
        <f t="shared" si="45"/>
        <v>783005_1998</v>
      </c>
      <c r="G306" s="2" t="str">
        <f t="shared" si="46"/>
        <v>extracted_filing/783005_1998_10-K.html</v>
      </c>
      <c r="H306" s="2" t="str">
        <f t="shared" si="47"/>
        <v>extracted_filing/783005_1998_10-K.txt</v>
      </c>
      <c r="I306" s="2" t="str">
        <f t="shared" si="48"/>
        <v>https://www.sec.gov/cgi-bin/browse-edgar?action=getcompany&amp;CIK=783005&amp;type=10-K&amp;dateb=20080101&amp;owner=exclude&amp;count=40&amp;search_text=</v>
      </c>
      <c r="J306">
        <v>783005</v>
      </c>
      <c r="K306" s="3">
        <v>143.34800000000001</v>
      </c>
      <c r="L306">
        <f>K306+M306+O306</f>
        <v>158.04400000000001</v>
      </c>
      <c r="M306" s="3">
        <f>10.427+4.269</f>
        <v>14.696</v>
      </c>
      <c r="N306">
        <f t="shared" si="51"/>
        <v>14.696</v>
      </c>
      <c r="Q306" s="4" t="s">
        <v>107</v>
      </c>
      <c r="R306" s="4">
        <v>161.74100000000001</v>
      </c>
      <c r="T306">
        <f>SUM(K306,M306,O306)</f>
        <v>158.04400000000001</v>
      </c>
    </row>
    <row r="307" spans="1:21" x14ac:dyDescent="0.35">
      <c r="A307">
        <v>15337</v>
      </c>
      <c r="B307" s="1">
        <v>36585</v>
      </c>
      <c r="C307">
        <v>1999</v>
      </c>
      <c r="D307">
        <v>291525103</v>
      </c>
      <c r="E307" t="s">
        <v>44</v>
      </c>
      <c r="F307" t="str">
        <f t="shared" si="45"/>
        <v>783005_1999</v>
      </c>
      <c r="G307" s="2" t="str">
        <f t="shared" si="46"/>
        <v>extracted_filing/783005_1999_10-K.html</v>
      </c>
      <c r="H307" s="2" t="str">
        <f t="shared" si="47"/>
        <v>extracted_filing/783005_1999_10-K.txt</v>
      </c>
      <c r="I307" s="2" t="str">
        <f t="shared" si="48"/>
        <v>https://www.sec.gov/cgi-bin/browse-edgar?action=getcompany&amp;CIK=783005&amp;type=10-K&amp;dateb=20080101&amp;owner=exclude&amp;count=40&amp;search_text=</v>
      </c>
      <c r="J307">
        <v>783005</v>
      </c>
      <c r="K307" s="3">
        <v>199.81800000000001</v>
      </c>
      <c r="L307">
        <f>K307+M307+O307</f>
        <v>221.04700000000003</v>
      </c>
      <c r="M307" s="3">
        <f>13.872+7.357</f>
        <v>21.228999999999999</v>
      </c>
      <c r="N307">
        <f t="shared" si="51"/>
        <v>21.228999999999999</v>
      </c>
      <c r="Q307" s="4" t="s">
        <v>107</v>
      </c>
      <c r="R307" s="4">
        <v>222.60499999999999</v>
      </c>
      <c r="T307">
        <f>SUM(K307,M307,O307)</f>
        <v>221.04700000000003</v>
      </c>
    </row>
    <row r="308" spans="1:21" x14ac:dyDescent="0.35">
      <c r="A308">
        <v>15337</v>
      </c>
      <c r="B308" s="1">
        <v>36950</v>
      </c>
      <c r="C308">
        <v>2000</v>
      </c>
      <c r="D308">
        <v>291525103</v>
      </c>
      <c r="E308" t="s">
        <v>44</v>
      </c>
      <c r="F308" t="str">
        <f t="shared" si="45"/>
        <v>783005_2000</v>
      </c>
      <c r="G308" s="2" t="str">
        <f t="shared" si="46"/>
        <v>extracted_filing/783005_2000_10-K.html</v>
      </c>
      <c r="H308" s="2" t="str">
        <f t="shared" si="47"/>
        <v>extracted_filing/783005_2000_10-K.txt</v>
      </c>
      <c r="I308" s="2" t="str">
        <f t="shared" si="48"/>
        <v>https://www.sec.gov/cgi-bin/browse-edgar?action=getcompany&amp;CIK=783005&amp;type=10-K&amp;dateb=20080101&amp;owner=exclude&amp;count=40&amp;search_text=</v>
      </c>
      <c r="J308">
        <v>783005</v>
      </c>
      <c r="K308" s="3">
        <v>296.40499999999997</v>
      </c>
      <c r="L308">
        <f>K308+M308+O308</f>
        <v>317.85299999999995</v>
      </c>
      <c r="M308" s="3">
        <f>16.048+5.4</f>
        <v>21.448</v>
      </c>
      <c r="N308">
        <f t="shared" si="51"/>
        <v>21.448</v>
      </c>
      <c r="Q308" s="4" t="s">
        <v>107</v>
      </c>
      <c r="R308" s="4">
        <v>326.75</v>
      </c>
      <c r="T308">
        <f>SUM(K308,M308,O308)</f>
        <v>317.85299999999995</v>
      </c>
    </row>
    <row r="309" spans="1:21" x14ac:dyDescent="0.35">
      <c r="A309">
        <v>15337</v>
      </c>
      <c r="B309" s="1">
        <v>37315</v>
      </c>
      <c r="C309">
        <v>2001</v>
      </c>
      <c r="D309">
        <v>291525103</v>
      </c>
      <c r="E309" t="s">
        <v>44</v>
      </c>
      <c r="F309" t="str">
        <f t="shared" si="45"/>
        <v>783005_2001</v>
      </c>
      <c r="G309" s="2" t="str">
        <f t="shared" si="46"/>
        <v>extracted_filing/783005_2001_10-K.html</v>
      </c>
      <c r="H309" s="2" t="str">
        <f t="shared" si="47"/>
        <v>extracted_filing/783005_2001_10-K.txt</v>
      </c>
      <c r="I309" s="2" t="str">
        <f t="shared" si="48"/>
        <v>https://www.sec.gov/cgi-bin/browse-edgar?action=getcompany&amp;CIK=783005&amp;type=10-K&amp;dateb=20080101&amp;owner=exclude&amp;count=40&amp;search_text=</v>
      </c>
      <c r="J309">
        <v>783005</v>
      </c>
      <c r="K309" s="3">
        <v>348.11500000000001</v>
      </c>
      <c r="L309">
        <f>K309+M309+O309</f>
        <v>377.49299999999999</v>
      </c>
      <c r="M309" s="3">
        <f>20.283+9.095</f>
        <v>29.378</v>
      </c>
      <c r="N309">
        <f t="shared" si="51"/>
        <v>29.378</v>
      </c>
      <c r="Q309" s="4" t="s">
        <v>107</v>
      </c>
      <c r="R309" s="4">
        <v>377.97199999999998</v>
      </c>
      <c r="T309">
        <f>SUM(K309,M309,O309)</f>
        <v>377.49299999999999</v>
      </c>
    </row>
    <row r="310" spans="1:21" x14ac:dyDescent="0.35">
      <c r="A310">
        <v>15337</v>
      </c>
      <c r="B310" s="1">
        <v>37680</v>
      </c>
      <c r="C310">
        <v>2002</v>
      </c>
      <c r="D310">
        <v>291525103</v>
      </c>
      <c r="E310" t="s">
        <v>44</v>
      </c>
      <c r="F310" t="str">
        <f t="shared" si="45"/>
        <v>783005_2002</v>
      </c>
      <c r="G310" s="2" t="str">
        <f t="shared" si="46"/>
        <v>extracted_filing/783005_2002_10-K.html</v>
      </c>
      <c r="H310" s="2" t="str">
        <f t="shared" si="47"/>
        <v>extracted_filing/783005_2002_10-K.txt</v>
      </c>
      <c r="I310" s="2" t="str">
        <f t="shared" si="48"/>
        <v>https://www.sec.gov/cgi-bin/browse-edgar?action=getcompany&amp;CIK=783005&amp;type=10-K&amp;dateb=20080101&amp;owner=exclude&amp;count=40&amp;search_text=</v>
      </c>
      <c r="J310">
        <v>783005</v>
      </c>
      <c r="K310" s="3">
        <v>371.779</v>
      </c>
      <c r="L310">
        <f>K310+M310+O310</f>
        <v>393.13799999999998</v>
      </c>
      <c r="M310" s="5">
        <v>21.359000000000002</v>
      </c>
      <c r="N310">
        <f t="shared" si="51"/>
        <v>21.359000000000002</v>
      </c>
      <c r="Q310" t="s">
        <v>106</v>
      </c>
      <c r="R310" s="4">
        <v>371.779</v>
      </c>
      <c r="S310" s="4">
        <v>21.359000000000002</v>
      </c>
      <c r="T310">
        <f>SUM(K310,M310,O310)</f>
        <v>393.13799999999998</v>
      </c>
      <c r="U310">
        <f t="shared" ref="U310:U313" si="54">SUM(R310:S310)</f>
        <v>393.13799999999998</v>
      </c>
    </row>
    <row r="311" spans="1:21" x14ac:dyDescent="0.35">
      <c r="A311">
        <v>15337</v>
      </c>
      <c r="B311" s="1">
        <v>38046</v>
      </c>
      <c r="C311">
        <v>2003</v>
      </c>
      <c r="D311">
        <v>291525103</v>
      </c>
      <c r="E311" t="s">
        <v>44</v>
      </c>
      <c r="F311" t="str">
        <f t="shared" si="45"/>
        <v>783005_2003</v>
      </c>
      <c r="G311" s="2" t="str">
        <f t="shared" si="46"/>
        <v>extracted_filing/783005_2003_10-K.html</v>
      </c>
      <c r="H311" s="2" t="str">
        <f t="shared" si="47"/>
        <v>extracted_filing/783005_2003_10-K.txt</v>
      </c>
      <c r="I311" s="2" t="str">
        <f t="shared" si="48"/>
        <v>https://www.sec.gov/cgi-bin/browse-edgar?action=getcompany&amp;CIK=783005&amp;type=10-K&amp;dateb=20080101&amp;owner=exclude&amp;count=40&amp;search_text=</v>
      </c>
      <c r="J311">
        <v>783005</v>
      </c>
      <c r="K311" s="5">
        <v>389.6</v>
      </c>
      <c r="L311">
        <f>K311+M311+O311</f>
        <v>418.97800000000001</v>
      </c>
      <c r="M311" s="5">
        <v>29.378</v>
      </c>
      <c r="N311">
        <f t="shared" si="51"/>
        <v>29.378</v>
      </c>
      <c r="Q311" t="s">
        <v>106</v>
      </c>
      <c r="R311" s="4">
        <v>389.6</v>
      </c>
      <c r="S311" s="4">
        <v>29.378</v>
      </c>
      <c r="T311">
        <f>SUM(K311,M311,O311)</f>
        <v>418.97800000000001</v>
      </c>
      <c r="U311">
        <f t="shared" si="54"/>
        <v>418.97800000000001</v>
      </c>
    </row>
    <row r="312" spans="1:21" x14ac:dyDescent="0.35">
      <c r="A312">
        <v>15337</v>
      </c>
      <c r="B312" s="1">
        <v>38411</v>
      </c>
      <c r="C312">
        <v>2004</v>
      </c>
      <c r="D312">
        <v>291525103</v>
      </c>
      <c r="E312" t="s">
        <v>44</v>
      </c>
      <c r="F312" t="str">
        <f t="shared" si="45"/>
        <v>783005_2004</v>
      </c>
      <c r="G312" s="2" t="str">
        <f t="shared" si="46"/>
        <v>extracted_filing/783005_2004_10-K.html</v>
      </c>
      <c r="H312" s="2" t="str">
        <f t="shared" si="47"/>
        <v>extracted_filing/783005_2004_10-K.txt</v>
      </c>
      <c r="I312" s="2" t="str">
        <f t="shared" si="48"/>
        <v>https://www.sec.gov/cgi-bin/browse-edgar?action=getcompany&amp;CIK=783005&amp;type=10-K&amp;dateb=20080101&amp;owner=exclude&amp;count=40&amp;search_text=</v>
      </c>
      <c r="J312">
        <v>783005</v>
      </c>
      <c r="K312" s="3">
        <v>396.548</v>
      </c>
      <c r="L312">
        <f>K312+M312+O312</f>
        <v>431.88400000000001</v>
      </c>
      <c r="M312" s="5">
        <v>35.335999999999999</v>
      </c>
      <c r="N312">
        <f t="shared" si="51"/>
        <v>35.335999999999999</v>
      </c>
      <c r="Q312" t="s">
        <v>106</v>
      </c>
      <c r="R312" s="4">
        <v>396.548</v>
      </c>
      <c r="S312" s="4">
        <v>35.335999999999999</v>
      </c>
      <c r="T312">
        <f>SUM(K312,M312,O312)</f>
        <v>431.88400000000001</v>
      </c>
      <c r="U312">
        <f t="shared" si="54"/>
        <v>431.88400000000001</v>
      </c>
    </row>
    <row r="313" spans="1:21" x14ac:dyDescent="0.35">
      <c r="A313">
        <v>15337</v>
      </c>
      <c r="B313" s="1">
        <v>38776</v>
      </c>
      <c r="C313">
        <v>2005</v>
      </c>
      <c r="D313">
        <v>291525103</v>
      </c>
      <c r="E313" t="s">
        <v>44</v>
      </c>
      <c r="F313" t="str">
        <f t="shared" si="45"/>
        <v>783005_2005</v>
      </c>
      <c r="G313" s="2" t="str">
        <f t="shared" si="46"/>
        <v>extracted_filing/783005_2005_10-K.html</v>
      </c>
      <c r="H313" s="2" t="str">
        <f t="shared" si="47"/>
        <v>extracted_filing/783005_2005_10-K.txt</v>
      </c>
      <c r="I313" s="2" t="str">
        <f t="shared" si="48"/>
        <v>https://www.sec.gov/cgi-bin/browse-edgar?action=getcompany&amp;CIK=783005&amp;type=10-K&amp;dateb=20080101&amp;owner=exclude&amp;count=40&amp;search_text=</v>
      </c>
      <c r="J313">
        <v>783005</v>
      </c>
      <c r="K313" s="3">
        <v>253.15799999999999</v>
      </c>
      <c r="L313">
        <f>K313+M313+O313</f>
        <v>285.81799999999998</v>
      </c>
      <c r="M313" s="3">
        <v>32.659999999999997</v>
      </c>
      <c r="N313">
        <f t="shared" si="51"/>
        <v>32.659999999999997</v>
      </c>
      <c r="Q313" t="s">
        <v>106</v>
      </c>
      <c r="R313" s="4">
        <v>257.858</v>
      </c>
      <c r="S313" s="4">
        <v>36.892000000000003</v>
      </c>
      <c r="T313">
        <f>SUM(K313,M313,O313)</f>
        <v>285.81799999999998</v>
      </c>
      <c r="U313">
        <f t="shared" si="54"/>
        <v>294.75</v>
      </c>
    </row>
    <row r="314" spans="1:21" x14ac:dyDescent="0.35">
      <c r="A314">
        <v>15337</v>
      </c>
      <c r="B314" s="1">
        <v>39141</v>
      </c>
      <c r="C314">
        <v>2006</v>
      </c>
      <c r="D314">
        <v>291525103</v>
      </c>
      <c r="E314" t="s">
        <v>44</v>
      </c>
      <c r="F314" t="str">
        <f t="shared" si="45"/>
        <v>783005_2006</v>
      </c>
      <c r="G314" s="2" t="str">
        <f t="shared" si="46"/>
        <v>extracted_filing/783005_2006_10-K.html</v>
      </c>
      <c r="H314" s="2" t="str">
        <f t="shared" si="47"/>
        <v>extracted_filing/783005_2006_10-K.txt</v>
      </c>
      <c r="I314" s="2" t="str">
        <f t="shared" si="48"/>
        <v>https://www.sec.gov/cgi-bin/browse-edgar?action=getcompany&amp;CIK=783005&amp;type=10-K&amp;dateb=20080101&amp;owner=exclude&amp;count=40&amp;search_text=</v>
      </c>
      <c r="J314">
        <v>783005</v>
      </c>
      <c r="K314" s="3">
        <v>256.01900000000001</v>
      </c>
      <c r="L314">
        <f>K314+M314+O314</f>
        <v>286.45100000000002</v>
      </c>
      <c r="M314" s="3">
        <v>30.431999999999999</v>
      </c>
      <c r="N314">
        <f t="shared" si="51"/>
        <v>30.431999999999999</v>
      </c>
      <c r="Q314" t="s">
        <v>106</v>
      </c>
      <c r="R314" s="4">
        <v>256.01900000000001</v>
      </c>
      <c r="S314" s="4">
        <v>26.032</v>
      </c>
      <c r="T314">
        <f>SUM(K314,M314,O314)</f>
        <v>286.45100000000002</v>
      </c>
      <c r="U314">
        <f>SUM(R314:S314)</f>
        <v>282.05099999999999</v>
      </c>
    </row>
    <row r="315" spans="1:21" x14ac:dyDescent="0.35">
      <c r="A315">
        <v>22532</v>
      </c>
      <c r="B315" s="1">
        <v>35795</v>
      </c>
      <c r="C315">
        <v>1997</v>
      </c>
      <c r="D315">
        <v>870756103</v>
      </c>
      <c r="E315" t="s">
        <v>45</v>
      </c>
      <c r="F315" t="str">
        <f t="shared" si="45"/>
        <v>863557_1997</v>
      </c>
      <c r="G315" s="2" t="str">
        <f t="shared" si="46"/>
        <v>extracted_filing/863557_1997_10-K.html</v>
      </c>
      <c r="H315" s="2" t="str">
        <f t="shared" si="47"/>
        <v>extracted_filing/863557_1997_10-K.txt</v>
      </c>
      <c r="I315" s="2" t="str">
        <f t="shared" si="48"/>
        <v>https://www.sec.gov/cgi-bin/browse-edgar?action=getcompany&amp;CIK=863557&amp;type=10-K&amp;dateb=20080101&amp;owner=exclude&amp;count=40&amp;search_text=</v>
      </c>
      <c r="J315">
        <v>863557</v>
      </c>
      <c r="K315">
        <v>601.75</v>
      </c>
      <c r="L315">
        <f>K315+M315+O315</f>
        <v>601.75</v>
      </c>
      <c r="Q315" t="s">
        <v>98</v>
      </c>
      <c r="R315">
        <v>601.75</v>
      </c>
    </row>
    <row r="316" spans="1:21" x14ac:dyDescent="0.35">
      <c r="A316">
        <v>22532</v>
      </c>
      <c r="B316" s="1">
        <v>36160</v>
      </c>
      <c r="C316">
        <v>1998</v>
      </c>
      <c r="D316">
        <v>870756103</v>
      </c>
      <c r="E316" t="s">
        <v>45</v>
      </c>
      <c r="F316" t="str">
        <f t="shared" si="45"/>
        <v>863557_1998</v>
      </c>
      <c r="G316" s="2" t="str">
        <f t="shared" si="46"/>
        <v>extracted_filing/863557_1998_10-K.html</v>
      </c>
      <c r="H316" s="2" t="str">
        <f t="shared" si="47"/>
        <v>extracted_filing/863557_1998_10-K.txt</v>
      </c>
      <c r="I316" s="2" t="str">
        <f t="shared" si="48"/>
        <v>https://www.sec.gov/cgi-bin/browse-edgar?action=getcompany&amp;CIK=863557&amp;type=10-K&amp;dateb=20080101&amp;owner=exclude&amp;count=40&amp;search_text=</v>
      </c>
      <c r="J316">
        <v>863557</v>
      </c>
      <c r="K316">
        <v>728.70799999999997</v>
      </c>
      <c r="L316">
        <f>K316+M316+O316</f>
        <v>728.70799999999997</v>
      </c>
      <c r="Q316" t="s">
        <v>98</v>
      </c>
      <c r="R316">
        <v>728.70799999999997</v>
      </c>
    </row>
    <row r="317" spans="1:21" x14ac:dyDescent="0.35">
      <c r="A317">
        <v>22532</v>
      </c>
      <c r="B317" s="1">
        <v>36525</v>
      </c>
      <c r="C317">
        <v>1999</v>
      </c>
      <c r="D317">
        <v>870756103</v>
      </c>
      <c r="E317" t="s">
        <v>45</v>
      </c>
      <c r="F317" t="str">
        <f t="shared" si="45"/>
        <v>863557_1999</v>
      </c>
      <c r="G317" s="2" t="str">
        <f t="shared" si="46"/>
        <v>extracted_filing/863557_1999_10-K.html</v>
      </c>
      <c r="H317" s="2" t="str">
        <f t="shared" si="47"/>
        <v>extracted_filing/863557_1999_10-K.txt</v>
      </c>
      <c r="I317" s="2" t="str">
        <f t="shared" si="48"/>
        <v>https://www.sec.gov/cgi-bin/browse-edgar?action=getcompany&amp;CIK=863557&amp;type=10-K&amp;dateb=20080101&amp;owner=exclude&amp;count=40&amp;search_text=</v>
      </c>
      <c r="J317">
        <v>863557</v>
      </c>
      <c r="K317">
        <v>887.13400000000001</v>
      </c>
      <c r="L317">
        <f>K317+M317+O317</f>
        <v>887.13400000000001</v>
      </c>
      <c r="Q317" t="s">
        <v>98</v>
      </c>
      <c r="R317">
        <v>887.13400000000001</v>
      </c>
    </row>
    <row r="318" spans="1:21" x14ac:dyDescent="0.35">
      <c r="A318">
        <v>22532</v>
      </c>
      <c r="B318" s="1">
        <v>36891</v>
      </c>
      <c r="C318">
        <v>2000</v>
      </c>
      <c r="D318">
        <v>870756103</v>
      </c>
      <c r="E318" t="s">
        <v>45</v>
      </c>
      <c r="F318" t="str">
        <f t="shared" si="45"/>
        <v>863557_2000</v>
      </c>
      <c r="G318" s="2" t="str">
        <f t="shared" si="46"/>
        <v>extracted_filing/863557_2000_10-K.html</v>
      </c>
      <c r="H318" s="2" t="str">
        <f t="shared" si="47"/>
        <v>extracted_filing/863557_2000_10-K.txt</v>
      </c>
      <c r="I318" s="2" t="str">
        <f t="shared" si="48"/>
        <v>https://www.sec.gov/cgi-bin/browse-edgar?action=getcompany&amp;CIK=863557&amp;type=10-K&amp;dateb=20080101&amp;owner=exclude&amp;count=40&amp;search_text=</v>
      </c>
      <c r="J318">
        <v>863557</v>
      </c>
      <c r="K318">
        <v>1094.0989999999999</v>
      </c>
      <c r="L318">
        <f>K318+M318+O318</f>
        <v>1094.0989999999999</v>
      </c>
      <c r="Q318" t="s">
        <v>98</v>
      </c>
      <c r="R318">
        <v>1094.0989999999999</v>
      </c>
    </row>
    <row r="319" spans="1:21" x14ac:dyDescent="0.35">
      <c r="A319">
        <v>22532</v>
      </c>
      <c r="B319" s="1">
        <v>37256</v>
      </c>
      <c r="C319">
        <v>2001</v>
      </c>
      <c r="D319">
        <v>870756103</v>
      </c>
      <c r="E319" t="s">
        <v>45</v>
      </c>
      <c r="F319" t="str">
        <f t="shared" si="45"/>
        <v>863557_2001</v>
      </c>
      <c r="G319" s="2" t="str">
        <f t="shared" si="46"/>
        <v>extracted_filing/863557_2001_10-K.html</v>
      </c>
      <c r="H319" s="2" t="str">
        <f t="shared" si="47"/>
        <v>extracted_filing/863557_2001_10-K.txt</v>
      </c>
      <c r="I319" s="2" t="str">
        <f t="shared" si="48"/>
        <v>https://www.sec.gov/cgi-bin/browse-edgar?action=getcompany&amp;CIK=863557&amp;type=10-K&amp;dateb=20080101&amp;owner=exclude&amp;count=40&amp;search_text=</v>
      </c>
      <c r="J319">
        <v>863557</v>
      </c>
      <c r="K319">
        <v>1880.2850000000001</v>
      </c>
      <c r="L319">
        <f>K319+M319+O319</f>
        <v>1880.2850000000001</v>
      </c>
      <c r="Q319" t="s">
        <v>98</v>
      </c>
      <c r="R319">
        <v>1880.2850000000001</v>
      </c>
    </row>
    <row r="320" spans="1:21" x14ac:dyDescent="0.35">
      <c r="A320">
        <v>22532</v>
      </c>
      <c r="B320" s="1">
        <v>37621</v>
      </c>
      <c r="C320">
        <v>2002</v>
      </c>
      <c r="D320">
        <v>870756103</v>
      </c>
      <c r="E320" t="s">
        <v>45</v>
      </c>
      <c r="F320" t="str">
        <f t="shared" si="45"/>
        <v>863557_2002</v>
      </c>
      <c r="G320" s="2" t="str">
        <f t="shared" si="46"/>
        <v>extracted_filing/863557_2002_10-K.html</v>
      </c>
      <c r="H320" s="2" t="str">
        <f t="shared" si="47"/>
        <v>extracted_filing/863557_2002_10-K.txt</v>
      </c>
      <c r="I320" s="2" t="str">
        <f t="shared" si="48"/>
        <v>https://www.sec.gov/cgi-bin/browse-edgar?action=getcompany&amp;CIK=863557&amp;type=10-K&amp;dateb=20080101&amp;owner=exclude&amp;count=40&amp;search_text=</v>
      </c>
      <c r="J320">
        <v>863557</v>
      </c>
      <c r="K320">
        <v>1836.932</v>
      </c>
      <c r="L320">
        <f>K320+M320+O320</f>
        <v>1836.932</v>
      </c>
      <c r="Q320" t="s">
        <v>98</v>
      </c>
      <c r="R320">
        <v>1836.932</v>
      </c>
    </row>
    <row r="321" spans="1:20" x14ac:dyDescent="0.35">
      <c r="A321">
        <v>22532</v>
      </c>
      <c r="B321" s="1">
        <v>37986</v>
      </c>
      <c r="C321">
        <v>2003</v>
      </c>
      <c r="D321">
        <v>870756103</v>
      </c>
      <c r="E321" t="s">
        <v>45</v>
      </c>
      <c r="F321" t="str">
        <f t="shared" si="45"/>
        <v>863557_2003</v>
      </c>
      <c r="G321" s="2" t="str">
        <f t="shared" si="46"/>
        <v>extracted_filing/863557_2003_10-K.html</v>
      </c>
      <c r="H321" s="2" t="str">
        <f t="shared" si="47"/>
        <v>extracted_filing/863557_2003_10-K.txt</v>
      </c>
      <c r="I321" s="2" t="str">
        <f t="shared" si="48"/>
        <v>https://www.sec.gov/cgi-bin/browse-edgar?action=getcompany&amp;CIK=863557&amp;type=10-K&amp;dateb=20080101&amp;owner=exclude&amp;count=40&amp;search_text=</v>
      </c>
      <c r="J321">
        <v>863557</v>
      </c>
      <c r="K321">
        <v>2106.0120000000002</v>
      </c>
      <c r="L321">
        <f>K321+M321+O321</f>
        <v>2106.0120000000002</v>
      </c>
      <c r="Q321" t="s">
        <v>98</v>
      </c>
      <c r="R321">
        <v>2106.0120000000002</v>
      </c>
    </row>
    <row r="322" spans="1:20" x14ac:dyDescent="0.35">
      <c r="A322">
        <v>22532</v>
      </c>
      <c r="B322" s="1">
        <v>38352</v>
      </c>
      <c r="C322">
        <v>2004</v>
      </c>
      <c r="D322">
        <v>870756103</v>
      </c>
      <c r="E322" t="s">
        <v>45</v>
      </c>
      <c r="F322" t="str">
        <f t="shared" ref="F322:F385" si="55">_xlfn.CONCAT(TEXT(J322,0),"_",TEXT(C322,0))</f>
        <v>863557_2004</v>
      </c>
      <c r="G322" s="2" t="str">
        <f t="shared" si="46"/>
        <v>extracted_filing/863557_2004_10-K.html</v>
      </c>
      <c r="H322" s="2" t="str">
        <f t="shared" si="47"/>
        <v>extracted_filing/863557_2004_10-K.txt</v>
      </c>
      <c r="I322" s="2" t="str">
        <f t="shared" si="48"/>
        <v>https://www.sec.gov/cgi-bin/browse-edgar?action=getcompany&amp;CIK=863557&amp;type=10-K&amp;dateb=20080101&amp;owner=exclude&amp;count=40&amp;search_text=</v>
      </c>
      <c r="J322">
        <v>863557</v>
      </c>
      <c r="K322">
        <v>2461.826</v>
      </c>
      <c r="L322">
        <f>K322+M322+O322</f>
        <v>2461.826</v>
      </c>
      <c r="Q322" t="s">
        <v>98</v>
      </c>
      <c r="R322">
        <v>2461.826</v>
      </c>
    </row>
    <row r="323" spans="1:20" x14ac:dyDescent="0.35">
      <c r="A323">
        <v>22532</v>
      </c>
      <c r="B323" s="1">
        <v>38717</v>
      </c>
      <c r="C323">
        <v>2005</v>
      </c>
      <c r="D323">
        <v>870756103</v>
      </c>
      <c r="E323" t="s">
        <v>45</v>
      </c>
      <c r="F323" t="str">
        <f t="shared" si="55"/>
        <v>863557_2005</v>
      </c>
      <c r="G323" s="2" t="str">
        <f t="shared" ref="G323:G386" si="56">HYPERLINK(_xlfn.CONCAT("extracted_filing/",$F323,"_10-K.html"))</f>
        <v>extracted_filing/863557_2005_10-K.html</v>
      </c>
      <c r="H323" s="2" t="str">
        <f t="shared" ref="H323:H386" si="57">HYPERLINK(_xlfn.CONCAT("extracted_filing/",$F323,"_10-K.txt"))</f>
        <v>extracted_filing/863557_2005_10-K.txt</v>
      </c>
      <c r="I323" s="2" t="str">
        <f t="shared" ref="I323:I386" si="58">HYPERLINK(_xlfn.CONCAT("https://www.sec.gov/cgi-bin/browse-edgar?action=getcompany&amp;CIK=",TEXT(J323,0),"&amp;type=10-K&amp;dateb=20080101&amp;owner=exclude&amp;count=40&amp;search_text="))</f>
        <v>https://www.sec.gov/cgi-bin/browse-edgar?action=getcompany&amp;CIK=863557&amp;type=10-K&amp;dateb=20080101&amp;owner=exclude&amp;count=40&amp;search_text=</v>
      </c>
      <c r="J323">
        <v>863557</v>
      </c>
      <c r="K323">
        <v>2791.7860000000001</v>
      </c>
      <c r="L323">
        <f>K323+M323+O323</f>
        <v>2791.7860000000001</v>
      </c>
      <c r="Q323" t="s">
        <v>98</v>
      </c>
      <c r="R323">
        <v>2791.7860000000001</v>
      </c>
    </row>
    <row r="324" spans="1:20" x14ac:dyDescent="0.35">
      <c r="A324">
        <v>22532</v>
      </c>
      <c r="B324" s="1">
        <v>39082</v>
      </c>
      <c r="C324">
        <v>2006</v>
      </c>
      <c r="D324">
        <v>870756103</v>
      </c>
      <c r="E324" t="s">
        <v>45</v>
      </c>
      <c r="F324" t="str">
        <f t="shared" si="55"/>
        <v>863557_2006</v>
      </c>
      <c r="G324" s="2" t="str">
        <f t="shared" si="56"/>
        <v>extracted_filing/863557_2006_10-K.html</v>
      </c>
      <c r="H324" s="2" t="str">
        <f t="shared" si="57"/>
        <v>extracted_filing/863557_2006_10-K.txt</v>
      </c>
      <c r="I324" s="2" t="str">
        <f t="shared" si="58"/>
        <v>https://www.sec.gov/cgi-bin/browse-edgar?action=getcompany&amp;CIK=863557&amp;type=10-K&amp;dateb=20080101&amp;owner=exclude&amp;count=40&amp;search_text=</v>
      </c>
      <c r="J324">
        <v>863557</v>
      </c>
      <c r="K324">
        <v>2689.2260000000001</v>
      </c>
      <c r="L324">
        <f>K324+M324+O324</f>
        <v>2689.2260000000001</v>
      </c>
      <c r="Q324" t="s">
        <v>98</v>
      </c>
      <c r="R324">
        <v>2689.2260000000001</v>
      </c>
    </row>
    <row r="325" spans="1:20" x14ac:dyDescent="0.35">
      <c r="A325">
        <v>23812</v>
      </c>
      <c r="B325" s="1">
        <v>35795</v>
      </c>
      <c r="C325">
        <v>1997</v>
      </c>
      <c r="D325" t="s">
        <v>46</v>
      </c>
      <c r="E325" t="s">
        <v>47</v>
      </c>
      <c r="F325" t="str">
        <f t="shared" si="55"/>
        <v>872589_1997</v>
      </c>
      <c r="G325" s="2" t="str">
        <f t="shared" si="56"/>
        <v>extracted_filing/872589_1997_10-K.html</v>
      </c>
      <c r="H325" s="2" t="str">
        <f t="shared" si="57"/>
        <v>extracted_filing/872589_1997_10-K.txt</v>
      </c>
      <c r="I325" s="2" t="str">
        <f t="shared" si="58"/>
        <v>https://www.sec.gov/cgi-bin/browse-edgar?action=getcompany&amp;CIK=872589&amp;type=10-K&amp;dateb=20080101&amp;owner=exclude&amp;count=40&amp;search_text=</v>
      </c>
      <c r="J325">
        <v>872589</v>
      </c>
      <c r="K325" s="3">
        <v>2.617</v>
      </c>
      <c r="L325">
        <f>K325+M325+O325</f>
        <v>36.150999999999996</v>
      </c>
      <c r="M325" s="3">
        <v>5.7640000000000002</v>
      </c>
      <c r="N325">
        <f t="shared" ref="N325:N388" si="59">M325</f>
        <v>5.7640000000000002</v>
      </c>
      <c r="O325" s="3">
        <v>27.77</v>
      </c>
      <c r="P325">
        <v>27.77</v>
      </c>
      <c r="Q325" t="s">
        <v>109</v>
      </c>
      <c r="R325" s="4">
        <v>36.152000000000001</v>
      </c>
      <c r="T325">
        <f>K325+M325+O325</f>
        <v>36.150999999999996</v>
      </c>
    </row>
    <row r="326" spans="1:20" x14ac:dyDescent="0.35">
      <c r="A326">
        <v>23812</v>
      </c>
      <c r="B326" s="1">
        <v>36160</v>
      </c>
      <c r="C326">
        <v>1998</v>
      </c>
      <c r="D326" t="s">
        <v>46</v>
      </c>
      <c r="E326" t="s">
        <v>47</v>
      </c>
      <c r="F326" t="str">
        <f t="shared" si="55"/>
        <v>872589_1998</v>
      </c>
      <c r="G326" s="2" t="str">
        <f t="shared" si="56"/>
        <v>extracted_filing/872589_1998_10-K.html</v>
      </c>
      <c r="H326" s="2" t="str">
        <f t="shared" si="57"/>
        <v>extracted_filing/872589_1998_10-K.txt</v>
      </c>
      <c r="I326" s="2" t="str">
        <f t="shared" si="58"/>
        <v>https://www.sec.gov/cgi-bin/browse-edgar?action=getcompany&amp;CIK=872589&amp;type=10-K&amp;dateb=20080101&amp;owner=exclude&amp;count=40&amp;search_text=</v>
      </c>
      <c r="J326">
        <v>872589</v>
      </c>
      <c r="K326" s="3">
        <v>5.0019999999999998</v>
      </c>
      <c r="L326">
        <f>K326+M326+O326</f>
        <v>47.887</v>
      </c>
      <c r="M326" s="3">
        <v>5.8380000000000001</v>
      </c>
      <c r="N326">
        <f t="shared" si="59"/>
        <v>5.8380000000000001</v>
      </c>
      <c r="O326" s="3">
        <v>37.046999999999997</v>
      </c>
      <c r="P326">
        <v>37.046999999999997</v>
      </c>
      <c r="Q326" t="s">
        <v>109</v>
      </c>
      <c r="R326" s="4">
        <v>47.887</v>
      </c>
      <c r="T326">
        <f>K326+M326+O326</f>
        <v>47.887</v>
      </c>
    </row>
    <row r="327" spans="1:20" x14ac:dyDescent="0.35">
      <c r="A327">
        <v>23812</v>
      </c>
      <c r="B327" s="1">
        <v>36525</v>
      </c>
      <c r="C327">
        <v>1999</v>
      </c>
      <c r="D327" t="s">
        <v>46</v>
      </c>
      <c r="E327" t="s">
        <v>47</v>
      </c>
      <c r="F327" t="str">
        <f t="shared" si="55"/>
        <v>872589_1999</v>
      </c>
      <c r="G327" s="2" t="str">
        <f t="shared" si="56"/>
        <v>extracted_filing/872589_1999_10-K.html</v>
      </c>
      <c r="H327" s="2" t="str">
        <f t="shared" si="57"/>
        <v>extracted_filing/872589_1999_10-K.txt</v>
      </c>
      <c r="I327" s="2" t="str">
        <f t="shared" si="58"/>
        <v>https://www.sec.gov/cgi-bin/browse-edgar?action=getcompany&amp;CIK=872589&amp;type=10-K&amp;dateb=20080101&amp;owner=exclude&amp;count=40&amp;search_text=</v>
      </c>
      <c r="J327">
        <v>872589</v>
      </c>
      <c r="K327" s="3">
        <v>3.6120000000000001</v>
      </c>
      <c r="L327">
        <f>K327+M327+O327</f>
        <v>54.906999999999996</v>
      </c>
      <c r="M327" s="3">
        <v>6.3550000000000004</v>
      </c>
      <c r="N327">
        <f t="shared" si="59"/>
        <v>6.3550000000000004</v>
      </c>
      <c r="O327" s="3">
        <f>44.94</f>
        <v>44.94</v>
      </c>
      <c r="P327">
        <f>44.94</f>
        <v>44.94</v>
      </c>
      <c r="Q327" t="s">
        <v>109</v>
      </c>
      <c r="R327" s="4">
        <v>54.906999999999996</v>
      </c>
      <c r="T327">
        <f>K327+M327+O327</f>
        <v>54.906999999999996</v>
      </c>
    </row>
    <row r="328" spans="1:20" x14ac:dyDescent="0.35">
      <c r="A328">
        <v>23812</v>
      </c>
      <c r="B328" s="1">
        <v>36891</v>
      </c>
      <c r="C328">
        <v>2000</v>
      </c>
      <c r="D328" t="s">
        <v>46</v>
      </c>
      <c r="E328" t="s">
        <v>47</v>
      </c>
      <c r="F328" t="str">
        <f t="shared" si="55"/>
        <v>872589_2000</v>
      </c>
      <c r="G328" s="2" t="str">
        <f t="shared" si="56"/>
        <v>extracted_filing/872589_2000_10-K.html</v>
      </c>
      <c r="H328" s="2" t="str">
        <f t="shared" si="57"/>
        <v>extracted_filing/872589_2000_10-K.txt</v>
      </c>
      <c r="I328" s="2" t="str">
        <f t="shared" si="58"/>
        <v>https://www.sec.gov/cgi-bin/browse-edgar?action=getcompany&amp;CIK=872589&amp;type=10-K&amp;dateb=20080101&amp;owner=exclude&amp;count=40&amp;search_text=</v>
      </c>
      <c r="J328">
        <v>872589</v>
      </c>
      <c r="K328" s="3">
        <v>15.566000000000001</v>
      </c>
      <c r="L328">
        <f>K328+M328+O328</f>
        <v>80.131</v>
      </c>
      <c r="M328" s="3">
        <v>8.3089999999999993</v>
      </c>
      <c r="N328">
        <f t="shared" si="59"/>
        <v>8.3089999999999993</v>
      </c>
      <c r="O328" s="3">
        <v>56.256</v>
      </c>
      <c r="P328">
        <v>56.256</v>
      </c>
      <c r="Q328" t="s">
        <v>109</v>
      </c>
      <c r="R328" s="4">
        <v>80.131</v>
      </c>
      <c r="T328">
        <f>K328+M328+O328</f>
        <v>80.131</v>
      </c>
    </row>
    <row r="329" spans="1:20" x14ac:dyDescent="0.35">
      <c r="A329">
        <v>23812</v>
      </c>
      <c r="B329" s="1">
        <v>37256</v>
      </c>
      <c r="C329">
        <v>2001</v>
      </c>
      <c r="D329" t="s">
        <v>46</v>
      </c>
      <c r="E329" t="s">
        <v>47</v>
      </c>
      <c r="F329" t="str">
        <f t="shared" si="55"/>
        <v>872589_2001</v>
      </c>
      <c r="G329" s="2" t="str">
        <f t="shared" si="56"/>
        <v>extracted_filing/872589_2001_10-K.html</v>
      </c>
      <c r="H329" s="2" t="str">
        <f t="shared" si="57"/>
        <v>extracted_filing/872589_2001_10-K.txt</v>
      </c>
      <c r="I329" s="2" t="str">
        <f t="shared" si="58"/>
        <v>https://www.sec.gov/cgi-bin/browse-edgar?action=getcompany&amp;CIK=872589&amp;type=10-K&amp;dateb=20080101&amp;owner=exclude&amp;count=40&amp;search_text=</v>
      </c>
      <c r="J329">
        <v>872589</v>
      </c>
      <c r="K329" s="3">
        <v>6.5090000000000003</v>
      </c>
      <c r="L329">
        <f>K329+M329+O329</f>
        <v>101.57900000000001</v>
      </c>
      <c r="M329" s="3">
        <v>9.6069999999999993</v>
      </c>
      <c r="N329">
        <f t="shared" si="59"/>
        <v>9.6069999999999993</v>
      </c>
      <c r="O329" s="3">
        <f>91.54-6.077</f>
        <v>85.463000000000008</v>
      </c>
      <c r="P329">
        <f>91.54-6.077</f>
        <v>85.463000000000008</v>
      </c>
      <c r="Q329" t="s">
        <v>109</v>
      </c>
      <c r="R329" s="4">
        <v>101.57899999999999</v>
      </c>
      <c r="T329">
        <f>K329+M329+O329</f>
        <v>101.57900000000001</v>
      </c>
    </row>
    <row r="330" spans="1:20" x14ac:dyDescent="0.35">
      <c r="A330">
        <v>23812</v>
      </c>
      <c r="B330" s="1">
        <v>37621</v>
      </c>
      <c r="C330">
        <v>2002</v>
      </c>
      <c r="D330" t="s">
        <v>46</v>
      </c>
      <c r="E330" t="s">
        <v>47</v>
      </c>
      <c r="F330" t="str">
        <f t="shared" si="55"/>
        <v>872589_2002</v>
      </c>
      <c r="G330" s="2" t="str">
        <f t="shared" si="56"/>
        <v>extracted_filing/872589_2002_10-K.html</v>
      </c>
      <c r="H330" s="2" t="str">
        <f t="shared" si="57"/>
        <v>extracted_filing/872589_2002_10-K.txt</v>
      </c>
      <c r="I330" s="2" t="str">
        <f t="shared" si="58"/>
        <v>https://www.sec.gov/cgi-bin/browse-edgar?action=getcompany&amp;CIK=872589&amp;type=10-K&amp;dateb=20080101&amp;owner=exclude&amp;count=40&amp;search_text=</v>
      </c>
      <c r="J330">
        <v>872589</v>
      </c>
      <c r="K330" s="3">
        <v>6.4829999999999997</v>
      </c>
      <c r="L330">
        <f>K330+M330+O330</f>
        <v>135.48700000000002</v>
      </c>
      <c r="M330" s="3">
        <v>12.532</v>
      </c>
      <c r="N330">
        <f t="shared" si="59"/>
        <v>12.532</v>
      </c>
      <c r="O330" s="3">
        <f>124.926-8.454</f>
        <v>116.47200000000001</v>
      </c>
      <c r="P330">
        <f>124.926-8.454</f>
        <v>116.47200000000001</v>
      </c>
      <c r="Q330" t="s">
        <v>109</v>
      </c>
      <c r="R330" s="4">
        <v>135.48699999999999</v>
      </c>
      <c r="T330">
        <f>K330+M330+O330</f>
        <v>135.48700000000002</v>
      </c>
    </row>
    <row r="331" spans="1:20" x14ac:dyDescent="0.35">
      <c r="A331">
        <v>23812</v>
      </c>
      <c r="B331" s="1">
        <v>37986</v>
      </c>
      <c r="C331">
        <v>2003</v>
      </c>
      <c r="D331" t="s">
        <v>46</v>
      </c>
      <c r="E331" t="s">
        <v>47</v>
      </c>
      <c r="F331" t="str">
        <f t="shared" si="55"/>
        <v>872589_2003</v>
      </c>
      <c r="G331" s="2" t="str">
        <f t="shared" si="56"/>
        <v>extracted_filing/872589_2003_10-K.html</v>
      </c>
      <c r="H331" s="2" t="str">
        <f t="shared" si="57"/>
        <v>extracted_filing/872589_2003_10-K.txt</v>
      </c>
      <c r="I331" s="2" t="str">
        <f t="shared" si="58"/>
        <v>https://www.sec.gov/cgi-bin/browse-edgar?action=getcompany&amp;CIK=872589&amp;type=10-K&amp;dateb=20080101&amp;owner=exclude&amp;count=40&amp;search_text=</v>
      </c>
      <c r="J331">
        <v>872589</v>
      </c>
      <c r="K331" s="3">
        <v>6.6760000000000002</v>
      </c>
      <c r="L331">
        <f>K331+M331+O331</f>
        <v>144.548</v>
      </c>
      <c r="M331" s="3">
        <v>14.785</v>
      </c>
      <c r="N331">
        <f t="shared" si="59"/>
        <v>14.785</v>
      </c>
      <c r="O331" s="3">
        <f>136.024-12.937</f>
        <v>123.087</v>
      </c>
      <c r="P331">
        <f>136.024-12.937</f>
        <v>123.087</v>
      </c>
      <c r="Q331" t="s">
        <v>109</v>
      </c>
      <c r="R331" s="4">
        <v>144.548</v>
      </c>
      <c r="T331">
        <f>K331+M331+O331</f>
        <v>144.548</v>
      </c>
    </row>
    <row r="332" spans="1:20" x14ac:dyDescent="0.35">
      <c r="A332">
        <v>23812</v>
      </c>
      <c r="B332" s="1">
        <v>38352</v>
      </c>
      <c r="C332">
        <v>2004</v>
      </c>
      <c r="D332" t="s">
        <v>46</v>
      </c>
      <c r="E332" t="s">
        <v>47</v>
      </c>
      <c r="F332" t="str">
        <f t="shared" si="55"/>
        <v>872589_2004</v>
      </c>
      <c r="G332" s="2" t="str">
        <f t="shared" si="56"/>
        <v>extracted_filing/872589_2004_10-K.html</v>
      </c>
      <c r="H332" s="2" t="str">
        <f t="shared" si="57"/>
        <v>extracted_filing/872589_2004_10-K.txt</v>
      </c>
      <c r="I332" s="2" t="str">
        <f t="shared" si="58"/>
        <v>https://www.sec.gov/cgi-bin/browse-edgar?action=getcompany&amp;CIK=872589&amp;type=10-K&amp;dateb=20080101&amp;owner=exclude&amp;count=40&amp;search_text=</v>
      </c>
      <c r="J332">
        <v>872589</v>
      </c>
      <c r="K332" s="3">
        <v>15.214</v>
      </c>
      <c r="L332">
        <f>K332+M332+O332</f>
        <v>153.00900000000001</v>
      </c>
      <c r="M332" s="3">
        <v>17.062000000000001</v>
      </c>
      <c r="N332">
        <f t="shared" si="59"/>
        <v>17.062000000000001</v>
      </c>
      <c r="O332" s="3">
        <f>136.095-15.362</f>
        <v>120.733</v>
      </c>
      <c r="P332">
        <f>136.095-15.362</f>
        <v>120.733</v>
      </c>
      <c r="Q332" t="s">
        <v>109</v>
      </c>
      <c r="R332" s="4">
        <v>153.00899999999999</v>
      </c>
      <c r="T332">
        <f>K332+M332+O332</f>
        <v>153.00900000000001</v>
      </c>
    </row>
    <row r="333" spans="1:20" x14ac:dyDescent="0.35">
      <c r="A333">
        <v>23812</v>
      </c>
      <c r="B333" s="1">
        <v>38717</v>
      </c>
      <c r="C333">
        <v>2005</v>
      </c>
      <c r="D333" t="s">
        <v>46</v>
      </c>
      <c r="E333" t="s">
        <v>47</v>
      </c>
      <c r="F333" t="str">
        <f t="shared" si="55"/>
        <v>872589_2005</v>
      </c>
      <c r="G333" s="2" t="str">
        <f t="shared" si="56"/>
        <v>extracted_filing/872589_2005_10-K.html</v>
      </c>
      <c r="H333" s="2" t="str">
        <f t="shared" si="57"/>
        <v>extracted_filing/872589_2005_10-K.txt</v>
      </c>
      <c r="I333" s="2" t="str">
        <f t="shared" si="58"/>
        <v>https://www.sec.gov/cgi-bin/browse-edgar?action=getcompany&amp;CIK=872589&amp;type=10-K&amp;dateb=20080101&amp;owner=exclude&amp;count=40&amp;search_text=</v>
      </c>
      <c r="J333">
        <v>872589</v>
      </c>
      <c r="K333" s="3">
        <v>9.5570000000000004</v>
      </c>
      <c r="L333">
        <f>K333+M333+O333</f>
        <v>175.11</v>
      </c>
      <c r="M333" s="3">
        <v>25.475999999999999</v>
      </c>
      <c r="N333">
        <f t="shared" si="59"/>
        <v>25.475999999999999</v>
      </c>
      <c r="O333" s="3">
        <f>155.581-15.504</f>
        <v>140.077</v>
      </c>
      <c r="P333">
        <f>155.581-15.504</f>
        <v>140.077</v>
      </c>
      <c r="Q333" t="s">
        <v>109</v>
      </c>
      <c r="R333" s="4">
        <v>172.89699999999999</v>
      </c>
      <c r="T333">
        <f>K333+M333+O333</f>
        <v>175.11</v>
      </c>
    </row>
    <row r="334" spans="1:20" x14ac:dyDescent="0.35">
      <c r="A334">
        <v>23812</v>
      </c>
      <c r="B334" s="1">
        <v>39082</v>
      </c>
      <c r="C334">
        <v>2006</v>
      </c>
      <c r="D334" t="s">
        <v>46</v>
      </c>
      <c r="E334" t="s">
        <v>47</v>
      </c>
      <c r="F334" t="str">
        <f t="shared" si="55"/>
        <v>872589_2006</v>
      </c>
      <c r="G334" s="2" t="str">
        <f t="shared" si="56"/>
        <v>extracted_filing/872589_2006_10-K.html</v>
      </c>
      <c r="H334" s="2" t="str">
        <f t="shared" si="57"/>
        <v>extracted_filing/872589_2006_10-K.txt</v>
      </c>
      <c r="I334" s="2" t="str">
        <f t="shared" si="58"/>
        <v>https://www.sec.gov/cgi-bin/browse-edgar?action=getcompany&amp;CIK=872589&amp;type=10-K&amp;dateb=20080101&amp;owner=exclude&amp;count=40&amp;search_text=</v>
      </c>
      <c r="J334">
        <v>872589</v>
      </c>
      <c r="K334" s="3">
        <v>8.1460000000000008</v>
      </c>
      <c r="L334">
        <f>K334+M334+O334</f>
        <v>156.51</v>
      </c>
      <c r="M334" s="3">
        <v>25.891999999999999</v>
      </c>
      <c r="N334">
        <f t="shared" si="59"/>
        <v>25.891999999999999</v>
      </c>
      <c r="O334" s="3">
        <f>137.064-14.592</f>
        <v>122.47199999999999</v>
      </c>
      <c r="P334">
        <f>137.064-14.592</f>
        <v>122.47199999999999</v>
      </c>
      <c r="Q334" t="s">
        <v>109</v>
      </c>
      <c r="R334" s="4">
        <v>156.16200000000001</v>
      </c>
      <c r="T334">
        <f>K334+M334+O334</f>
        <v>156.51</v>
      </c>
    </row>
    <row r="335" spans="1:20" x14ac:dyDescent="0.35">
      <c r="A335">
        <v>23945</v>
      </c>
      <c r="B335" s="1">
        <v>35795</v>
      </c>
      <c r="C335">
        <v>1997</v>
      </c>
      <c r="D335">
        <v>156708109</v>
      </c>
      <c r="E335" t="s">
        <v>48</v>
      </c>
      <c r="F335" t="str">
        <f t="shared" si="55"/>
        <v>873364_1997</v>
      </c>
      <c r="G335" s="2" t="str">
        <f t="shared" si="56"/>
        <v>extracted_filing/873364_1997_10-K.html</v>
      </c>
      <c r="H335" s="2" t="str">
        <f t="shared" si="57"/>
        <v>extracted_filing/873364_1997_10-K.txt</v>
      </c>
      <c r="I335" s="2" t="str">
        <f t="shared" si="58"/>
        <v>https://www.sec.gov/cgi-bin/browse-edgar?action=getcompany&amp;CIK=873364&amp;type=10-K&amp;dateb=20080101&amp;owner=exclude&amp;count=40&amp;search_text=</v>
      </c>
      <c r="J335">
        <v>873364</v>
      </c>
      <c r="K335" s="3">
        <v>0</v>
      </c>
      <c r="L335">
        <f>K335+M335+O335</f>
        <v>86.084000000000003</v>
      </c>
      <c r="M335" s="3">
        <v>36.744</v>
      </c>
      <c r="N335">
        <f t="shared" si="59"/>
        <v>36.744</v>
      </c>
      <c r="O335" s="3">
        <f>51.587-2.247</f>
        <v>49.34</v>
      </c>
      <c r="P335">
        <f>51.587-2.247</f>
        <v>49.34</v>
      </c>
      <c r="Q335" t="s">
        <v>110</v>
      </c>
      <c r="R335" s="4">
        <v>86.084000000000003</v>
      </c>
      <c r="S335" s="4"/>
      <c r="T335">
        <f>K335+M335+O335</f>
        <v>86.084000000000003</v>
      </c>
    </row>
    <row r="336" spans="1:20" x14ac:dyDescent="0.35">
      <c r="A336">
        <v>23945</v>
      </c>
      <c r="B336" s="1">
        <v>36160</v>
      </c>
      <c r="C336">
        <v>1998</v>
      </c>
      <c r="D336">
        <v>156708109</v>
      </c>
      <c r="E336" t="s">
        <v>48</v>
      </c>
      <c r="F336" t="str">
        <f t="shared" si="55"/>
        <v>873364_1998</v>
      </c>
      <c r="G336" s="2" t="str">
        <f t="shared" si="56"/>
        <v>extracted_filing/873364_1998_10-K.html</v>
      </c>
      <c r="H336" s="2" t="str">
        <f t="shared" si="57"/>
        <v>extracted_filing/873364_1998_10-K.txt</v>
      </c>
      <c r="I336" s="2" t="str">
        <f t="shared" si="58"/>
        <v>https://www.sec.gov/cgi-bin/browse-edgar?action=getcompany&amp;CIK=873364&amp;type=10-K&amp;dateb=20080101&amp;owner=exclude&amp;count=40&amp;search_text=</v>
      </c>
      <c r="J336">
        <v>873364</v>
      </c>
      <c r="K336" s="3">
        <v>0</v>
      </c>
      <c r="L336">
        <f>K336+M336+O336</f>
        <v>72.256</v>
      </c>
      <c r="M336" s="3">
        <v>30.946999999999999</v>
      </c>
      <c r="N336">
        <f t="shared" si="59"/>
        <v>30.946999999999999</v>
      </c>
      <c r="O336" s="3">
        <f>43.649-2.34</f>
        <v>41.308999999999997</v>
      </c>
      <c r="P336">
        <f>43.649-2.34</f>
        <v>41.308999999999997</v>
      </c>
      <c r="Q336" t="s">
        <v>110</v>
      </c>
      <c r="R336" s="4">
        <v>72.256</v>
      </c>
      <c r="S336" s="4"/>
      <c r="T336">
        <f>K336+M336+O336</f>
        <v>72.256</v>
      </c>
    </row>
    <row r="337" spans="1:21" x14ac:dyDescent="0.35">
      <c r="A337">
        <v>23945</v>
      </c>
      <c r="B337" s="1">
        <v>36525</v>
      </c>
      <c r="C337">
        <v>1999</v>
      </c>
      <c r="D337">
        <v>156708109</v>
      </c>
      <c r="E337" t="s">
        <v>48</v>
      </c>
      <c r="F337" t="str">
        <f t="shared" si="55"/>
        <v>873364_1999</v>
      </c>
      <c r="G337" s="2" t="str">
        <f t="shared" si="56"/>
        <v>extracted_filing/873364_1999_10-K.html</v>
      </c>
      <c r="H337" s="2" t="str">
        <f t="shared" si="57"/>
        <v>extracted_filing/873364_1999_10-K.txt</v>
      </c>
      <c r="I337" s="2" t="str">
        <f t="shared" si="58"/>
        <v>https://www.sec.gov/cgi-bin/browse-edgar?action=getcompany&amp;CIK=873364&amp;type=10-K&amp;dateb=20080101&amp;owner=exclude&amp;count=40&amp;search_text=</v>
      </c>
      <c r="J337">
        <v>873364</v>
      </c>
      <c r="K337" s="3">
        <v>3.25</v>
      </c>
      <c r="L337">
        <f>K337+M337+O337</f>
        <v>90.397999999999996</v>
      </c>
      <c r="M337" s="3">
        <v>50.991999999999997</v>
      </c>
      <c r="N337">
        <f t="shared" si="59"/>
        <v>50.991999999999997</v>
      </c>
      <c r="O337" s="3">
        <f>46.42-10.264</f>
        <v>36.156000000000006</v>
      </c>
      <c r="P337">
        <f>46.42-10.264</f>
        <v>36.156000000000006</v>
      </c>
      <c r="Q337" t="s">
        <v>110</v>
      </c>
      <c r="R337" s="4">
        <v>90.397999999999996</v>
      </c>
      <c r="S337" s="4"/>
      <c r="T337">
        <f>K337+M337+O337</f>
        <v>90.397999999999996</v>
      </c>
    </row>
    <row r="338" spans="1:21" x14ac:dyDescent="0.35">
      <c r="A338">
        <v>23945</v>
      </c>
      <c r="B338" s="1">
        <v>36891</v>
      </c>
      <c r="C338">
        <v>2000</v>
      </c>
      <c r="D338">
        <v>156708109</v>
      </c>
      <c r="E338" t="s">
        <v>48</v>
      </c>
      <c r="F338" t="str">
        <f t="shared" si="55"/>
        <v>873364_2000</v>
      </c>
      <c r="G338" s="2" t="str">
        <f t="shared" si="56"/>
        <v>extracted_filing/873364_2000_10-K.html</v>
      </c>
      <c r="H338" s="2" t="str">
        <f t="shared" si="57"/>
        <v>extracted_filing/873364_2000_10-K.txt</v>
      </c>
      <c r="I338" s="2" t="str">
        <f t="shared" si="58"/>
        <v>https://www.sec.gov/cgi-bin/browse-edgar?action=getcompany&amp;CIK=873364&amp;type=10-K&amp;dateb=20080101&amp;owner=exclude&amp;count=40&amp;search_text=</v>
      </c>
      <c r="J338">
        <v>873364</v>
      </c>
      <c r="K338" s="3">
        <v>17.768000000000001</v>
      </c>
      <c r="L338">
        <f>K338+M338+O338</f>
        <v>169.619</v>
      </c>
      <c r="M338" s="3">
        <v>85.966999999999999</v>
      </c>
      <c r="N338">
        <f t="shared" si="59"/>
        <v>85.966999999999999</v>
      </c>
      <c r="O338" s="3">
        <f>69.829-3.945</f>
        <v>65.884</v>
      </c>
      <c r="P338">
        <f>69.829-3.945</f>
        <v>65.884</v>
      </c>
      <c r="Q338" t="s">
        <v>110</v>
      </c>
      <c r="R338" s="4">
        <v>169.619</v>
      </c>
      <c r="S338" s="4"/>
      <c r="T338">
        <f>K338+M338+O338</f>
        <v>169.619</v>
      </c>
    </row>
    <row r="339" spans="1:21" x14ac:dyDescent="0.35">
      <c r="A339">
        <v>23945</v>
      </c>
      <c r="B339" s="1">
        <v>37256</v>
      </c>
      <c r="C339">
        <v>2001</v>
      </c>
      <c r="D339">
        <v>156708109</v>
      </c>
      <c r="E339" t="s">
        <v>48</v>
      </c>
      <c r="F339" t="str">
        <f t="shared" si="55"/>
        <v>873364_2001</v>
      </c>
      <c r="G339" s="2" t="str">
        <f t="shared" si="56"/>
        <v>extracted_filing/873364_2001_10-K.html</v>
      </c>
      <c r="H339" s="2" t="str">
        <f t="shared" si="57"/>
        <v>extracted_filing/873364_2001_10-K.txt</v>
      </c>
      <c r="I339" s="2" t="str">
        <f t="shared" si="58"/>
        <v>https://www.sec.gov/cgi-bin/browse-edgar?action=getcompany&amp;CIK=873364&amp;type=10-K&amp;dateb=20080101&amp;owner=exclude&amp;count=40&amp;search_text=</v>
      </c>
      <c r="J339">
        <v>873364</v>
      </c>
      <c r="K339" s="3">
        <v>44.945999999999998</v>
      </c>
      <c r="L339">
        <f>K339+M339+O339</f>
        <v>228.80999999999997</v>
      </c>
      <c r="M339" s="3">
        <v>99.614999999999995</v>
      </c>
      <c r="N339">
        <f t="shared" si="59"/>
        <v>99.614999999999995</v>
      </c>
      <c r="O339" s="3">
        <v>84.248999999999995</v>
      </c>
      <c r="P339">
        <v>84.248999999999995</v>
      </c>
      <c r="Q339" t="s">
        <v>110</v>
      </c>
      <c r="R339" s="4">
        <v>44.945999999999998</v>
      </c>
      <c r="S339" s="4">
        <v>183.864</v>
      </c>
      <c r="T339">
        <f>K339+M339+O339</f>
        <v>228.80999999999997</v>
      </c>
      <c r="U339">
        <f>SUM(R339:S339)</f>
        <v>228.81</v>
      </c>
    </row>
    <row r="340" spans="1:21" x14ac:dyDescent="0.35">
      <c r="A340">
        <v>23945</v>
      </c>
      <c r="B340" s="1">
        <v>37621</v>
      </c>
      <c r="C340">
        <v>2002</v>
      </c>
      <c r="D340">
        <v>156708109</v>
      </c>
      <c r="E340" t="s">
        <v>48</v>
      </c>
      <c r="F340" t="str">
        <f t="shared" si="55"/>
        <v>873364_2002</v>
      </c>
      <c r="G340" s="2" t="str">
        <f t="shared" si="56"/>
        <v>extracted_filing/873364_2002_10-K.html</v>
      </c>
      <c r="H340" s="2" t="str">
        <f t="shared" si="57"/>
        <v>extracted_filing/873364_2002_10-K.txt</v>
      </c>
      <c r="I340" s="2" t="str">
        <f t="shared" si="58"/>
        <v>https://www.sec.gov/cgi-bin/browse-edgar?action=getcompany&amp;CIK=873364&amp;type=10-K&amp;dateb=20080101&amp;owner=exclude&amp;count=40&amp;search_text=</v>
      </c>
      <c r="J340">
        <v>873364</v>
      </c>
      <c r="K340" s="3">
        <v>74.236999999999995</v>
      </c>
      <c r="L340">
        <f>K340+M340+O340</f>
        <v>375.29500000000002</v>
      </c>
      <c r="M340" s="3">
        <v>172.78200000000001</v>
      </c>
      <c r="N340">
        <f t="shared" si="59"/>
        <v>172.78200000000001</v>
      </c>
      <c r="O340" s="3">
        <v>128.27600000000001</v>
      </c>
      <c r="P340">
        <v>128.27600000000001</v>
      </c>
      <c r="Q340" t="s">
        <v>110</v>
      </c>
      <c r="R340" s="4">
        <v>118.23699999999999</v>
      </c>
      <c r="S340" s="4">
        <v>257.05799999999999</v>
      </c>
      <c r="T340">
        <f>K340+M340+O340</f>
        <v>375.29500000000002</v>
      </c>
      <c r="U340">
        <f t="shared" ref="U340:U344" si="60">SUM(R340:S340)</f>
        <v>375.29499999999996</v>
      </c>
    </row>
    <row r="341" spans="1:21" x14ac:dyDescent="0.35">
      <c r="A341">
        <v>23945</v>
      </c>
      <c r="B341" s="1">
        <v>37986</v>
      </c>
      <c r="C341">
        <v>2003</v>
      </c>
      <c r="D341">
        <v>156708109</v>
      </c>
      <c r="E341" t="s">
        <v>48</v>
      </c>
      <c r="F341" t="str">
        <f t="shared" si="55"/>
        <v>873364_2003</v>
      </c>
      <c r="G341" s="2" t="str">
        <f t="shared" si="56"/>
        <v>extracted_filing/873364_2003_10-K.html</v>
      </c>
      <c r="H341" s="2" t="str">
        <f t="shared" si="57"/>
        <v>extracted_filing/873364_2003_10-K.txt</v>
      </c>
      <c r="I341" s="2" t="str">
        <f t="shared" si="58"/>
        <v>https://www.sec.gov/cgi-bin/browse-edgar?action=getcompany&amp;CIK=873364&amp;type=10-K&amp;dateb=20080101&amp;owner=exclude&amp;count=40&amp;search_text=</v>
      </c>
      <c r="J341">
        <v>873364</v>
      </c>
      <c r="K341" s="3">
        <v>92.375</v>
      </c>
      <c r="L341">
        <f>K341+M341+O341</f>
        <v>514.68499999999995</v>
      </c>
      <c r="M341" s="3">
        <v>252.03299999999999</v>
      </c>
      <c r="N341">
        <f t="shared" si="59"/>
        <v>252.03299999999999</v>
      </c>
      <c r="O341" s="3">
        <v>170.27699999999999</v>
      </c>
      <c r="P341">
        <v>170.27699999999999</v>
      </c>
      <c r="Q341" t="s">
        <v>110</v>
      </c>
      <c r="R341" s="4">
        <v>136.97499999999999</v>
      </c>
      <c r="S341" s="4">
        <v>376.21</v>
      </c>
      <c r="T341">
        <f>K341+M341+O341</f>
        <v>514.68499999999995</v>
      </c>
      <c r="U341">
        <f t="shared" si="60"/>
        <v>513.18499999999995</v>
      </c>
    </row>
    <row r="342" spans="1:21" x14ac:dyDescent="0.35">
      <c r="A342">
        <v>23945</v>
      </c>
      <c r="B342" s="1">
        <v>38352</v>
      </c>
      <c r="C342">
        <v>2004</v>
      </c>
      <c r="D342">
        <v>156708109</v>
      </c>
      <c r="E342" t="s">
        <v>48</v>
      </c>
      <c r="F342" t="str">
        <f t="shared" si="55"/>
        <v>873364_2004</v>
      </c>
      <c r="G342" s="2" t="str">
        <f t="shared" si="56"/>
        <v>extracted_filing/873364_2004_10-K.html</v>
      </c>
      <c r="H342" s="2" t="str">
        <f t="shared" si="57"/>
        <v>extracted_filing/873364_2004_10-K.txt</v>
      </c>
      <c r="I342" s="2" t="str">
        <f t="shared" si="58"/>
        <v>https://www.sec.gov/cgi-bin/browse-edgar?action=getcompany&amp;CIK=873364&amp;type=10-K&amp;dateb=20080101&amp;owner=exclude&amp;count=40&amp;search_text=</v>
      </c>
      <c r="J342">
        <v>873364</v>
      </c>
      <c r="K342" s="3">
        <v>119.973</v>
      </c>
      <c r="L342">
        <f>K342+M342+O342</f>
        <v>733.42200000000003</v>
      </c>
      <c r="M342" s="3">
        <v>339.47699999999998</v>
      </c>
      <c r="N342">
        <f t="shared" si="59"/>
        <v>339.47699999999998</v>
      </c>
      <c r="O342" s="3">
        <v>273.97199999999998</v>
      </c>
      <c r="P342">
        <v>273.97199999999998</v>
      </c>
      <c r="Q342" t="s">
        <v>110</v>
      </c>
      <c r="R342" s="4">
        <v>119.973</v>
      </c>
      <c r="S342" s="4">
        <v>617.66300000000001</v>
      </c>
      <c r="T342">
        <f>K342+M342+O342</f>
        <v>733.42200000000003</v>
      </c>
      <c r="U342">
        <f t="shared" si="60"/>
        <v>737.63599999999997</v>
      </c>
    </row>
    <row r="343" spans="1:21" x14ac:dyDescent="0.35">
      <c r="A343">
        <v>23945</v>
      </c>
      <c r="B343" s="1">
        <v>38717</v>
      </c>
      <c r="C343">
        <v>2005</v>
      </c>
      <c r="D343">
        <v>156708109</v>
      </c>
      <c r="E343" t="s">
        <v>48</v>
      </c>
      <c r="F343" t="str">
        <f t="shared" si="55"/>
        <v>873364_2005</v>
      </c>
      <c r="G343" s="2" t="str">
        <f t="shared" si="56"/>
        <v>extracted_filing/873364_2005_10-K.html</v>
      </c>
      <c r="H343" s="2" t="str">
        <f t="shared" si="57"/>
        <v>extracted_filing/873364_2005_10-K.txt</v>
      </c>
      <c r="I343" s="2" t="str">
        <f t="shared" si="58"/>
        <v>https://www.sec.gov/cgi-bin/browse-edgar?action=getcompany&amp;CIK=873364&amp;type=10-K&amp;dateb=20080101&amp;owner=exclude&amp;count=40&amp;search_text=</v>
      </c>
      <c r="J343">
        <v>873364</v>
      </c>
      <c r="K343" s="3">
        <v>164.22300000000001</v>
      </c>
      <c r="L343">
        <f>K343+M343+O343</f>
        <v>962.91000000000008</v>
      </c>
      <c r="M343" s="3">
        <v>443.86099999999999</v>
      </c>
      <c r="N343">
        <f t="shared" si="59"/>
        <v>443.86099999999999</v>
      </c>
      <c r="O343" s="3">
        <v>354.82600000000002</v>
      </c>
      <c r="P343">
        <v>354.82600000000002</v>
      </c>
      <c r="Q343" t="s">
        <v>110</v>
      </c>
      <c r="R343" s="4">
        <v>197.82300000000001</v>
      </c>
      <c r="S343" s="4">
        <v>748.995</v>
      </c>
      <c r="T343">
        <f>K343+M343+O343</f>
        <v>962.91000000000008</v>
      </c>
      <c r="U343">
        <f t="shared" si="60"/>
        <v>946.81799999999998</v>
      </c>
    </row>
    <row r="344" spans="1:21" x14ac:dyDescent="0.35">
      <c r="A344">
        <v>23945</v>
      </c>
      <c r="B344" s="1">
        <v>39082</v>
      </c>
      <c r="C344">
        <v>2006</v>
      </c>
      <c r="D344">
        <v>156708109</v>
      </c>
      <c r="E344" t="s">
        <v>48</v>
      </c>
      <c r="F344" t="str">
        <f t="shared" si="55"/>
        <v>873364_2006</v>
      </c>
      <c r="G344" s="2" t="str">
        <f t="shared" si="56"/>
        <v>extracted_filing/873364_2006_10-K.html</v>
      </c>
      <c r="H344" s="2" t="str">
        <f t="shared" si="57"/>
        <v>extracted_filing/873364_2006_10-K.txt</v>
      </c>
      <c r="I344" s="2" t="str">
        <f t="shared" si="58"/>
        <v>https://www.sec.gov/cgi-bin/browse-edgar?action=getcompany&amp;CIK=873364&amp;type=10-K&amp;dateb=20080101&amp;owner=exclude&amp;count=40&amp;search_text=</v>
      </c>
      <c r="J344">
        <v>873364</v>
      </c>
      <c r="K344" s="3">
        <v>257.06099999999998</v>
      </c>
      <c r="L344">
        <f>K344+M344+O344</f>
        <v>1336.0039999999999</v>
      </c>
      <c r="M344" s="3">
        <v>675.57600000000002</v>
      </c>
      <c r="N344">
        <f t="shared" si="59"/>
        <v>675.57600000000002</v>
      </c>
      <c r="O344" s="3">
        <f>403.367</f>
        <v>403.36700000000002</v>
      </c>
      <c r="P344">
        <f>403.367</f>
        <v>403.36700000000002</v>
      </c>
      <c r="Q344" t="s">
        <v>110</v>
      </c>
      <c r="R344" s="4">
        <v>271.06099999999998</v>
      </c>
      <c r="S344" s="4">
        <v>1054.943</v>
      </c>
      <c r="T344">
        <f>K344+M344+O344</f>
        <v>1336.0039999999999</v>
      </c>
      <c r="U344">
        <f t="shared" si="60"/>
        <v>1326.0039999999999</v>
      </c>
    </row>
    <row r="345" spans="1:21" x14ac:dyDescent="0.35">
      <c r="A345">
        <v>24008</v>
      </c>
      <c r="B345" s="1">
        <v>35795</v>
      </c>
      <c r="C345">
        <v>1997</v>
      </c>
      <c r="D345">
        <v>584699102</v>
      </c>
      <c r="E345" t="s">
        <v>49</v>
      </c>
      <c r="F345" t="str">
        <f t="shared" si="55"/>
        <v>873591_1997</v>
      </c>
      <c r="G345" s="2" t="str">
        <f t="shared" si="56"/>
        <v>extracted_filing/873591_1997_10-K.html</v>
      </c>
      <c r="H345" s="2" t="str">
        <f t="shared" si="57"/>
        <v>extracted_filing/873591_1997_10-K.txt</v>
      </c>
      <c r="I345" s="2" t="str">
        <f t="shared" si="58"/>
        <v>https://www.sec.gov/cgi-bin/browse-edgar?action=getcompany&amp;CIK=873591&amp;type=10-K&amp;dateb=20080101&amp;owner=exclude&amp;count=40&amp;search_text=</v>
      </c>
      <c r="J345">
        <v>873591</v>
      </c>
      <c r="K345" s="3">
        <f>34.433-2.749</f>
        <v>31.684000000000001</v>
      </c>
      <c r="L345">
        <f>K345+M345+O345</f>
        <v>104.08799999999999</v>
      </c>
      <c r="M345" s="3">
        <v>31.734999999999999</v>
      </c>
      <c r="N345">
        <f t="shared" si="59"/>
        <v>31.734999999999999</v>
      </c>
      <c r="O345" s="3">
        <v>40.668999999999997</v>
      </c>
      <c r="P345">
        <v>40.668999999999997</v>
      </c>
      <c r="Q345" t="s">
        <v>112</v>
      </c>
      <c r="R345">
        <v>115.631</v>
      </c>
      <c r="T345">
        <f>K345+M345+O345</f>
        <v>104.08799999999999</v>
      </c>
      <c r="U345" t="s">
        <v>113</v>
      </c>
    </row>
    <row r="346" spans="1:21" x14ac:dyDescent="0.35">
      <c r="A346">
        <v>24008</v>
      </c>
      <c r="B346" s="1">
        <v>36160</v>
      </c>
      <c r="C346">
        <v>1998</v>
      </c>
      <c r="D346">
        <v>584699102</v>
      </c>
      <c r="E346" t="s">
        <v>49</v>
      </c>
      <c r="F346" t="str">
        <f t="shared" si="55"/>
        <v>873591_1998</v>
      </c>
      <c r="G346" s="2" t="str">
        <f t="shared" si="56"/>
        <v>extracted_filing/873591_1998_10-K.html</v>
      </c>
      <c r="H346" s="2" t="str">
        <f t="shared" si="57"/>
        <v>extracted_filing/873591_1998_10-K.txt</v>
      </c>
      <c r="I346" s="2" t="str">
        <f t="shared" si="58"/>
        <v>https://www.sec.gov/cgi-bin/browse-edgar?action=getcompany&amp;CIK=873591&amp;type=10-K&amp;dateb=20080101&amp;owner=exclude&amp;count=40&amp;search_text=</v>
      </c>
      <c r="J346">
        <v>873591</v>
      </c>
      <c r="K346" s="3">
        <f>70.236-3.455</f>
        <v>66.781000000000006</v>
      </c>
      <c r="L346">
        <f>K346+M346+O346</f>
        <v>154.56400000000002</v>
      </c>
      <c r="M346" s="3">
        <v>62.008000000000003</v>
      </c>
      <c r="N346">
        <f t="shared" si="59"/>
        <v>62.008000000000003</v>
      </c>
      <c r="O346" s="3">
        <v>25.774999999999999</v>
      </c>
      <c r="P346">
        <v>25.774999999999999</v>
      </c>
      <c r="Q346" t="s">
        <v>112</v>
      </c>
      <c r="R346">
        <v>191.059</v>
      </c>
      <c r="T346">
        <f>K346+M346+O346</f>
        <v>154.56400000000002</v>
      </c>
      <c r="U346" t="s">
        <v>113</v>
      </c>
    </row>
    <row r="347" spans="1:21" x14ac:dyDescent="0.35">
      <c r="A347">
        <v>24008</v>
      </c>
      <c r="B347" s="1">
        <v>36525</v>
      </c>
      <c r="C347">
        <v>1999</v>
      </c>
      <c r="D347">
        <v>584699102</v>
      </c>
      <c r="E347" t="s">
        <v>49</v>
      </c>
      <c r="F347" t="str">
        <f t="shared" si="55"/>
        <v>873591_1999</v>
      </c>
      <c r="G347" s="2" t="str">
        <f t="shared" si="56"/>
        <v>extracted_filing/873591_1999_10-K.html</v>
      </c>
      <c r="H347" s="2" t="str">
        <f t="shared" si="57"/>
        <v>extracted_filing/873591_1999_10-K.txt</v>
      </c>
      <c r="I347" s="2" t="str">
        <f t="shared" si="58"/>
        <v>https://www.sec.gov/cgi-bin/browse-edgar?action=getcompany&amp;CIK=873591&amp;type=10-K&amp;dateb=20080101&amp;owner=exclude&amp;count=40&amp;search_text=</v>
      </c>
      <c r="J347">
        <v>873591</v>
      </c>
      <c r="K347" s="3">
        <f>90.193-5.001</f>
        <v>85.191999999999993</v>
      </c>
      <c r="L347">
        <f>K347+M347+O347</f>
        <v>284.14600000000002</v>
      </c>
      <c r="M347" s="3">
        <v>139.38900000000001</v>
      </c>
      <c r="N347">
        <f t="shared" si="59"/>
        <v>139.38900000000001</v>
      </c>
      <c r="O347" s="3">
        <v>59.564999999999998</v>
      </c>
      <c r="P347">
        <v>59.564999999999998</v>
      </c>
      <c r="Q347" t="s">
        <v>112</v>
      </c>
      <c r="R347">
        <v>285.721</v>
      </c>
      <c r="T347">
        <f>K347+M347+O347</f>
        <v>284.14600000000002</v>
      </c>
    </row>
    <row r="348" spans="1:21" x14ac:dyDescent="0.35">
      <c r="A348">
        <v>24008</v>
      </c>
      <c r="B348" s="1">
        <v>36891</v>
      </c>
      <c r="C348">
        <v>2000</v>
      </c>
      <c r="D348">
        <v>584699102</v>
      </c>
      <c r="E348" t="s">
        <v>49</v>
      </c>
      <c r="F348" t="str">
        <f t="shared" si="55"/>
        <v>873591_2000</v>
      </c>
      <c r="G348" s="2" t="str">
        <f t="shared" si="56"/>
        <v>extracted_filing/873591_2000_10-K.html</v>
      </c>
      <c r="H348" s="2" t="str">
        <f t="shared" si="57"/>
        <v>extracted_filing/873591_2000_10-K.txt</v>
      </c>
      <c r="I348" s="2" t="str">
        <f t="shared" si="58"/>
        <v>https://www.sec.gov/cgi-bin/browse-edgar?action=getcompany&amp;CIK=873591&amp;type=10-K&amp;dateb=20080101&amp;owner=exclude&amp;count=40&amp;search_text=</v>
      </c>
      <c r="J348">
        <v>873591</v>
      </c>
      <c r="K348" s="3">
        <f>127.32-7.322</f>
        <v>119.99799999999999</v>
      </c>
      <c r="L348">
        <f>K348+M348+O348</f>
        <v>343.62399999999997</v>
      </c>
      <c r="M348" s="3">
        <v>157.33000000000001</v>
      </c>
      <c r="N348">
        <f t="shared" si="59"/>
        <v>157.33000000000001</v>
      </c>
      <c r="O348" s="3">
        <v>66.296000000000006</v>
      </c>
      <c r="P348">
        <v>66.296000000000006</v>
      </c>
      <c r="Q348" t="s">
        <v>112</v>
      </c>
      <c r="R348">
        <v>349.55500000000001</v>
      </c>
      <c r="T348">
        <f>K348+M348+O348</f>
        <v>343.62399999999997</v>
      </c>
    </row>
    <row r="349" spans="1:21" x14ac:dyDescent="0.35">
      <c r="A349">
        <v>24008</v>
      </c>
      <c r="B349" s="1">
        <v>37256</v>
      </c>
      <c r="C349">
        <v>2001</v>
      </c>
      <c r="D349">
        <v>584699102</v>
      </c>
      <c r="E349" t="s">
        <v>49</v>
      </c>
      <c r="F349" t="str">
        <f t="shared" si="55"/>
        <v>873591_2001</v>
      </c>
      <c r="G349" s="2" t="str">
        <f t="shared" si="56"/>
        <v>extracted_filing/873591_2001_10-K.html</v>
      </c>
      <c r="H349" s="2" t="str">
        <f t="shared" si="57"/>
        <v>extracted_filing/873591_2001_10-K.txt</v>
      </c>
      <c r="I349" s="2" t="str">
        <f t="shared" si="58"/>
        <v>https://www.sec.gov/cgi-bin/browse-edgar?action=getcompany&amp;CIK=873591&amp;type=10-K&amp;dateb=20080101&amp;owner=exclude&amp;count=40&amp;search_text=</v>
      </c>
      <c r="J349">
        <v>873591</v>
      </c>
      <c r="K349">
        <v>129.583</v>
      </c>
      <c r="L349">
        <f>K349+M349+O349</f>
        <v>407.40899999999999</v>
      </c>
      <c r="M349" s="3">
        <v>194.84100000000001</v>
      </c>
      <c r="N349">
        <f t="shared" si="59"/>
        <v>194.84100000000001</v>
      </c>
      <c r="O349" s="3">
        <v>82.984999999999999</v>
      </c>
      <c r="P349">
        <v>82.984999999999999</v>
      </c>
      <c r="Q349" t="s">
        <v>111</v>
      </c>
      <c r="R349">
        <v>129.583</v>
      </c>
      <c r="S349" s="4">
        <v>274.03199999999998</v>
      </c>
      <c r="T349">
        <f>K349+M349+O349</f>
        <v>407.40899999999999</v>
      </c>
      <c r="U349">
        <f t="shared" ref="U349:U354" si="61">SUM(R349:S349)</f>
        <v>403.61500000000001</v>
      </c>
    </row>
    <row r="350" spans="1:21" x14ac:dyDescent="0.35">
      <c r="A350">
        <v>24008</v>
      </c>
      <c r="B350" s="1">
        <v>37621</v>
      </c>
      <c r="C350">
        <v>2002</v>
      </c>
      <c r="D350">
        <v>584699102</v>
      </c>
      <c r="E350" t="s">
        <v>49</v>
      </c>
      <c r="F350" t="str">
        <f t="shared" si="55"/>
        <v>873591_2002</v>
      </c>
      <c r="G350" s="2" t="str">
        <f t="shared" si="56"/>
        <v>extracted_filing/873591_2002_10-K.html</v>
      </c>
      <c r="H350" s="2" t="str">
        <f t="shared" si="57"/>
        <v>extracted_filing/873591_2002_10-K.txt</v>
      </c>
      <c r="I350" s="2" t="str">
        <f t="shared" si="58"/>
        <v>https://www.sec.gov/cgi-bin/browse-edgar?action=getcompany&amp;CIK=873591&amp;type=10-K&amp;dateb=20080101&amp;owner=exclude&amp;count=40&amp;search_text=</v>
      </c>
      <c r="J350">
        <v>873591</v>
      </c>
      <c r="K350">
        <v>164.107</v>
      </c>
      <c r="L350">
        <f>K350+M350+O350</f>
        <v>607.57999999999993</v>
      </c>
      <c r="M350" s="3">
        <v>299.32299999999998</v>
      </c>
      <c r="N350">
        <f t="shared" si="59"/>
        <v>299.32299999999998</v>
      </c>
      <c r="O350" s="3">
        <v>144.15</v>
      </c>
      <c r="P350">
        <v>144.15</v>
      </c>
      <c r="Q350" t="s">
        <v>111</v>
      </c>
      <c r="R350">
        <v>164.107</v>
      </c>
      <c r="S350" s="4">
        <v>518.99400000000003</v>
      </c>
      <c r="T350">
        <f>K350+M350+O350</f>
        <v>607.57999999999993</v>
      </c>
      <c r="U350">
        <f t="shared" si="61"/>
        <v>683.101</v>
      </c>
    </row>
    <row r="351" spans="1:21" x14ac:dyDescent="0.35">
      <c r="A351">
        <v>24008</v>
      </c>
      <c r="B351" s="1">
        <v>37986</v>
      </c>
      <c r="C351">
        <v>2003</v>
      </c>
      <c r="D351">
        <v>584699102</v>
      </c>
      <c r="E351" t="s">
        <v>49</v>
      </c>
      <c r="F351" t="str">
        <f t="shared" si="55"/>
        <v>873591_2003</v>
      </c>
      <c r="G351" s="2" t="str">
        <f t="shared" si="56"/>
        <v>extracted_filing/873591_2003_10-K.html</v>
      </c>
      <c r="H351" s="2" t="str">
        <f t="shared" si="57"/>
        <v>extracted_filing/873591_2003_10-K.txt</v>
      </c>
      <c r="I351" s="2" t="str">
        <f t="shared" si="58"/>
        <v>https://www.sec.gov/cgi-bin/browse-edgar?action=getcompany&amp;CIK=873591&amp;type=10-K&amp;dateb=20080101&amp;owner=exclude&amp;count=40&amp;search_text=</v>
      </c>
      <c r="J351">
        <v>873591</v>
      </c>
      <c r="K351">
        <v>252.09399999999999</v>
      </c>
      <c r="L351">
        <f>K351+M351+O351</f>
        <v>749.31399999999996</v>
      </c>
      <c r="M351" s="3">
        <v>340.90199999999999</v>
      </c>
      <c r="N351">
        <f t="shared" si="59"/>
        <v>340.90199999999999</v>
      </c>
      <c r="O351" s="3">
        <v>156.31800000000001</v>
      </c>
      <c r="P351">
        <v>156.31800000000001</v>
      </c>
      <c r="Q351" t="s">
        <v>111</v>
      </c>
      <c r="R351">
        <v>252.09399999999999</v>
      </c>
      <c r="S351" s="4">
        <v>523.35799999999904</v>
      </c>
      <c r="T351">
        <f>K351+M351+O351</f>
        <v>749.31399999999996</v>
      </c>
      <c r="U351">
        <f t="shared" si="61"/>
        <v>775.45199999999909</v>
      </c>
    </row>
    <row r="352" spans="1:21" x14ac:dyDescent="0.35">
      <c r="A352">
        <v>24008</v>
      </c>
      <c r="B352" s="1">
        <v>38352</v>
      </c>
      <c r="C352">
        <v>2004</v>
      </c>
      <c r="D352">
        <v>584699102</v>
      </c>
      <c r="E352" t="s">
        <v>49</v>
      </c>
      <c r="F352" t="str">
        <f t="shared" si="55"/>
        <v>873591_2004</v>
      </c>
      <c r="G352" s="2" t="str">
        <f t="shared" si="56"/>
        <v>extracted_filing/873591_2004_10-K.html</v>
      </c>
      <c r="H352" s="2" t="str">
        <f t="shared" si="57"/>
        <v>extracted_filing/873591_2004_10-K.txt</v>
      </c>
      <c r="I352" s="2" t="str">
        <f t="shared" si="58"/>
        <v>https://www.sec.gov/cgi-bin/browse-edgar?action=getcompany&amp;CIK=873591&amp;type=10-K&amp;dateb=20080101&amp;owner=exclude&amp;count=40&amp;search_text=</v>
      </c>
      <c r="J352">
        <v>873591</v>
      </c>
      <c r="K352">
        <v>325.39999999999998</v>
      </c>
      <c r="L352">
        <f>K352+M352+O352</f>
        <v>1052.8999999999999</v>
      </c>
      <c r="M352" s="3">
        <v>400.2</v>
      </c>
      <c r="N352">
        <f t="shared" si="59"/>
        <v>400.2</v>
      </c>
      <c r="O352" s="3">
        <v>327.3</v>
      </c>
      <c r="P352">
        <v>327.3</v>
      </c>
      <c r="Q352" t="s">
        <v>111</v>
      </c>
      <c r="R352">
        <v>325.39999999999998</v>
      </c>
      <c r="S352" s="4">
        <v>708.3</v>
      </c>
      <c r="T352">
        <f>K352+M352+O352</f>
        <v>1052.8999999999999</v>
      </c>
      <c r="U352">
        <f t="shared" si="61"/>
        <v>1033.6999999999998</v>
      </c>
    </row>
    <row r="353" spans="1:21" x14ac:dyDescent="0.35">
      <c r="A353">
        <v>24008</v>
      </c>
      <c r="B353" s="1">
        <v>38717</v>
      </c>
      <c r="C353">
        <v>2005</v>
      </c>
      <c r="D353">
        <v>584699102</v>
      </c>
      <c r="E353" t="s">
        <v>49</v>
      </c>
      <c r="F353" t="str">
        <f t="shared" si="55"/>
        <v>873591_2005</v>
      </c>
      <c r="G353" s="2" t="str">
        <f t="shared" si="56"/>
        <v>extracted_filing/873591_2005_10-K.html</v>
      </c>
      <c r="H353" s="2" t="str">
        <f t="shared" si="57"/>
        <v>extracted_filing/873591_2005_10-K.txt</v>
      </c>
      <c r="I353" s="2" t="str">
        <f t="shared" si="58"/>
        <v>https://www.sec.gov/cgi-bin/browse-edgar?action=getcompany&amp;CIK=873591&amp;type=10-K&amp;dateb=20080101&amp;owner=exclude&amp;count=40&amp;search_text=</v>
      </c>
      <c r="J353">
        <v>873591</v>
      </c>
      <c r="K353">
        <v>256.2</v>
      </c>
      <c r="L353">
        <f>K353+M353+O353</f>
        <v>1139.1999999999998</v>
      </c>
      <c r="M353" s="3">
        <v>498.4</v>
      </c>
      <c r="N353">
        <f t="shared" si="59"/>
        <v>498.4</v>
      </c>
      <c r="O353" s="3">
        <v>384.6</v>
      </c>
      <c r="P353">
        <v>384.6</v>
      </c>
      <c r="Q353" t="s">
        <v>111</v>
      </c>
      <c r="R353">
        <v>256.2</v>
      </c>
      <c r="S353" s="4">
        <v>895.5</v>
      </c>
      <c r="T353">
        <f>K353+M353+O353</f>
        <v>1139.1999999999998</v>
      </c>
      <c r="U353">
        <f t="shared" si="61"/>
        <v>1151.7</v>
      </c>
    </row>
    <row r="354" spans="1:21" x14ac:dyDescent="0.35">
      <c r="A354">
        <v>24008</v>
      </c>
      <c r="B354" s="1">
        <v>39082</v>
      </c>
      <c r="C354">
        <v>2006</v>
      </c>
      <c r="D354">
        <v>584699102</v>
      </c>
      <c r="E354" t="s">
        <v>49</v>
      </c>
      <c r="F354" t="str">
        <f t="shared" si="55"/>
        <v>873591_2006</v>
      </c>
      <c r="G354" s="2" t="str">
        <f t="shared" si="56"/>
        <v>extracted_filing/873591_2006_10-K.html</v>
      </c>
      <c r="H354" s="2" t="str">
        <f t="shared" si="57"/>
        <v>extracted_filing/873591_2006_10-K.txt</v>
      </c>
      <c r="I354" s="2" t="str">
        <f t="shared" si="58"/>
        <v>https://www.sec.gov/cgi-bin/browse-edgar?action=getcompany&amp;CIK=873591&amp;type=10-K&amp;dateb=20080101&amp;owner=exclude&amp;count=40&amp;search_text=</v>
      </c>
      <c r="J354">
        <v>873591</v>
      </c>
      <c r="K354">
        <v>200.9</v>
      </c>
      <c r="L354">
        <f>K354+M354+O354</f>
        <v>1191</v>
      </c>
      <c r="M354" s="3">
        <v>541.20000000000005</v>
      </c>
      <c r="N354">
        <f t="shared" si="59"/>
        <v>541.20000000000005</v>
      </c>
      <c r="O354" s="3">
        <v>448.9</v>
      </c>
      <c r="P354">
        <v>448.9</v>
      </c>
      <c r="Q354" t="s">
        <v>111</v>
      </c>
      <c r="R354">
        <v>200.9</v>
      </c>
      <c r="S354" s="4">
        <v>1006.1</v>
      </c>
      <c r="T354">
        <f>K354+M354+O354</f>
        <v>1191</v>
      </c>
      <c r="U354">
        <f t="shared" si="61"/>
        <v>1207</v>
      </c>
    </row>
    <row r="355" spans="1:21" x14ac:dyDescent="0.35">
      <c r="A355">
        <v>24344</v>
      </c>
      <c r="B355" s="1">
        <v>35795</v>
      </c>
      <c r="C355">
        <v>1997</v>
      </c>
      <c r="D355" t="s">
        <v>50</v>
      </c>
      <c r="E355" t="s">
        <v>51</v>
      </c>
      <c r="F355" t="str">
        <f t="shared" si="55"/>
        <v>875320_1997</v>
      </c>
      <c r="G355" s="2" t="str">
        <f t="shared" si="56"/>
        <v>extracted_filing/875320_1997_10-K.html</v>
      </c>
      <c r="H355" s="2" t="str">
        <f t="shared" si="57"/>
        <v>extracted_filing/875320_1997_10-K.txt</v>
      </c>
      <c r="I355" s="2" t="str">
        <f t="shared" si="58"/>
        <v>https://www.sec.gov/cgi-bin/browse-edgar?action=getcompany&amp;CIK=875320&amp;type=10-K&amp;dateb=20080101&amp;owner=exclude&amp;count=40&amp;search_text=</v>
      </c>
      <c r="J355">
        <v>875320</v>
      </c>
      <c r="K355" s="3">
        <v>0</v>
      </c>
      <c r="L355">
        <f>K355+M355+O355</f>
        <v>59.466000000000001</v>
      </c>
      <c r="M355" s="3">
        <v>11.43</v>
      </c>
      <c r="N355">
        <f t="shared" si="59"/>
        <v>11.43</v>
      </c>
      <c r="O355" s="3">
        <f>51.624-3.588</f>
        <v>48.036000000000001</v>
      </c>
      <c r="P355">
        <f>51.624-3.588</f>
        <v>48.036000000000001</v>
      </c>
      <c r="Q355" t="s">
        <v>109</v>
      </c>
      <c r="R355" s="4">
        <v>59.466000000000001</v>
      </c>
      <c r="T355">
        <f>K355+M355+O355</f>
        <v>59.466000000000001</v>
      </c>
    </row>
    <row r="356" spans="1:21" x14ac:dyDescent="0.35">
      <c r="A356">
        <v>24344</v>
      </c>
      <c r="B356" s="1">
        <v>36160</v>
      </c>
      <c r="C356">
        <v>1998</v>
      </c>
      <c r="D356" t="s">
        <v>50</v>
      </c>
      <c r="E356" t="s">
        <v>51</v>
      </c>
      <c r="F356" t="str">
        <f t="shared" si="55"/>
        <v>875320_1998</v>
      </c>
      <c r="G356" s="2" t="str">
        <f t="shared" si="56"/>
        <v>extracted_filing/875320_1998_10-K.html</v>
      </c>
      <c r="H356" s="2" t="str">
        <f t="shared" si="57"/>
        <v>extracted_filing/875320_1998_10-K.txt</v>
      </c>
      <c r="I356" s="2" t="str">
        <f t="shared" si="58"/>
        <v>https://www.sec.gov/cgi-bin/browse-edgar?action=getcompany&amp;CIK=875320&amp;type=10-K&amp;dateb=20080101&amp;owner=exclude&amp;count=40&amp;search_text=</v>
      </c>
      <c r="J356">
        <v>875320</v>
      </c>
      <c r="K356" s="3">
        <v>0</v>
      </c>
      <c r="L356">
        <f>K356+M356+O356</f>
        <v>72.283000000000001</v>
      </c>
      <c r="M356" s="3">
        <v>18.135000000000002</v>
      </c>
      <c r="N356">
        <f t="shared" si="59"/>
        <v>18.135000000000002</v>
      </c>
      <c r="O356" s="3">
        <f>58.668-4.52</f>
        <v>54.147999999999996</v>
      </c>
      <c r="P356">
        <f>58.668-4.52</f>
        <v>54.147999999999996</v>
      </c>
      <c r="Q356" t="s">
        <v>109</v>
      </c>
      <c r="R356" s="4">
        <v>72.283000000000001</v>
      </c>
      <c r="T356">
        <f>K356+M356+O356</f>
        <v>72.283000000000001</v>
      </c>
    </row>
    <row r="357" spans="1:21" x14ac:dyDescent="0.35">
      <c r="A357">
        <v>24344</v>
      </c>
      <c r="B357" s="1">
        <v>36525</v>
      </c>
      <c r="C357">
        <v>1999</v>
      </c>
      <c r="D357" t="s">
        <v>50</v>
      </c>
      <c r="E357" t="s">
        <v>51</v>
      </c>
      <c r="F357" t="str">
        <f t="shared" si="55"/>
        <v>875320_1999</v>
      </c>
      <c r="G357" s="2" t="str">
        <f t="shared" si="56"/>
        <v>extracted_filing/875320_1999_10-K.html</v>
      </c>
      <c r="H357" s="2" t="str">
        <f t="shared" si="57"/>
        <v>extracted_filing/875320_1999_10-K.txt</v>
      </c>
      <c r="I357" s="2" t="str">
        <f t="shared" si="58"/>
        <v>https://www.sec.gov/cgi-bin/browse-edgar?action=getcompany&amp;CIK=875320&amp;type=10-K&amp;dateb=20080101&amp;owner=exclude&amp;count=40&amp;search_text=</v>
      </c>
      <c r="J357">
        <v>875320</v>
      </c>
      <c r="K357" s="3">
        <v>2.9249999999999998</v>
      </c>
      <c r="L357">
        <f>K357+M357+O357</f>
        <v>95.03</v>
      </c>
      <c r="M357" s="3">
        <v>26.131</v>
      </c>
      <c r="N357">
        <f t="shared" si="59"/>
        <v>26.131</v>
      </c>
      <c r="O357" s="3">
        <f>72.18-6.206</f>
        <v>65.974000000000004</v>
      </c>
      <c r="P357">
        <f>72.18-6.206</f>
        <v>65.974000000000004</v>
      </c>
      <c r="Q357" t="s">
        <v>109</v>
      </c>
      <c r="R357" s="4">
        <v>95.03</v>
      </c>
      <c r="T357">
        <f>K357+M357+O357</f>
        <v>95.03</v>
      </c>
    </row>
    <row r="358" spans="1:21" x14ac:dyDescent="0.35">
      <c r="A358">
        <v>24344</v>
      </c>
      <c r="B358" s="1">
        <v>36891</v>
      </c>
      <c r="C358">
        <v>2000</v>
      </c>
      <c r="D358" t="s">
        <v>50</v>
      </c>
      <c r="E358" t="s">
        <v>51</v>
      </c>
      <c r="F358" t="str">
        <f t="shared" si="55"/>
        <v>875320_2000</v>
      </c>
      <c r="G358" s="2" t="str">
        <f t="shared" si="56"/>
        <v>extracted_filing/875320_2000_10-K.html</v>
      </c>
      <c r="H358" s="2" t="str">
        <f t="shared" si="57"/>
        <v>extracted_filing/875320_2000_10-K.txt</v>
      </c>
      <c r="I358" s="2" t="str">
        <f t="shared" si="58"/>
        <v>https://www.sec.gov/cgi-bin/browse-edgar?action=getcompany&amp;CIK=875320&amp;type=10-K&amp;dateb=20080101&amp;owner=exclude&amp;count=40&amp;search_text=</v>
      </c>
      <c r="J358">
        <v>875320</v>
      </c>
      <c r="K358" s="3">
        <v>4.0819999999999999</v>
      </c>
      <c r="L358">
        <f>K358+M358+O358</f>
        <v>107.71400000000001</v>
      </c>
      <c r="M358" s="3">
        <v>27.806000000000001</v>
      </c>
      <c r="N358">
        <f t="shared" si="59"/>
        <v>27.806000000000001</v>
      </c>
      <c r="O358" s="3">
        <f>84.921-9.095</f>
        <v>75.826000000000008</v>
      </c>
      <c r="P358">
        <f>84.921-9.095</f>
        <v>75.826000000000008</v>
      </c>
      <c r="Q358" t="s">
        <v>109</v>
      </c>
      <c r="R358" s="4">
        <v>107.714</v>
      </c>
      <c r="T358">
        <f>K358+M358+O358</f>
        <v>107.71400000000001</v>
      </c>
    </row>
    <row r="359" spans="1:21" x14ac:dyDescent="0.35">
      <c r="A359">
        <v>24344</v>
      </c>
      <c r="B359" s="1">
        <v>37256</v>
      </c>
      <c r="C359">
        <v>2001</v>
      </c>
      <c r="D359" t="s">
        <v>50</v>
      </c>
      <c r="E359" t="s">
        <v>51</v>
      </c>
      <c r="F359" t="str">
        <f t="shared" si="55"/>
        <v>875320_2001</v>
      </c>
      <c r="G359" s="2" t="str">
        <f t="shared" si="56"/>
        <v>extracted_filing/875320_2001_10-K.html</v>
      </c>
      <c r="H359" s="2" t="str">
        <f t="shared" si="57"/>
        <v>extracted_filing/875320_2001_10-K.txt</v>
      </c>
      <c r="I359" s="2" t="str">
        <f t="shared" si="58"/>
        <v>https://www.sec.gov/cgi-bin/browse-edgar?action=getcompany&amp;CIK=875320&amp;type=10-K&amp;dateb=20080101&amp;owner=exclude&amp;count=40&amp;search_text=</v>
      </c>
      <c r="J359">
        <v>875320</v>
      </c>
      <c r="K359" s="3">
        <f>4.786+25.242+10.601</f>
        <v>40.628999999999998</v>
      </c>
      <c r="L359">
        <f>K359+M359+O359</f>
        <v>218.67500000000001</v>
      </c>
      <c r="M359" s="3">
        <v>47.337000000000003</v>
      </c>
      <c r="N359">
        <f t="shared" si="59"/>
        <v>47.337000000000003</v>
      </c>
      <c r="O359" s="3">
        <f>148.673-17.964</f>
        <v>130.709</v>
      </c>
      <c r="P359">
        <f>148.673-17.964</f>
        <v>130.709</v>
      </c>
      <c r="Q359" t="s">
        <v>114</v>
      </c>
      <c r="R359" s="4">
        <v>95.995999999999995</v>
      </c>
      <c r="S359" s="4">
        <v>126.258</v>
      </c>
      <c r="T359">
        <f>K359+M359+O359</f>
        <v>218.67500000000001</v>
      </c>
      <c r="U359">
        <f t="shared" ref="U359:U364" si="62">SUM(R359:S359)</f>
        <v>222.25399999999999</v>
      </c>
    </row>
    <row r="360" spans="1:21" x14ac:dyDescent="0.35">
      <c r="A360">
        <v>24344</v>
      </c>
      <c r="B360" s="1">
        <v>37621</v>
      </c>
      <c r="C360">
        <v>2002</v>
      </c>
      <c r="D360" t="s">
        <v>50</v>
      </c>
      <c r="E360" t="s">
        <v>51</v>
      </c>
      <c r="F360" t="str">
        <f t="shared" si="55"/>
        <v>875320_2002</v>
      </c>
      <c r="G360" s="2" t="str">
        <f t="shared" si="56"/>
        <v>extracted_filing/875320_2002_10-K.html</v>
      </c>
      <c r="H360" s="2" t="str">
        <f t="shared" si="57"/>
        <v>extracted_filing/875320_2002_10-K.txt</v>
      </c>
      <c r="I360" s="2" t="str">
        <f t="shared" si="58"/>
        <v>https://www.sec.gov/cgi-bin/browse-edgar?action=getcompany&amp;CIK=875320&amp;type=10-K&amp;dateb=20080101&amp;owner=exclude&amp;count=40&amp;search_text=</v>
      </c>
      <c r="J360">
        <v>875320</v>
      </c>
      <c r="K360" s="3">
        <f>3.434+13.684+11.163</f>
        <v>28.280999999999999</v>
      </c>
      <c r="L360">
        <f>K360+M360+O360</f>
        <v>255.25700000000001</v>
      </c>
      <c r="M360" s="3">
        <v>49.39</v>
      </c>
      <c r="N360">
        <f t="shared" si="59"/>
        <v>49.39</v>
      </c>
      <c r="O360" s="3">
        <f>203.018-25.432</f>
        <v>177.58600000000001</v>
      </c>
      <c r="P360">
        <f>203.018-25.432</f>
        <v>177.58600000000001</v>
      </c>
      <c r="Q360" t="s">
        <v>114</v>
      </c>
      <c r="R360" s="4">
        <v>94.462000000000003</v>
      </c>
      <c r="S360" s="4">
        <v>162.22399999999999</v>
      </c>
      <c r="T360">
        <f>K360+M360+O360</f>
        <v>255.25700000000001</v>
      </c>
      <c r="U360">
        <f t="shared" si="62"/>
        <v>256.68599999999998</v>
      </c>
    </row>
    <row r="361" spans="1:21" x14ac:dyDescent="0.35">
      <c r="A361">
        <v>24344</v>
      </c>
      <c r="B361" s="1">
        <v>37986</v>
      </c>
      <c r="C361">
        <v>2003</v>
      </c>
      <c r="D361" t="s">
        <v>50</v>
      </c>
      <c r="E361" t="s">
        <v>51</v>
      </c>
      <c r="F361" t="str">
        <f t="shared" si="55"/>
        <v>875320_2003</v>
      </c>
      <c r="G361" s="2" t="str">
        <f t="shared" si="56"/>
        <v>extracted_filing/875320_2003_10-K.html</v>
      </c>
      <c r="H361" s="2" t="str">
        <f t="shared" si="57"/>
        <v>extracted_filing/875320_2003_10-K.txt</v>
      </c>
      <c r="I361" s="2" t="str">
        <f t="shared" si="58"/>
        <v>https://www.sec.gov/cgi-bin/browse-edgar?action=getcompany&amp;CIK=875320&amp;type=10-K&amp;dateb=20080101&amp;owner=exclude&amp;count=40&amp;search_text=</v>
      </c>
      <c r="J361">
        <v>875320</v>
      </c>
      <c r="K361" s="3">
        <v>3.1259999999999999</v>
      </c>
      <c r="L361">
        <f>K361+M361+O361</f>
        <v>218.40600000000001</v>
      </c>
      <c r="M361" s="3">
        <v>39.082000000000001</v>
      </c>
      <c r="N361">
        <f t="shared" si="59"/>
        <v>39.082000000000001</v>
      </c>
      <c r="O361" s="3">
        <f>199.636-23.438</f>
        <v>176.19800000000001</v>
      </c>
      <c r="P361">
        <f>199.636-23.438</f>
        <v>176.19800000000001</v>
      </c>
      <c r="Q361" t="s">
        <v>114</v>
      </c>
      <c r="R361" s="4">
        <v>57.234999999999999</v>
      </c>
      <c r="S361" s="4">
        <v>156.62100000000001</v>
      </c>
      <c r="T361">
        <f>K361+M361+O361</f>
        <v>218.40600000000001</v>
      </c>
      <c r="U361">
        <f t="shared" si="62"/>
        <v>213.85599999999999</v>
      </c>
    </row>
    <row r="362" spans="1:21" x14ac:dyDescent="0.35">
      <c r="A362">
        <v>24344</v>
      </c>
      <c r="B362" s="1">
        <v>38352</v>
      </c>
      <c r="C362">
        <v>2004</v>
      </c>
      <c r="D362" t="s">
        <v>50</v>
      </c>
      <c r="E362" t="s">
        <v>51</v>
      </c>
      <c r="F362" t="str">
        <f t="shared" si="55"/>
        <v>875320_2004</v>
      </c>
      <c r="G362" s="2" t="str">
        <f t="shared" si="56"/>
        <v>extracted_filing/875320_2004_10-K.html</v>
      </c>
      <c r="H362" s="2" t="str">
        <f t="shared" si="57"/>
        <v>extracted_filing/875320_2004_10-K.txt</v>
      </c>
      <c r="I362" s="2" t="str">
        <f t="shared" si="58"/>
        <v>https://www.sec.gov/cgi-bin/browse-edgar?action=getcompany&amp;CIK=875320&amp;type=10-K&amp;dateb=20080101&amp;owner=exclude&amp;count=40&amp;search_text=</v>
      </c>
      <c r="J362">
        <v>875320</v>
      </c>
      <c r="K362" s="3">
        <v>5.649</v>
      </c>
      <c r="L362">
        <f>K362+M362+O362</f>
        <v>210.31</v>
      </c>
      <c r="M362" s="3">
        <v>42.139000000000003</v>
      </c>
      <c r="N362">
        <f t="shared" si="59"/>
        <v>42.139000000000003</v>
      </c>
      <c r="O362" s="3">
        <f>192.162-29.64</f>
        <v>162.52199999999999</v>
      </c>
      <c r="P362">
        <f>192.162-29.64</f>
        <v>162.52199999999999</v>
      </c>
      <c r="Q362" t="s">
        <v>114</v>
      </c>
      <c r="R362" s="4">
        <v>67.771000000000001</v>
      </c>
      <c r="S362" s="4">
        <v>143.82599999999999</v>
      </c>
      <c r="T362">
        <f>K362+M362+O362</f>
        <v>210.31</v>
      </c>
      <c r="U362">
        <f t="shared" si="62"/>
        <v>211.59699999999998</v>
      </c>
    </row>
    <row r="363" spans="1:21" x14ac:dyDescent="0.35">
      <c r="A363">
        <v>24344</v>
      </c>
      <c r="B363" s="1">
        <v>38717</v>
      </c>
      <c r="C363">
        <v>2005</v>
      </c>
      <c r="D363" t="s">
        <v>50</v>
      </c>
      <c r="E363" t="s">
        <v>51</v>
      </c>
      <c r="F363" t="str">
        <f t="shared" si="55"/>
        <v>875320_2005</v>
      </c>
      <c r="G363" s="2" t="str">
        <f t="shared" si="56"/>
        <v>extracted_filing/875320_2005_10-K.html</v>
      </c>
      <c r="H363" s="2" t="str">
        <f t="shared" si="57"/>
        <v>extracted_filing/875320_2005_10-K.txt</v>
      </c>
      <c r="I363" s="2" t="str">
        <f t="shared" si="58"/>
        <v>https://www.sec.gov/cgi-bin/browse-edgar?action=getcompany&amp;CIK=875320&amp;type=10-K&amp;dateb=20080101&amp;owner=exclude&amp;count=40&amp;search_text=</v>
      </c>
      <c r="J363">
        <v>875320</v>
      </c>
      <c r="K363" s="3">
        <v>10.098000000000001</v>
      </c>
      <c r="L363">
        <f>K363+M363+O363</f>
        <v>275.339</v>
      </c>
      <c r="M363" s="3">
        <v>43.99</v>
      </c>
      <c r="N363">
        <f t="shared" si="59"/>
        <v>43.99</v>
      </c>
      <c r="O363" s="3">
        <f>248.54-27.289</f>
        <v>221.25099999999998</v>
      </c>
      <c r="P363">
        <f>248.54-27.289</f>
        <v>221.25099999999998</v>
      </c>
      <c r="Q363" t="s">
        <v>114</v>
      </c>
      <c r="R363" s="4">
        <v>124.086</v>
      </c>
      <c r="S363" s="4">
        <v>152.23500000000001</v>
      </c>
      <c r="T363">
        <f>K363+M363+O363</f>
        <v>275.339</v>
      </c>
      <c r="U363">
        <f t="shared" si="62"/>
        <v>276.32100000000003</v>
      </c>
    </row>
    <row r="364" spans="1:21" x14ac:dyDescent="0.35">
      <c r="A364">
        <v>24344</v>
      </c>
      <c r="B364" s="1">
        <v>39082</v>
      </c>
      <c r="C364">
        <v>2006</v>
      </c>
      <c r="D364" t="s">
        <v>50</v>
      </c>
      <c r="E364" t="s">
        <v>51</v>
      </c>
      <c r="F364" t="str">
        <f t="shared" si="55"/>
        <v>875320_2006</v>
      </c>
      <c r="G364" s="2" t="str">
        <f t="shared" si="56"/>
        <v>extracted_filing/875320_2006_10-K.html</v>
      </c>
      <c r="H364" s="2" t="str">
        <f t="shared" si="57"/>
        <v>extracted_filing/875320_2006_10-K.txt</v>
      </c>
      <c r="I364" s="2" t="str">
        <f t="shared" si="58"/>
        <v>https://www.sec.gov/cgi-bin/browse-edgar?action=getcompany&amp;CIK=875320&amp;type=10-K&amp;dateb=20080101&amp;owner=exclude&amp;count=40&amp;search_text=</v>
      </c>
      <c r="J364">
        <v>875320</v>
      </c>
      <c r="K364" s="3">
        <v>12.17</v>
      </c>
      <c r="L364">
        <f>K364+M364+O364</f>
        <v>415.875</v>
      </c>
      <c r="M364" s="3">
        <v>57.86</v>
      </c>
      <c r="N364">
        <f t="shared" si="59"/>
        <v>57.86</v>
      </c>
      <c r="O364" s="3">
        <f>371.713-25.868</f>
        <v>345.84500000000003</v>
      </c>
      <c r="P364">
        <f>371.713-25.868</f>
        <v>345.84500000000003</v>
      </c>
      <c r="Q364" t="s">
        <v>115</v>
      </c>
      <c r="R364" s="4">
        <v>204.04400000000001</v>
      </c>
      <c r="S364" s="4">
        <v>212.29900000000001</v>
      </c>
      <c r="T364">
        <f>K364+M364+O364</f>
        <v>415.875</v>
      </c>
      <c r="U364">
        <f t="shared" si="62"/>
        <v>416.34300000000002</v>
      </c>
    </row>
    <row r="365" spans="1:21" x14ac:dyDescent="0.35">
      <c r="A365">
        <v>24856</v>
      </c>
      <c r="B365" s="1">
        <v>35795</v>
      </c>
      <c r="C365">
        <v>1997</v>
      </c>
      <c r="D365">
        <v>375558103</v>
      </c>
      <c r="E365" t="s">
        <v>52</v>
      </c>
      <c r="F365" t="str">
        <f t="shared" si="55"/>
        <v>882095_1997</v>
      </c>
      <c r="G365" s="2" t="str">
        <f t="shared" si="56"/>
        <v>extracted_filing/882095_1997_10-K.html</v>
      </c>
      <c r="H365" s="2" t="str">
        <f t="shared" si="57"/>
        <v>extracted_filing/882095_1997_10-K.txt</v>
      </c>
      <c r="I365" s="2" t="str">
        <f t="shared" si="58"/>
        <v>https://www.sec.gov/cgi-bin/browse-edgar?action=getcompany&amp;CIK=882095&amp;type=10-K&amp;dateb=20080101&amp;owner=exclude&amp;count=40&amp;search_text=</v>
      </c>
      <c r="J365">
        <v>882095</v>
      </c>
      <c r="K365" s="3">
        <v>1.167</v>
      </c>
      <c r="L365">
        <f>K365+M365+O365</f>
        <v>82.818000000000012</v>
      </c>
      <c r="M365" s="3">
        <v>25.472000000000001</v>
      </c>
      <c r="N365">
        <f t="shared" si="59"/>
        <v>25.472000000000001</v>
      </c>
      <c r="O365" s="3">
        <f>59.162-2.983</f>
        <v>56.179000000000002</v>
      </c>
      <c r="P365">
        <f>59.162-2.983</f>
        <v>56.179000000000002</v>
      </c>
      <c r="Q365" t="s">
        <v>121</v>
      </c>
      <c r="R365" s="4">
        <v>83.117999999999995</v>
      </c>
      <c r="S365" s="4"/>
      <c r="T365">
        <f>K365+M365+O365</f>
        <v>82.818000000000012</v>
      </c>
    </row>
    <row r="366" spans="1:21" x14ac:dyDescent="0.35">
      <c r="A366">
        <v>24856</v>
      </c>
      <c r="B366" s="1">
        <v>36160</v>
      </c>
      <c r="C366">
        <v>1998</v>
      </c>
      <c r="D366">
        <v>375558103</v>
      </c>
      <c r="E366" t="s">
        <v>52</v>
      </c>
      <c r="F366" t="str">
        <f t="shared" si="55"/>
        <v>882095_1998</v>
      </c>
      <c r="G366" s="2" t="str">
        <f t="shared" si="56"/>
        <v>extracted_filing/882095_1998_10-K.html</v>
      </c>
      <c r="H366" s="2" t="str">
        <f t="shared" si="57"/>
        <v>extracted_filing/882095_1998_10-K.txt</v>
      </c>
      <c r="I366" s="2" t="str">
        <f t="shared" si="58"/>
        <v>https://www.sec.gov/cgi-bin/browse-edgar?action=getcompany&amp;CIK=882095&amp;type=10-K&amp;dateb=20080101&amp;owner=exclude&amp;count=40&amp;search_text=</v>
      </c>
      <c r="J366">
        <v>882095</v>
      </c>
      <c r="K366" s="3">
        <v>0.59399999999999997</v>
      </c>
      <c r="L366">
        <f>K366+M366+O366</f>
        <v>104.13800000000001</v>
      </c>
      <c r="M366" s="3">
        <v>31.003</v>
      </c>
      <c r="N366">
        <f t="shared" si="59"/>
        <v>31.003</v>
      </c>
      <c r="O366" s="3">
        <f>75.298-2.757</f>
        <v>72.540999999999997</v>
      </c>
      <c r="P366">
        <f>75.298-2.757</f>
        <v>72.540999999999997</v>
      </c>
      <c r="Q366" t="s">
        <v>121</v>
      </c>
      <c r="R366" s="4">
        <v>104.13800000000001</v>
      </c>
      <c r="S366" s="4"/>
      <c r="T366">
        <f>K366+M366+O366</f>
        <v>104.13800000000001</v>
      </c>
    </row>
    <row r="367" spans="1:21" x14ac:dyDescent="0.35">
      <c r="A367">
        <v>24856</v>
      </c>
      <c r="B367" s="1">
        <v>36525</v>
      </c>
      <c r="C367">
        <v>1999</v>
      </c>
      <c r="D367">
        <v>375558103</v>
      </c>
      <c r="E367" t="s">
        <v>52</v>
      </c>
      <c r="F367" t="str">
        <f t="shared" si="55"/>
        <v>882095_1999</v>
      </c>
      <c r="G367" s="2" t="str">
        <f t="shared" si="56"/>
        <v>extracted_filing/882095_1999_10-K.html</v>
      </c>
      <c r="H367" s="2" t="str">
        <f t="shared" si="57"/>
        <v>extracted_filing/882095_1999_10-K.txt</v>
      </c>
      <c r="I367" s="2" t="str">
        <f t="shared" si="58"/>
        <v>https://www.sec.gov/cgi-bin/browse-edgar?action=getcompany&amp;CIK=882095&amp;type=10-K&amp;dateb=20080101&amp;owner=exclude&amp;count=40&amp;search_text=</v>
      </c>
      <c r="J367">
        <v>882095</v>
      </c>
      <c r="K367" s="3">
        <f>29.546-12.623</f>
        <v>16.923000000000002</v>
      </c>
      <c r="L367">
        <f>K367+M367+O367</f>
        <v>208.15800000000002</v>
      </c>
      <c r="M367" s="3">
        <v>78.346999999999994</v>
      </c>
      <c r="N367">
        <f t="shared" si="59"/>
        <v>78.346999999999994</v>
      </c>
      <c r="O367" s="3">
        <v>112.88800000000001</v>
      </c>
      <c r="P367">
        <v>112.88800000000001</v>
      </c>
      <c r="Q367" t="s">
        <v>121</v>
      </c>
      <c r="R367" s="4">
        <v>208.15799999999999</v>
      </c>
      <c r="S367" s="4"/>
      <c r="T367">
        <f>K367+M367+O367</f>
        <v>208.15800000000002</v>
      </c>
    </row>
    <row r="368" spans="1:21" x14ac:dyDescent="0.35">
      <c r="A368">
        <v>24856</v>
      </c>
      <c r="B368" s="1">
        <v>36891</v>
      </c>
      <c r="C368">
        <v>2000</v>
      </c>
      <c r="D368">
        <v>375558103</v>
      </c>
      <c r="E368" t="s">
        <v>52</v>
      </c>
      <c r="F368" t="str">
        <f t="shared" si="55"/>
        <v>882095_2000</v>
      </c>
      <c r="G368" s="2" t="str">
        <f t="shared" si="56"/>
        <v>extracted_filing/882095_2000_10-K.html</v>
      </c>
      <c r="H368" s="2" t="str">
        <f t="shared" si="57"/>
        <v>extracted_filing/882095_2000_10-K.txt</v>
      </c>
      <c r="I368" s="2" t="str">
        <f t="shared" si="58"/>
        <v>https://www.sec.gov/cgi-bin/browse-edgar?action=getcompany&amp;CIK=882095&amp;type=10-K&amp;dateb=20080101&amp;owner=exclude&amp;count=40&amp;search_text=</v>
      </c>
      <c r="J368">
        <v>882095</v>
      </c>
      <c r="K368" s="3">
        <f>33.512-12.008</f>
        <v>21.504000000000001</v>
      </c>
      <c r="L368">
        <f>K368+M368+O368</f>
        <v>235.86500000000001</v>
      </c>
      <c r="M368" s="3">
        <v>82.793000000000006</v>
      </c>
      <c r="N368">
        <f t="shared" si="59"/>
        <v>82.793000000000006</v>
      </c>
      <c r="O368" s="3">
        <v>131.56800000000001</v>
      </c>
      <c r="P368">
        <v>131.56800000000001</v>
      </c>
      <c r="Q368" t="s">
        <v>121</v>
      </c>
      <c r="R368" s="4">
        <v>235.86500000000001</v>
      </c>
      <c r="S368" s="4"/>
      <c r="T368">
        <f>K368+M368+O368</f>
        <v>235.86500000000001</v>
      </c>
    </row>
    <row r="369" spans="1:21" x14ac:dyDescent="0.35">
      <c r="A369">
        <v>24856</v>
      </c>
      <c r="B369" s="1">
        <v>37256</v>
      </c>
      <c r="C369">
        <v>2001</v>
      </c>
      <c r="D369">
        <v>375558103</v>
      </c>
      <c r="E369" t="s">
        <v>52</v>
      </c>
      <c r="F369" t="str">
        <f t="shared" si="55"/>
        <v>882095_2001</v>
      </c>
      <c r="G369" s="2" t="str">
        <f t="shared" si="56"/>
        <v>extracted_filing/882095_2001_10-K.html</v>
      </c>
      <c r="H369" s="2" t="str">
        <f t="shared" si="57"/>
        <v>extracted_filing/882095_2001_10-K.txt</v>
      </c>
      <c r="I369" s="2" t="str">
        <f t="shared" si="58"/>
        <v>https://www.sec.gov/cgi-bin/browse-edgar?action=getcompany&amp;CIK=882095&amp;type=10-K&amp;dateb=20080101&amp;owner=exclude&amp;count=40&amp;search_text=</v>
      </c>
      <c r="J369">
        <v>882095</v>
      </c>
      <c r="K369" s="6">
        <v>30.254999999999999</v>
      </c>
      <c r="L369">
        <f>K369+M369+O369</f>
        <v>340.94900000000001</v>
      </c>
      <c r="M369" s="3">
        <v>125.14100000000001</v>
      </c>
      <c r="N369">
        <f t="shared" si="59"/>
        <v>125.14100000000001</v>
      </c>
      <c r="O369" s="3">
        <v>185.553</v>
      </c>
      <c r="P369">
        <v>185.553</v>
      </c>
      <c r="Q369" t="s">
        <v>120</v>
      </c>
      <c r="R369" s="4">
        <v>30.254999999999999</v>
      </c>
      <c r="S369" s="4">
        <v>310.69400000000002</v>
      </c>
      <c r="T369">
        <f>K369+M369+O369</f>
        <v>340.94900000000001</v>
      </c>
      <c r="U369">
        <f t="shared" ref="U369:U373" si="63">SUM(R369:S369)</f>
        <v>340.94900000000001</v>
      </c>
    </row>
    <row r="370" spans="1:21" x14ac:dyDescent="0.35">
      <c r="A370">
        <v>24856</v>
      </c>
      <c r="B370" s="1">
        <v>37621</v>
      </c>
      <c r="C370">
        <v>2002</v>
      </c>
      <c r="D370">
        <v>375558103</v>
      </c>
      <c r="E370" t="s">
        <v>52</v>
      </c>
      <c r="F370" t="str">
        <f t="shared" si="55"/>
        <v>882095_2002</v>
      </c>
      <c r="G370" s="2" t="str">
        <f t="shared" si="56"/>
        <v>extracted_filing/882095_2002_10-K.html</v>
      </c>
      <c r="H370" s="2" t="str">
        <f t="shared" si="57"/>
        <v>extracted_filing/882095_2002_10-K.txt</v>
      </c>
      <c r="I370" s="2" t="str">
        <f t="shared" si="58"/>
        <v>https://www.sec.gov/cgi-bin/browse-edgar?action=getcompany&amp;CIK=882095&amp;type=10-K&amp;dateb=20080101&amp;owner=exclude&amp;count=40&amp;search_text=</v>
      </c>
      <c r="J370">
        <v>882095</v>
      </c>
      <c r="K370" s="6">
        <v>56.534999999999997</v>
      </c>
      <c r="L370">
        <f>K370+M370+O370</f>
        <v>372.59399999999999</v>
      </c>
      <c r="M370" s="3">
        <v>181.30099999999999</v>
      </c>
      <c r="N370">
        <f t="shared" si="59"/>
        <v>181.30099999999999</v>
      </c>
      <c r="O370" s="3">
        <v>134.75800000000001</v>
      </c>
      <c r="P370">
        <v>134.75800000000001</v>
      </c>
      <c r="Q370" t="s">
        <v>120</v>
      </c>
      <c r="R370" s="4">
        <v>56.534999999999997</v>
      </c>
      <c r="S370" s="4">
        <v>316.05900000000003</v>
      </c>
      <c r="T370">
        <f>K370+M370+O370</f>
        <v>372.59399999999999</v>
      </c>
      <c r="U370">
        <f t="shared" si="63"/>
        <v>372.59400000000005</v>
      </c>
    </row>
    <row r="371" spans="1:21" x14ac:dyDescent="0.35">
      <c r="A371">
        <v>24856</v>
      </c>
      <c r="B371" s="1">
        <v>37986</v>
      </c>
      <c r="C371">
        <v>2003</v>
      </c>
      <c r="D371">
        <v>375558103</v>
      </c>
      <c r="E371" t="s">
        <v>52</v>
      </c>
      <c r="F371" t="str">
        <f t="shared" si="55"/>
        <v>882095_2003</v>
      </c>
      <c r="G371" s="2" t="str">
        <f t="shared" si="56"/>
        <v>extracted_filing/882095_2003_10-K.html</v>
      </c>
      <c r="H371" s="2" t="str">
        <f t="shared" si="57"/>
        <v>extracted_filing/882095_2003_10-K.txt</v>
      </c>
      <c r="I371" s="2" t="str">
        <f t="shared" si="58"/>
        <v>https://www.sec.gov/cgi-bin/browse-edgar?action=getcompany&amp;CIK=882095&amp;type=10-K&amp;dateb=20080101&amp;owner=exclude&amp;count=40&amp;search_text=</v>
      </c>
      <c r="J371">
        <v>882095</v>
      </c>
      <c r="K371" s="6">
        <v>96.158000000000001</v>
      </c>
      <c r="L371">
        <f>K371+M371+O371</f>
        <v>511.18799999999999</v>
      </c>
      <c r="M371" s="3">
        <v>250.15700000000001</v>
      </c>
      <c r="N371">
        <f t="shared" si="59"/>
        <v>250.15700000000001</v>
      </c>
      <c r="O371" s="3">
        <v>164.87299999999999</v>
      </c>
      <c r="P371">
        <v>164.87299999999999</v>
      </c>
      <c r="Q371" t="s">
        <v>120</v>
      </c>
      <c r="R371" s="4">
        <v>96.158000000000001</v>
      </c>
      <c r="S371" s="4">
        <v>415.03</v>
      </c>
      <c r="T371">
        <f>K371+M371+O371</f>
        <v>511.18799999999999</v>
      </c>
      <c r="U371">
        <f t="shared" si="63"/>
        <v>511.18799999999999</v>
      </c>
    </row>
    <row r="372" spans="1:21" x14ac:dyDescent="0.35">
      <c r="A372">
        <v>24856</v>
      </c>
      <c r="B372" s="1">
        <v>38352</v>
      </c>
      <c r="C372">
        <v>2004</v>
      </c>
      <c r="D372">
        <v>375558103</v>
      </c>
      <c r="E372" t="s">
        <v>52</v>
      </c>
      <c r="F372" t="str">
        <f t="shared" si="55"/>
        <v>882095_2004</v>
      </c>
      <c r="G372" s="2" t="str">
        <f t="shared" si="56"/>
        <v>extracted_filing/882095_2004_10-K.html</v>
      </c>
      <c r="H372" s="2" t="str">
        <f t="shared" si="57"/>
        <v>extracted_filing/882095_2004_10-K.txt</v>
      </c>
      <c r="I372" s="2" t="str">
        <f t="shared" si="58"/>
        <v>https://www.sec.gov/cgi-bin/browse-edgar?action=getcompany&amp;CIK=882095&amp;type=10-K&amp;dateb=20080101&amp;owner=exclude&amp;count=40&amp;search_text=</v>
      </c>
      <c r="J372">
        <v>882095</v>
      </c>
      <c r="K372" s="6">
        <v>146.322</v>
      </c>
      <c r="L372">
        <f>K372+M372+O372</f>
        <v>672.66700000000003</v>
      </c>
      <c r="M372" s="3">
        <v>302.79300000000001</v>
      </c>
      <c r="N372">
        <f t="shared" si="59"/>
        <v>302.79300000000001</v>
      </c>
      <c r="O372" s="3">
        <v>223.55199999999999</v>
      </c>
      <c r="P372">
        <v>223.55199999999999</v>
      </c>
      <c r="Q372" t="s">
        <v>120</v>
      </c>
      <c r="R372" s="4">
        <v>146.322</v>
      </c>
      <c r="S372" s="4">
        <v>526.34500000000003</v>
      </c>
      <c r="T372">
        <f>K372+M372+O372</f>
        <v>672.66700000000003</v>
      </c>
      <c r="U372">
        <f t="shared" si="63"/>
        <v>672.66700000000003</v>
      </c>
    </row>
    <row r="373" spans="1:21" x14ac:dyDescent="0.35">
      <c r="A373">
        <v>24856</v>
      </c>
      <c r="B373" s="1">
        <v>38717</v>
      </c>
      <c r="C373">
        <v>2005</v>
      </c>
      <c r="D373">
        <v>375558103</v>
      </c>
      <c r="E373" t="s">
        <v>52</v>
      </c>
      <c r="F373" t="str">
        <f t="shared" si="55"/>
        <v>882095_2005</v>
      </c>
      <c r="G373" s="2" t="str">
        <f t="shared" si="56"/>
        <v>extracted_filing/882095_2005_10-K.html</v>
      </c>
      <c r="H373" s="2" t="str">
        <f t="shared" si="57"/>
        <v>extracted_filing/882095_2005_10-K.txt</v>
      </c>
      <c r="I373" s="2" t="str">
        <f t="shared" si="58"/>
        <v>https://www.sec.gov/cgi-bin/browse-edgar?action=getcompany&amp;CIK=882095&amp;type=10-K&amp;dateb=20080101&amp;owner=exclude&amp;count=40&amp;search_text=</v>
      </c>
      <c r="J373">
        <v>882095</v>
      </c>
      <c r="K373" s="6">
        <v>235.041</v>
      </c>
      <c r="L373">
        <f>K373+M373+O373</f>
        <v>892.01299999999992</v>
      </c>
      <c r="M373" s="3">
        <v>379.24799999999999</v>
      </c>
      <c r="N373">
        <f t="shared" si="59"/>
        <v>379.24799999999999</v>
      </c>
      <c r="O373" s="3">
        <v>277.72399999999999</v>
      </c>
      <c r="P373">
        <v>277.72399999999999</v>
      </c>
      <c r="Q373" t="s">
        <v>120</v>
      </c>
      <c r="R373" s="4">
        <v>235.041</v>
      </c>
      <c r="S373" s="4">
        <v>648.572</v>
      </c>
      <c r="T373">
        <f>K373+M373+O373</f>
        <v>892.01299999999992</v>
      </c>
      <c r="U373">
        <f t="shared" si="63"/>
        <v>883.61300000000006</v>
      </c>
    </row>
    <row r="374" spans="1:21" x14ac:dyDescent="0.35">
      <c r="A374">
        <v>24856</v>
      </c>
      <c r="B374" s="1">
        <v>39082</v>
      </c>
      <c r="C374">
        <v>2006</v>
      </c>
      <c r="D374">
        <v>375558103</v>
      </c>
      <c r="E374" t="s">
        <v>52</v>
      </c>
      <c r="F374" t="str">
        <f t="shared" si="55"/>
        <v>882095_2006</v>
      </c>
      <c r="G374" s="2" t="str">
        <f t="shared" si="56"/>
        <v>extracted_filing/882095_2006_10-K.html</v>
      </c>
      <c r="H374" s="2" t="str">
        <f t="shared" si="57"/>
        <v>extracted_filing/882095_2006_10-K.txt</v>
      </c>
      <c r="I374" s="2" t="str">
        <f t="shared" si="58"/>
        <v>https://www.sec.gov/cgi-bin/browse-edgar?action=getcompany&amp;CIK=882095&amp;type=10-K&amp;dateb=20080101&amp;owner=exclude&amp;count=40&amp;search_text=</v>
      </c>
      <c r="J374">
        <v>882095</v>
      </c>
      <c r="K374" s="6">
        <v>405.7</v>
      </c>
      <c r="L374">
        <f>K374+M374+O374</f>
        <v>1363.221</v>
      </c>
      <c r="M374" s="3">
        <v>573.66</v>
      </c>
      <c r="N374">
        <f t="shared" si="59"/>
        <v>573.66</v>
      </c>
      <c r="O374" s="3">
        <v>383.86099999999999</v>
      </c>
      <c r="P374">
        <v>383.86099999999999</v>
      </c>
      <c r="Q374" t="s">
        <v>120</v>
      </c>
      <c r="R374" s="4">
        <v>405.7</v>
      </c>
      <c r="S374" s="4">
        <v>949.62099999999998</v>
      </c>
      <c r="T374">
        <f>K374+M374+O374</f>
        <v>1363.221</v>
      </c>
      <c r="U374">
        <f>SUM(R374:S374)</f>
        <v>1355.3209999999999</v>
      </c>
    </row>
    <row r="375" spans="1:21" x14ac:dyDescent="0.35">
      <c r="A375">
        <v>24878</v>
      </c>
      <c r="B375" s="1">
        <v>35795</v>
      </c>
      <c r="C375">
        <v>1997</v>
      </c>
      <c r="D375" t="s">
        <v>53</v>
      </c>
      <c r="E375" t="s">
        <v>54</v>
      </c>
      <c r="F375" t="str">
        <f t="shared" si="55"/>
        <v>882104_1997</v>
      </c>
      <c r="G375" s="2" t="str">
        <f t="shared" si="56"/>
        <v>extracted_filing/882104_1997_10-K.html</v>
      </c>
      <c r="H375" s="2" t="str">
        <f t="shared" si="57"/>
        <v>extracted_filing/882104_1997_10-K.txt</v>
      </c>
      <c r="I375" s="2" t="str">
        <f t="shared" si="58"/>
        <v>https://www.sec.gov/cgi-bin/browse-edgar?action=getcompany&amp;CIK=882104&amp;type=10-K&amp;dateb=20080101&amp;owner=exclude&amp;count=40&amp;search_text=</v>
      </c>
      <c r="J375">
        <v>882104</v>
      </c>
      <c r="K375" s="3">
        <v>0</v>
      </c>
      <c r="L375">
        <f>K375+M375+O375</f>
        <v>28.999000000000002</v>
      </c>
      <c r="M375" s="3">
        <v>6.6289999999999996</v>
      </c>
      <c r="N375">
        <f t="shared" si="59"/>
        <v>6.6289999999999996</v>
      </c>
      <c r="O375" s="3">
        <f>25.614-3.244</f>
        <v>22.37</v>
      </c>
      <c r="P375">
        <f>25.614-3.244</f>
        <v>22.37</v>
      </c>
      <c r="Q375" t="s">
        <v>121</v>
      </c>
      <c r="R375" s="4">
        <v>28.998999999999999</v>
      </c>
      <c r="S375" s="4"/>
      <c r="T375">
        <f>K375+M375+O375</f>
        <v>28.999000000000002</v>
      </c>
    </row>
    <row r="376" spans="1:21" x14ac:dyDescent="0.35">
      <c r="A376">
        <v>24878</v>
      </c>
      <c r="B376" s="1">
        <v>36160</v>
      </c>
      <c r="C376">
        <v>1998</v>
      </c>
      <c r="D376" t="s">
        <v>53</v>
      </c>
      <c r="E376" t="s">
        <v>54</v>
      </c>
      <c r="F376" t="str">
        <f t="shared" si="55"/>
        <v>882104_1998</v>
      </c>
      <c r="G376" s="2" t="str">
        <f t="shared" si="56"/>
        <v>extracted_filing/882104_1998_10-K.html</v>
      </c>
      <c r="H376" s="2" t="str">
        <f t="shared" si="57"/>
        <v>extracted_filing/882104_1998_10-K.txt</v>
      </c>
      <c r="I376" s="2" t="str">
        <f t="shared" si="58"/>
        <v>https://www.sec.gov/cgi-bin/browse-edgar?action=getcompany&amp;CIK=882104&amp;type=10-K&amp;dateb=20080101&amp;owner=exclude&amp;count=40&amp;search_text=</v>
      </c>
      <c r="J376">
        <v>882104</v>
      </c>
      <c r="K376" s="3">
        <v>0</v>
      </c>
      <c r="L376">
        <f>K376+M376+O376</f>
        <v>36.64</v>
      </c>
      <c r="M376" s="3">
        <v>8.6850000000000005</v>
      </c>
      <c r="N376">
        <f t="shared" si="59"/>
        <v>8.6850000000000005</v>
      </c>
      <c r="O376" s="3">
        <f>31.645-3.69</f>
        <v>27.954999999999998</v>
      </c>
      <c r="P376">
        <f>31.645-3.69</f>
        <v>27.954999999999998</v>
      </c>
      <c r="Q376" t="s">
        <v>121</v>
      </c>
      <c r="R376" s="4">
        <v>36.64</v>
      </c>
      <c r="S376" s="4"/>
      <c r="T376">
        <f>K376+M376+O376</f>
        <v>36.64</v>
      </c>
    </row>
    <row r="377" spans="1:21" x14ac:dyDescent="0.35">
      <c r="A377">
        <v>24878</v>
      </c>
      <c r="B377" s="1">
        <v>36525</v>
      </c>
      <c r="C377">
        <v>1999</v>
      </c>
      <c r="D377" t="s">
        <v>53</v>
      </c>
      <c r="E377" t="s">
        <v>54</v>
      </c>
      <c r="F377" t="str">
        <f t="shared" si="55"/>
        <v>882104_1999</v>
      </c>
      <c r="G377" s="2" t="str">
        <f t="shared" si="56"/>
        <v>extracted_filing/882104_1999_10-K.html</v>
      </c>
      <c r="H377" s="2" t="str">
        <f t="shared" si="57"/>
        <v>extracted_filing/882104_1999_10-K.txt</v>
      </c>
      <c r="I377" s="2" t="str">
        <f t="shared" si="58"/>
        <v>https://www.sec.gov/cgi-bin/browse-edgar?action=getcompany&amp;CIK=882104&amp;type=10-K&amp;dateb=20080101&amp;owner=exclude&amp;count=40&amp;search_text=</v>
      </c>
      <c r="J377">
        <v>882104</v>
      </c>
      <c r="K377" s="3">
        <v>0</v>
      </c>
      <c r="L377">
        <f>K377+M377+O377</f>
        <v>42.394000000000005</v>
      </c>
      <c r="M377" s="3">
        <v>9.8420000000000005</v>
      </c>
      <c r="N377">
        <f t="shared" si="59"/>
        <v>9.8420000000000005</v>
      </c>
      <c r="O377" s="3">
        <f>36.09-3.538</f>
        <v>32.552000000000007</v>
      </c>
      <c r="P377">
        <f>36.09-3.538</f>
        <v>32.552000000000007</v>
      </c>
      <c r="Q377" t="s">
        <v>121</v>
      </c>
      <c r="R377" s="4">
        <v>42.393999999999998</v>
      </c>
      <c r="S377" s="4"/>
      <c r="T377">
        <f>K377+M377+O377</f>
        <v>42.394000000000005</v>
      </c>
    </row>
    <row r="378" spans="1:21" x14ac:dyDescent="0.35">
      <c r="A378">
        <v>24878</v>
      </c>
      <c r="B378" s="1">
        <v>36891</v>
      </c>
      <c r="C378">
        <v>2000</v>
      </c>
      <c r="D378" t="s">
        <v>53</v>
      </c>
      <c r="E378" t="s">
        <v>54</v>
      </c>
      <c r="F378" t="str">
        <f t="shared" si="55"/>
        <v>882104_2000</v>
      </c>
      <c r="G378" s="2" t="str">
        <f t="shared" si="56"/>
        <v>extracted_filing/882104_2000_10-K.html</v>
      </c>
      <c r="H378" s="2" t="str">
        <f t="shared" si="57"/>
        <v>extracted_filing/882104_2000_10-K.txt</v>
      </c>
      <c r="I378" s="2" t="str">
        <f t="shared" si="58"/>
        <v>https://www.sec.gov/cgi-bin/browse-edgar?action=getcompany&amp;CIK=882104&amp;type=10-K&amp;dateb=20080101&amp;owner=exclude&amp;count=40&amp;search_text=</v>
      </c>
      <c r="J378">
        <v>882104</v>
      </c>
      <c r="K378" s="3">
        <v>0</v>
      </c>
      <c r="L378">
        <f>K378+M378+O378</f>
        <v>50.874000000000002</v>
      </c>
      <c r="M378" s="3">
        <v>12.11</v>
      </c>
      <c r="N378">
        <f t="shared" si="59"/>
        <v>12.11</v>
      </c>
      <c r="O378" s="3">
        <f>42.334-3.57</f>
        <v>38.764000000000003</v>
      </c>
      <c r="P378">
        <f>42.334-3.57</f>
        <v>38.764000000000003</v>
      </c>
      <c r="Q378" t="s">
        <v>121</v>
      </c>
      <c r="R378" s="4">
        <v>50.874000000000002</v>
      </c>
      <c r="S378" s="4"/>
      <c r="T378">
        <f>K378+M378+O378</f>
        <v>50.874000000000002</v>
      </c>
    </row>
    <row r="379" spans="1:21" x14ac:dyDescent="0.35">
      <c r="A379">
        <v>24878</v>
      </c>
      <c r="B379" s="1">
        <v>37256</v>
      </c>
      <c r="C379">
        <v>2001</v>
      </c>
      <c r="D379" t="s">
        <v>53</v>
      </c>
      <c r="E379" t="s">
        <v>54</v>
      </c>
      <c r="F379" t="str">
        <f t="shared" si="55"/>
        <v>882104_2001</v>
      </c>
      <c r="G379" s="2" t="str">
        <f t="shared" si="56"/>
        <v>extracted_filing/882104_2001_10-K.html</v>
      </c>
      <c r="H379" s="2" t="str">
        <f t="shared" si="57"/>
        <v>extracted_filing/882104_2001_10-K.txt</v>
      </c>
      <c r="I379" s="2" t="str">
        <f t="shared" si="58"/>
        <v>https://www.sec.gov/cgi-bin/browse-edgar?action=getcompany&amp;CIK=882104&amp;type=10-K&amp;dateb=20080101&amp;owner=exclude&amp;count=40&amp;search_text=</v>
      </c>
      <c r="J379">
        <v>882104</v>
      </c>
      <c r="K379" s="3">
        <v>0</v>
      </c>
      <c r="L379">
        <f>K379+M379+O379</f>
        <v>63.117000000000004</v>
      </c>
      <c r="M379" s="3">
        <v>15.726000000000001</v>
      </c>
      <c r="N379">
        <f t="shared" si="59"/>
        <v>15.726000000000001</v>
      </c>
      <c r="O379" s="3">
        <f>52.173-4.782</f>
        <v>47.391000000000005</v>
      </c>
      <c r="P379">
        <f>52.173-4.782</f>
        <v>47.391000000000005</v>
      </c>
      <c r="Q379" t="s">
        <v>121</v>
      </c>
      <c r="R379" s="4">
        <v>63.116999999999997</v>
      </c>
      <c r="S379" s="4"/>
      <c r="T379">
        <f>K379+M379+O379</f>
        <v>63.117000000000004</v>
      </c>
    </row>
    <row r="380" spans="1:21" x14ac:dyDescent="0.35">
      <c r="A380">
        <v>24878</v>
      </c>
      <c r="B380" s="1">
        <v>37621</v>
      </c>
      <c r="C380">
        <v>2002</v>
      </c>
      <c r="D380" t="s">
        <v>53</v>
      </c>
      <c r="E380" t="s">
        <v>54</v>
      </c>
      <c r="F380" t="str">
        <f t="shared" si="55"/>
        <v>882104_2002</v>
      </c>
      <c r="G380" s="2" t="str">
        <f t="shared" si="56"/>
        <v>extracted_filing/882104_2002_10-K.html</v>
      </c>
      <c r="H380" s="2" t="str">
        <f t="shared" si="57"/>
        <v>extracted_filing/882104_2002_10-K.txt</v>
      </c>
      <c r="I380" s="2" t="str">
        <f t="shared" si="58"/>
        <v>https://www.sec.gov/cgi-bin/browse-edgar?action=getcompany&amp;CIK=882104&amp;type=10-K&amp;dateb=20080101&amp;owner=exclude&amp;count=40&amp;search_text=</v>
      </c>
      <c r="J380">
        <v>882104</v>
      </c>
      <c r="K380" s="3">
        <v>0</v>
      </c>
      <c r="L380">
        <f>K380+M380+O380</f>
        <v>71.63</v>
      </c>
      <c r="M380" s="3">
        <v>19.093</v>
      </c>
      <c r="N380">
        <f t="shared" si="59"/>
        <v>19.093</v>
      </c>
      <c r="O380" s="3">
        <f>57.978-5.441</f>
        <v>52.536999999999999</v>
      </c>
      <c r="P380">
        <f>57.978-5.441</f>
        <v>52.536999999999999</v>
      </c>
      <c r="Q380" t="s">
        <v>121</v>
      </c>
      <c r="R380" s="4">
        <v>71.63</v>
      </c>
      <c r="S380" s="4"/>
      <c r="T380">
        <f>K380+M380+O380</f>
        <v>71.63</v>
      </c>
    </row>
    <row r="381" spans="1:21" x14ac:dyDescent="0.35">
      <c r="A381">
        <v>24878</v>
      </c>
      <c r="B381" s="1">
        <v>37986</v>
      </c>
      <c r="C381">
        <v>2003</v>
      </c>
      <c r="D381" t="s">
        <v>53</v>
      </c>
      <c r="E381" t="s">
        <v>54</v>
      </c>
      <c r="F381" t="str">
        <f t="shared" si="55"/>
        <v>882104_2003</v>
      </c>
      <c r="G381" s="2" t="str">
        <f t="shared" si="56"/>
        <v>extracted_filing/882104_2003_10-K.html</v>
      </c>
      <c r="H381" s="2" t="str">
        <f t="shared" si="57"/>
        <v>extracted_filing/882104_2003_10-K.txt</v>
      </c>
      <c r="I381" s="2" t="str">
        <f t="shared" si="58"/>
        <v>https://www.sec.gov/cgi-bin/browse-edgar?action=getcompany&amp;CIK=882104&amp;type=10-K&amp;dateb=20080101&amp;owner=exclude&amp;count=40&amp;search_text=</v>
      </c>
      <c r="J381">
        <v>882104</v>
      </c>
      <c r="K381" s="3">
        <v>0</v>
      </c>
      <c r="L381">
        <f>K381+M381+O381</f>
        <v>100.997</v>
      </c>
      <c r="M381" s="3">
        <v>27.613</v>
      </c>
      <c r="N381">
        <f t="shared" si="59"/>
        <v>27.613</v>
      </c>
      <c r="O381" s="3">
        <f>82.732-8.407-0.941</f>
        <v>73.384</v>
      </c>
      <c r="P381">
        <f>82.732-8.407-0.941</f>
        <v>73.384</v>
      </c>
      <c r="Q381" t="s">
        <v>121</v>
      </c>
      <c r="R381" s="4">
        <v>101.20399999999999</v>
      </c>
      <c r="S381" s="4"/>
      <c r="T381">
        <f>K381+M381+O381</f>
        <v>100.997</v>
      </c>
    </row>
    <row r="382" spans="1:21" x14ac:dyDescent="0.35">
      <c r="A382">
        <v>24878</v>
      </c>
      <c r="B382" s="1">
        <v>38352</v>
      </c>
      <c r="C382">
        <v>2004</v>
      </c>
      <c r="D382" t="s">
        <v>53</v>
      </c>
      <c r="E382" t="s">
        <v>54</v>
      </c>
      <c r="F382" t="str">
        <f t="shared" si="55"/>
        <v>882104_2004</v>
      </c>
      <c r="G382" s="2" t="str">
        <f t="shared" si="56"/>
        <v>extracted_filing/882104_2004_10-K.html</v>
      </c>
      <c r="H382" s="2" t="str">
        <f t="shared" si="57"/>
        <v>extracted_filing/882104_2004_10-K.txt</v>
      </c>
      <c r="I382" s="2" t="str">
        <f t="shared" si="58"/>
        <v>https://www.sec.gov/cgi-bin/browse-edgar?action=getcompany&amp;CIK=882104&amp;type=10-K&amp;dateb=20080101&amp;owner=exclude&amp;count=40&amp;search_text=</v>
      </c>
      <c r="J382">
        <v>882104</v>
      </c>
      <c r="K382" s="3">
        <v>0</v>
      </c>
      <c r="L382">
        <f>K382+M382+O382</f>
        <v>140.506</v>
      </c>
      <c r="M382" s="3">
        <v>31.806000000000001</v>
      </c>
      <c r="N382">
        <f t="shared" si="59"/>
        <v>31.806000000000001</v>
      </c>
      <c r="O382" s="3">
        <f>122.563-11.361-2.502</f>
        <v>108.7</v>
      </c>
      <c r="P382">
        <f>122.563-11.361-2.502</f>
        <v>108.7</v>
      </c>
      <c r="Q382" t="s">
        <v>121</v>
      </c>
      <c r="R382" s="4">
        <v>139.48500000000001</v>
      </c>
      <c r="S382" s="4"/>
      <c r="T382">
        <f>K382+M382+O382</f>
        <v>140.506</v>
      </c>
    </row>
    <row r="383" spans="1:21" x14ac:dyDescent="0.35">
      <c r="A383">
        <v>24878</v>
      </c>
      <c r="B383" s="1">
        <v>38717</v>
      </c>
      <c r="C383">
        <v>2005</v>
      </c>
      <c r="D383" t="s">
        <v>53</v>
      </c>
      <c r="E383" t="s">
        <v>54</v>
      </c>
      <c r="F383" t="str">
        <f t="shared" si="55"/>
        <v>882104_2005</v>
      </c>
      <c r="G383" s="2" t="str">
        <f t="shared" si="56"/>
        <v>extracted_filing/882104_2005_10-K.html</v>
      </c>
      <c r="H383" s="2" t="str">
        <f t="shared" si="57"/>
        <v>extracted_filing/882104_2005_10-K.txt</v>
      </c>
      <c r="I383" s="2" t="str">
        <f t="shared" si="58"/>
        <v>https://www.sec.gov/cgi-bin/browse-edgar?action=getcompany&amp;CIK=882104&amp;type=10-K&amp;dateb=20080101&amp;owner=exclude&amp;count=40&amp;search_text=</v>
      </c>
      <c r="J383">
        <v>882104</v>
      </c>
      <c r="K383" s="3">
        <f>60.257-37.557</f>
        <v>22.699999999999996</v>
      </c>
      <c r="L383">
        <f>K383+M383+O383</f>
        <v>261.99899999999997</v>
      </c>
      <c r="M383" s="3">
        <v>82.385999999999996</v>
      </c>
      <c r="N383">
        <f t="shared" si="59"/>
        <v>82.385999999999996</v>
      </c>
      <c r="O383" s="3">
        <f>172.039-15.126</f>
        <v>156.91299999999998</v>
      </c>
      <c r="P383">
        <f>172.039-15.126</f>
        <v>156.91299999999998</v>
      </c>
      <c r="Q383" t="s">
        <v>122</v>
      </c>
      <c r="R383" s="4">
        <v>7.3</v>
      </c>
      <c r="S383" s="4">
        <v>254.42500000000001</v>
      </c>
      <c r="T383">
        <f>K383+M383+O383</f>
        <v>261.99899999999997</v>
      </c>
      <c r="U383">
        <f>SUM(R383:S383)</f>
        <v>261.72500000000002</v>
      </c>
    </row>
    <row r="384" spans="1:21" x14ac:dyDescent="0.35">
      <c r="A384">
        <v>24878</v>
      </c>
      <c r="B384" s="1">
        <v>39082</v>
      </c>
      <c r="C384">
        <v>2006</v>
      </c>
      <c r="D384" t="s">
        <v>53</v>
      </c>
      <c r="E384" t="s">
        <v>54</v>
      </c>
      <c r="F384" t="str">
        <f t="shared" si="55"/>
        <v>882104_2006</v>
      </c>
      <c r="G384" s="2" t="str">
        <f t="shared" si="56"/>
        <v>extracted_filing/882104_2006_10-K.html</v>
      </c>
      <c r="H384" s="2" t="str">
        <f t="shared" si="57"/>
        <v>extracted_filing/882104_2006_10-K.txt</v>
      </c>
      <c r="I384" s="2" t="str">
        <f t="shared" si="58"/>
        <v>https://www.sec.gov/cgi-bin/browse-edgar?action=getcompany&amp;CIK=882104&amp;type=10-K&amp;dateb=20080101&amp;owner=exclude&amp;count=40&amp;search_text=</v>
      </c>
      <c r="J384">
        <v>882104</v>
      </c>
      <c r="K384" s="3">
        <f>86.292-44.854</f>
        <v>41.438000000000002</v>
      </c>
      <c r="L384">
        <f>K384+M384+O384</f>
        <v>392.13800000000003</v>
      </c>
      <c r="M384" s="3">
        <v>120.85599999999999</v>
      </c>
      <c r="N384">
        <f t="shared" si="59"/>
        <v>120.85599999999999</v>
      </c>
      <c r="O384" s="3">
        <f>260.66-30.816</f>
        <v>229.84400000000002</v>
      </c>
      <c r="P384">
        <f>260.66-30.816</f>
        <v>229.84400000000002</v>
      </c>
      <c r="Q384" t="s">
        <v>122</v>
      </c>
      <c r="R384" s="4">
        <v>12.422000000000001</v>
      </c>
      <c r="S384" s="4">
        <v>381.51600000000002</v>
      </c>
      <c r="T384">
        <f>K384+M384+O384</f>
        <v>392.13800000000003</v>
      </c>
      <c r="U384">
        <f t="shared" ref="U384" si="64">SUM(R384:S384)</f>
        <v>393.93800000000005</v>
      </c>
    </row>
    <row r="385" spans="1:21" x14ac:dyDescent="0.35">
      <c r="A385">
        <v>25340</v>
      </c>
      <c r="B385" s="1">
        <v>35703</v>
      </c>
      <c r="C385">
        <v>1997</v>
      </c>
      <c r="D385" t="s">
        <v>55</v>
      </c>
      <c r="E385" t="s">
        <v>56</v>
      </c>
      <c r="F385" t="str">
        <f t="shared" si="55"/>
        <v>882184_1997</v>
      </c>
      <c r="G385" s="2" t="str">
        <f t="shared" si="56"/>
        <v>extracted_filing/882184_1997_10-K.html</v>
      </c>
      <c r="H385" s="2" t="str">
        <f t="shared" si="57"/>
        <v>extracted_filing/882184_1997_10-K.txt</v>
      </c>
      <c r="I385" s="2" t="str">
        <f t="shared" si="58"/>
        <v>https://www.sec.gov/cgi-bin/browse-edgar?action=getcompany&amp;CIK=882184&amp;type=10-K&amp;dateb=20080101&amp;owner=exclude&amp;count=40&amp;search_text=</v>
      </c>
      <c r="J385">
        <v>882184</v>
      </c>
      <c r="K385" s="6">
        <v>680.93</v>
      </c>
      <c r="L385">
        <f>K385+M385+O385</f>
        <v>770.38699999999983</v>
      </c>
      <c r="M385" s="6">
        <v>89.456999999999894</v>
      </c>
      <c r="N385">
        <f t="shared" si="59"/>
        <v>89.456999999999894</v>
      </c>
      <c r="O385" s="6"/>
      <c r="P385" s="6"/>
      <c r="Q385" t="s">
        <v>123</v>
      </c>
      <c r="T385">
        <f>K385+M385+O385</f>
        <v>770.38699999999983</v>
      </c>
    </row>
    <row r="386" spans="1:21" x14ac:dyDescent="0.35">
      <c r="A386">
        <v>25340</v>
      </c>
      <c r="B386" s="1">
        <v>36068</v>
      </c>
      <c r="C386">
        <v>1998</v>
      </c>
      <c r="D386" t="s">
        <v>55</v>
      </c>
      <c r="E386" t="s">
        <v>56</v>
      </c>
      <c r="F386" t="str">
        <f t="shared" ref="F386:F449" si="65">_xlfn.CONCAT(TEXT(J386,0),"_",TEXT(C386,0))</f>
        <v>882184_1998</v>
      </c>
      <c r="G386" s="2" t="str">
        <f t="shared" si="56"/>
        <v>extracted_filing/882184_1998_10-K.html</v>
      </c>
      <c r="H386" s="2" t="str">
        <f t="shared" si="57"/>
        <v>extracted_filing/882184_1998_10-K.txt</v>
      </c>
      <c r="I386" s="2" t="str">
        <f t="shared" si="58"/>
        <v>https://www.sec.gov/cgi-bin/browse-edgar?action=getcompany&amp;CIK=882184&amp;type=10-K&amp;dateb=20080101&amp;owner=exclude&amp;count=40&amp;search_text=</v>
      </c>
      <c r="J386">
        <v>882184</v>
      </c>
      <c r="K386" s="3">
        <f>1765.61-9.828</f>
        <v>1755.7819999999999</v>
      </c>
      <c r="L386">
        <f>K386+M386+O386</f>
        <v>1987.4699999999998</v>
      </c>
      <c r="M386" s="3">
        <f>216.444+15.244</f>
        <v>231.68799999999999</v>
      </c>
      <c r="N386">
        <f t="shared" si="59"/>
        <v>231.68799999999999</v>
      </c>
      <c r="Q386" t="s">
        <v>123</v>
      </c>
      <c r="R386">
        <v>1987.47</v>
      </c>
      <c r="T386">
        <f>K386+M386+O386</f>
        <v>1987.4699999999998</v>
      </c>
    </row>
    <row r="387" spans="1:21" x14ac:dyDescent="0.35">
      <c r="A387">
        <v>25340</v>
      </c>
      <c r="B387" s="1">
        <v>36433</v>
      </c>
      <c r="C387">
        <v>1999</v>
      </c>
      <c r="D387" t="s">
        <v>55</v>
      </c>
      <c r="E387" t="s">
        <v>56</v>
      </c>
      <c r="F387" t="str">
        <f t="shared" si="65"/>
        <v>882184_1999</v>
      </c>
      <c r="G387" s="2" t="str">
        <f t="shared" ref="G387:G450" si="66">HYPERLINK(_xlfn.CONCAT("extracted_filing/",$F387,"_10-K.html"))</f>
        <v>extracted_filing/882184_1999_10-K.html</v>
      </c>
      <c r="H387" s="2" t="str">
        <f t="shared" ref="H387:H450" si="67">HYPERLINK(_xlfn.CONCAT("extracted_filing/",$F387,"_10-K.txt"))</f>
        <v>extracted_filing/882184_1999_10-K.txt</v>
      </c>
      <c r="I387" s="2" t="str">
        <f t="shared" ref="I387:I450" si="68">HYPERLINK(_xlfn.CONCAT("https://www.sec.gov/cgi-bin/browse-edgar?action=getcompany&amp;CIK=",TEXT(J387,0),"&amp;type=10-K&amp;dateb=20080101&amp;owner=exclude&amp;count=40&amp;search_text="))</f>
        <v>https://www.sec.gov/cgi-bin/browse-edgar?action=getcompany&amp;CIK=882184&amp;type=10-K&amp;dateb=20080101&amp;owner=exclude&amp;count=40&amp;search_text=</v>
      </c>
      <c r="J387">
        <v>882184</v>
      </c>
      <c r="K387" s="3">
        <f>2560.746-20.842</f>
        <v>2539.904</v>
      </c>
      <c r="L387">
        <f>K387+M387+O387</f>
        <v>2861.9650000000001</v>
      </c>
      <c r="M387" s="3">
        <f>297.348+24.713</f>
        <v>322.06100000000004</v>
      </c>
      <c r="N387">
        <f t="shared" si="59"/>
        <v>322.06100000000004</v>
      </c>
      <c r="Q387" t="s">
        <v>123</v>
      </c>
      <c r="R387">
        <v>2861.9650000000001</v>
      </c>
      <c r="T387">
        <f>K387+M387+O387</f>
        <v>2861.9650000000001</v>
      </c>
    </row>
    <row r="388" spans="1:21" x14ac:dyDescent="0.35">
      <c r="A388">
        <v>25340</v>
      </c>
      <c r="B388" s="1">
        <v>36799</v>
      </c>
      <c r="C388">
        <v>2000</v>
      </c>
      <c r="D388" t="s">
        <v>55</v>
      </c>
      <c r="E388" t="s">
        <v>56</v>
      </c>
      <c r="F388" t="str">
        <f t="shared" si="65"/>
        <v>882184_2000</v>
      </c>
      <c r="G388" s="2" t="str">
        <f t="shared" si="66"/>
        <v>extracted_filing/882184_2000_10-K.html</v>
      </c>
      <c r="H388" s="2" t="str">
        <f t="shared" si="67"/>
        <v>extracted_filing/882184_2000_10-K.txt</v>
      </c>
      <c r="I388" s="2" t="str">
        <f t="shared" si="68"/>
        <v>https://www.sec.gov/cgi-bin/browse-edgar?action=getcompany&amp;CIK=882184&amp;type=10-K&amp;dateb=20080101&amp;owner=exclude&amp;count=40&amp;search_text=</v>
      </c>
      <c r="J388">
        <v>882184</v>
      </c>
      <c r="K388" s="3">
        <f>2941.109-21.96</f>
        <v>2919.1489999999999</v>
      </c>
      <c r="L388">
        <f>K388+M388+O388</f>
        <v>3315.0230000000001</v>
      </c>
      <c r="M388" s="3">
        <f>360.404+35.47</f>
        <v>395.87400000000002</v>
      </c>
      <c r="N388">
        <f t="shared" si="59"/>
        <v>395.87400000000002</v>
      </c>
      <c r="Q388" t="s">
        <v>123</v>
      </c>
      <c r="R388">
        <v>3315.0230000000001</v>
      </c>
      <c r="T388">
        <f>K388+M388+O388</f>
        <v>3315.0230000000001</v>
      </c>
    </row>
    <row r="389" spans="1:21" x14ac:dyDescent="0.35">
      <c r="A389">
        <v>25340</v>
      </c>
      <c r="B389" s="1">
        <v>37164</v>
      </c>
      <c r="C389">
        <v>2001</v>
      </c>
      <c r="D389" t="s">
        <v>55</v>
      </c>
      <c r="E389" t="s">
        <v>56</v>
      </c>
      <c r="F389" t="str">
        <f t="shared" si="65"/>
        <v>882184_2001</v>
      </c>
      <c r="G389" s="2" t="str">
        <f t="shared" si="66"/>
        <v>extracted_filing/882184_2001_10-K.html</v>
      </c>
      <c r="H389" s="2" t="str">
        <f t="shared" si="67"/>
        <v>extracted_filing/882184_2001_10-K.txt</v>
      </c>
      <c r="I389" s="2" t="str">
        <f t="shared" si="68"/>
        <v>https://www.sec.gov/cgi-bin/browse-edgar?action=getcompany&amp;CIK=882184&amp;type=10-K&amp;dateb=20080101&amp;owner=exclude&amp;count=40&amp;search_text=</v>
      </c>
      <c r="J389">
        <v>882184</v>
      </c>
      <c r="K389" s="3">
        <f>3527.142-31.184</f>
        <v>3495.9579999999996</v>
      </c>
      <c r="L389">
        <f>K389+M389+O389</f>
        <v>3975.3579999999997</v>
      </c>
      <c r="M389" s="3">
        <f>432.013+47.387</f>
        <v>479.4</v>
      </c>
      <c r="N389">
        <f t="shared" ref="N389:N404" si="69">M389</f>
        <v>479.4</v>
      </c>
      <c r="Q389" t="s">
        <v>123</v>
      </c>
      <c r="R389">
        <v>3975.3580000000002</v>
      </c>
      <c r="T389">
        <f>K389+M389+O389</f>
        <v>3975.3579999999997</v>
      </c>
    </row>
    <row r="390" spans="1:21" x14ac:dyDescent="0.35">
      <c r="A390">
        <v>25340</v>
      </c>
      <c r="B390" s="1">
        <v>37529</v>
      </c>
      <c r="C390">
        <v>2002</v>
      </c>
      <c r="D390" t="s">
        <v>55</v>
      </c>
      <c r="E390" t="s">
        <v>56</v>
      </c>
      <c r="F390" t="str">
        <f t="shared" si="65"/>
        <v>882184_2002</v>
      </c>
      <c r="G390" s="2" t="str">
        <f t="shared" si="66"/>
        <v>extracted_filing/882184_2002_10-K.html</v>
      </c>
      <c r="H390" s="2" t="str">
        <f t="shared" si="67"/>
        <v>extracted_filing/882184_2002_10-K.txt</v>
      </c>
      <c r="I390" s="2" t="str">
        <f t="shared" si="68"/>
        <v>https://www.sec.gov/cgi-bin/browse-edgar?action=getcompany&amp;CIK=882184&amp;type=10-K&amp;dateb=20080101&amp;owner=exclude&amp;count=40&amp;search_text=</v>
      </c>
      <c r="J390">
        <v>882184</v>
      </c>
      <c r="K390">
        <v>5331.6220000000003</v>
      </c>
      <c r="L390">
        <f>K390+M390+O390</f>
        <v>6046.1620000000003</v>
      </c>
      <c r="M390">
        <v>714.54</v>
      </c>
      <c r="N390">
        <f t="shared" si="69"/>
        <v>714.54</v>
      </c>
      <c r="Q390" t="s">
        <v>123</v>
      </c>
      <c r="R390">
        <v>5331.6220000000003</v>
      </c>
      <c r="S390">
        <v>714.54</v>
      </c>
      <c r="T390">
        <f>K390+M390+O390</f>
        <v>6046.1620000000003</v>
      </c>
      <c r="U390">
        <f t="shared" ref="U390:U394" si="70">SUM(R390:S390)</f>
        <v>6046.1620000000003</v>
      </c>
    </row>
    <row r="391" spans="1:21" x14ac:dyDescent="0.35">
      <c r="A391">
        <v>25340</v>
      </c>
      <c r="B391" s="1">
        <v>37894</v>
      </c>
      <c r="C391">
        <v>2003</v>
      </c>
      <c r="D391" t="s">
        <v>55</v>
      </c>
      <c r="E391" t="s">
        <v>56</v>
      </c>
      <c r="F391" t="str">
        <f t="shared" si="65"/>
        <v>882184_2003</v>
      </c>
      <c r="G391" s="2" t="str">
        <f t="shared" si="66"/>
        <v>extracted_filing/882184_2003_10-K.html</v>
      </c>
      <c r="H391" s="2" t="str">
        <f t="shared" si="67"/>
        <v>extracted_filing/882184_2003_10-K.txt</v>
      </c>
      <c r="I391" s="2" t="str">
        <f t="shared" si="68"/>
        <v>https://www.sec.gov/cgi-bin/browse-edgar?action=getcompany&amp;CIK=882184&amp;type=10-K&amp;dateb=20080101&amp;owner=exclude&amp;count=40&amp;search_text=</v>
      </c>
      <c r="J391">
        <v>882184</v>
      </c>
      <c r="K391">
        <v>6763.98</v>
      </c>
      <c r="L391">
        <f>K391+M391+O391</f>
        <v>7679.3309999999992</v>
      </c>
      <c r="M391">
        <v>915.351</v>
      </c>
      <c r="N391">
        <f t="shared" si="69"/>
        <v>915.351</v>
      </c>
      <c r="Q391" t="s">
        <v>123</v>
      </c>
      <c r="R391">
        <v>6763.98</v>
      </c>
      <c r="S391">
        <v>915.351</v>
      </c>
      <c r="T391">
        <f>K391+M391+O391</f>
        <v>7679.3309999999992</v>
      </c>
      <c r="U391">
        <f t="shared" si="70"/>
        <v>7679.3309999999992</v>
      </c>
    </row>
    <row r="392" spans="1:21" x14ac:dyDescent="0.35">
      <c r="A392">
        <v>25340</v>
      </c>
      <c r="B392" s="1">
        <v>38260</v>
      </c>
      <c r="C392">
        <v>2004</v>
      </c>
      <c r="D392" t="s">
        <v>55</v>
      </c>
      <c r="E392" t="s">
        <v>56</v>
      </c>
      <c r="F392" t="str">
        <f t="shared" si="65"/>
        <v>882184_2004</v>
      </c>
      <c r="G392" s="2" t="str">
        <f t="shared" si="66"/>
        <v>extracted_filing/882184_2004_10-K.html</v>
      </c>
      <c r="H392" s="2" t="str">
        <f t="shared" si="67"/>
        <v>extracted_filing/882184_2004_10-K.txt</v>
      </c>
      <c r="I392" s="2" t="str">
        <f t="shared" si="68"/>
        <v>https://www.sec.gov/cgi-bin/browse-edgar?action=getcompany&amp;CIK=882184&amp;type=10-K&amp;dateb=20080101&amp;owner=exclude&amp;count=40&amp;search_text=</v>
      </c>
      <c r="J392">
        <v>882184</v>
      </c>
      <c r="K392">
        <v>8147.7</v>
      </c>
      <c r="L392">
        <f>K392+M392+O392</f>
        <v>9227.7000000000007</v>
      </c>
      <c r="M392">
        <v>1080</v>
      </c>
      <c r="N392">
        <f t="shared" si="69"/>
        <v>1080</v>
      </c>
      <c r="Q392" t="s">
        <v>123</v>
      </c>
      <c r="R392">
        <v>8147.7</v>
      </c>
      <c r="S392">
        <v>1080</v>
      </c>
      <c r="T392">
        <f>K392+M392+O392</f>
        <v>9227.7000000000007</v>
      </c>
      <c r="U392">
        <f t="shared" si="70"/>
        <v>9227.7000000000007</v>
      </c>
    </row>
    <row r="393" spans="1:21" x14ac:dyDescent="0.35">
      <c r="A393">
        <v>25340</v>
      </c>
      <c r="B393" s="1">
        <v>38625</v>
      </c>
      <c r="C393">
        <v>2005</v>
      </c>
      <c r="D393" t="s">
        <v>55</v>
      </c>
      <c r="E393" t="s">
        <v>56</v>
      </c>
      <c r="F393" t="str">
        <f t="shared" si="65"/>
        <v>882184_2005</v>
      </c>
      <c r="G393" s="2" t="str">
        <f t="shared" si="66"/>
        <v>extracted_filing/882184_2005_10-K.html</v>
      </c>
      <c r="H393" s="2" t="str">
        <f t="shared" si="67"/>
        <v>extracted_filing/882184_2005_10-K.txt</v>
      </c>
      <c r="I393" s="2" t="str">
        <f t="shared" si="68"/>
        <v>https://www.sec.gov/cgi-bin/browse-edgar?action=getcompany&amp;CIK=882184&amp;type=10-K&amp;dateb=20080101&amp;owner=exclude&amp;count=40&amp;search_text=</v>
      </c>
      <c r="J393">
        <v>882184</v>
      </c>
      <c r="K393">
        <v>10087.5</v>
      </c>
      <c r="L393">
        <f>K393+M393+O393</f>
        <v>11461.7</v>
      </c>
      <c r="M393">
        <v>1374.2</v>
      </c>
      <c r="N393">
        <f t="shared" si="69"/>
        <v>1374.2</v>
      </c>
      <c r="Q393" t="s">
        <v>123</v>
      </c>
      <c r="R393">
        <v>10087.5</v>
      </c>
      <c r="S393">
        <v>1374.2</v>
      </c>
      <c r="T393">
        <f>K393+M393+O393</f>
        <v>11461.7</v>
      </c>
      <c r="U393">
        <f t="shared" si="70"/>
        <v>11461.7</v>
      </c>
    </row>
    <row r="394" spans="1:21" x14ac:dyDescent="0.35">
      <c r="A394">
        <v>25340</v>
      </c>
      <c r="B394" s="1">
        <v>38990</v>
      </c>
      <c r="C394">
        <v>2006</v>
      </c>
      <c r="D394" t="s">
        <v>55</v>
      </c>
      <c r="E394" t="s">
        <v>56</v>
      </c>
      <c r="F394" t="str">
        <f t="shared" si="65"/>
        <v>882184_2006</v>
      </c>
      <c r="G394" s="2" t="str">
        <f t="shared" si="66"/>
        <v>extracted_filing/882184_2006_10-K.html</v>
      </c>
      <c r="H394" s="2" t="str">
        <f t="shared" si="67"/>
        <v>extracted_filing/882184_2006_10-K.txt</v>
      </c>
      <c r="I394" s="2" t="str">
        <f t="shared" si="68"/>
        <v>https://www.sec.gov/cgi-bin/browse-edgar?action=getcompany&amp;CIK=882184&amp;type=10-K&amp;dateb=20080101&amp;owner=exclude&amp;count=40&amp;search_text=</v>
      </c>
      <c r="J394">
        <v>882184</v>
      </c>
      <c r="K394">
        <v>11361.8</v>
      </c>
      <c r="L394">
        <f>K394+M394+O394</f>
        <v>13020.599999999999</v>
      </c>
      <c r="M394">
        <v>1658.8</v>
      </c>
      <c r="N394">
        <f t="shared" si="69"/>
        <v>1658.8</v>
      </c>
      <c r="Q394" t="s">
        <v>123</v>
      </c>
      <c r="R394">
        <v>11361.8</v>
      </c>
      <c r="S394">
        <v>1658.8</v>
      </c>
      <c r="T394">
        <f>K394+M394+O394</f>
        <v>13020.599999999999</v>
      </c>
      <c r="U394">
        <f t="shared" si="70"/>
        <v>13020.599999999999</v>
      </c>
    </row>
    <row r="395" spans="1:21" x14ac:dyDescent="0.35">
      <c r="A395">
        <v>27794</v>
      </c>
      <c r="B395" s="1">
        <v>35611</v>
      </c>
      <c r="C395">
        <v>1997</v>
      </c>
      <c r="D395">
        <v>225447101</v>
      </c>
      <c r="E395" t="s">
        <v>57</v>
      </c>
      <c r="F395" t="str">
        <f t="shared" si="65"/>
        <v>895419_1997</v>
      </c>
      <c r="G395" s="2" t="str">
        <f t="shared" si="66"/>
        <v>extracted_filing/895419_1997_10-K.html</v>
      </c>
      <c r="H395" s="2" t="str">
        <f t="shared" si="67"/>
        <v>extracted_filing/895419_1997_10-K.txt</v>
      </c>
      <c r="I395" s="2" t="str">
        <f t="shared" si="68"/>
        <v>https://www.sec.gov/cgi-bin/browse-edgar?action=getcompany&amp;CIK=895419&amp;type=10-K&amp;dateb=20080101&amp;owner=exclude&amp;count=40&amp;search_text=</v>
      </c>
      <c r="J395">
        <v>895419</v>
      </c>
      <c r="K395" s="3">
        <f>19.094-3.542</f>
        <v>15.552000000000001</v>
      </c>
      <c r="L395">
        <f>K395+M395+O395</f>
        <v>21.679000000000002</v>
      </c>
      <c r="M395" s="3">
        <v>4.3010000000000002</v>
      </c>
      <c r="N395">
        <f t="shared" si="69"/>
        <v>4.3010000000000002</v>
      </c>
      <c r="O395" s="3">
        <v>1.8260000000000001</v>
      </c>
      <c r="P395">
        <v>1.8260000000000001</v>
      </c>
      <c r="Q395" t="s">
        <v>125</v>
      </c>
      <c r="R395" s="4">
        <v>16.744</v>
      </c>
      <c r="S395" s="4">
        <v>4.8789999999999996</v>
      </c>
      <c r="T395">
        <f>K395+M395+O395</f>
        <v>21.679000000000002</v>
      </c>
      <c r="U395">
        <f>SUM(R395:S395)</f>
        <v>21.622999999999998</v>
      </c>
    </row>
    <row r="396" spans="1:21" x14ac:dyDescent="0.35">
      <c r="A396">
        <v>27794</v>
      </c>
      <c r="B396" s="1">
        <v>35976</v>
      </c>
      <c r="C396">
        <v>1998</v>
      </c>
      <c r="D396">
        <v>225447101</v>
      </c>
      <c r="E396" t="s">
        <v>57</v>
      </c>
      <c r="F396" t="str">
        <f t="shared" si="65"/>
        <v>895419_1998</v>
      </c>
      <c r="G396" s="2" t="str">
        <f t="shared" si="66"/>
        <v>extracted_filing/895419_1998_10-K.html</v>
      </c>
      <c r="H396" s="2" t="str">
        <f t="shared" si="67"/>
        <v>extracted_filing/895419_1998_10-K.txt</v>
      </c>
      <c r="I396" s="2" t="str">
        <f t="shared" si="68"/>
        <v>https://www.sec.gov/cgi-bin/browse-edgar?action=getcompany&amp;CIK=895419&amp;type=10-K&amp;dateb=20080101&amp;owner=exclude&amp;count=40&amp;search_text=</v>
      </c>
      <c r="J396">
        <v>895419</v>
      </c>
      <c r="K396" s="3">
        <f>27.979-4.217</f>
        <v>23.762</v>
      </c>
      <c r="L396">
        <f>K396+M396+O396</f>
        <v>29.667000000000002</v>
      </c>
      <c r="M396" s="3">
        <v>4.1310000000000002</v>
      </c>
      <c r="N396">
        <f t="shared" si="69"/>
        <v>4.1310000000000002</v>
      </c>
      <c r="O396" s="3">
        <v>1.774</v>
      </c>
      <c r="P396">
        <v>1.774</v>
      </c>
      <c r="Q396" t="s">
        <v>125</v>
      </c>
      <c r="R396" s="4">
        <v>25.138000000000002</v>
      </c>
      <c r="S396" s="4">
        <v>4.843</v>
      </c>
      <c r="T396">
        <f>K396+M396+O396</f>
        <v>29.667000000000002</v>
      </c>
      <c r="U396">
        <f t="shared" ref="U396:U404" si="71">SUM(R396:S396)</f>
        <v>29.981000000000002</v>
      </c>
    </row>
    <row r="397" spans="1:21" x14ac:dyDescent="0.35">
      <c r="A397">
        <v>27794</v>
      </c>
      <c r="B397" s="1">
        <v>36341</v>
      </c>
      <c r="C397">
        <v>1999</v>
      </c>
      <c r="D397">
        <v>225447101</v>
      </c>
      <c r="E397" t="s">
        <v>57</v>
      </c>
      <c r="F397" t="str">
        <f t="shared" si="65"/>
        <v>895419_1999</v>
      </c>
      <c r="G397" s="2" t="str">
        <f t="shared" si="66"/>
        <v>extracted_filing/895419_1999_10-K.html</v>
      </c>
      <c r="H397" s="2" t="str">
        <f t="shared" si="67"/>
        <v>extracted_filing/895419_1999_10-K.txt</v>
      </c>
      <c r="I397" s="2" t="str">
        <f t="shared" si="68"/>
        <v>https://www.sec.gov/cgi-bin/browse-edgar?action=getcompany&amp;CIK=895419&amp;type=10-K&amp;dateb=20080101&amp;owner=exclude&amp;count=40&amp;search_text=</v>
      </c>
      <c r="J397">
        <v>895419</v>
      </c>
      <c r="K397" s="3">
        <f>31.92-5.382</f>
        <v>26.538000000000004</v>
      </c>
      <c r="L397">
        <f>K397+M397+O397</f>
        <v>37.045000000000002</v>
      </c>
      <c r="M397" s="3">
        <v>6.0640000000000001</v>
      </c>
      <c r="N397">
        <f t="shared" si="69"/>
        <v>6.0640000000000001</v>
      </c>
      <c r="O397" s="3">
        <v>4.4429999999999996</v>
      </c>
      <c r="P397">
        <v>4.4429999999999996</v>
      </c>
      <c r="Q397" t="s">
        <v>121</v>
      </c>
      <c r="R397" s="4">
        <v>37.482999999999997</v>
      </c>
      <c r="S397" s="4"/>
      <c r="T397">
        <f>K397+M397+O397</f>
        <v>37.045000000000002</v>
      </c>
      <c r="U397">
        <f t="shared" si="71"/>
        <v>37.482999999999997</v>
      </c>
    </row>
    <row r="398" spans="1:21" x14ac:dyDescent="0.35">
      <c r="A398">
        <v>27794</v>
      </c>
      <c r="B398" s="1">
        <v>36707</v>
      </c>
      <c r="C398">
        <v>2000</v>
      </c>
      <c r="D398">
        <v>225447101</v>
      </c>
      <c r="E398" t="s">
        <v>57</v>
      </c>
      <c r="F398" t="str">
        <f t="shared" si="65"/>
        <v>895419_2000</v>
      </c>
      <c r="G398" s="2" t="str">
        <f t="shared" si="66"/>
        <v>extracted_filing/895419_2000_10-K.html</v>
      </c>
      <c r="H398" s="2" t="str">
        <f t="shared" si="67"/>
        <v>extracted_filing/895419_2000_10-K.txt</v>
      </c>
      <c r="I398" s="2" t="str">
        <f t="shared" si="68"/>
        <v>https://www.sec.gov/cgi-bin/browse-edgar?action=getcompany&amp;CIK=895419&amp;type=10-K&amp;dateb=20080101&amp;owner=exclude&amp;count=40&amp;search_text=</v>
      </c>
      <c r="J398">
        <v>895419</v>
      </c>
      <c r="K398" s="3">
        <f>52.362-10.803</f>
        <v>41.558999999999997</v>
      </c>
      <c r="L398">
        <f>K398+M398+O398</f>
        <v>59.704000000000001</v>
      </c>
      <c r="M398" s="3">
        <v>11.090999999999999</v>
      </c>
      <c r="N398">
        <f t="shared" si="69"/>
        <v>11.090999999999999</v>
      </c>
      <c r="O398" s="3">
        <v>7.0540000000000003</v>
      </c>
      <c r="P398">
        <v>7.0540000000000003</v>
      </c>
      <c r="Q398" t="s">
        <v>121</v>
      </c>
      <c r="R398" s="4">
        <v>60.863999999999997</v>
      </c>
      <c r="S398" s="4"/>
      <c r="T398">
        <f>K398+M398+O398</f>
        <v>59.704000000000001</v>
      </c>
      <c r="U398">
        <f t="shared" si="71"/>
        <v>60.863999999999997</v>
      </c>
    </row>
    <row r="399" spans="1:21" x14ac:dyDescent="0.35">
      <c r="A399">
        <v>27794</v>
      </c>
      <c r="B399" s="1">
        <v>37072</v>
      </c>
      <c r="C399">
        <v>2001</v>
      </c>
      <c r="D399">
        <v>225447101</v>
      </c>
      <c r="E399" t="s">
        <v>57</v>
      </c>
      <c r="F399" t="str">
        <f t="shared" si="65"/>
        <v>895419_2001</v>
      </c>
      <c r="G399" s="2" t="str">
        <f t="shared" si="66"/>
        <v>extracted_filing/895419_2001_10-K.html</v>
      </c>
      <c r="H399" s="2" t="str">
        <f t="shared" si="67"/>
        <v>extracted_filing/895419_2001_10-K.txt</v>
      </c>
      <c r="I399" s="2" t="str">
        <f t="shared" si="68"/>
        <v>https://www.sec.gov/cgi-bin/browse-edgar?action=getcompany&amp;CIK=895419&amp;type=10-K&amp;dateb=20080101&amp;owner=exclude&amp;count=40&amp;search_text=</v>
      </c>
      <c r="J399">
        <v>895419</v>
      </c>
      <c r="K399" s="3">
        <f>89.7-21.948</f>
        <v>67.75200000000001</v>
      </c>
      <c r="L399">
        <f>K399+M399+O399</f>
        <v>98.843000000000018</v>
      </c>
      <c r="M399" s="3">
        <v>18.111000000000001</v>
      </c>
      <c r="N399">
        <f t="shared" si="69"/>
        <v>18.111000000000001</v>
      </c>
      <c r="O399" s="3">
        <v>12.98</v>
      </c>
      <c r="P399">
        <v>12.98</v>
      </c>
      <c r="Q399" t="s">
        <v>121</v>
      </c>
      <c r="R399" s="4">
        <v>98.710999999999999</v>
      </c>
      <c r="S399" s="4"/>
      <c r="T399">
        <f>K399+M399+O399</f>
        <v>98.843000000000018</v>
      </c>
      <c r="U399">
        <f t="shared" si="71"/>
        <v>98.710999999999999</v>
      </c>
    </row>
    <row r="400" spans="1:21" x14ac:dyDescent="0.35">
      <c r="A400">
        <v>27794</v>
      </c>
      <c r="B400" s="1">
        <v>37437</v>
      </c>
      <c r="C400">
        <v>2002</v>
      </c>
      <c r="D400">
        <v>225447101</v>
      </c>
      <c r="E400" t="s">
        <v>57</v>
      </c>
      <c r="F400" t="str">
        <f t="shared" si="65"/>
        <v>895419_2002</v>
      </c>
      <c r="G400" s="2" t="str">
        <f t="shared" si="66"/>
        <v>extracted_filing/895419_2002_10-K.html</v>
      </c>
      <c r="H400" s="2" t="str">
        <f t="shared" si="67"/>
        <v>extracted_filing/895419_2002_10-K.txt</v>
      </c>
      <c r="I400" s="2" t="str">
        <f t="shared" si="68"/>
        <v>https://www.sec.gov/cgi-bin/browse-edgar?action=getcompany&amp;CIK=895419&amp;type=10-K&amp;dateb=20080101&amp;owner=exclude&amp;count=40&amp;search_text=</v>
      </c>
      <c r="J400">
        <v>895419</v>
      </c>
      <c r="K400">
        <v>59.351999999999997</v>
      </c>
      <c r="L400">
        <f>K400+M400+O400</f>
        <v>112.996</v>
      </c>
      <c r="M400" s="3">
        <v>25.617999999999999</v>
      </c>
      <c r="N400">
        <f t="shared" si="69"/>
        <v>25.617999999999999</v>
      </c>
      <c r="O400" s="3">
        <v>28.026</v>
      </c>
      <c r="P400">
        <v>28.026</v>
      </c>
      <c r="Q400" t="s">
        <v>125</v>
      </c>
      <c r="R400" s="4">
        <v>59.351999999999997</v>
      </c>
      <c r="S400" s="4">
        <v>53.643999999999998</v>
      </c>
      <c r="T400">
        <f>K400+M400+O400</f>
        <v>112.996</v>
      </c>
      <c r="U400">
        <f t="shared" si="71"/>
        <v>112.996</v>
      </c>
    </row>
    <row r="401" spans="1:21" x14ac:dyDescent="0.35">
      <c r="A401">
        <v>27794</v>
      </c>
      <c r="B401" s="1">
        <v>37802</v>
      </c>
      <c r="C401">
        <v>2003</v>
      </c>
      <c r="D401">
        <v>225447101</v>
      </c>
      <c r="E401" t="s">
        <v>57</v>
      </c>
      <c r="F401" t="str">
        <f t="shared" si="65"/>
        <v>895419_2003</v>
      </c>
      <c r="G401" s="2" t="str">
        <f t="shared" si="66"/>
        <v>extracted_filing/895419_2003_10-K.html</v>
      </c>
      <c r="H401" s="2" t="str">
        <f t="shared" si="67"/>
        <v>extracted_filing/895419_2003_10-K.txt</v>
      </c>
      <c r="I401" s="2" t="str">
        <f t="shared" si="68"/>
        <v>https://www.sec.gov/cgi-bin/browse-edgar?action=getcompany&amp;CIK=895419&amp;type=10-K&amp;dateb=20080101&amp;owner=exclude&amp;count=40&amp;search_text=</v>
      </c>
      <c r="J401">
        <v>895419</v>
      </c>
      <c r="K401">
        <v>86.569000000000003</v>
      </c>
      <c r="L401">
        <f>K401+M401+O401</f>
        <v>144.09800000000001</v>
      </c>
      <c r="M401" s="3">
        <v>26.326000000000001</v>
      </c>
      <c r="N401">
        <f t="shared" si="69"/>
        <v>26.326000000000001</v>
      </c>
      <c r="O401" s="3">
        <v>31.202999999999999</v>
      </c>
      <c r="P401">
        <v>31.202999999999999</v>
      </c>
      <c r="Q401" t="s">
        <v>125</v>
      </c>
      <c r="R401" s="4">
        <v>86.569000000000003</v>
      </c>
      <c r="S401" s="4">
        <v>56.112000000000002</v>
      </c>
      <c r="T401">
        <f>K401+M401+O401</f>
        <v>144.09800000000001</v>
      </c>
      <c r="U401">
        <f t="shared" si="71"/>
        <v>142.68100000000001</v>
      </c>
    </row>
    <row r="402" spans="1:21" x14ac:dyDescent="0.35">
      <c r="A402">
        <v>27794</v>
      </c>
      <c r="B402" s="1">
        <v>38168</v>
      </c>
      <c r="C402">
        <v>2004</v>
      </c>
      <c r="D402">
        <v>225447101</v>
      </c>
      <c r="E402" t="s">
        <v>57</v>
      </c>
      <c r="F402" t="str">
        <f t="shared" si="65"/>
        <v>895419_2004</v>
      </c>
      <c r="G402" s="2" t="str">
        <f t="shared" si="66"/>
        <v>extracted_filing/895419_2004_10-K.html</v>
      </c>
      <c r="H402" s="2" t="str">
        <f t="shared" si="67"/>
        <v>extracted_filing/895419_2004_10-K.txt</v>
      </c>
      <c r="I402" s="2" t="str">
        <f t="shared" si="68"/>
        <v>https://www.sec.gov/cgi-bin/browse-edgar?action=getcompany&amp;CIK=895419&amp;type=10-K&amp;dateb=20080101&amp;owner=exclude&amp;count=40&amp;search_text=</v>
      </c>
      <c r="J402">
        <v>895419</v>
      </c>
      <c r="K402">
        <v>102.89</v>
      </c>
      <c r="L402">
        <f>K402+M402+O402</f>
        <v>171.43</v>
      </c>
      <c r="M402" s="3">
        <v>31.654</v>
      </c>
      <c r="N402">
        <f t="shared" si="69"/>
        <v>31.654</v>
      </c>
      <c r="O402" s="3">
        <v>36.886000000000003</v>
      </c>
      <c r="P402">
        <v>36.886000000000003</v>
      </c>
      <c r="Q402" t="s">
        <v>125</v>
      </c>
      <c r="R402" s="4">
        <v>102.89</v>
      </c>
      <c r="S402" s="4">
        <v>67.739999999999895</v>
      </c>
      <c r="T402">
        <f>K402+M402+O402</f>
        <v>171.43</v>
      </c>
      <c r="U402">
        <f t="shared" si="71"/>
        <v>170.62999999999988</v>
      </c>
    </row>
    <row r="403" spans="1:21" x14ac:dyDescent="0.35">
      <c r="A403">
        <v>27794</v>
      </c>
      <c r="B403" s="1">
        <v>38533</v>
      </c>
      <c r="C403">
        <v>2005</v>
      </c>
      <c r="D403">
        <v>225447101</v>
      </c>
      <c r="E403" t="s">
        <v>57</v>
      </c>
      <c r="F403" t="str">
        <f t="shared" si="65"/>
        <v>895419_2005</v>
      </c>
      <c r="G403" s="2" t="str">
        <f t="shared" si="66"/>
        <v>extracted_filing/895419_2005_10-K.html</v>
      </c>
      <c r="H403" s="2" t="str">
        <f t="shared" si="67"/>
        <v>extracted_filing/895419_2005_10-K.txt</v>
      </c>
      <c r="I403" s="2" t="str">
        <f t="shared" si="68"/>
        <v>https://www.sec.gov/cgi-bin/browse-edgar?action=getcompany&amp;CIK=895419&amp;type=10-K&amp;dateb=20080101&amp;owner=exclude&amp;count=40&amp;search_text=</v>
      </c>
      <c r="J403">
        <v>895419</v>
      </c>
      <c r="K403">
        <v>115.16</v>
      </c>
      <c r="L403">
        <f>K403+M403+O403</f>
        <v>192.25</v>
      </c>
      <c r="M403" s="3">
        <f>34.326</f>
        <v>34.326000000000001</v>
      </c>
      <c r="N403">
        <f t="shared" si="69"/>
        <v>34.326000000000001</v>
      </c>
      <c r="O403" s="3">
        <v>42.764000000000003</v>
      </c>
      <c r="P403">
        <v>42.764000000000003</v>
      </c>
      <c r="Q403" t="s">
        <v>125</v>
      </c>
      <c r="R403" s="4">
        <v>115.16</v>
      </c>
      <c r="S403" s="4">
        <v>78.19</v>
      </c>
      <c r="T403">
        <f>K403+M403+O403</f>
        <v>192.25</v>
      </c>
      <c r="U403">
        <f t="shared" si="71"/>
        <v>193.35</v>
      </c>
    </row>
    <row r="404" spans="1:21" x14ac:dyDescent="0.35">
      <c r="A404">
        <v>27794</v>
      </c>
      <c r="B404" s="1">
        <v>38898</v>
      </c>
      <c r="C404">
        <v>2006</v>
      </c>
      <c r="D404">
        <v>225447101</v>
      </c>
      <c r="E404" t="s">
        <v>57</v>
      </c>
      <c r="F404" t="str">
        <f t="shared" si="65"/>
        <v>895419_2006</v>
      </c>
      <c r="G404" s="2" t="str">
        <f t="shared" si="66"/>
        <v>extracted_filing/895419_2006_10-K.html</v>
      </c>
      <c r="H404" s="2" t="str">
        <f t="shared" si="67"/>
        <v>extracted_filing/895419_2006_10-K.txt</v>
      </c>
      <c r="I404" s="2" t="str">
        <f t="shared" si="68"/>
        <v>https://www.sec.gov/cgi-bin/browse-edgar?action=getcompany&amp;CIK=895419&amp;type=10-K&amp;dateb=20080101&amp;owner=exclude&amp;count=40&amp;search_text=</v>
      </c>
      <c r="J404">
        <v>895419</v>
      </c>
      <c r="K404">
        <v>147.70099999999999</v>
      </c>
      <c r="L404">
        <f>K404+M404+O404</f>
        <v>247.33199999999999</v>
      </c>
      <c r="M404" s="3">
        <f>44.76</f>
        <v>44.76</v>
      </c>
      <c r="N404">
        <f t="shared" si="69"/>
        <v>44.76</v>
      </c>
      <c r="O404" s="3">
        <v>54.871000000000002</v>
      </c>
      <c r="P404">
        <v>54.871000000000002</v>
      </c>
      <c r="Q404" t="s">
        <v>125</v>
      </c>
      <c r="R404" s="4">
        <v>147.70099999999999</v>
      </c>
      <c r="S404" s="4">
        <v>102.05200000000001</v>
      </c>
      <c r="T404">
        <f>K404+M404+O404</f>
        <v>247.33199999999999</v>
      </c>
      <c r="U404">
        <f t="shared" si="71"/>
        <v>249.75299999999999</v>
      </c>
    </row>
    <row r="405" spans="1:21" x14ac:dyDescent="0.35">
      <c r="A405">
        <v>28930</v>
      </c>
      <c r="B405" s="1">
        <v>35795</v>
      </c>
      <c r="C405">
        <v>1997</v>
      </c>
      <c r="D405">
        <v>571903202</v>
      </c>
      <c r="E405" t="s">
        <v>58</v>
      </c>
      <c r="F405" t="str">
        <f t="shared" si="65"/>
        <v>1048286_1997</v>
      </c>
      <c r="G405" s="2" t="str">
        <f t="shared" si="66"/>
        <v>extracted_filing/1048286_1997_10-K.html</v>
      </c>
      <c r="H405" s="2" t="str">
        <f t="shared" si="67"/>
        <v>extracted_filing/1048286_1997_10-K.txt</v>
      </c>
      <c r="I405" s="2" t="str">
        <f t="shared" si="68"/>
        <v>https://www.sec.gov/cgi-bin/browse-edgar?action=getcompany&amp;CIK=1048286&amp;type=10-K&amp;dateb=20080101&amp;owner=exclude&amp;count=40&amp;search_text=</v>
      </c>
      <c r="J405">
        <v>1048286</v>
      </c>
      <c r="K405">
        <v>11192</v>
      </c>
      <c r="L405">
        <f>K405+M405+O405</f>
        <v>11192</v>
      </c>
      <c r="Q405" t="s">
        <v>126</v>
      </c>
      <c r="R405">
        <v>11192</v>
      </c>
    </row>
    <row r="406" spans="1:21" x14ac:dyDescent="0.35">
      <c r="A406">
        <v>28930</v>
      </c>
      <c r="B406" s="1">
        <v>36160</v>
      </c>
      <c r="C406">
        <v>1998</v>
      </c>
      <c r="D406">
        <v>571903202</v>
      </c>
      <c r="E406" t="s">
        <v>58</v>
      </c>
      <c r="F406" t="str">
        <f t="shared" si="65"/>
        <v>1048286_1998</v>
      </c>
      <c r="G406" s="2" t="str">
        <f t="shared" si="66"/>
        <v>extracted_filing/1048286_1998_10-K.html</v>
      </c>
      <c r="H406" s="2" t="str">
        <f t="shared" si="67"/>
        <v>extracted_filing/1048286_1998_10-K.txt</v>
      </c>
      <c r="I406" s="2" t="str">
        <f t="shared" si="68"/>
        <v>https://www.sec.gov/cgi-bin/browse-edgar?action=getcompany&amp;CIK=1048286&amp;type=10-K&amp;dateb=20080101&amp;owner=exclude&amp;count=40&amp;search_text=</v>
      </c>
      <c r="J406">
        <v>1048286</v>
      </c>
      <c r="K406">
        <v>7202</v>
      </c>
      <c r="L406">
        <f>K406+M406+O406</f>
        <v>7202</v>
      </c>
      <c r="Q406" t="s">
        <v>126</v>
      </c>
      <c r="R406">
        <v>7202</v>
      </c>
    </row>
    <row r="407" spans="1:21" x14ac:dyDescent="0.35">
      <c r="A407">
        <v>28930</v>
      </c>
      <c r="B407" s="1">
        <v>36525</v>
      </c>
      <c r="C407">
        <v>1999</v>
      </c>
      <c r="D407">
        <v>571903202</v>
      </c>
      <c r="E407" t="s">
        <v>58</v>
      </c>
      <c r="F407" t="str">
        <f t="shared" si="65"/>
        <v>1048286_1999</v>
      </c>
      <c r="G407" s="2" t="str">
        <f t="shared" si="66"/>
        <v>extracted_filing/1048286_1999_10-K.html</v>
      </c>
      <c r="H407" s="2" t="str">
        <f t="shared" si="67"/>
        <v>extracted_filing/1048286_1999_10-K.txt</v>
      </c>
      <c r="I407" s="2" t="str">
        <f t="shared" si="68"/>
        <v>https://www.sec.gov/cgi-bin/browse-edgar?action=getcompany&amp;CIK=1048286&amp;type=10-K&amp;dateb=20080101&amp;owner=exclude&amp;count=40&amp;search_text=</v>
      </c>
      <c r="J407">
        <v>1048286</v>
      </c>
      <c r="K407">
        <v>7850</v>
      </c>
      <c r="L407">
        <f>K407+M407+O407</f>
        <v>7850</v>
      </c>
      <c r="Q407" t="s">
        <v>126</v>
      </c>
      <c r="R407">
        <v>7850</v>
      </c>
    </row>
    <row r="408" spans="1:21" x14ac:dyDescent="0.35">
      <c r="A408">
        <v>28930</v>
      </c>
      <c r="B408" s="1">
        <v>36891</v>
      </c>
      <c r="C408">
        <v>2000</v>
      </c>
      <c r="D408">
        <v>571903202</v>
      </c>
      <c r="E408" t="s">
        <v>58</v>
      </c>
      <c r="F408" t="str">
        <f t="shared" si="65"/>
        <v>1048286_2000</v>
      </c>
      <c r="G408" s="2" t="str">
        <f t="shared" si="66"/>
        <v>extracted_filing/1048286_2000_10-K.html</v>
      </c>
      <c r="H408" s="2" t="str">
        <f t="shared" si="67"/>
        <v>extracted_filing/1048286_2000_10-K.txt</v>
      </c>
      <c r="I408" s="2" t="str">
        <f t="shared" si="68"/>
        <v>https://www.sec.gov/cgi-bin/browse-edgar?action=getcompany&amp;CIK=1048286&amp;type=10-K&amp;dateb=20080101&amp;owner=exclude&amp;count=40&amp;search_text=</v>
      </c>
      <c r="J408">
        <v>1048286</v>
      </c>
      <c r="K408">
        <v>9068</v>
      </c>
      <c r="L408">
        <f>K408+M408+O408</f>
        <v>9068</v>
      </c>
      <c r="Q408" t="s">
        <v>126</v>
      </c>
      <c r="R408">
        <v>9068</v>
      </c>
    </row>
    <row r="409" spans="1:21" x14ac:dyDescent="0.35">
      <c r="A409">
        <v>28930</v>
      </c>
      <c r="B409" s="1">
        <v>37256</v>
      </c>
      <c r="C409">
        <v>2001</v>
      </c>
      <c r="D409">
        <v>571903202</v>
      </c>
      <c r="E409" t="s">
        <v>58</v>
      </c>
      <c r="F409" t="str">
        <f t="shared" si="65"/>
        <v>1048286_2001</v>
      </c>
      <c r="G409" s="2" t="str">
        <f t="shared" si="66"/>
        <v>extracted_filing/1048286_2001_10-K.html</v>
      </c>
      <c r="H409" s="2" t="str">
        <f t="shared" si="67"/>
        <v>extracted_filing/1048286_2001_10-K.txt</v>
      </c>
      <c r="I409" s="2" t="str">
        <f t="shared" si="68"/>
        <v>https://www.sec.gov/cgi-bin/browse-edgar?action=getcompany&amp;CIK=1048286&amp;type=10-K&amp;dateb=20080101&amp;owner=exclude&amp;count=40&amp;search_text=</v>
      </c>
      <c r="J409">
        <v>1048286</v>
      </c>
      <c r="K409">
        <v>9339</v>
      </c>
      <c r="L409">
        <f>K409+M409+O409</f>
        <v>9339</v>
      </c>
      <c r="Q409" t="s">
        <v>126</v>
      </c>
      <c r="R409">
        <v>9339</v>
      </c>
    </row>
    <row r="410" spans="1:21" x14ac:dyDescent="0.35">
      <c r="A410">
        <v>28930</v>
      </c>
      <c r="B410" s="1">
        <v>37621</v>
      </c>
      <c r="C410">
        <v>2002</v>
      </c>
      <c r="D410">
        <v>571903202</v>
      </c>
      <c r="E410" t="s">
        <v>58</v>
      </c>
      <c r="F410" t="str">
        <f t="shared" si="65"/>
        <v>1048286_2002</v>
      </c>
      <c r="G410" s="2" t="str">
        <f t="shared" si="66"/>
        <v>extracted_filing/1048286_2002_10-K.html</v>
      </c>
      <c r="H410" s="2" t="str">
        <f t="shared" si="67"/>
        <v>extracted_filing/1048286_2002_10-K.txt</v>
      </c>
      <c r="I410" s="2" t="str">
        <f t="shared" si="68"/>
        <v>https://www.sec.gov/cgi-bin/browse-edgar?action=getcompany&amp;CIK=1048286&amp;type=10-K&amp;dateb=20080101&amp;owner=exclude&amp;count=40&amp;search_text=</v>
      </c>
      <c r="J410">
        <v>1048286</v>
      </c>
      <c r="K410">
        <v>7810</v>
      </c>
      <c r="L410">
        <f>K410+M410+O410</f>
        <v>7810</v>
      </c>
      <c r="Q410" t="s">
        <v>126</v>
      </c>
      <c r="R410">
        <v>7810</v>
      </c>
    </row>
    <row r="411" spans="1:21" x14ac:dyDescent="0.35">
      <c r="A411">
        <v>28930</v>
      </c>
      <c r="B411" s="1">
        <v>37986</v>
      </c>
      <c r="C411">
        <v>2003</v>
      </c>
      <c r="D411">
        <v>571903202</v>
      </c>
      <c r="E411" t="s">
        <v>58</v>
      </c>
      <c r="F411" t="str">
        <f t="shared" si="65"/>
        <v>1048286_2003</v>
      </c>
      <c r="G411" s="2" t="str">
        <f t="shared" si="66"/>
        <v>extracted_filing/1048286_2003_10-K.html</v>
      </c>
      <c r="H411" s="2" t="str">
        <f t="shared" si="67"/>
        <v>extracted_filing/1048286_2003_10-K.txt</v>
      </c>
      <c r="I411" s="2" t="str">
        <f t="shared" si="68"/>
        <v>https://www.sec.gov/cgi-bin/browse-edgar?action=getcompany&amp;CIK=1048286&amp;type=10-K&amp;dateb=20080101&amp;owner=exclude&amp;count=40&amp;search_text=</v>
      </c>
      <c r="J411">
        <v>1048286</v>
      </c>
      <c r="K411">
        <v>8520</v>
      </c>
      <c r="L411">
        <f>K411+M411+O411</f>
        <v>8520</v>
      </c>
      <c r="Q411" t="s">
        <v>126</v>
      </c>
      <c r="R411">
        <v>8520</v>
      </c>
    </row>
    <row r="412" spans="1:21" x14ac:dyDescent="0.35">
      <c r="A412">
        <v>28930</v>
      </c>
      <c r="B412" s="1">
        <v>38352</v>
      </c>
      <c r="C412">
        <v>2004</v>
      </c>
      <c r="D412">
        <v>571903202</v>
      </c>
      <c r="E412" t="s">
        <v>58</v>
      </c>
      <c r="F412" t="str">
        <f t="shared" si="65"/>
        <v>1048286_2004</v>
      </c>
      <c r="G412" s="2" t="str">
        <f t="shared" si="66"/>
        <v>extracted_filing/1048286_2004_10-K.html</v>
      </c>
      <c r="H412" s="2" t="str">
        <f t="shared" si="67"/>
        <v>extracted_filing/1048286_2004_10-K.txt</v>
      </c>
      <c r="I412" s="2" t="str">
        <f t="shared" si="68"/>
        <v>https://www.sec.gov/cgi-bin/browse-edgar?action=getcompany&amp;CIK=1048286&amp;type=10-K&amp;dateb=20080101&amp;owner=exclude&amp;count=40&amp;search_text=</v>
      </c>
      <c r="J412">
        <v>1048286</v>
      </c>
      <c r="K412">
        <v>9448</v>
      </c>
      <c r="L412">
        <f>K412+M412+O412</f>
        <v>9448</v>
      </c>
      <c r="Q412" t="s">
        <v>126</v>
      </c>
      <c r="R412">
        <v>9448</v>
      </c>
    </row>
    <row r="413" spans="1:21" x14ac:dyDescent="0.35">
      <c r="A413">
        <v>28930</v>
      </c>
      <c r="B413" s="1">
        <v>38717</v>
      </c>
      <c r="C413">
        <v>2005</v>
      </c>
      <c r="D413">
        <v>571903202</v>
      </c>
      <c r="E413" t="s">
        <v>58</v>
      </c>
      <c r="F413" t="str">
        <f t="shared" si="65"/>
        <v>1048286_2005</v>
      </c>
      <c r="G413" s="2" t="str">
        <f t="shared" si="66"/>
        <v>extracted_filing/1048286_2005_10-K.html</v>
      </c>
      <c r="H413" s="2" t="str">
        <f t="shared" si="67"/>
        <v>extracted_filing/1048286_2005_10-K.txt</v>
      </c>
      <c r="I413" s="2" t="str">
        <f t="shared" si="68"/>
        <v>https://www.sec.gov/cgi-bin/browse-edgar?action=getcompany&amp;CIK=1048286&amp;type=10-K&amp;dateb=20080101&amp;owner=exclude&amp;count=40&amp;search_text=</v>
      </c>
      <c r="J413">
        <v>1048286</v>
      </c>
      <c r="K413">
        <v>10695</v>
      </c>
      <c r="L413">
        <f>K413+M413+O413</f>
        <v>10695</v>
      </c>
      <c r="Q413" t="s">
        <v>126</v>
      </c>
      <c r="R413">
        <v>10695</v>
      </c>
    </row>
    <row r="414" spans="1:21" x14ac:dyDescent="0.35">
      <c r="A414">
        <v>28930</v>
      </c>
      <c r="B414" s="1">
        <v>39082</v>
      </c>
      <c r="C414">
        <v>2006</v>
      </c>
      <c r="D414">
        <v>571903202</v>
      </c>
      <c r="E414" t="s">
        <v>58</v>
      </c>
      <c r="F414" t="str">
        <f t="shared" si="65"/>
        <v>1048286_2006</v>
      </c>
      <c r="G414" s="2" t="str">
        <f t="shared" si="66"/>
        <v>extracted_filing/1048286_2006_10-K.html</v>
      </c>
      <c r="H414" s="2" t="str">
        <f t="shared" si="67"/>
        <v>extracted_filing/1048286_2006_10-K.txt</v>
      </c>
      <c r="I414" s="2" t="str">
        <f t="shared" si="68"/>
        <v>https://www.sec.gov/cgi-bin/browse-edgar?action=getcompany&amp;CIK=1048286&amp;type=10-K&amp;dateb=20080101&amp;owner=exclude&amp;count=40&amp;search_text=</v>
      </c>
      <c r="J414">
        <v>1048286</v>
      </c>
      <c r="K414">
        <v>10958</v>
      </c>
      <c r="L414">
        <f>K414+M414+O414</f>
        <v>10958</v>
      </c>
      <c r="Q414" t="s">
        <v>126</v>
      </c>
      <c r="R414">
        <v>10958</v>
      </c>
    </row>
    <row r="415" spans="1:21" x14ac:dyDescent="0.35">
      <c r="A415">
        <v>29127</v>
      </c>
      <c r="B415" s="1">
        <v>35795</v>
      </c>
      <c r="C415">
        <v>1997</v>
      </c>
      <c r="D415" t="s">
        <v>59</v>
      </c>
      <c r="E415" t="s">
        <v>60</v>
      </c>
      <c r="F415" t="str">
        <f t="shared" si="65"/>
        <v>879169_1997</v>
      </c>
      <c r="G415" s="2" t="str">
        <f t="shared" si="66"/>
        <v>extracted_filing/879169_1997_10-K.html</v>
      </c>
      <c r="H415" s="2" t="str">
        <f t="shared" si="67"/>
        <v>extracted_filing/879169_1997_10-K.txt</v>
      </c>
      <c r="I415" s="2" t="str">
        <f t="shared" si="68"/>
        <v>https://www.sec.gov/cgi-bin/browse-edgar?action=getcompany&amp;CIK=879169&amp;type=10-K&amp;dateb=20080101&amp;owner=exclude&amp;count=40&amp;search_text=</v>
      </c>
      <c r="J415">
        <v>879169</v>
      </c>
      <c r="K415" s="3">
        <v>0</v>
      </c>
      <c r="L415">
        <f>K415+M415+O415</f>
        <v>70.649000000000001</v>
      </c>
      <c r="M415" s="3">
        <v>12.134</v>
      </c>
      <c r="N415">
        <f t="shared" ref="N415:N423" si="72">M415</f>
        <v>12.134</v>
      </c>
      <c r="O415" s="3">
        <f>68.927-10.412</f>
        <v>58.515000000000008</v>
      </c>
      <c r="P415">
        <f>68.927-10.412</f>
        <v>58.515000000000008</v>
      </c>
      <c r="Q415" t="s">
        <v>130</v>
      </c>
      <c r="R415">
        <v>70.263999999999996</v>
      </c>
      <c r="T415">
        <f>K415+M415+O415</f>
        <v>70.649000000000001</v>
      </c>
    </row>
    <row r="416" spans="1:21" x14ac:dyDescent="0.35">
      <c r="A416">
        <v>29127</v>
      </c>
      <c r="B416" s="1">
        <v>36160</v>
      </c>
      <c r="C416">
        <v>1998</v>
      </c>
      <c r="D416" t="s">
        <v>59</v>
      </c>
      <c r="E416" t="s">
        <v>60</v>
      </c>
      <c r="F416" t="str">
        <f t="shared" si="65"/>
        <v>879169_1998</v>
      </c>
      <c r="G416" s="2" t="str">
        <f t="shared" si="66"/>
        <v>extracted_filing/879169_1998_10-K.html</v>
      </c>
      <c r="H416" s="2" t="str">
        <f t="shared" si="67"/>
        <v>extracted_filing/879169_1998_10-K.txt</v>
      </c>
      <c r="I416" s="2" t="str">
        <f t="shared" si="68"/>
        <v>https://www.sec.gov/cgi-bin/browse-edgar?action=getcompany&amp;CIK=879169&amp;type=10-K&amp;dateb=20080101&amp;owner=exclude&amp;count=40&amp;search_text=</v>
      </c>
      <c r="J416">
        <v>879169</v>
      </c>
      <c r="K416" s="3">
        <v>0</v>
      </c>
      <c r="L416">
        <f>K416+M416+O416</f>
        <v>104.803</v>
      </c>
      <c r="M416" s="3">
        <v>25.437999999999999</v>
      </c>
      <c r="N416">
        <f t="shared" si="72"/>
        <v>25.437999999999999</v>
      </c>
      <c r="O416" s="3">
        <f>97.192-17.827</f>
        <v>79.364999999999995</v>
      </c>
      <c r="P416">
        <f>97.192-17.827</f>
        <v>79.364999999999995</v>
      </c>
      <c r="Q416" t="s">
        <v>130</v>
      </c>
      <c r="R416">
        <v>105.867</v>
      </c>
      <c r="T416">
        <f>K416+M416+O416</f>
        <v>104.803</v>
      </c>
    </row>
    <row r="417" spans="1:21" x14ac:dyDescent="0.35">
      <c r="A417">
        <v>29127</v>
      </c>
      <c r="B417" s="1">
        <v>36525</v>
      </c>
      <c r="C417">
        <v>1999</v>
      </c>
      <c r="D417" t="s">
        <v>59</v>
      </c>
      <c r="E417" t="s">
        <v>60</v>
      </c>
      <c r="F417" t="str">
        <f t="shared" si="65"/>
        <v>879169_1999</v>
      </c>
      <c r="G417" s="2" t="str">
        <f t="shared" si="66"/>
        <v>extracted_filing/879169_1999_10-K.html</v>
      </c>
      <c r="H417" s="2" t="str">
        <f t="shared" si="67"/>
        <v>extracted_filing/879169_1999_10-K.txt</v>
      </c>
      <c r="I417" s="2" t="str">
        <f t="shared" si="68"/>
        <v>https://www.sec.gov/cgi-bin/browse-edgar?action=getcompany&amp;CIK=879169&amp;type=10-K&amp;dateb=20080101&amp;owner=exclude&amp;count=40&amp;search_text=</v>
      </c>
      <c r="J417">
        <v>879169</v>
      </c>
      <c r="K417" s="3">
        <v>0</v>
      </c>
      <c r="L417">
        <f>K417+M417+O417</f>
        <v>159.38</v>
      </c>
      <c r="M417" s="3">
        <v>37.234999999999999</v>
      </c>
      <c r="N417">
        <f t="shared" si="72"/>
        <v>37.234999999999999</v>
      </c>
      <c r="O417" s="3">
        <f>146.833-24.688</f>
        <v>122.145</v>
      </c>
      <c r="P417">
        <f>146.833-24.688</f>
        <v>122.145</v>
      </c>
      <c r="Q417" t="s">
        <v>130</v>
      </c>
      <c r="R417">
        <v>162.21899999999999</v>
      </c>
      <c r="T417">
        <f>K417+M417+O417</f>
        <v>159.38</v>
      </c>
    </row>
    <row r="418" spans="1:21" x14ac:dyDescent="0.35">
      <c r="A418">
        <v>29127</v>
      </c>
      <c r="B418" s="1">
        <v>36891</v>
      </c>
      <c r="C418">
        <v>2000</v>
      </c>
      <c r="D418" t="s">
        <v>59</v>
      </c>
      <c r="E418" t="s">
        <v>60</v>
      </c>
      <c r="F418" t="str">
        <f t="shared" si="65"/>
        <v>879169_2000</v>
      </c>
      <c r="G418" s="2" t="str">
        <f t="shared" si="66"/>
        <v>extracted_filing/879169_2000_10-K.html</v>
      </c>
      <c r="H418" s="2" t="str">
        <f t="shared" si="67"/>
        <v>extracted_filing/879169_2000_10-K.txt</v>
      </c>
      <c r="I418" s="2" t="str">
        <f t="shared" si="68"/>
        <v>https://www.sec.gov/cgi-bin/browse-edgar?action=getcompany&amp;CIK=879169&amp;type=10-K&amp;dateb=20080101&amp;owner=exclude&amp;count=40&amp;search_text=</v>
      </c>
      <c r="J418">
        <v>879169</v>
      </c>
      <c r="K418" s="3">
        <v>0</v>
      </c>
      <c r="L418">
        <f>K418+M418+O418</f>
        <v>221.91499999999999</v>
      </c>
      <c r="M418" s="3">
        <v>64.200999999999993</v>
      </c>
      <c r="N418">
        <f t="shared" si="72"/>
        <v>64.200999999999993</v>
      </c>
      <c r="O418" s="3">
        <f>192.556-34.842</f>
        <v>157.714</v>
      </c>
      <c r="P418">
        <f>192.556-34.842</f>
        <v>157.714</v>
      </c>
      <c r="Q418" t="s">
        <v>130</v>
      </c>
      <c r="R418">
        <v>227.83500000000001</v>
      </c>
      <c r="T418">
        <f>K418+M418+O418</f>
        <v>221.91499999999999</v>
      </c>
    </row>
    <row r="419" spans="1:21" x14ac:dyDescent="0.35">
      <c r="A419">
        <v>29127</v>
      </c>
      <c r="B419" s="1">
        <v>37256</v>
      </c>
      <c r="C419">
        <v>2001</v>
      </c>
      <c r="D419" t="s">
        <v>59</v>
      </c>
      <c r="E419" t="s">
        <v>60</v>
      </c>
      <c r="F419" t="str">
        <f t="shared" si="65"/>
        <v>879169_2001</v>
      </c>
      <c r="G419" s="2" t="str">
        <f t="shared" si="66"/>
        <v>extracted_filing/879169_2001_10-K.html</v>
      </c>
      <c r="H419" s="2" t="str">
        <f t="shared" si="67"/>
        <v>extracted_filing/879169_2001_10-K.txt</v>
      </c>
      <c r="I419" s="2" t="str">
        <f t="shared" si="68"/>
        <v>https://www.sec.gov/cgi-bin/browse-edgar?action=getcompany&amp;CIK=879169&amp;type=10-K&amp;dateb=20080101&amp;owner=exclude&amp;count=40&amp;search_text=</v>
      </c>
      <c r="J419">
        <v>879169</v>
      </c>
      <c r="K419" s="3">
        <v>0</v>
      </c>
      <c r="L419">
        <f>K419+M419+O419</f>
        <v>237.55200000000002</v>
      </c>
      <c r="M419" s="3">
        <v>70.626000000000005</v>
      </c>
      <c r="N419">
        <f t="shared" si="72"/>
        <v>70.626000000000005</v>
      </c>
      <c r="O419" s="3">
        <f>213.336-46.41</f>
        <v>166.92600000000002</v>
      </c>
      <c r="P419">
        <f>213.336-46.41</f>
        <v>166.92600000000002</v>
      </c>
      <c r="Q419" t="s">
        <v>130</v>
      </c>
      <c r="R419">
        <v>241.87899999999999</v>
      </c>
      <c r="T419">
        <f>K419+M419+O419</f>
        <v>237.55200000000002</v>
      </c>
    </row>
    <row r="420" spans="1:21" x14ac:dyDescent="0.35">
      <c r="A420">
        <v>29127</v>
      </c>
      <c r="B420" s="1">
        <v>37621</v>
      </c>
      <c r="C420">
        <v>2002</v>
      </c>
      <c r="D420" t="s">
        <v>59</v>
      </c>
      <c r="E420" t="s">
        <v>60</v>
      </c>
      <c r="F420" t="str">
        <f t="shared" si="65"/>
        <v>879169_2002</v>
      </c>
      <c r="G420" s="2" t="str">
        <f t="shared" si="66"/>
        <v>extracted_filing/879169_2002_10-K.html</v>
      </c>
      <c r="H420" s="2" t="str">
        <f t="shared" si="67"/>
        <v>extracted_filing/879169_2002_10-K.txt</v>
      </c>
      <c r="I420" s="2" t="str">
        <f t="shared" si="68"/>
        <v>https://www.sec.gov/cgi-bin/browse-edgar?action=getcompany&amp;CIK=879169&amp;type=10-K&amp;dateb=20080101&amp;owner=exclude&amp;count=40&amp;search_text=</v>
      </c>
      <c r="J420">
        <v>879169</v>
      </c>
      <c r="K420" s="3">
        <v>0</v>
      </c>
      <c r="L420">
        <f>K420+M420+O420</f>
        <v>176.31399999999999</v>
      </c>
      <c r="M420" s="3">
        <v>47.146999999999998</v>
      </c>
      <c r="N420">
        <f t="shared" si="72"/>
        <v>47.146999999999998</v>
      </c>
      <c r="O420" s="3">
        <f>152.373-23.206</f>
        <v>129.167</v>
      </c>
      <c r="P420">
        <f>152.373-23.206</f>
        <v>129.167</v>
      </c>
      <c r="Q420" t="s">
        <v>130</v>
      </c>
      <c r="R420">
        <v>172.32</v>
      </c>
      <c r="T420">
        <f>K420+M420+O420</f>
        <v>176.31399999999999</v>
      </c>
    </row>
    <row r="421" spans="1:21" x14ac:dyDescent="0.35">
      <c r="A421">
        <v>29127</v>
      </c>
      <c r="B421" s="1">
        <v>37986</v>
      </c>
      <c r="C421">
        <v>2003</v>
      </c>
      <c r="D421" t="s">
        <v>59</v>
      </c>
      <c r="E421" t="s">
        <v>60</v>
      </c>
      <c r="F421" t="str">
        <f t="shared" si="65"/>
        <v>879169_2003</v>
      </c>
      <c r="G421" s="2" t="str">
        <f t="shared" si="66"/>
        <v>extracted_filing/879169_2003_10-K.html</v>
      </c>
      <c r="H421" s="2" t="str">
        <f t="shared" si="67"/>
        <v>extracted_filing/879169_2003_10-K.txt</v>
      </c>
      <c r="I421" s="2" t="str">
        <f t="shared" si="68"/>
        <v>https://www.sec.gov/cgi-bin/browse-edgar?action=getcompany&amp;CIK=879169&amp;type=10-K&amp;dateb=20080101&amp;owner=exclude&amp;count=40&amp;search_text=</v>
      </c>
      <c r="J421">
        <v>879169</v>
      </c>
      <c r="K421" s="3">
        <v>0</v>
      </c>
      <c r="L421">
        <f>K421+M421+O421</f>
        <v>128.88499999999999</v>
      </c>
      <c r="M421" s="3">
        <v>30.324999999999999</v>
      </c>
      <c r="N421">
        <f t="shared" si="72"/>
        <v>30.324999999999999</v>
      </c>
      <c r="O421" s="3">
        <f>116.245-17.685</f>
        <v>98.56</v>
      </c>
      <c r="P421">
        <f>116.245-17.685</f>
        <v>98.56</v>
      </c>
      <c r="Q421" t="s">
        <v>130</v>
      </c>
      <c r="R421">
        <v>134.57</v>
      </c>
      <c r="T421">
        <f>K421+M421+O421</f>
        <v>128.88499999999999</v>
      </c>
    </row>
    <row r="422" spans="1:21" x14ac:dyDescent="0.35">
      <c r="A422">
        <v>29127</v>
      </c>
      <c r="B422" s="1">
        <v>38352</v>
      </c>
      <c r="C422">
        <v>2004</v>
      </c>
      <c r="D422" t="s">
        <v>59</v>
      </c>
      <c r="E422" t="s">
        <v>60</v>
      </c>
      <c r="F422" t="str">
        <f t="shared" si="65"/>
        <v>879169_2004</v>
      </c>
      <c r="G422" s="2" t="str">
        <f t="shared" si="66"/>
        <v>extracted_filing/879169_2004_10-K.html</v>
      </c>
      <c r="H422" s="2" t="str">
        <f t="shared" si="67"/>
        <v>extracted_filing/879169_2004_10-K.txt</v>
      </c>
      <c r="I422" s="2" t="str">
        <f t="shared" si="68"/>
        <v>https://www.sec.gov/cgi-bin/browse-edgar?action=getcompany&amp;CIK=879169&amp;type=10-K&amp;dateb=20080101&amp;owner=exclude&amp;count=40&amp;search_text=</v>
      </c>
      <c r="J422">
        <v>879169</v>
      </c>
      <c r="K422" s="3">
        <v>0</v>
      </c>
      <c r="L422">
        <f>K422+M422+O422</f>
        <v>94.909000000000006</v>
      </c>
      <c r="M422" s="3">
        <v>20.550999999999998</v>
      </c>
      <c r="N422">
        <f t="shared" si="72"/>
        <v>20.550999999999998</v>
      </c>
      <c r="O422" s="3">
        <f>88.271-13.913</f>
        <v>74.358000000000004</v>
      </c>
      <c r="P422">
        <f>88.271-13.913</f>
        <v>74.358000000000004</v>
      </c>
      <c r="Q422" t="s">
        <v>130</v>
      </c>
      <c r="R422">
        <v>103.02200000000001</v>
      </c>
      <c r="T422">
        <f>K422+M422+O422</f>
        <v>94.909000000000006</v>
      </c>
    </row>
    <row r="423" spans="1:21" x14ac:dyDescent="0.35">
      <c r="A423">
        <v>29127</v>
      </c>
      <c r="B423" s="1">
        <v>38717</v>
      </c>
      <c r="C423">
        <v>2005</v>
      </c>
      <c r="D423" t="s">
        <v>59</v>
      </c>
      <c r="E423" t="s">
        <v>60</v>
      </c>
      <c r="F423" t="str">
        <f t="shared" si="65"/>
        <v>879169_2005</v>
      </c>
      <c r="G423" s="2" t="str">
        <f t="shared" si="66"/>
        <v>extracted_filing/879169_2005_10-K.html</v>
      </c>
      <c r="H423" s="2" t="str">
        <f t="shared" si="67"/>
        <v>extracted_filing/879169_2005_10-K.txt</v>
      </c>
      <c r="I423" s="2" t="str">
        <f t="shared" si="68"/>
        <v>https://www.sec.gov/cgi-bin/browse-edgar?action=getcompany&amp;CIK=879169&amp;type=10-K&amp;dateb=20080101&amp;owner=exclude&amp;count=40&amp;search_text=</v>
      </c>
      <c r="J423">
        <v>879169</v>
      </c>
      <c r="K423" s="3">
        <v>0</v>
      </c>
      <c r="L423">
        <f>K423+M423+O423</f>
        <v>99.081999999999994</v>
      </c>
      <c r="M423" s="3">
        <v>11.656000000000001</v>
      </c>
      <c r="N423">
        <f t="shared" si="72"/>
        <v>11.656000000000001</v>
      </c>
      <c r="O423" s="3">
        <f>95.618-8.192</f>
        <v>87.425999999999988</v>
      </c>
      <c r="P423">
        <f>95.618-8.192</f>
        <v>87.425999999999988</v>
      </c>
      <c r="Q423" t="s">
        <v>130</v>
      </c>
      <c r="R423">
        <v>103.04900000000001</v>
      </c>
      <c r="T423">
        <f>K423+M423+O423</f>
        <v>99.081999999999994</v>
      </c>
    </row>
    <row r="424" spans="1:21" x14ac:dyDescent="0.35">
      <c r="A424">
        <v>29206</v>
      </c>
      <c r="B424" s="1">
        <v>35795</v>
      </c>
      <c r="C424">
        <v>1997</v>
      </c>
      <c r="D424">
        <v>349853101</v>
      </c>
      <c r="E424" t="s">
        <v>61</v>
      </c>
      <c r="F424" t="str">
        <f t="shared" si="65"/>
        <v>912728_1997</v>
      </c>
      <c r="G424" s="2" t="str">
        <f t="shared" si="66"/>
        <v>extracted_filing/912728_1997_10-K.html</v>
      </c>
      <c r="H424" s="2" t="str">
        <f t="shared" si="67"/>
        <v>extracted_filing/912728_1997_10-K.txt</v>
      </c>
      <c r="I424" s="2" t="str">
        <f t="shared" si="68"/>
        <v>https://www.sec.gov/cgi-bin/browse-edgar?action=getcompany&amp;CIK=912728&amp;type=10-K&amp;dateb=20080101&amp;owner=exclude&amp;count=40&amp;search_text=</v>
      </c>
      <c r="J424">
        <v>912728</v>
      </c>
      <c r="K424">
        <v>162.38900000000001</v>
      </c>
      <c r="L424">
        <f>K424+M424+O424</f>
        <v>162.38900000000001</v>
      </c>
      <c r="Q424" t="s">
        <v>135</v>
      </c>
      <c r="R424">
        <v>162.38900000000001</v>
      </c>
      <c r="T424">
        <f>K424+M424+O424</f>
        <v>162.38900000000001</v>
      </c>
    </row>
    <row r="425" spans="1:21" x14ac:dyDescent="0.35">
      <c r="A425">
        <v>29206</v>
      </c>
      <c r="B425" s="1">
        <v>36160</v>
      </c>
      <c r="C425">
        <v>1998</v>
      </c>
      <c r="D425">
        <v>349853101</v>
      </c>
      <c r="E425" t="s">
        <v>61</v>
      </c>
      <c r="F425" t="str">
        <f t="shared" si="65"/>
        <v>912728_1998</v>
      </c>
      <c r="G425" s="2" t="str">
        <f t="shared" si="66"/>
        <v>extracted_filing/912728_1998_10-K.html</v>
      </c>
      <c r="H425" s="2" t="str">
        <f t="shared" si="67"/>
        <v>extracted_filing/912728_1998_10-K.txt</v>
      </c>
      <c r="I425" s="2" t="str">
        <f t="shared" si="68"/>
        <v>https://www.sec.gov/cgi-bin/browse-edgar?action=getcompany&amp;CIK=912728&amp;type=10-K&amp;dateb=20080101&amp;owner=exclude&amp;count=40&amp;search_text=</v>
      </c>
      <c r="J425">
        <v>912728</v>
      </c>
      <c r="K425">
        <v>110.081</v>
      </c>
      <c r="L425">
        <f>K425+M425+O425</f>
        <v>110.081</v>
      </c>
      <c r="Q425" t="s">
        <v>135</v>
      </c>
      <c r="R425">
        <v>110.081</v>
      </c>
      <c r="T425">
        <f>K425+M425+O425</f>
        <v>110.081</v>
      </c>
    </row>
    <row r="426" spans="1:21" x14ac:dyDescent="0.35">
      <c r="A426">
        <v>29206</v>
      </c>
      <c r="B426" s="1">
        <v>36525</v>
      </c>
      <c r="C426">
        <v>1999</v>
      </c>
      <c r="D426">
        <v>349853101</v>
      </c>
      <c r="E426" t="s">
        <v>61</v>
      </c>
      <c r="F426" t="str">
        <f t="shared" si="65"/>
        <v>912728_1999</v>
      </c>
      <c r="G426" s="2" t="str">
        <f t="shared" si="66"/>
        <v>extracted_filing/912728_1999_10-K.html</v>
      </c>
      <c r="H426" s="2" t="str">
        <f t="shared" si="67"/>
        <v>extracted_filing/912728_1999_10-K.txt</v>
      </c>
      <c r="I426" s="2" t="str">
        <f t="shared" si="68"/>
        <v>https://www.sec.gov/cgi-bin/browse-edgar?action=getcompany&amp;CIK=912728&amp;type=10-K&amp;dateb=20080101&amp;owner=exclude&amp;count=40&amp;search_text=</v>
      </c>
      <c r="J426">
        <v>912728</v>
      </c>
      <c r="K426">
        <v>139.40299999999999</v>
      </c>
      <c r="L426">
        <f>K426+M426+O426</f>
        <v>139.40299999999999</v>
      </c>
      <c r="Q426" t="s">
        <v>135</v>
      </c>
      <c r="R426">
        <v>139.40299999999999</v>
      </c>
      <c r="T426">
        <f>K426+M426+O426</f>
        <v>139.40299999999999</v>
      </c>
    </row>
    <row r="427" spans="1:21" x14ac:dyDescent="0.35">
      <c r="A427">
        <v>29206</v>
      </c>
      <c r="B427" s="1">
        <v>36891</v>
      </c>
      <c r="C427">
        <v>2000</v>
      </c>
      <c r="D427">
        <v>349853101</v>
      </c>
      <c r="E427" t="s">
        <v>61</v>
      </c>
      <c r="F427" t="str">
        <f t="shared" si="65"/>
        <v>912728_2000</v>
      </c>
      <c r="G427" s="2" t="str">
        <f t="shared" si="66"/>
        <v>extracted_filing/912728_2000_10-K.html</v>
      </c>
      <c r="H427" s="2" t="str">
        <f t="shared" si="67"/>
        <v>extracted_filing/912728_2000_10-K.txt</v>
      </c>
      <c r="I427" s="2" t="str">
        <f t="shared" si="68"/>
        <v>https://www.sec.gov/cgi-bin/browse-edgar?action=getcompany&amp;CIK=912728&amp;type=10-K&amp;dateb=20080101&amp;owner=exclude&amp;count=40&amp;search_text=</v>
      </c>
      <c r="J427">
        <v>912728</v>
      </c>
      <c r="K427">
        <v>171.82300000000001</v>
      </c>
      <c r="L427">
        <f>K427+M427+O427</f>
        <v>171.82300000000001</v>
      </c>
      <c r="Q427" t="s">
        <v>135</v>
      </c>
      <c r="R427">
        <v>171.82300000000001</v>
      </c>
      <c r="T427">
        <f>K427+M427+O427</f>
        <v>171.82300000000001</v>
      </c>
    </row>
    <row r="428" spans="1:21" x14ac:dyDescent="0.35">
      <c r="A428">
        <v>29206</v>
      </c>
      <c r="B428" s="1">
        <v>37256</v>
      </c>
      <c r="C428">
        <v>2001</v>
      </c>
      <c r="D428">
        <v>349853101</v>
      </c>
      <c r="E428" t="s">
        <v>61</v>
      </c>
      <c r="F428" t="str">
        <f t="shared" si="65"/>
        <v>912728_2001</v>
      </c>
      <c r="G428" s="2" t="str">
        <f t="shared" si="66"/>
        <v>extracted_filing/912728_2001_10-K.html</v>
      </c>
      <c r="H428" s="2" t="str">
        <f t="shared" si="67"/>
        <v>extracted_filing/912728_2001_10-K.txt</v>
      </c>
      <c r="I428" s="2" t="str">
        <f t="shared" si="68"/>
        <v>https://www.sec.gov/cgi-bin/browse-edgar?action=getcompany&amp;CIK=912728&amp;type=10-K&amp;dateb=20080101&amp;owner=exclude&amp;count=40&amp;search_text=</v>
      </c>
      <c r="J428">
        <v>912728</v>
      </c>
      <c r="K428">
        <v>187.43199999999999</v>
      </c>
      <c r="L428">
        <f>K428+M428+O428</f>
        <v>187.43199999999999</v>
      </c>
      <c r="Q428" t="s">
        <v>135</v>
      </c>
      <c r="R428">
        <v>187.43199999999999</v>
      </c>
      <c r="T428">
        <f>K428+M428+O428</f>
        <v>187.43199999999999</v>
      </c>
    </row>
    <row r="429" spans="1:21" x14ac:dyDescent="0.35">
      <c r="A429">
        <v>29206</v>
      </c>
      <c r="B429" s="1">
        <v>37621</v>
      </c>
      <c r="C429">
        <v>2002</v>
      </c>
      <c r="D429">
        <v>349853101</v>
      </c>
      <c r="E429" t="s">
        <v>61</v>
      </c>
      <c r="F429" t="str">
        <f t="shared" si="65"/>
        <v>912728_2002</v>
      </c>
      <c r="G429" s="2" t="str">
        <f t="shared" si="66"/>
        <v>extracted_filing/912728_2002_10-K.html</v>
      </c>
      <c r="H429" s="2" t="str">
        <f t="shared" si="67"/>
        <v>extracted_filing/912728_2002_10-K.txt</v>
      </c>
      <c r="I429" s="2" t="str">
        <f t="shared" si="68"/>
        <v>https://www.sec.gov/cgi-bin/browse-edgar?action=getcompany&amp;CIK=912728&amp;type=10-K&amp;dateb=20080101&amp;owner=exclude&amp;count=40&amp;search_text=</v>
      </c>
      <c r="J429">
        <v>912728</v>
      </c>
      <c r="K429">
        <v>185.874</v>
      </c>
      <c r="L429">
        <f>K429+M429+O429</f>
        <v>185.874</v>
      </c>
      <c r="Q429" t="s">
        <v>135</v>
      </c>
      <c r="R429">
        <v>185.874</v>
      </c>
      <c r="T429">
        <f>K429+M429+O429</f>
        <v>185.874</v>
      </c>
    </row>
    <row r="430" spans="1:21" x14ac:dyDescent="0.35">
      <c r="A430">
        <v>29206</v>
      </c>
      <c r="B430" s="1">
        <v>37986</v>
      </c>
      <c r="C430">
        <v>2003</v>
      </c>
      <c r="D430">
        <v>349853101</v>
      </c>
      <c r="E430" t="s">
        <v>61</v>
      </c>
      <c r="F430" t="str">
        <f t="shared" si="65"/>
        <v>912728_2003</v>
      </c>
      <c r="G430" s="2" t="str">
        <f t="shared" si="66"/>
        <v>extracted_filing/912728_2003_10-K.html</v>
      </c>
      <c r="H430" s="2" t="str">
        <f t="shared" si="67"/>
        <v>extracted_filing/912728_2003_10-K.txt</v>
      </c>
      <c r="I430" s="2" t="str">
        <f t="shared" si="68"/>
        <v>https://www.sec.gov/cgi-bin/browse-edgar?action=getcompany&amp;CIK=912728&amp;type=10-K&amp;dateb=20080101&amp;owner=exclude&amp;count=40&amp;search_text=</v>
      </c>
      <c r="J430">
        <v>912728</v>
      </c>
      <c r="K430" s="3">
        <f>SUM(R430:S430)</f>
        <v>194.072</v>
      </c>
      <c r="L430">
        <f>K430+M430+O430</f>
        <v>194.072</v>
      </c>
      <c r="Q430" t="s">
        <v>135</v>
      </c>
      <c r="R430" s="4">
        <v>174.58500000000001</v>
      </c>
      <c r="S430" s="4">
        <v>19.486999999999998</v>
      </c>
      <c r="T430">
        <f>K430+M430+O430</f>
        <v>194.072</v>
      </c>
      <c r="U430">
        <f>SUM(R430:S430)</f>
        <v>194.072</v>
      </c>
    </row>
    <row r="431" spans="1:21" x14ac:dyDescent="0.35">
      <c r="A431">
        <v>29206</v>
      </c>
      <c r="B431" s="1">
        <v>38352</v>
      </c>
      <c r="C431">
        <v>2004</v>
      </c>
      <c r="D431">
        <v>349853101</v>
      </c>
      <c r="E431" t="s">
        <v>61</v>
      </c>
      <c r="F431" t="str">
        <f t="shared" si="65"/>
        <v>912728_2004</v>
      </c>
      <c r="G431" s="2" t="str">
        <f t="shared" si="66"/>
        <v>extracted_filing/912728_2004_10-K.html</v>
      </c>
      <c r="H431" s="2" t="str">
        <f t="shared" si="67"/>
        <v>extracted_filing/912728_2004_10-K.txt</v>
      </c>
      <c r="I431" s="2" t="str">
        <f t="shared" si="68"/>
        <v>https://www.sec.gov/cgi-bin/browse-edgar?action=getcompany&amp;CIK=912728&amp;type=10-K&amp;dateb=20080101&amp;owner=exclude&amp;count=40&amp;search_text=</v>
      </c>
      <c r="J431">
        <v>912728</v>
      </c>
      <c r="K431" s="3">
        <f t="shared" ref="K431:K433" si="73">SUM(R431:S431)</f>
        <v>221.78199999999998</v>
      </c>
      <c r="L431">
        <f>K431+M431+O431</f>
        <v>221.78199999999998</v>
      </c>
      <c r="Q431" t="s">
        <v>135</v>
      </c>
      <c r="R431" s="4">
        <v>199.32599999999999</v>
      </c>
      <c r="S431" s="4">
        <v>22.456</v>
      </c>
      <c r="T431">
        <f>K431+M431+O431</f>
        <v>221.78199999999998</v>
      </c>
      <c r="U431">
        <f t="shared" ref="U431:U432" si="74">SUM(R431:S431)</f>
        <v>221.78199999999998</v>
      </c>
    </row>
    <row r="432" spans="1:21" x14ac:dyDescent="0.35">
      <c r="A432">
        <v>29206</v>
      </c>
      <c r="B432" s="1">
        <v>38717</v>
      </c>
      <c r="C432">
        <v>2005</v>
      </c>
      <c r="D432">
        <v>349853101</v>
      </c>
      <c r="E432" t="s">
        <v>61</v>
      </c>
      <c r="F432" t="str">
        <f t="shared" si="65"/>
        <v>912728_2005</v>
      </c>
      <c r="G432" s="2" t="str">
        <f t="shared" si="66"/>
        <v>extracted_filing/912728_2005_10-K.html</v>
      </c>
      <c r="H432" s="2" t="str">
        <f t="shared" si="67"/>
        <v>extracted_filing/912728_2005_10-K.txt</v>
      </c>
      <c r="I432" s="2" t="str">
        <f t="shared" si="68"/>
        <v>https://www.sec.gov/cgi-bin/browse-edgar?action=getcompany&amp;CIK=912728&amp;type=10-K&amp;dateb=20080101&amp;owner=exclude&amp;count=40&amp;search_text=</v>
      </c>
      <c r="J432">
        <v>912728</v>
      </c>
      <c r="K432" s="3">
        <f t="shared" si="73"/>
        <v>244.55</v>
      </c>
      <c r="L432">
        <f>K432+M432+O432</f>
        <v>244.55</v>
      </c>
      <c r="Q432" t="s">
        <v>135</v>
      </c>
      <c r="R432" s="4">
        <v>219.68600000000001</v>
      </c>
      <c r="S432" s="4">
        <v>24.864000000000001</v>
      </c>
      <c r="T432">
        <f>K432+M432+O432</f>
        <v>244.55</v>
      </c>
      <c r="U432">
        <f t="shared" si="74"/>
        <v>244.55</v>
      </c>
    </row>
    <row r="433" spans="1:21" x14ac:dyDescent="0.35">
      <c r="A433">
        <v>29206</v>
      </c>
      <c r="B433" s="1">
        <v>39082</v>
      </c>
      <c r="C433">
        <v>2006</v>
      </c>
      <c r="D433">
        <v>349853101</v>
      </c>
      <c r="E433" t="s">
        <v>61</v>
      </c>
      <c r="F433" t="str">
        <f t="shared" si="65"/>
        <v>912728_2006</v>
      </c>
      <c r="G433" s="2" t="str">
        <f t="shared" si="66"/>
        <v>extracted_filing/912728_2006_10-K.html</v>
      </c>
      <c r="H433" s="2" t="str">
        <f t="shared" si="67"/>
        <v>extracted_filing/912728_2006_10-K.txt</v>
      </c>
      <c r="I433" s="2" t="str">
        <f t="shared" si="68"/>
        <v>https://www.sec.gov/cgi-bin/browse-edgar?action=getcompany&amp;CIK=912728&amp;type=10-K&amp;dateb=20080101&amp;owner=exclude&amp;count=40&amp;search_text=</v>
      </c>
      <c r="J433">
        <v>912728</v>
      </c>
      <c r="K433" s="3">
        <f t="shared" si="73"/>
        <v>268.428</v>
      </c>
      <c r="L433">
        <f>K433+M433+O433</f>
        <v>268.428</v>
      </c>
      <c r="Q433" t="s">
        <v>135</v>
      </c>
      <c r="R433" s="4">
        <v>241.59399999999999</v>
      </c>
      <c r="S433" s="4">
        <v>26.834</v>
      </c>
      <c r="T433">
        <f>K433+M433+O433</f>
        <v>268.428</v>
      </c>
      <c r="U433">
        <f>SUM(R433:S433)</f>
        <v>268.428</v>
      </c>
    </row>
    <row r="434" spans="1:21" x14ac:dyDescent="0.35">
      <c r="A434">
        <v>30697</v>
      </c>
      <c r="B434" s="1">
        <v>35611</v>
      </c>
      <c r="C434">
        <v>1997</v>
      </c>
      <c r="D434">
        <v>8190100</v>
      </c>
      <c r="E434" t="s">
        <v>62</v>
      </c>
      <c r="F434" t="str">
        <f t="shared" si="65"/>
        <v>2135_1997</v>
      </c>
      <c r="G434" s="2" t="str">
        <f t="shared" si="66"/>
        <v>extracted_filing/2135_1997_10-K.html</v>
      </c>
      <c r="H434" s="2" t="str">
        <f t="shared" si="67"/>
        <v>extracted_filing/2135_1997_10-K.txt</v>
      </c>
      <c r="I434" s="2" t="str">
        <f t="shared" si="68"/>
        <v>https://www.sec.gov/cgi-bin/browse-edgar?action=getcompany&amp;CIK=2135&amp;type=10-K&amp;dateb=20080101&amp;owner=exclude&amp;count=40&amp;search_text=</v>
      </c>
      <c r="J434">
        <v>2135</v>
      </c>
      <c r="K434">
        <v>523.28099999999904</v>
      </c>
      <c r="L434">
        <f>K434+M434+O434</f>
        <v>523.28099999999904</v>
      </c>
      <c r="Q434" t="s">
        <v>134</v>
      </c>
      <c r="R434">
        <v>523.28099999999904</v>
      </c>
      <c r="T434">
        <f>K434+M434+O434</f>
        <v>523.28099999999904</v>
      </c>
    </row>
    <row r="435" spans="1:21" x14ac:dyDescent="0.35">
      <c r="A435">
        <v>30697</v>
      </c>
      <c r="B435" s="1">
        <v>35976</v>
      </c>
      <c r="C435">
        <v>1998</v>
      </c>
      <c r="D435">
        <v>8190100</v>
      </c>
      <c r="E435" t="s">
        <v>62</v>
      </c>
      <c r="F435" t="str">
        <f t="shared" si="65"/>
        <v>2135_1998</v>
      </c>
      <c r="G435" s="2" t="str">
        <f t="shared" si="66"/>
        <v>extracted_filing/2135_1998_10-K.html</v>
      </c>
      <c r="H435" s="2" t="str">
        <f t="shared" si="67"/>
        <v>extracted_filing/2135_1998_10-K.txt</v>
      </c>
      <c r="I435" s="2" t="str">
        <f t="shared" si="68"/>
        <v>https://www.sec.gov/cgi-bin/browse-edgar?action=getcompany&amp;CIK=2135&amp;type=10-K&amp;dateb=20080101&amp;owner=exclude&amp;count=40&amp;search_text=</v>
      </c>
      <c r="J435">
        <v>2135</v>
      </c>
      <c r="K435">
        <v>1024.3150000000001</v>
      </c>
      <c r="L435">
        <f>K435+M435+O435</f>
        <v>1024.3150000000001</v>
      </c>
      <c r="Q435" t="s">
        <v>134</v>
      </c>
      <c r="R435">
        <v>1024.3150000000001</v>
      </c>
      <c r="T435">
        <f>K435+M435+O435</f>
        <v>1024.3150000000001</v>
      </c>
    </row>
    <row r="436" spans="1:21" x14ac:dyDescent="0.35">
      <c r="A436">
        <v>30697</v>
      </c>
      <c r="B436" s="1">
        <v>36341</v>
      </c>
      <c r="C436">
        <v>1999</v>
      </c>
      <c r="D436">
        <v>8190100</v>
      </c>
      <c r="E436" t="s">
        <v>62</v>
      </c>
      <c r="F436" t="str">
        <f t="shared" si="65"/>
        <v>2135_1999</v>
      </c>
      <c r="G436" s="2" t="str">
        <f t="shared" si="66"/>
        <v>extracted_filing/2135_1999_10-K.html</v>
      </c>
      <c r="H436" s="2" t="str">
        <f t="shared" si="67"/>
        <v>extracted_filing/2135_1999_10-K.txt</v>
      </c>
      <c r="I436" s="2" t="str">
        <f t="shared" si="68"/>
        <v>https://www.sec.gov/cgi-bin/browse-edgar?action=getcompany&amp;CIK=2135&amp;type=10-K&amp;dateb=20080101&amp;owner=exclude&amp;count=40&amp;search_text=</v>
      </c>
      <c r="J436">
        <v>2135</v>
      </c>
      <c r="K436">
        <v>1416.9090000000001</v>
      </c>
      <c r="L436">
        <f>K436+M436+O436</f>
        <v>1416.9090000000001</v>
      </c>
      <c r="Q436" t="s">
        <v>134</v>
      </c>
      <c r="R436">
        <v>1416.9090000000001</v>
      </c>
      <c r="T436">
        <f>K436+M436+O436</f>
        <v>1416.9090000000001</v>
      </c>
    </row>
    <row r="437" spans="1:21" x14ac:dyDescent="0.35">
      <c r="A437">
        <v>30697</v>
      </c>
      <c r="B437" s="1">
        <v>36707</v>
      </c>
      <c r="C437">
        <v>2000</v>
      </c>
      <c r="D437">
        <v>8190100</v>
      </c>
      <c r="E437" t="s">
        <v>62</v>
      </c>
      <c r="F437" t="str">
        <f t="shared" si="65"/>
        <v>2135_2000</v>
      </c>
      <c r="G437" s="2" t="str">
        <f t="shared" si="66"/>
        <v>extracted_filing/2135_2000_10-K.html</v>
      </c>
      <c r="H437" s="2" t="str">
        <f t="shared" si="67"/>
        <v>extracted_filing/2135_2000_10-K.txt</v>
      </c>
      <c r="I437" s="2" t="str">
        <f t="shared" si="68"/>
        <v>https://www.sec.gov/cgi-bin/browse-edgar?action=getcompany&amp;CIK=2135&amp;type=10-K&amp;dateb=20080101&amp;owner=exclude&amp;count=40&amp;search_text=</v>
      </c>
      <c r="J437">
        <v>2135</v>
      </c>
      <c r="K437">
        <v>1697.8109999999999</v>
      </c>
      <c r="L437">
        <f>K437+M437+O437</f>
        <v>1697.8109999999999</v>
      </c>
      <c r="Q437" t="s">
        <v>134</v>
      </c>
      <c r="R437">
        <v>1697.8109999999999</v>
      </c>
      <c r="T437">
        <f>K437+M437+O437</f>
        <v>1697.8109999999999</v>
      </c>
    </row>
    <row r="438" spans="1:21" x14ac:dyDescent="0.35">
      <c r="A438">
        <v>30697</v>
      </c>
      <c r="B438" s="1">
        <v>37072</v>
      </c>
      <c r="C438">
        <v>2001</v>
      </c>
      <c r="D438">
        <v>8190100</v>
      </c>
      <c r="E438" t="s">
        <v>62</v>
      </c>
      <c r="F438" t="str">
        <f t="shared" si="65"/>
        <v>2135_2001</v>
      </c>
      <c r="G438" s="2" t="str">
        <f t="shared" si="66"/>
        <v>extracted_filing/2135_2001_10-K.html</v>
      </c>
      <c r="H438" s="2" t="str">
        <f t="shared" si="67"/>
        <v>extracted_filing/2135_2001_10-K.txt</v>
      </c>
      <c r="I438" s="2" t="str">
        <f t="shared" si="68"/>
        <v>https://www.sec.gov/cgi-bin/browse-edgar?action=getcompany&amp;CIK=2135&amp;type=10-K&amp;dateb=20080101&amp;owner=exclude&amp;count=40&amp;search_text=</v>
      </c>
      <c r="J438">
        <v>2135</v>
      </c>
      <c r="K438">
        <v>1733.7159999999999</v>
      </c>
      <c r="L438">
        <f>K438+M438+O438</f>
        <v>1733.7159999999999</v>
      </c>
      <c r="Q438" t="s">
        <v>134</v>
      </c>
      <c r="R438">
        <v>1733.7159999999999</v>
      </c>
      <c r="T438">
        <f>K438+M438+O438</f>
        <v>1733.7159999999999</v>
      </c>
    </row>
    <row r="439" spans="1:21" x14ac:dyDescent="0.35">
      <c r="A439">
        <v>30697</v>
      </c>
      <c r="B439" s="1">
        <v>37437</v>
      </c>
      <c r="C439">
        <v>2002</v>
      </c>
      <c r="D439">
        <v>8190100</v>
      </c>
      <c r="E439" t="s">
        <v>62</v>
      </c>
      <c r="F439" t="str">
        <f t="shared" si="65"/>
        <v>2135_2002</v>
      </c>
      <c r="G439" s="2" t="str">
        <f t="shared" si="66"/>
        <v>extracted_filing/2135_2002_10-K.html</v>
      </c>
      <c r="H439" s="2" t="str">
        <f t="shared" si="67"/>
        <v>extracted_filing/2135_2002_10-K.txt</v>
      </c>
      <c r="I439" s="2" t="str">
        <f t="shared" si="68"/>
        <v>https://www.sec.gov/cgi-bin/browse-edgar?action=getcompany&amp;CIK=2135&amp;type=10-K&amp;dateb=20080101&amp;owner=exclude&amp;count=40&amp;search_text=</v>
      </c>
      <c r="J439">
        <v>2135</v>
      </c>
      <c r="K439">
        <v>2551.8000000000002</v>
      </c>
      <c r="L439">
        <f>K439+M439+O439</f>
        <v>2551.8000000000002</v>
      </c>
      <c r="Q439" t="s">
        <v>134</v>
      </c>
      <c r="R439">
        <v>2551.8000000000002</v>
      </c>
      <c r="T439">
        <f>K439+M439+O439</f>
        <v>2551.8000000000002</v>
      </c>
    </row>
    <row r="440" spans="1:21" x14ac:dyDescent="0.35">
      <c r="A440">
        <v>30697</v>
      </c>
      <c r="B440" s="1">
        <v>37802</v>
      </c>
      <c r="C440">
        <v>2003</v>
      </c>
      <c r="D440">
        <v>8190100</v>
      </c>
      <c r="E440" t="s">
        <v>62</v>
      </c>
      <c r="F440" t="str">
        <f t="shared" si="65"/>
        <v>2135_2003</v>
      </c>
      <c r="G440" s="2" t="str">
        <f t="shared" si="66"/>
        <v>extracted_filing/2135_2003_10-K.html</v>
      </c>
      <c r="H440" s="2" t="str">
        <f t="shared" si="67"/>
        <v>extracted_filing/2135_2003_10-K.txt</v>
      </c>
      <c r="I440" s="2" t="str">
        <f t="shared" si="68"/>
        <v>https://www.sec.gov/cgi-bin/browse-edgar?action=getcompany&amp;CIK=2135&amp;type=10-K&amp;dateb=20080101&amp;owner=exclude&amp;count=40&amp;search_text=</v>
      </c>
      <c r="J440">
        <v>2135</v>
      </c>
      <c r="K440">
        <v>3115.797</v>
      </c>
      <c r="L440">
        <f>K440+M440+O440</f>
        <v>3115.797</v>
      </c>
      <c r="Q440" t="s">
        <v>134</v>
      </c>
      <c r="R440">
        <v>3115.797</v>
      </c>
      <c r="T440">
        <f>K440+M440+O440</f>
        <v>3115.797</v>
      </c>
    </row>
    <row r="441" spans="1:21" x14ac:dyDescent="0.35">
      <c r="A441">
        <v>30697</v>
      </c>
      <c r="B441" s="1">
        <v>38168</v>
      </c>
      <c r="C441">
        <v>2004</v>
      </c>
      <c r="D441">
        <v>8190100</v>
      </c>
      <c r="E441" t="s">
        <v>62</v>
      </c>
      <c r="F441" t="str">
        <f t="shared" si="65"/>
        <v>2135_2004</v>
      </c>
      <c r="G441" s="2" t="str">
        <f t="shared" si="66"/>
        <v>extracted_filing/2135_2004_10-K.html</v>
      </c>
      <c r="H441" s="2" t="str">
        <f t="shared" si="67"/>
        <v>extracted_filing/2135_2004_10-K.txt</v>
      </c>
      <c r="I441" s="2" t="str">
        <f t="shared" si="68"/>
        <v>https://www.sec.gov/cgi-bin/browse-edgar?action=getcompany&amp;CIK=2135&amp;type=10-K&amp;dateb=20080101&amp;owner=exclude&amp;count=40&amp;search_text=</v>
      </c>
      <c r="J441">
        <v>2135</v>
      </c>
      <c r="K441">
        <v>3337.1590000000001</v>
      </c>
      <c r="L441">
        <f>K441+M441+O441</f>
        <v>3337.1590000000001</v>
      </c>
      <c r="Q441" t="s">
        <v>134</v>
      </c>
      <c r="R441">
        <v>3337.1590000000001</v>
      </c>
      <c r="T441">
        <f>K441+M441+O441</f>
        <v>3337.1590000000001</v>
      </c>
    </row>
    <row r="442" spans="1:21" x14ac:dyDescent="0.35">
      <c r="A442">
        <v>30697</v>
      </c>
      <c r="B442" s="1">
        <v>38533</v>
      </c>
      <c r="C442">
        <v>2005</v>
      </c>
      <c r="D442">
        <v>8190100</v>
      </c>
      <c r="E442" t="s">
        <v>62</v>
      </c>
      <c r="F442" t="str">
        <f t="shared" si="65"/>
        <v>2135_2005</v>
      </c>
      <c r="G442" s="2" t="str">
        <f t="shared" si="66"/>
        <v>extracted_filing/2135_2005_10-K.html</v>
      </c>
      <c r="H442" s="2" t="str">
        <f t="shared" si="67"/>
        <v>extracted_filing/2135_2005_10-K.txt</v>
      </c>
      <c r="I442" s="2" t="str">
        <f t="shared" si="68"/>
        <v>https://www.sec.gov/cgi-bin/browse-edgar?action=getcompany&amp;CIK=2135&amp;type=10-K&amp;dateb=20080101&amp;owner=exclude&amp;count=40&amp;search_text=</v>
      </c>
      <c r="J442">
        <v>2135</v>
      </c>
      <c r="K442">
        <v>3463.8989999999999</v>
      </c>
      <c r="L442">
        <f>K442+M442+O442</f>
        <v>3463.8989999999999</v>
      </c>
      <c r="Q442" t="s">
        <v>134</v>
      </c>
      <c r="R442">
        <v>3463.8989999999999</v>
      </c>
      <c r="T442">
        <f>K442+M442+O442</f>
        <v>3463.8989999999999</v>
      </c>
    </row>
    <row r="443" spans="1:21" x14ac:dyDescent="0.35">
      <c r="A443">
        <v>30697</v>
      </c>
      <c r="B443" s="1">
        <v>38898</v>
      </c>
      <c r="C443">
        <v>2006</v>
      </c>
      <c r="D443">
        <v>8190100</v>
      </c>
      <c r="E443" t="s">
        <v>62</v>
      </c>
      <c r="F443" t="str">
        <f t="shared" si="65"/>
        <v>2135_2006</v>
      </c>
      <c r="G443" s="2" t="str">
        <f t="shared" si="66"/>
        <v>extracted_filing/2135_2006_10-K.html</v>
      </c>
      <c r="H443" s="2" t="str">
        <f t="shared" si="67"/>
        <v>extracted_filing/2135_2006_10-K.txt</v>
      </c>
      <c r="I443" s="2" t="str">
        <f t="shared" si="68"/>
        <v>https://www.sec.gov/cgi-bin/browse-edgar?action=getcompany&amp;CIK=2135&amp;type=10-K&amp;dateb=20080101&amp;owner=exclude&amp;count=40&amp;search_text=</v>
      </c>
      <c r="J443">
        <v>2135</v>
      </c>
      <c r="K443">
        <v>4427.701</v>
      </c>
      <c r="L443">
        <f>K443+M443+O443</f>
        <v>4427.701</v>
      </c>
      <c r="Q443" t="s">
        <v>134</v>
      </c>
      <c r="R443">
        <v>4427.701</v>
      </c>
      <c r="T443">
        <f>K443+M443+O443</f>
        <v>4427.701</v>
      </c>
    </row>
    <row r="444" spans="1:21" x14ac:dyDescent="0.35">
      <c r="A444">
        <v>60846</v>
      </c>
      <c r="B444" s="1">
        <v>35795</v>
      </c>
      <c r="C444">
        <v>1997</v>
      </c>
      <c r="D444">
        <v>894065309</v>
      </c>
      <c r="E444" t="s">
        <v>63</v>
      </c>
      <c r="F444" t="str">
        <f t="shared" si="65"/>
        <v>944739_1997</v>
      </c>
      <c r="G444" s="2" t="str">
        <f t="shared" si="66"/>
        <v>extracted_filing/944739_1997_10-K.html</v>
      </c>
      <c r="H444" s="2" t="str">
        <f t="shared" si="67"/>
        <v>extracted_filing/944739_1997_10-K.txt</v>
      </c>
      <c r="I444" s="2" t="str">
        <f t="shared" si="68"/>
        <v>https://www.sec.gov/cgi-bin/browse-edgar?action=getcompany&amp;CIK=944739&amp;type=10-K&amp;dateb=20080101&amp;owner=exclude&amp;count=40&amp;search_text=</v>
      </c>
      <c r="J444">
        <v>944739</v>
      </c>
      <c r="K444" s="3">
        <f>R444</f>
        <v>9.4469999999999903</v>
      </c>
      <c r="L444">
        <f>K444+M444+O444</f>
        <v>27.609999999999992</v>
      </c>
      <c r="M444" s="3">
        <f>6.681+2.288</f>
        <v>8.9689999999999994</v>
      </c>
      <c r="N444">
        <f t="shared" ref="N444:N503" si="75">M444</f>
        <v>8.9689999999999994</v>
      </c>
      <c r="O444" s="3">
        <v>9.1940000000000008</v>
      </c>
      <c r="P444">
        <v>9.1940000000000008</v>
      </c>
      <c r="Q444" t="s">
        <v>133</v>
      </c>
      <c r="R444" s="4">
        <v>9.4469999999999903</v>
      </c>
      <c r="S444" s="4">
        <v>18.163</v>
      </c>
      <c r="T444">
        <f>K444+M444+O444</f>
        <v>27.609999999999992</v>
      </c>
      <c r="U444">
        <f t="shared" ref="U444:U447" si="76">SUM(R444:S444)</f>
        <v>27.609999999999992</v>
      </c>
    </row>
    <row r="445" spans="1:21" x14ac:dyDescent="0.35">
      <c r="A445">
        <v>60846</v>
      </c>
      <c r="B445" s="1">
        <v>36160</v>
      </c>
      <c r="C445">
        <v>1998</v>
      </c>
      <c r="D445">
        <v>894065309</v>
      </c>
      <c r="E445" t="s">
        <v>63</v>
      </c>
      <c r="F445" t="str">
        <f t="shared" si="65"/>
        <v>944739_1998</v>
      </c>
      <c r="G445" s="2" t="str">
        <f t="shared" si="66"/>
        <v>extracted_filing/944739_1998_10-K.html</v>
      </c>
      <c r="H445" s="2" t="str">
        <f t="shared" si="67"/>
        <v>extracted_filing/944739_1998_10-K.txt</v>
      </c>
      <c r="I445" s="2" t="str">
        <f t="shared" si="68"/>
        <v>https://www.sec.gov/cgi-bin/browse-edgar?action=getcompany&amp;CIK=944739&amp;type=10-K&amp;dateb=20080101&amp;owner=exclude&amp;count=40&amp;search_text=</v>
      </c>
      <c r="J445">
        <v>944739</v>
      </c>
      <c r="K445" s="3">
        <f>R445</f>
        <v>14.2</v>
      </c>
      <c r="L445">
        <f>K445+M445+O445</f>
        <v>36.468000000000004</v>
      </c>
      <c r="M445" s="3">
        <f>8.699+2.516</f>
        <v>11.215</v>
      </c>
      <c r="N445">
        <f t="shared" si="75"/>
        <v>11.215</v>
      </c>
      <c r="O445" s="3">
        <v>11.053000000000001</v>
      </c>
      <c r="P445">
        <v>11.053000000000001</v>
      </c>
      <c r="Q445" t="s">
        <v>133</v>
      </c>
      <c r="R445" s="4">
        <v>14.2</v>
      </c>
      <c r="S445" s="4">
        <v>22.268000000000001</v>
      </c>
      <c r="T445">
        <f>K445+M445+O445</f>
        <v>36.468000000000004</v>
      </c>
      <c r="U445">
        <f t="shared" si="76"/>
        <v>36.468000000000004</v>
      </c>
    </row>
    <row r="446" spans="1:21" x14ac:dyDescent="0.35">
      <c r="A446">
        <v>60846</v>
      </c>
      <c r="B446" s="1">
        <v>36525</v>
      </c>
      <c r="C446">
        <v>1999</v>
      </c>
      <c r="D446">
        <v>894065309</v>
      </c>
      <c r="E446" t="s">
        <v>63</v>
      </c>
      <c r="F446" t="str">
        <f t="shared" si="65"/>
        <v>944739_1999</v>
      </c>
      <c r="G446" s="2" t="str">
        <f t="shared" si="66"/>
        <v>extracted_filing/944739_1999_10-K.html</v>
      </c>
      <c r="H446" s="2" t="str">
        <f t="shared" si="67"/>
        <v>extracted_filing/944739_1999_10-K.txt</v>
      </c>
      <c r="I446" s="2" t="str">
        <f t="shared" si="68"/>
        <v>https://www.sec.gov/cgi-bin/browse-edgar?action=getcompany&amp;CIK=944739&amp;type=10-K&amp;dateb=20080101&amp;owner=exclude&amp;count=40&amp;search_text=</v>
      </c>
      <c r="J446">
        <v>944739</v>
      </c>
      <c r="K446" s="3">
        <f>24.443-3.204</f>
        <v>21.239000000000001</v>
      </c>
      <c r="L446">
        <f>K446+M446+O446</f>
        <v>50.605999999999995</v>
      </c>
      <c r="M446" s="3">
        <f>11.979+3.374</f>
        <v>15.353</v>
      </c>
      <c r="N446">
        <f t="shared" si="75"/>
        <v>15.353</v>
      </c>
      <c r="O446" s="3">
        <f>14.014</f>
        <v>14.013999999999999</v>
      </c>
      <c r="P446">
        <f>14.014</f>
        <v>14.013999999999999</v>
      </c>
      <c r="Q446" t="s">
        <v>133</v>
      </c>
      <c r="R446" s="4">
        <v>21.239000000000001</v>
      </c>
      <c r="S446" s="4">
        <v>29.367000000000001</v>
      </c>
      <c r="T446">
        <f>K446+M446+O446</f>
        <v>50.605999999999995</v>
      </c>
      <c r="U446">
        <f t="shared" si="76"/>
        <v>50.606000000000002</v>
      </c>
    </row>
    <row r="447" spans="1:21" x14ac:dyDescent="0.35">
      <c r="A447">
        <v>60846</v>
      </c>
      <c r="B447" s="1">
        <v>36891</v>
      </c>
      <c r="C447">
        <v>2000</v>
      </c>
      <c r="D447">
        <v>894065309</v>
      </c>
      <c r="E447" t="s">
        <v>63</v>
      </c>
      <c r="F447" t="str">
        <f t="shared" si="65"/>
        <v>944739_2000</v>
      </c>
      <c r="G447" s="2" t="str">
        <f t="shared" si="66"/>
        <v>extracted_filing/944739_2000_10-K.html</v>
      </c>
      <c r="H447" s="2" t="str">
        <f t="shared" si="67"/>
        <v>extracted_filing/944739_2000_10-K.txt</v>
      </c>
      <c r="I447" s="2" t="str">
        <f t="shared" si="68"/>
        <v>https://www.sec.gov/cgi-bin/browse-edgar?action=getcompany&amp;CIK=944739&amp;type=10-K&amp;dateb=20080101&amp;owner=exclude&amp;count=40&amp;search_text=</v>
      </c>
      <c r="J447">
        <v>944739</v>
      </c>
      <c r="K447" s="3">
        <f>46.147-(6.496-0.384)</f>
        <v>40.034999999999997</v>
      </c>
      <c r="L447">
        <f>K447+M447+O447</f>
        <v>90.408000000000001</v>
      </c>
      <c r="M447" s="3">
        <f>20.518+5.634</f>
        <v>26.152000000000001</v>
      </c>
      <c r="N447">
        <f t="shared" si="75"/>
        <v>26.152000000000001</v>
      </c>
      <c r="O447" s="3">
        <f>24.221</f>
        <v>24.221</v>
      </c>
      <c r="P447">
        <f>24.221</f>
        <v>24.221</v>
      </c>
      <c r="Q447" t="s">
        <v>132</v>
      </c>
      <c r="R447" s="4">
        <v>41.146999999999998</v>
      </c>
      <c r="S447" s="4">
        <v>50.372999999999998</v>
      </c>
      <c r="T447">
        <f>K447+M447+O447</f>
        <v>90.408000000000001</v>
      </c>
      <c r="U447">
        <f t="shared" si="76"/>
        <v>91.52</v>
      </c>
    </row>
    <row r="448" spans="1:21" x14ac:dyDescent="0.35">
      <c r="A448">
        <v>60846</v>
      </c>
      <c r="B448" s="1">
        <v>37256</v>
      </c>
      <c r="C448">
        <v>2001</v>
      </c>
      <c r="D448">
        <v>894065309</v>
      </c>
      <c r="E448" t="s">
        <v>63</v>
      </c>
      <c r="F448" t="str">
        <f t="shared" si="65"/>
        <v>944739_2001</v>
      </c>
      <c r="G448" s="2" t="str">
        <f t="shared" si="66"/>
        <v>extracted_filing/944739_2001_10-K.html</v>
      </c>
      <c r="H448" s="2" t="str">
        <f t="shared" si="67"/>
        <v>extracted_filing/944739_2001_10-K.txt</v>
      </c>
      <c r="I448" s="2" t="str">
        <f t="shared" si="68"/>
        <v>https://www.sec.gov/cgi-bin/browse-edgar?action=getcompany&amp;CIK=944739&amp;type=10-K&amp;dateb=20080101&amp;owner=exclude&amp;count=40&amp;search_text=</v>
      </c>
      <c r="J448">
        <v>944739</v>
      </c>
      <c r="K448" s="3">
        <f>21.263+39.218-(11.547-2.476)</f>
        <v>51.410000000000011</v>
      </c>
      <c r="L448">
        <f>K448+M448+O448</f>
        <v>131.92700000000002</v>
      </c>
      <c r="M448" s="3">
        <f>22.169+9.024</f>
        <v>31.192999999999998</v>
      </c>
      <c r="N448">
        <f t="shared" si="75"/>
        <v>31.192999999999998</v>
      </c>
      <c r="O448" s="3">
        <f>49.324</f>
        <v>49.323999999999998</v>
      </c>
      <c r="P448">
        <f>49.324</f>
        <v>49.323999999999998</v>
      </c>
      <c r="Q448" t="s">
        <v>132</v>
      </c>
      <c r="R448" s="4">
        <v>54.081000000000003</v>
      </c>
      <c r="S448" s="4">
        <v>80.516999999999996</v>
      </c>
      <c r="T448">
        <f>K448+M448+O448</f>
        <v>131.92700000000002</v>
      </c>
      <c r="U448">
        <f>SUM(R448:S448)</f>
        <v>134.59800000000001</v>
      </c>
    </row>
    <row r="449" spans="1:21" x14ac:dyDescent="0.35">
      <c r="A449">
        <v>60846</v>
      </c>
      <c r="B449" s="1">
        <v>37621</v>
      </c>
      <c r="C449">
        <v>2002</v>
      </c>
      <c r="D449">
        <v>894065309</v>
      </c>
      <c r="E449" t="s">
        <v>63</v>
      </c>
      <c r="F449" t="str">
        <f t="shared" si="65"/>
        <v>944739_2002</v>
      </c>
      <c r="G449" s="2" t="str">
        <f t="shared" si="66"/>
        <v>extracted_filing/944739_2002_10-K.html</v>
      </c>
      <c r="H449" s="2" t="str">
        <f t="shared" si="67"/>
        <v>extracted_filing/944739_2002_10-K.txt</v>
      </c>
      <c r="I449" s="2" t="str">
        <f t="shared" si="68"/>
        <v>https://www.sec.gov/cgi-bin/browse-edgar?action=getcompany&amp;CIK=944739&amp;type=10-K&amp;dateb=20080101&amp;owner=exclude&amp;count=40&amp;search_text=</v>
      </c>
      <c r="J449">
        <v>944739</v>
      </c>
      <c r="K449" s="3">
        <v>10.779</v>
      </c>
      <c r="L449">
        <f>K449+M449+O449</f>
        <v>70.201999999999998</v>
      </c>
      <c r="M449" s="3">
        <f>13.266+7.306</f>
        <v>20.571999999999999</v>
      </c>
      <c r="N449">
        <f t="shared" si="75"/>
        <v>20.571999999999999</v>
      </c>
      <c r="O449" s="3">
        <f>53.523-14.672</f>
        <v>38.850999999999999</v>
      </c>
      <c r="P449">
        <f>53.523-14.672</f>
        <v>38.850999999999999</v>
      </c>
      <c r="Q449" t="s">
        <v>131</v>
      </c>
      <c r="R449" s="4">
        <v>71.073999999999998</v>
      </c>
      <c r="S449" s="4"/>
      <c r="T449">
        <f>K449+M449+O449</f>
        <v>70.201999999999998</v>
      </c>
    </row>
    <row r="450" spans="1:21" x14ac:dyDescent="0.35">
      <c r="A450">
        <v>60846</v>
      </c>
      <c r="B450" s="1">
        <v>37986</v>
      </c>
      <c r="C450">
        <v>2003</v>
      </c>
      <c r="D450">
        <v>894065309</v>
      </c>
      <c r="E450" t="s">
        <v>63</v>
      </c>
      <c r="F450" t="str">
        <f t="shared" ref="F450:F513" si="77">_xlfn.CONCAT(TEXT(J450,0),"_",TEXT(C450,0))</f>
        <v>944739_2003</v>
      </c>
      <c r="G450" s="2" t="str">
        <f t="shared" si="66"/>
        <v>extracted_filing/944739_2003_10-K.html</v>
      </c>
      <c r="H450" s="2" t="str">
        <f t="shared" si="67"/>
        <v>extracted_filing/944739_2003_10-K.txt</v>
      </c>
      <c r="I450" s="2" t="str">
        <f t="shared" si="68"/>
        <v>https://www.sec.gov/cgi-bin/browse-edgar?action=getcompany&amp;CIK=944739&amp;type=10-K&amp;dateb=20080101&amp;owner=exclude&amp;count=40&amp;search_text=</v>
      </c>
      <c r="J450">
        <v>944739</v>
      </c>
      <c r="K450" s="3">
        <v>7.9169999999999998</v>
      </c>
      <c r="L450">
        <f>K450+M450+O450</f>
        <v>53.173000000000002</v>
      </c>
      <c r="M450" s="3">
        <f>10.964+5.63</f>
        <v>16.594000000000001</v>
      </c>
      <c r="N450">
        <f t="shared" si="75"/>
        <v>16.594000000000001</v>
      </c>
      <c r="O450" s="3">
        <f>41.998-13.336</f>
        <v>28.661999999999999</v>
      </c>
      <c r="P450">
        <f>41.998-13.336</f>
        <v>28.661999999999999</v>
      </c>
      <c r="Q450" t="s">
        <v>131</v>
      </c>
      <c r="R450" s="4">
        <v>57.408999999999999</v>
      </c>
      <c r="S450" s="4"/>
      <c r="T450">
        <f>K450+M450+O450</f>
        <v>53.173000000000002</v>
      </c>
    </row>
    <row r="451" spans="1:21" x14ac:dyDescent="0.35">
      <c r="A451">
        <v>60846</v>
      </c>
      <c r="B451" s="1">
        <v>38352</v>
      </c>
      <c r="C451">
        <v>2004</v>
      </c>
      <c r="D451">
        <v>894065309</v>
      </c>
      <c r="E451" t="s">
        <v>63</v>
      </c>
      <c r="F451" t="str">
        <f t="shared" si="77"/>
        <v>944739_2004</v>
      </c>
      <c r="G451" s="2" t="str">
        <f t="shared" ref="G451:G514" si="78">HYPERLINK(_xlfn.CONCAT("extracted_filing/",$F451,"_10-K.html"))</f>
        <v>extracted_filing/944739_2004_10-K.html</v>
      </c>
      <c r="H451" s="2" t="str">
        <f t="shared" ref="H451:H514" si="79">HYPERLINK(_xlfn.CONCAT("extracted_filing/",$F451,"_10-K.txt"))</f>
        <v>extracted_filing/944739_2004_10-K.txt</v>
      </c>
      <c r="I451" s="2" t="str">
        <f t="shared" ref="I451:I514" si="80">HYPERLINK(_xlfn.CONCAT("https://www.sec.gov/cgi-bin/browse-edgar?action=getcompany&amp;CIK=",TEXT(J451,0),"&amp;type=10-K&amp;dateb=20080101&amp;owner=exclude&amp;count=40&amp;search_text="))</f>
        <v>https://www.sec.gov/cgi-bin/browse-edgar?action=getcompany&amp;CIK=944739&amp;type=10-K&amp;dateb=20080101&amp;owner=exclude&amp;count=40&amp;search_text=</v>
      </c>
      <c r="J451">
        <v>944739</v>
      </c>
      <c r="K451" s="3">
        <f>10.34</f>
        <v>10.34</v>
      </c>
      <c r="L451">
        <f>K451+M451+O451</f>
        <v>58.569000000000003</v>
      </c>
      <c r="M451" s="3">
        <f>12.543+6.697</f>
        <v>19.239999999999998</v>
      </c>
      <c r="N451">
        <f t="shared" si="75"/>
        <v>19.239999999999998</v>
      </c>
      <c r="O451" s="3">
        <f>46.03-17.041</f>
        <v>28.989000000000001</v>
      </c>
      <c r="P451">
        <f>46.03-17.041</f>
        <v>28.989000000000001</v>
      </c>
      <c r="Q451" t="s">
        <v>129</v>
      </c>
      <c r="R451" s="4">
        <v>65.81</v>
      </c>
      <c r="S451" s="4"/>
      <c r="T451">
        <f>K451+M451+O451</f>
        <v>58.569000000000003</v>
      </c>
    </row>
    <row r="452" spans="1:21" x14ac:dyDescent="0.35">
      <c r="A452">
        <v>60846</v>
      </c>
      <c r="B452" s="1">
        <v>38717</v>
      </c>
      <c r="C452">
        <v>2005</v>
      </c>
      <c r="D452">
        <v>894065309</v>
      </c>
      <c r="E452" t="s">
        <v>63</v>
      </c>
      <c r="F452" t="str">
        <f t="shared" si="77"/>
        <v>944739_2005</v>
      </c>
      <c r="G452" s="2" t="str">
        <f t="shared" si="78"/>
        <v>extracted_filing/944739_2005_10-K.html</v>
      </c>
      <c r="H452" s="2" t="str">
        <f t="shared" si="79"/>
        <v>extracted_filing/944739_2005_10-K.txt</v>
      </c>
      <c r="I452" s="2" t="str">
        <f t="shared" si="80"/>
        <v>https://www.sec.gov/cgi-bin/browse-edgar?action=getcompany&amp;CIK=944739&amp;type=10-K&amp;dateb=20080101&amp;owner=exclude&amp;count=40&amp;search_text=</v>
      </c>
      <c r="J452">
        <v>944739</v>
      </c>
      <c r="K452" s="7">
        <f>R452</f>
        <v>4.7160000000000002</v>
      </c>
      <c r="L452">
        <f>K452+M452+O452</f>
        <v>40.638000000000005</v>
      </c>
      <c r="M452" s="3">
        <f>9.639+5.003</f>
        <v>14.641999999999999</v>
      </c>
      <c r="N452">
        <f t="shared" si="75"/>
        <v>14.641999999999999</v>
      </c>
      <c r="O452" s="3">
        <v>21.28</v>
      </c>
      <c r="P452">
        <v>21.28</v>
      </c>
      <c r="Q452" t="s">
        <v>128</v>
      </c>
      <c r="R452" s="4">
        <v>4.7160000000000002</v>
      </c>
      <c r="S452" s="4">
        <v>35.921999999999997</v>
      </c>
      <c r="T452">
        <f>K452+M452+O452</f>
        <v>40.638000000000005</v>
      </c>
      <c r="U452">
        <f>SUM(R452:S452)</f>
        <v>40.637999999999998</v>
      </c>
    </row>
    <row r="453" spans="1:21" x14ac:dyDescent="0.35">
      <c r="A453">
        <v>60846</v>
      </c>
      <c r="B453" s="1">
        <v>39082</v>
      </c>
      <c r="C453">
        <v>2006</v>
      </c>
      <c r="D453">
        <v>894065309</v>
      </c>
      <c r="E453" t="s">
        <v>63</v>
      </c>
      <c r="F453" t="str">
        <f t="shared" si="77"/>
        <v>944739_2006</v>
      </c>
      <c r="G453" s="2" t="str">
        <f t="shared" si="78"/>
        <v>extracted_filing/944739_2006_10-K.html</v>
      </c>
      <c r="H453" s="2" t="str">
        <f t="shared" si="79"/>
        <v>extracted_filing/944739_2006_10-K.txt</v>
      </c>
      <c r="I453" s="2" t="str">
        <f t="shared" si="80"/>
        <v>https://www.sec.gov/cgi-bin/browse-edgar?action=getcompany&amp;CIK=944739&amp;type=10-K&amp;dateb=20080101&amp;owner=exclude&amp;count=40&amp;search_text=</v>
      </c>
      <c r="J453">
        <v>944739</v>
      </c>
      <c r="K453" s="7">
        <f>R453</f>
        <v>7.0460000000000003</v>
      </c>
      <c r="L453">
        <f>K453+M453+O453</f>
        <v>45.953000000000003</v>
      </c>
      <c r="M453" s="3">
        <f>11.523+6.139</f>
        <v>17.661999999999999</v>
      </c>
      <c r="N453">
        <f t="shared" si="75"/>
        <v>17.661999999999999</v>
      </c>
      <c r="O453" s="3">
        <v>21.245000000000001</v>
      </c>
      <c r="P453">
        <v>21.245000000000001</v>
      </c>
      <c r="Q453" t="s">
        <v>128</v>
      </c>
      <c r="R453" s="4">
        <v>7.0460000000000003</v>
      </c>
      <c r="S453" s="4">
        <v>38.906999999999996</v>
      </c>
      <c r="T453">
        <f>K453+M453+O453</f>
        <v>45.953000000000003</v>
      </c>
      <c r="U453">
        <f>SUM(R453:S453)</f>
        <v>45.952999999999996</v>
      </c>
    </row>
    <row r="454" spans="1:21" x14ac:dyDescent="0.35">
      <c r="A454">
        <v>61439</v>
      </c>
      <c r="B454" s="1">
        <v>35795</v>
      </c>
      <c r="C454">
        <v>1997</v>
      </c>
      <c r="D454">
        <v>750459109</v>
      </c>
      <c r="E454" t="s">
        <v>64</v>
      </c>
      <c r="F454" t="str">
        <f t="shared" si="77"/>
        <v>873044_1997</v>
      </c>
      <c r="G454" s="2" t="str">
        <f t="shared" si="78"/>
        <v>extracted_filing/873044_1997_10-K.html</v>
      </c>
      <c r="H454" s="2" t="str">
        <f t="shared" si="79"/>
        <v>extracted_filing/873044_1997_10-K.txt</v>
      </c>
      <c r="I454" s="2" t="str">
        <f t="shared" si="80"/>
        <v>https://www.sec.gov/cgi-bin/browse-edgar?action=getcompany&amp;CIK=873044&amp;type=10-K&amp;dateb=20080101&amp;owner=exclude&amp;count=40&amp;search_text=</v>
      </c>
      <c r="J454">
        <v>873044</v>
      </c>
      <c r="K454" s="3">
        <f>75.309-1.435</f>
        <v>73.873999999999995</v>
      </c>
      <c r="L454">
        <f>K454+M454+O454</f>
        <v>101.375</v>
      </c>
      <c r="M454" s="3">
        <v>15.789</v>
      </c>
      <c r="N454">
        <f t="shared" si="75"/>
        <v>15.789</v>
      </c>
      <c r="O454" s="3">
        <v>11.712</v>
      </c>
      <c r="P454">
        <v>11.712</v>
      </c>
      <c r="Q454" t="s">
        <v>121</v>
      </c>
      <c r="R454" s="4">
        <v>99.001999999999995</v>
      </c>
      <c r="S454" s="4"/>
      <c r="T454" s="4">
        <f>K454+M454+O454</f>
        <v>101.375</v>
      </c>
    </row>
    <row r="455" spans="1:21" x14ac:dyDescent="0.35">
      <c r="A455">
        <v>61439</v>
      </c>
      <c r="B455" s="1">
        <v>36160</v>
      </c>
      <c r="C455">
        <v>1998</v>
      </c>
      <c r="D455">
        <v>750459109</v>
      </c>
      <c r="E455" t="s">
        <v>64</v>
      </c>
      <c r="F455" t="str">
        <f t="shared" si="77"/>
        <v>873044_1998</v>
      </c>
      <c r="G455" s="2" t="str">
        <f t="shared" si="78"/>
        <v>extracted_filing/873044_1998_10-K.html</v>
      </c>
      <c r="H455" s="2" t="str">
        <f t="shared" si="79"/>
        <v>extracted_filing/873044_1998_10-K.txt</v>
      </c>
      <c r="I455" s="2" t="str">
        <f t="shared" si="80"/>
        <v>https://www.sec.gov/cgi-bin/browse-edgar?action=getcompany&amp;CIK=873044&amp;type=10-K&amp;dateb=20080101&amp;owner=exclude&amp;count=40&amp;search_text=</v>
      </c>
      <c r="J455">
        <v>873044</v>
      </c>
      <c r="K455" s="3">
        <f>71.568-2.516</f>
        <v>69.051999999999992</v>
      </c>
      <c r="L455">
        <f>K455+M455+O455</f>
        <v>98.943999999999988</v>
      </c>
      <c r="M455" s="3">
        <v>16.300999999999998</v>
      </c>
      <c r="N455">
        <f t="shared" si="75"/>
        <v>16.300999999999998</v>
      </c>
      <c r="O455" s="3">
        <v>13.590999999999999</v>
      </c>
      <c r="P455">
        <v>13.590999999999999</v>
      </c>
      <c r="Q455" t="s">
        <v>121</v>
      </c>
      <c r="R455" s="4">
        <v>96.55</v>
      </c>
      <c r="S455" s="4"/>
      <c r="T455" s="4">
        <f>K455+M455+O455</f>
        <v>98.943999999999988</v>
      </c>
    </row>
    <row r="456" spans="1:21" x14ac:dyDescent="0.35">
      <c r="A456">
        <v>61439</v>
      </c>
      <c r="B456" s="1">
        <v>36525</v>
      </c>
      <c r="C456">
        <v>1999</v>
      </c>
      <c r="D456">
        <v>750459109</v>
      </c>
      <c r="E456" t="s">
        <v>64</v>
      </c>
      <c r="F456" t="str">
        <f t="shared" si="77"/>
        <v>873044_1999</v>
      </c>
      <c r="G456" s="2" t="str">
        <f t="shared" si="78"/>
        <v>extracted_filing/873044_1999_10-K.html</v>
      </c>
      <c r="H456" s="2" t="str">
        <f t="shared" si="79"/>
        <v>extracted_filing/873044_1999_10-K.txt</v>
      </c>
      <c r="I456" s="2" t="str">
        <f t="shared" si="80"/>
        <v>https://www.sec.gov/cgi-bin/browse-edgar?action=getcompany&amp;CIK=873044&amp;type=10-K&amp;dateb=20080101&amp;owner=exclude&amp;count=40&amp;search_text=</v>
      </c>
      <c r="J456">
        <v>873044</v>
      </c>
      <c r="K456" s="3">
        <f>158.793-(9.635-2.46)</f>
        <v>151.61799999999999</v>
      </c>
      <c r="L456">
        <f>K456+M456+O456</f>
        <v>218.88</v>
      </c>
      <c r="M456" s="3">
        <v>36.798000000000002</v>
      </c>
      <c r="N456">
        <f t="shared" si="75"/>
        <v>36.798000000000002</v>
      </c>
      <c r="O456" s="3">
        <v>30.463999999999999</v>
      </c>
      <c r="P456">
        <v>30.463999999999999</v>
      </c>
      <c r="Q456" t="s">
        <v>121</v>
      </c>
      <c r="R456" s="4">
        <v>221.07300000000001</v>
      </c>
      <c r="S456" s="4"/>
      <c r="T456" s="4">
        <f>K456+M456+O456</f>
        <v>218.88</v>
      </c>
    </row>
    <row r="457" spans="1:21" x14ac:dyDescent="0.35">
      <c r="A457">
        <v>61439</v>
      </c>
      <c r="B457" s="1">
        <v>36891</v>
      </c>
      <c r="C457">
        <v>2000</v>
      </c>
      <c r="D457">
        <v>750459109</v>
      </c>
      <c r="E457" t="s">
        <v>64</v>
      </c>
      <c r="F457" t="str">
        <f t="shared" si="77"/>
        <v>873044_2000</v>
      </c>
      <c r="G457" s="2" t="str">
        <f t="shared" si="78"/>
        <v>extracted_filing/873044_2000_10-K.html</v>
      </c>
      <c r="H457" s="2" t="str">
        <f t="shared" si="79"/>
        <v>extracted_filing/873044_2000_10-K.txt</v>
      </c>
      <c r="I457" s="2" t="str">
        <f t="shared" si="80"/>
        <v>https://www.sec.gov/cgi-bin/browse-edgar?action=getcompany&amp;CIK=873044&amp;type=10-K&amp;dateb=20080101&amp;owner=exclude&amp;count=40&amp;search_text=</v>
      </c>
      <c r="J457">
        <v>873044</v>
      </c>
      <c r="K457" s="3">
        <f>223.779-(16.942-6.564)</f>
        <v>213.40100000000001</v>
      </c>
      <c r="L457">
        <f>K457+M457+O457</f>
        <v>289.72899999999998</v>
      </c>
      <c r="M457" s="3">
        <v>39.058999999999997</v>
      </c>
      <c r="N457">
        <f t="shared" si="75"/>
        <v>39.058999999999997</v>
      </c>
      <c r="O457" s="3">
        <v>37.268999999999998</v>
      </c>
      <c r="P457">
        <v>37.268999999999998</v>
      </c>
      <c r="Q457" t="s">
        <v>121</v>
      </c>
      <c r="R457" s="4">
        <v>292.89100000000002</v>
      </c>
      <c r="S457" s="4"/>
      <c r="T457" s="4">
        <f>K457+M457+O457</f>
        <v>289.72899999999998</v>
      </c>
    </row>
    <row r="458" spans="1:21" x14ac:dyDescent="0.35">
      <c r="A458">
        <v>61439</v>
      </c>
      <c r="B458" s="1">
        <v>37256</v>
      </c>
      <c r="C458">
        <v>2001</v>
      </c>
      <c r="D458">
        <v>750459109</v>
      </c>
      <c r="E458" t="s">
        <v>64</v>
      </c>
      <c r="F458" t="str">
        <f t="shared" si="77"/>
        <v>873044_2001</v>
      </c>
      <c r="G458" s="2" t="str">
        <f t="shared" si="78"/>
        <v>extracted_filing/873044_2001_10-K.html</v>
      </c>
      <c r="H458" s="2" t="str">
        <f t="shared" si="79"/>
        <v>extracted_filing/873044_2001_10-K.txt</v>
      </c>
      <c r="I458" s="2" t="str">
        <f t="shared" si="80"/>
        <v>https://www.sec.gov/cgi-bin/browse-edgar?action=getcompany&amp;CIK=873044&amp;type=10-K&amp;dateb=20080101&amp;owner=exclude&amp;count=40&amp;search_text=</v>
      </c>
      <c r="J458">
        <v>873044</v>
      </c>
      <c r="K458" s="3">
        <f>192.58-(18.472-7.59)</f>
        <v>181.69800000000001</v>
      </c>
      <c r="L458">
        <f>K458+M458+O458</f>
        <v>252.62400000000002</v>
      </c>
      <c r="M458" s="3">
        <v>35.661000000000001</v>
      </c>
      <c r="N458">
        <f t="shared" si="75"/>
        <v>35.661000000000001</v>
      </c>
      <c r="O458" s="3">
        <v>35.265000000000001</v>
      </c>
      <c r="P458">
        <v>35.265000000000001</v>
      </c>
      <c r="Q458" t="s">
        <v>121</v>
      </c>
      <c r="R458" s="4">
        <v>230.80600000000001</v>
      </c>
      <c r="S458" s="4"/>
      <c r="T458" s="4">
        <f>K458+M458+O458</f>
        <v>252.62400000000002</v>
      </c>
    </row>
    <row r="459" spans="1:21" x14ac:dyDescent="0.35">
      <c r="A459">
        <v>61439</v>
      </c>
      <c r="B459" s="1">
        <v>37621</v>
      </c>
      <c r="C459">
        <v>2002</v>
      </c>
      <c r="D459">
        <v>750459109</v>
      </c>
      <c r="E459" t="s">
        <v>64</v>
      </c>
      <c r="F459" t="str">
        <f t="shared" si="77"/>
        <v>873044_2002</v>
      </c>
      <c r="G459" s="2" t="str">
        <f t="shared" si="78"/>
        <v>extracted_filing/873044_2002_10-K.html</v>
      </c>
      <c r="H459" s="2" t="str">
        <f t="shared" si="79"/>
        <v>extracted_filing/873044_2002_10-K.txt</v>
      </c>
      <c r="I459" s="2" t="str">
        <f t="shared" si="80"/>
        <v>https://www.sec.gov/cgi-bin/browse-edgar?action=getcompany&amp;CIK=873044&amp;type=10-K&amp;dateb=20080101&amp;owner=exclude&amp;count=40&amp;search_text=</v>
      </c>
      <c r="J459">
        <v>873044</v>
      </c>
      <c r="K459" s="3">
        <f>140.867-(11.553-3.079)</f>
        <v>132.393</v>
      </c>
      <c r="L459">
        <f>K459+M459+O459</f>
        <v>193.99600000000001</v>
      </c>
      <c r="M459" s="3">
        <v>31.378</v>
      </c>
      <c r="N459">
        <f t="shared" si="75"/>
        <v>31.378</v>
      </c>
      <c r="O459" s="3">
        <v>30.225000000000001</v>
      </c>
      <c r="P459">
        <v>30.225000000000001</v>
      </c>
      <c r="Q459" t="s">
        <v>121</v>
      </c>
      <c r="R459" s="4">
        <v>195.77</v>
      </c>
      <c r="S459" s="4"/>
      <c r="T459">
        <f>K459+M459+O459</f>
        <v>193.99600000000001</v>
      </c>
    </row>
    <row r="460" spans="1:21" x14ac:dyDescent="0.35">
      <c r="A460">
        <v>61439</v>
      </c>
      <c r="B460" s="1">
        <v>37986</v>
      </c>
      <c r="C460">
        <v>2003</v>
      </c>
      <c r="D460">
        <v>750459109</v>
      </c>
      <c r="E460" t="s">
        <v>64</v>
      </c>
      <c r="F460" t="str">
        <f t="shared" si="77"/>
        <v>873044_2003</v>
      </c>
      <c r="G460" s="2" t="str">
        <f t="shared" si="78"/>
        <v>extracted_filing/873044_2003_10-K.html</v>
      </c>
      <c r="H460" s="2" t="str">
        <f t="shared" si="79"/>
        <v>extracted_filing/873044_2003_10-K.txt</v>
      </c>
      <c r="I460" s="2" t="str">
        <f t="shared" si="80"/>
        <v>https://www.sec.gov/cgi-bin/browse-edgar?action=getcompany&amp;CIK=873044&amp;type=10-K&amp;dateb=20080101&amp;owner=exclude&amp;count=40&amp;search_text=</v>
      </c>
      <c r="J460">
        <v>873044</v>
      </c>
      <c r="K460" s="3">
        <f>137.638-(9.553-3.06)</f>
        <v>131.14500000000001</v>
      </c>
      <c r="L460">
        <f>K460+M460+O460</f>
        <v>181.017</v>
      </c>
      <c r="M460" s="3">
        <v>27.029</v>
      </c>
      <c r="N460">
        <f t="shared" si="75"/>
        <v>27.029</v>
      </c>
      <c r="O460" s="3">
        <v>22.843</v>
      </c>
      <c r="P460">
        <v>22.843</v>
      </c>
      <c r="Q460" t="s">
        <v>121</v>
      </c>
      <c r="R460" s="4">
        <v>181.81</v>
      </c>
      <c r="S460" s="4"/>
      <c r="T460">
        <f>K460+M460+O460</f>
        <v>181.017</v>
      </c>
    </row>
    <row r="461" spans="1:21" x14ac:dyDescent="0.35">
      <c r="A461">
        <v>61439</v>
      </c>
      <c r="B461" s="1">
        <v>38352</v>
      </c>
      <c r="C461">
        <v>2004</v>
      </c>
      <c r="D461">
        <v>750459109</v>
      </c>
      <c r="E461" t="s">
        <v>64</v>
      </c>
      <c r="F461" t="str">
        <f t="shared" si="77"/>
        <v>873044_2004</v>
      </c>
      <c r="G461" s="2" t="str">
        <f t="shared" si="78"/>
        <v>extracted_filing/873044_2004_10-K.html</v>
      </c>
      <c r="H461" s="2" t="str">
        <f t="shared" si="79"/>
        <v>extracted_filing/873044_2004_10-K.txt</v>
      </c>
      <c r="I461" s="2" t="str">
        <f t="shared" si="80"/>
        <v>https://www.sec.gov/cgi-bin/browse-edgar?action=getcompany&amp;CIK=873044&amp;type=10-K&amp;dateb=20080101&amp;owner=exclude&amp;count=40&amp;search_text=</v>
      </c>
      <c r="J461">
        <v>873044</v>
      </c>
      <c r="K461" s="3">
        <f>166.652-(7.677-2.226)</f>
        <v>161.20099999999999</v>
      </c>
      <c r="L461">
        <f>K461+M461+O461</f>
        <v>219.863</v>
      </c>
      <c r="M461" s="3">
        <v>30.448</v>
      </c>
      <c r="N461">
        <f t="shared" si="75"/>
        <v>30.448</v>
      </c>
      <c r="O461" s="3">
        <v>28.213999999999999</v>
      </c>
      <c r="P461">
        <v>28.213999999999999</v>
      </c>
      <c r="Q461" t="s">
        <v>128</v>
      </c>
      <c r="R461" s="4">
        <v>161.25200000000001</v>
      </c>
      <c r="S461" s="4">
        <v>58.661999999999999</v>
      </c>
      <c r="T461">
        <f>K461+M461+O461</f>
        <v>219.863</v>
      </c>
      <c r="U461">
        <f>SUM(R461:S461)</f>
        <v>219.91400000000002</v>
      </c>
    </row>
    <row r="462" spans="1:21" x14ac:dyDescent="0.35">
      <c r="A462">
        <v>61439</v>
      </c>
      <c r="B462" s="1">
        <v>38717</v>
      </c>
      <c r="C462">
        <v>2005</v>
      </c>
      <c r="D462">
        <v>750459109</v>
      </c>
      <c r="E462" t="s">
        <v>64</v>
      </c>
      <c r="F462" t="str">
        <f t="shared" si="77"/>
        <v>873044_2005</v>
      </c>
      <c r="G462" s="2" t="str">
        <f t="shared" si="78"/>
        <v>extracted_filing/873044_2005_10-K.html</v>
      </c>
      <c r="H462" s="2" t="str">
        <f t="shared" si="79"/>
        <v>extracted_filing/873044_2005_10-K.txt</v>
      </c>
      <c r="I462" s="2" t="str">
        <f t="shared" si="80"/>
        <v>https://www.sec.gov/cgi-bin/browse-edgar?action=getcompany&amp;CIK=873044&amp;type=10-K&amp;dateb=20080101&amp;owner=exclude&amp;count=40&amp;search_text=</v>
      </c>
      <c r="J462">
        <v>873044</v>
      </c>
      <c r="K462" s="3">
        <f>183.398-(8.099-2.052)</f>
        <v>177.351</v>
      </c>
      <c r="L462">
        <f>K462+M462+O462</f>
        <v>237.21899999999999</v>
      </c>
      <c r="M462" s="3">
        <v>30.084</v>
      </c>
      <c r="N462">
        <f t="shared" si="75"/>
        <v>30.084</v>
      </c>
      <c r="O462" s="3">
        <v>29.783999999999999</v>
      </c>
      <c r="P462">
        <v>29.783999999999999</v>
      </c>
      <c r="Q462" t="s">
        <v>128</v>
      </c>
      <c r="R462" s="4">
        <v>177.49799999999999</v>
      </c>
      <c r="S462" s="4">
        <v>59.868000000000002</v>
      </c>
      <c r="T462">
        <f>K462+M462+O462</f>
        <v>237.21899999999999</v>
      </c>
      <c r="U462" s="6">
        <f t="shared" ref="U462:U463" si="81">SUM(R462:S462)</f>
        <v>237.36599999999999</v>
      </c>
    </row>
    <row r="463" spans="1:21" x14ac:dyDescent="0.35">
      <c r="A463">
        <v>61439</v>
      </c>
      <c r="B463" s="1">
        <v>39082</v>
      </c>
      <c r="C463">
        <v>2006</v>
      </c>
      <c r="D463">
        <v>750459109</v>
      </c>
      <c r="E463" t="s">
        <v>64</v>
      </c>
      <c r="F463" t="str">
        <f t="shared" si="77"/>
        <v>873044_2006</v>
      </c>
      <c r="G463" s="2" t="str">
        <f t="shared" si="78"/>
        <v>extracted_filing/873044_2006_10-K.html</v>
      </c>
      <c r="H463" s="2" t="str">
        <f t="shared" si="79"/>
        <v>extracted_filing/873044_2006_10-K.txt</v>
      </c>
      <c r="I463" s="2" t="str">
        <f t="shared" si="80"/>
        <v>https://www.sec.gov/cgi-bin/browse-edgar?action=getcompany&amp;CIK=873044&amp;type=10-K&amp;dateb=20080101&amp;owner=exclude&amp;count=40&amp;search_text=</v>
      </c>
      <c r="J463">
        <v>873044</v>
      </c>
      <c r="K463" s="3">
        <f>213.525-(12.015-6.224)</f>
        <v>207.73400000000001</v>
      </c>
      <c r="L463">
        <f>K463+M463+O463</f>
        <v>288.55600000000004</v>
      </c>
      <c r="M463" s="3">
        <f>39.33</f>
        <v>39.33</v>
      </c>
      <c r="N463">
        <f t="shared" si="75"/>
        <v>39.33</v>
      </c>
      <c r="O463" s="3">
        <v>41.491999999999997</v>
      </c>
      <c r="P463">
        <v>41.491999999999997</v>
      </c>
      <c r="Q463" t="s">
        <v>128</v>
      </c>
      <c r="R463" s="4">
        <v>207.047</v>
      </c>
      <c r="S463" s="4">
        <v>80.260000000000005</v>
      </c>
      <c r="T463">
        <f>K463+M463+O463</f>
        <v>288.55600000000004</v>
      </c>
      <c r="U463" s="6">
        <f t="shared" si="81"/>
        <v>287.30700000000002</v>
      </c>
    </row>
    <row r="464" spans="1:21" x14ac:dyDescent="0.35">
      <c r="A464">
        <v>61676</v>
      </c>
      <c r="B464" s="1">
        <v>35795</v>
      </c>
      <c r="C464">
        <v>1997</v>
      </c>
      <c r="D464">
        <v>177376100</v>
      </c>
      <c r="E464" t="s">
        <v>65</v>
      </c>
      <c r="F464" t="str">
        <f t="shared" si="77"/>
        <v>877890_1997</v>
      </c>
      <c r="G464" s="2" t="str">
        <f t="shared" si="78"/>
        <v>extracted_filing/877890_1997_10-K.html</v>
      </c>
      <c r="H464" s="2" t="str">
        <f t="shared" si="79"/>
        <v>extracted_filing/877890_1997_10-K.txt</v>
      </c>
      <c r="I464" s="2" t="str">
        <f t="shared" si="80"/>
        <v>https://www.sec.gov/cgi-bin/browse-edgar?action=getcompany&amp;CIK=877890&amp;type=10-K&amp;dateb=20080101&amp;owner=exclude&amp;count=40&amp;search_text=</v>
      </c>
      <c r="J464">
        <v>877890</v>
      </c>
      <c r="K464" s="3">
        <v>12.304</v>
      </c>
      <c r="L464">
        <f>K464+M464+O464</f>
        <v>63.542000000000002</v>
      </c>
      <c r="M464" s="3">
        <f>35.351+10.651</f>
        <v>46.001999999999995</v>
      </c>
      <c r="N464">
        <f t="shared" si="75"/>
        <v>46.001999999999995</v>
      </c>
      <c r="O464" s="7">
        <f>6.948-(1.712)</f>
        <v>5.2360000000000007</v>
      </c>
      <c r="P464" s="4"/>
      <c r="Q464" t="s">
        <v>127</v>
      </c>
      <c r="R464" s="4">
        <v>10.592000000000001</v>
      </c>
      <c r="S464" s="4">
        <v>52.951000000000001</v>
      </c>
      <c r="T464">
        <f>K464+M464+O464</f>
        <v>63.542000000000002</v>
      </c>
      <c r="U464">
        <f t="shared" ref="U464:U466" si="82">SUM(R464:S464)</f>
        <v>63.542999999999999</v>
      </c>
    </row>
    <row r="465" spans="1:21" x14ac:dyDescent="0.35">
      <c r="A465">
        <v>61676</v>
      </c>
      <c r="B465" s="1">
        <v>36160</v>
      </c>
      <c r="C465">
        <v>1998</v>
      </c>
      <c r="D465">
        <v>177376100</v>
      </c>
      <c r="E465" t="s">
        <v>65</v>
      </c>
      <c r="F465" t="str">
        <f t="shared" si="77"/>
        <v>877890_1998</v>
      </c>
      <c r="G465" s="2" t="str">
        <f t="shared" si="78"/>
        <v>extracted_filing/877890_1998_10-K.html</v>
      </c>
      <c r="H465" s="2" t="str">
        <f t="shared" si="79"/>
        <v>extracted_filing/877890_1998_10-K.txt</v>
      </c>
      <c r="I465" s="2" t="str">
        <f t="shared" si="80"/>
        <v>https://www.sec.gov/cgi-bin/browse-edgar?action=getcompany&amp;CIK=877890&amp;type=10-K&amp;dateb=20080101&amp;owner=exclude&amp;count=40&amp;search_text=</v>
      </c>
      <c r="J465">
        <v>877890</v>
      </c>
      <c r="K465" s="3">
        <v>16.681999999999999</v>
      </c>
      <c r="L465">
        <f>K465+M465+O465</f>
        <v>129.54300000000001</v>
      </c>
      <c r="M465" s="3">
        <f>74.855+20.131</f>
        <v>94.986000000000004</v>
      </c>
      <c r="N465">
        <f t="shared" si="75"/>
        <v>94.986000000000004</v>
      </c>
      <c r="O465" s="7">
        <f>22.858-(15.173-10.19)</f>
        <v>17.875</v>
      </c>
      <c r="P465" s="4"/>
      <c r="Q465" t="s">
        <v>127</v>
      </c>
      <c r="R465" s="4">
        <v>11.699</v>
      </c>
      <c r="S465" s="4">
        <v>117.84399999999999</v>
      </c>
      <c r="T465">
        <f>K465+M465+O465</f>
        <v>129.54300000000001</v>
      </c>
      <c r="U465">
        <f t="shared" si="82"/>
        <v>129.54300000000001</v>
      </c>
    </row>
    <row r="466" spans="1:21" x14ac:dyDescent="0.35">
      <c r="A466">
        <v>61676</v>
      </c>
      <c r="B466" s="1">
        <v>36525</v>
      </c>
      <c r="C466">
        <v>1999</v>
      </c>
      <c r="D466">
        <v>177376100</v>
      </c>
      <c r="E466" t="s">
        <v>65</v>
      </c>
      <c r="F466" t="str">
        <f t="shared" si="77"/>
        <v>877890_1999</v>
      </c>
      <c r="G466" s="2" t="str">
        <f t="shared" si="78"/>
        <v>extracted_filing/877890_1999_10-K.html</v>
      </c>
      <c r="H466" s="2" t="str">
        <f t="shared" si="79"/>
        <v>extracted_filing/877890_1999_10-K.txt</v>
      </c>
      <c r="I466" s="2" t="str">
        <f t="shared" si="80"/>
        <v>https://www.sec.gov/cgi-bin/browse-edgar?action=getcompany&amp;CIK=877890&amp;type=10-K&amp;dateb=20080101&amp;owner=exclude&amp;count=40&amp;search_text=</v>
      </c>
      <c r="J466">
        <v>877890</v>
      </c>
      <c r="K466" s="3">
        <v>14.579000000000001</v>
      </c>
      <c r="L466">
        <f>K466+M466+O466</f>
        <v>201.91800000000001</v>
      </c>
      <c r="M466" s="3">
        <f>121.302+37.757</f>
        <v>159.059</v>
      </c>
      <c r="N466">
        <f t="shared" si="75"/>
        <v>159.059</v>
      </c>
      <c r="O466" s="7">
        <f>37.363-(27.563-18.48)</f>
        <v>28.28</v>
      </c>
      <c r="P466" s="4"/>
      <c r="Q466" t="s">
        <v>127</v>
      </c>
      <c r="R466" s="4">
        <v>5.4960000000000004</v>
      </c>
      <c r="S466" s="4">
        <v>196.422</v>
      </c>
      <c r="T466">
        <f>K466+M466+O466</f>
        <v>201.91800000000001</v>
      </c>
      <c r="U466">
        <f t="shared" si="82"/>
        <v>201.91800000000001</v>
      </c>
    </row>
    <row r="467" spans="1:21" x14ac:dyDescent="0.35">
      <c r="A467">
        <v>61676</v>
      </c>
      <c r="B467" s="1">
        <v>36891</v>
      </c>
      <c r="C467">
        <v>2000</v>
      </c>
      <c r="D467">
        <v>177376100</v>
      </c>
      <c r="E467" t="s">
        <v>65</v>
      </c>
      <c r="F467" t="str">
        <f t="shared" si="77"/>
        <v>877890_2000</v>
      </c>
      <c r="G467" s="2" t="str">
        <f t="shared" si="78"/>
        <v>extracted_filing/877890_2000_10-K.html</v>
      </c>
      <c r="H467" s="2" t="str">
        <f t="shared" si="79"/>
        <v>extracted_filing/877890_2000_10-K.txt</v>
      </c>
      <c r="I467" s="2" t="str">
        <f t="shared" si="80"/>
        <v>https://www.sec.gov/cgi-bin/browse-edgar?action=getcompany&amp;CIK=877890&amp;type=10-K&amp;dateb=20080101&amp;owner=exclude&amp;count=40&amp;search_text=</v>
      </c>
      <c r="J467">
        <v>877890</v>
      </c>
      <c r="K467" s="3">
        <f>29.054</f>
        <v>29.053999999999998</v>
      </c>
      <c r="L467">
        <f>K467+M467+O467</f>
        <v>298.892</v>
      </c>
      <c r="M467" s="3">
        <f>180.384+58.685</f>
        <v>239.06899999999999</v>
      </c>
      <c r="N467">
        <f t="shared" si="75"/>
        <v>239.06899999999999</v>
      </c>
      <c r="O467" s="7">
        <f>50.622-(50.248-30.395)</f>
        <v>30.769000000000002</v>
      </c>
      <c r="P467" s="4"/>
      <c r="Q467" t="s">
        <v>127</v>
      </c>
      <c r="R467" s="4">
        <v>9.2010000000000005</v>
      </c>
      <c r="S467" s="4">
        <v>289.69099999999997</v>
      </c>
      <c r="T467">
        <f>K467+M467+O467</f>
        <v>298.892</v>
      </c>
      <c r="U467">
        <f t="shared" ref="U467" si="83">SUM(R467:S467)</f>
        <v>298.892</v>
      </c>
    </row>
    <row r="468" spans="1:21" x14ac:dyDescent="0.35">
      <c r="A468">
        <v>61676</v>
      </c>
      <c r="B468" s="1">
        <v>37256</v>
      </c>
      <c r="C468">
        <v>2001</v>
      </c>
      <c r="D468">
        <v>177376100</v>
      </c>
      <c r="E468" t="s">
        <v>65</v>
      </c>
      <c r="F468" t="str">
        <f t="shared" si="77"/>
        <v>877890_2001</v>
      </c>
      <c r="G468" s="2" t="str">
        <f t="shared" si="78"/>
        <v>extracted_filing/877890_2001_10-K.html</v>
      </c>
      <c r="H468" s="2" t="str">
        <f t="shared" si="79"/>
        <v>extracted_filing/877890_2001_10-K.txt</v>
      </c>
      <c r="I468" s="2" t="str">
        <f t="shared" si="80"/>
        <v>https://www.sec.gov/cgi-bin/browse-edgar?action=getcompany&amp;CIK=877890&amp;type=10-K&amp;dateb=20080101&amp;owner=exclude&amp;count=40&amp;search_text=</v>
      </c>
      <c r="J468">
        <v>877890</v>
      </c>
      <c r="K468" s="3">
        <v>29.847999999999999</v>
      </c>
      <c r="L468">
        <f>K468+M468+O468</f>
        <v>376.11</v>
      </c>
      <c r="M468" s="3">
        <f>224.108+85.212</f>
        <v>309.32</v>
      </c>
      <c r="N468">
        <f t="shared" si="75"/>
        <v>309.32</v>
      </c>
      <c r="O468" s="7">
        <f>67.699-30.757</f>
        <v>36.941999999999993</v>
      </c>
      <c r="P468" s="4"/>
      <c r="Q468" t="s">
        <v>121</v>
      </c>
      <c r="R468" s="4">
        <v>376.11</v>
      </c>
      <c r="S468" s="4"/>
      <c r="T468">
        <f>K468+M468+O468</f>
        <v>376.11</v>
      </c>
    </row>
    <row r="469" spans="1:21" x14ac:dyDescent="0.35">
      <c r="A469">
        <v>61676</v>
      </c>
      <c r="B469" s="1">
        <v>37621</v>
      </c>
      <c r="C469">
        <v>2002</v>
      </c>
      <c r="D469">
        <v>177376100</v>
      </c>
      <c r="E469" t="s">
        <v>65</v>
      </c>
      <c r="F469" t="str">
        <f t="shared" si="77"/>
        <v>877890_2002</v>
      </c>
      <c r="G469" s="2" t="str">
        <f t="shared" si="78"/>
        <v>extracted_filing/877890_2002_10-K.html</v>
      </c>
      <c r="H469" s="2" t="str">
        <f t="shared" si="79"/>
        <v>extracted_filing/877890_2002_10-K.txt</v>
      </c>
      <c r="I469" s="2" t="str">
        <f t="shared" si="80"/>
        <v>https://www.sec.gov/cgi-bin/browse-edgar?action=getcompany&amp;CIK=877890&amp;type=10-K&amp;dateb=20080101&amp;owner=exclude&amp;count=40&amp;search_text=</v>
      </c>
      <c r="J469">
        <v>877890</v>
      </c>
      <c r="K469" s="3">
        <v>19.03</v>
      </c>
      <c r="L469">
        <f>K469+M469+O469</f>
        <v>382.15000000000003</v>
      </c>
      <c r="M469" s="3">
        <f>235.393+88.946</f>
        <v>324.339</v>
      </c>
      <c r="N469">
        <f t="shared" si="75"/>
        <v>324.339</v>
      </c>
      <c r="O469" s="7">
        <f>68.923-30.142</f>
        <v>38.781000000000006</v>
      </c>
      <c r="P469" s="4"/>
      <c r="Q469" t="s">
        <v>121</v>
      </c>
      <c r="R469" s="4">
        <v>371.25</v>
      </c>
      <c r="S469" s="4"/>
      <c r="T469">
        <f>K469+M469+O469</f>
        <v>382.15000000000003</v>
      </c>
    </row>
    <row r="470" spans="1:21" x14ac:dyDescent="0.35">
      <c r="A470">
        <v>61676</v>
      </c>
      <c r="B470" s="1">
        <v>37986</v>
      </c>
      <c r="C470">
        <v>2003</v>
      </c>
      <c r="D470">
        <v>177376100</v>
      </c>
      <c r="E470" t="s">
        <v>65</v>
      </c>
      <c r="F470" t="str">
        <f t="shared" si="77"/>
        <v>877890_2003</v>
      </c>
      <c r="G470" s="2" t="str">
        <f t="shared" si="78"/>
        <v>extracted_filing/877890_2003_10-K.html</v>
      </c>
      <c r="H470" s="2" t="str">
        <f t="shared" si="79"/>
        <v>extracted_filing/877890_2003_10-K.txt</v>
      </c>
      <c r="I470" s="2" t="str">
        <f t="shared" si="80"/>
        <v>https://www.sec.gov/cgi-bin/browse-edgar?action=getcompany&amp;CIK=877890&amp;type=10-K&amp;dateb=20080101&amp;owner=exclude&amp;count=40&amp;search_text=</v>
      </c>
      <c r="J470">
        <v>877890</v>
      </c>
      <c r="K470" s="3">
        <f>13.555+6.481</f>
        <v>20.036000000000001</v>
      </c>
      <c r="L470">
        <f>K470+M470+O470</f>
        <v>399.9</v>
      </c>
      <c r="M470" s="3">
        <f>252.749+85.672</f>
        <v>338.42099999999999</v>
      </c>
      <c r="N470">
        <f t="shared" si="75"/>
        <v>338.42099999999999</v>
      </c>
      <c r="O470" s="7">
        <f>64.443-23</f>
        <v>41.442999999999998</v>
      </c>
      <c r="P470" s="4"/>
      <c r="Q470" t="s">
        <v>121</v>
      </c>
      <c r="R470" s="4">
        <v>399.9</v>
      </c>
      <c r="S470" s="4"/>
      <c r="T470">
        <f>K470+M470+O470</f>
        <v>399.9</v>
      </c>
    </row>
    <row r="471" spans="1:21" x14ac:dyDescent="0.35">
      <c r="A471">
        <v>61676</v>
      </c>
      <c r="B471" s="1">
        <v>38352</v>
      </c>
      <c r="C471">
        <v>2004</v>
      </c>
      <c r="D471">
        <v>177376100</v>
      </c>
      <c r="E471" t="s">
        <v>65</v>
      </c>
      <c r="F471" t="str">
        <f t="shared" si="77"/>
        <v>877890_2004</v>
      </c>
      <c r="G471" s="2" t="str">
        <f t="shared" si="78"/>
        <v>extracted_filing/877890_2004_10-K.html</v>
      </c>
      <c r="H471" s="2" t="str">
        <f t="shared" si="79"/>
        <v>extracted_filing/877890_2004_10-K.txt</v>
      </c>
      <c r="I471" s="2" t="str">
        <f t="shared" si="80"/>
        <v>https://www.sec.gov/cgi-bin/browse-edgar?action=getcompany&amp;CIK=877890&amp;type=10-K&amp;dateb=20080101&amp;owner=exclude&amp;count=40&amp;search_text=</v>
      </c>
      <c r="J471">
        <v>877890</v>
      </c>
      <c r="K471" s="3">
        <v>6.2489999999999997</v>
      </c>
      <c r="L471">
        <f>K471+M471+O471</f>
        <v>536.68799999999999</v>
      </c>
      <c r="M471" s="3">
        <f>337.566+106.516</f>
        <v>444.08199999999999</v>
      </c>
      <c r="N471">
        <f t="shared" si="75"/>
        <v>444.08199999999999</v>
      </c>
      <c r="O471" s="3">
        <v>86.356999999999999</v>
      </c>
      <c r="Q471" t="s">
        <v>127</v>
      </c>
      <c r="R471" s="4">
        <v>6.2489999999999997</v>
      </c>
      <c r="S471" s="4">
        <v>530.43899999999996</v>
      </c>
      <c r="T471">
        <f>K471+M471+O471</f>
        <v>536.68799999999999</v>
      </c>
      <c r="U471">
        <f t="shared" ref="U471:U473" si="84">SUM(R471:S471)</f>
        <v>536.68799999999999</v>
      </c>
    </row>
    <row r="472" spans="1:21" x14ac:dyDescent="0.35">
      <c r="A472">
        <v>61676</v>
      </c>
      <c r="B472" s="1">
        <v>38717</v>
      </c>
      <c r="C472">
        <v>2005</v>
      </c>
      <c r="D472">
        <v>177376100</v>
      </c>
      <c r="E472" t="s">
        <v>65</v>
      </c>
      <c r="F472" t="str">
        <f t="shared" si="77"/>
        <v>877890_2005</v>
      </c>
      <c r="G472" s="2" t="str">
        <f t="shared" si="78"/>
        <v>extracted_filing/877890_2005_10-K.html</v>
      </c>
      <c r="H472" s="2" t="str">
        <f t="shared" si="79"/>
        <v>extracted_filing/877890_2005_10-K.txt</v>
      </c>
      <c r="I472" s="2" t="str">
        <f t="shared" si="80"/>
        <v>https://www.sec.gov/cgi-bin/browse-edgar?action=getcompany&amp;CIK=877890&amp;type=10-K&amp;dateb=20080101&amp;owner=exclude&amp;count=40&amp;search_text=</v>
      </c>
      <c r="J472">
        <v>877890</v>
      </c>
      <c r="K472" s="3">
        <v>19.228000000000002</v>
      </c>
      <c r="L472">
        <f>K472+M472+O472</f>
        <v>646.87299999999993</v>
      </c>
      <c r="M472" s="3">
        <f>393.42+125.538</f>
        <v>518.95799999999997</v>
      </c>
      <c r="N472">
        <f t="shared" si="75"/>
        <v>518.95799999999997</v>
      </c>
      <c r="O472" s="3">
        <v>108.687</v>
      </c>
      <c r="Q472" t="s">
        <v>127</v>
      </c>
      <c r="R472" s="4">
        <v>19.228000000000002</v>
      </c>
      <c r="S472" s="4">
        <v>627.64499999999998</v>
      </c>
      <c r="T472">
        <f>K472+M472+O472</f>
        <v>646.87299999999993</v>
      </c>
      <c r="U472">
        <f t="shared" si="84"/>
        <v>646.87299999999993</v>
      </c>
    </row>
    <row r="473" spans="1:21" x14ac:dyDescent="0.35">
      <c r="A473">
        <v>61676</v>
      </c>
      <c r="B473" s="1">
        <v>39082</v>
      </c>
      <c r="C473">
        <v>2006</v>
      </c>
      <c r="D473">
        <v>177376100</v>
      </c>
      <c r="E473" t="s">
        <v>65</v>
      </c>
      <c r="F473" t="str">
        <f t="shared" si="77"/>
        <v>877890_2006</v>
      </c>
      <c r="G473" s="2" t="str">
        <f t="shared" si="78"/>
        <v>extracted_filing/877890_2006_10-K.html</v>
      </c>
      <c r="H473" s="2" t="str">
        <f t="shared" si="79"/>
        <v>extracted_filing/877890_2006_10-K.txt</v>
      </c>
      <c r="I473" s="2" t="str">
        <f t="shared" si="80"/>
        <v>https://www.sec.gov/cgi-bin/browse-edgar?action=getcompany&amp;CIK=877890&amp;type=10-K&amp;dateb=20080101&amp;owner=exclude&amp;count=40&amp;search_text=</v>
      </c>
      <c r="J473">
        <v>877890</v>
      </c>
      <c r="K473" s="3">
        <v>52.048999999999999</v>
      </c>
      <c r="L473">
        <f>K473+M473+O473</f>
        <v>866.39200000000005</v>
      </c>
      <c r="M473" s="3">
        <f>480.343+178.669</f>
        <v>659.01200000000006</v>
      </c>
      <c r="N473">
        <f t="shared" si="75"/>
        <v>659.01200000000006</v>
      </c>
      <c r="O473" s="3">
        <v>155.33099999999999</v>
      </c>
      <c r="Q473" t="s">
        <v>127</v>
      </c>
      <c r="R473" s="4">
        <v>52.048999999999999</v>
      </c>
      <c r="S473" s="4">
        <v>814.34299999999996</v>
      </c>
      <c r="T473">
        <f>K473+M473+O473</f>
        <v>866.39200000000005</v>
      </c>
      <c r="U473">
        <f t="shared" si="84"/>
        <v>866.39199999999994</v>
      </c>
    </row>
    <row r="474" spans="1:21" x14ac:dyDescent="0.35">
      <c r="A474">
        <v>62990</v>
      </c>
      <c r="B474" s="1">
        <v>35795</v>
      </c>
      <c r="C474">
        <v>1997</v>
      </c>
      <c r="D474" t="s">
        <v>66</v>
      </c>
      <c r="E474" t="s">
        <v>67</v>
      </c>
      <c r="F474" t="str">
        <f t="shared" si="77"/>
        <v>913077_1997</v>
      </c>
      <c r="G474" s="2" t="str">
        <f t="shared" si="78"/>
        <v>extracted_filing/913077_1997_10-K.html</v>
      </c>
      <c r="H474" s="2" t="str">
        <f t="shared" si="79"/>
        <v>extracted_filing/913077_1997_10-K.txt</v>
      </c>
      <c r="I474" s="2" t="str">
        <f t="shared" si="80"/>
        <v>https://www.sec.gov/cgi-bin/browse-edgar?action=getcompany&amp;CIK=913077&amp;type=10-K&amp;dateb=20080101&amp;owner=exclude&amp;count=40&amp;search_text=</v>
      </c>
      <c r="J474">
        <v>913077</v>
      </c>
      <c r="K474" s="3">
        <f>4.559-2.31</f>
        <v>2.2490000000000001</v>
      </c>
      <c r="L474">
        <f>K474+M474+O474</f>
        <v>45.113999999999997</v>
      </c>
      <c r="M474" s="3">
        <v>14.696999999999999</v>
      </c>
      <c r="N474">
        <f t="shared" si="75"/>
        <v>14.696999999999999</v>
      </c>
      <c r="O474" s="3">
        <v>28.167999999999999</v>
      </c>
      <c r="P474">
        <v>28.167999999999999</v>
      </c>
      <c r="Q474" t="s">
        <v>121</v>
      </c>
      <c r="R474" s="4">
        <v>45.113999999999997</v>
      </c>
      <c r="S474" s="4"/>
      <c r="T474">
        <f>K474+M474+O474</f>
        <v>45.113999999999997</v>
      </c>
    </row>
    <row r="475" spans="1:21" x14ac:dyDescent="0.35">
      <c r="A475">
        <v>62990</v>
      </c>
      <c r="B475" s="1">
        <v>36160</v>
      </c>
      <c r="C475">
        <v>1998</v>
      </c>
      <c r="D475" t="s">
        <v>66</v>
      </c>
      <c r="E475" t="s">
        <v>67</v>
      </c>
      <c r="F475" t="str">
        <f t="shared" si="77"/>
        <v>913077_1998</v>
      </c>
      <c r="G475" s="2" t="str">
        <f t="shared" si="78"/>
        <v>extracted_filing/913077_1998_10-K.html</v>
      </c>
      <c r="H475" s="2" t="str">
        <f t="shared" si="79"/>
        <v>extracted_filing/913077_1998_10-K.txt</v>
      </c>
      <c r="I475" s="2" t="str">
        <f t="shared" si="80"/>
        <v>https://www.sec.gov/cgi-bin/browse-edgar?action=getcompany&amp;CIK=913077&amp;type=10-K&amp;dateb=20080101&amp;owner=exclude&amp;count=40&amp;search_text=</v>
      </c>
      <c r="J475">
        <v>913077</v>
      </c>
      <c r="K475" s="3">
        <f>14.858-4.765</f>
        <v>10.093</v>
      </c>
      <c r="L475">
        <f>K475+M475+O475</f>
        <v>75.808999999999997</v>
      </c>
      <c r="M475" s="3">
        <v>29.763000000000002</v>
      </c>
      <c r="N475">
        <f t="shared" si="75"/>
        <v>29.763000000000002</v>
      </c>
      <c r="O475" s="3">
        <v>35.953000000000003</v>
      </c>
      <c r="P475">
        <v>35.953000000000003</v>
      </c>
      <c r="Q475" t="s">
        <v>121</v>
      </c>
      <c r="R475" s="4">
        <v>75.808999999999997</v>
      </c>
      <c r="S475" s="4"/>
      <c r="T475">
        <f>K475+M475+O475</f>
        <v>75.808999999999997</v>
      </c>
    </row>
    <row r="476" spans="1:21" x14ac:dyDescent="0.35">
      <c r="A476">
        <v>62990</v>
      </c>
      <c r="B476" s="1">
        <v>36525</v>
      </c>
      <c r="C476">
        <v>1999</v>
      </c>
      <c r="D476" t="s">
        <v>66</v>
      </c>
      <c r="E476" t="s">
        <v>67</v>
      </c>
      <c r="F476" t="str">
        <f t="shared" si="77"/>
        <v>913077_1999</v>
      </c>
      <c r="G476" s="2" t="str">
        <f t="shared" si="78"/>
        <v>extracted_filing/913077_1999_10-K.html</v>
      </c>
      <c r="H476" s="2" t="str">
        <f t="shared" si="79"/>
        <v>extracted_filing/913077_1999_10-K.txt</v>
      </c>
      <c r="I476" s="2" t="str">
        <f t="shared" si="80"/>
        <v>https://www.sec.gov/cgi-bin/browse-edgar?action=getcompany&amp;CIK=913077&amp;type=10-K&amp;dateb=20080101&amp;owner=exclude&amp;count=40&amp;search_text=</v>
      </c>
      <c r="J476">
        <v>913077</v>
      </c>
      <c r="K476" s="3">
        <f>35.333-6.528</f>
        <v>28.805</v>
      </c>
      <c r="L476">
        <f>K476+M476+O476</f>
        <v>118.04600000000001</v>
      </c>
      <c r="M476" s="3">
        <v>48.713999999999999</v>
      </c>
      <c r="N476">
        <f t="shared" si="75"/>
        <v>48.713999999999999</v>
      </c>
      <c r="O476" s="3">
        <v>40.527000000000001</v>
      </c>
      <c r="P476">
        <v>40.527000000000001</v>
      </c>
      <c r="Q476" t="s">
        <v>121</v>
      </c>
      <c r="R476" s="4">
        <v>118.04600000000001</v>
      </c>
      <c r="S476" s="4"/>
      <c r="T476">
        <f>K476+M476+O476</f>
        <v>118.04600000000001</v>
      </c>
    </row>
    <row r="477" spans="1:21" x14ac:dyDescent="0.35">
      <c r="A477">
        <v>62990</v>
      </c>
      <c r="B477" s="1">
        <v>36891</v>
      </c>
      <c r="C477">
        <v>2000</v>
      </c>
      <c r="D477" t="s">
        <v>66</v>
      </c>
      <c r="E477" t="s">
        <v>67</v>
      </c>
      <c r="F477" t="str">
        <f t="shared" si="77"/>
        <v>913077_2000</v>
      </c>
      <c r="G477" s="2" t="str">
        <f t="shared" si="78"/>
        <v>extracted_filing/913077_2000_10-K.html</v>
      </c>
      <c r="H477" s="2" t="str">
        <f t="shared" si="79"/>
        <v>extracted_filing/913077_2000_10-K.txt</v>
      </c>
      <c r="I477" s="2" t="str">
        <f t="shared" si="80"/>
        <v>https://www.sec.gov/cgi-bin/browse-edgar?action=getcompany&amp;CIK=913077&amp;type=10-K&amp;dateb=20080101&amp;owner=exclude&amp;count=40&amp;search_text=</v>
      </c>
      <c r="J477">
        <v>913077</v>
      </c>
      <c r="K477" s="3">
        <f>70.884-(10.696+1.797)</f>
        <v>58.390999999999998</v>
      </c>
      <c r="L477">
        <f>K477+M477+O477</f>
        <v>231.322</v>
      </c>
      <c r="M477" s="3">
        <f>113.429+2.118</f>
        <v>115.547</v>
      </c>
      <c r="N477">
        <f t="shared" si="75"/>
        <v>115.547</v>
      </c>
      <c r="O477" s="3">
        <v>57.384</v>
      </c>
      <c r="P477">
        <v>57.384</v>
      </c>
      <c r="Q477" t="s">
        <v>121</v>
      </c>
      <c r="R477" s="4">
        <v>213.71899999999999</v>
      </c>
      <c r="S477" s="4"/>
      <c r="T477" s="4">
        <f>SUM(K477,M477,O477)</f>
        <v>231.322</v>
      </c>
    </row>
    <row r="478" spans="1:21" x14ac:dyDescent="0.35">
      <c r="A478">
        <v>62990</v>
      </c>
      <c r="B478" s="1">
        <v>37256</v>
      </c>
      <c r="C478">
        <v>2001</v>
      </c>
      <c r="D478" t="s">
        <v>66</v>
      </c>
      <c r="E478" t="s">
        <v>67</v>
      </c>
      <c r="F478" t="str">
        <f t="shared" si="77"/>
        <v>913077_2001</v>
      </c>
      <c r="G478" s="2" t="str">
        <f t="shared" si="78"/>
        <v>extracted_filing/913077_2001_10-K.html</v>
      </c>
      <c r="H478" s="2" t="str">
        <f t="shared" si="79"/>
        <v>extracted_filing/913077_2001_10-K.txt</v>
      </c>
      <c r="I478" s="2" t="str">
        <f t="shared" si="80"/>
        <v>https://www.sec.gov/cgi-bin/browse-edgar?action=getcompany&amp;CIK=913077&amp;type=10-K&amp;dateb=20080101&amp;owner=exclude&amp;count=40&amp;search_text=</v>
      </c>
      <c r="J478">
        <v>913077</v>
      </c>
      <c r="K478" s="5">
        <v>66.98</v>
      </c>
      <c r="L478">
        <f>K478+M478+O478</f>
        <v>243.10300000000001</v>
      </c>
      <c r="M478" s="3">
        <f>95.263+12.663</f>
        <v>107.926</v>
      </c>
      <c r="N478">
        <f t="shared" si="75"/>
        <v>107.926</v>
      </c>
      <c r="O478" s="3">
        <v>68.197000000000003</v>
      </c>
      <c r="P478">
        <v>68.197000000000003</v>
      </c>
      <c r="Q478" t="s">
        <v>124</v>
      </c>
      <c r="R478" s="4">
        <v>66.98</v>
      </c>
      <c r="S478" s="4">
        <v>169.75299999999999</v>
      </c>
      <c r="T478" s="4">
        <f>SUM(K478,M478,O478)</f>
        <v>243.10300000000001</v>
      </c>
      <c r="U478">
        <f>SUM(R478:S478)</f>
        <v>236.733</v>
      </c>
    </row>
    <row r="479" spans="1:21" x14ac:dyDescent="0.35">
      <c r="A479">
        <v>62990</v>
      </c>
      <c r="B479" s="1">
        <v>37621</v>
      </c>
      <c r="C479">
        <v>2002</v>
      </c>
      <c r="D479" t="s">
        <v>66</v>
      </c>
      <c r="E479" t="s">
        <v>67</v>
      </c>
      <c r="F479" t="str">
        <f t="shared" si="77"/>
        <v>913077_2002</v>
      </c>
      <c r="G479" s="2" t="str">
        <f t="shared" si="78"/>
        <v>extracted_filing/913077_2002_10-K.html</v>
      </c>
      <c r="H479" s="2" t="str">
        <f t="shared" si="79"/>
        <v>extracted_filing/913077_2002_10-K.txt</v>
      </c>
      <c r="I479" s="2" t="str">
        <f t="shared" si="80"/>
        <v>https://www.sec.gov/cgi-bin/browse-edgar?action=getcompany&amp;CIK=913077&amp;type=10-K&amp;dateb=20080101&amp;owner=exclude&amp;count=40&amp;search_text=</v>
      </c>
      <c r="J479">
        <v>913077</v>
      </c>
      <c r="K479" s="5">
        <v>84.509</v>
      </c>
      <c r="L479">
        <f>K479+M479+O479</f>
        <v>258.67700000000002</v>
      </c>
      <c r="M479" s="3">
        <f>96.26+8.388</f>
        <v>104.64800000000001</v>
      </c>
      <c r="N479">
        <f t="shared" si="75"/>
        <v>104.64800000000001</v>
      </c>
      <c r="O479" s="3">
        <v>69.52</v>
      </c>
      <c r="P479">
        <v>69.52</v>
      </c>
      <c r="Q479" t="s">
        <v>124</v>
      </c>
      <c r="R479" s="4">
        <v>84.509</v>
      </c>
      <c r="S479" s="4">
        <v>174.16800000000001</v>
      </c>
      <c r="T479">
        <f>SUM(K479,M479,O479)</f>
        <v>258.67700000000002</v>
      </c>
      <c r="U479">
        <f t="shared" ref="U479:U481" si="85">SUM(R479:S479)</f>
        <v>258.67700000000002</v>
      </c>
    </row>
    <row r="480" spans="1:21" x14ac:dyDescent="0.35">
      <c r="A480">
        <v>62990</v>
      </c>
      <c r="B480" s="1">
        <v>37986</v>
      </c>
      <c r="C480">
        <v>2003</v>
      </c>
      <c r="D480" t="s">
        <v>66</v>
      </c>
      <c r="E480" t="s">
        <v>67</v>
      </c>
      <c r="F480" t="str">
        <f t="shared" si="77"/>
        <v>913077_2003</v>
      </c>
      <c r="G480" s="2" t="str">
        <f t="shared" si="78"/>
        <v>extracted_filing/913077_2003_10-K.html</v>
      </c>
      <c r="H480" s="2" t="str">
        <f t="shared" si="79"/>
        <v>extracted_filing/913077_2003_10-K.txt</v>
      </c>
      <c r="I480" s="2" t="str">
        <f t="shared" si="80"/>
        <v>https://www.sec.gov/cgi-bin/browse-edgar?action=getcompany&amp;CIK=913077&amp;type=10-K&amp;dateb=20080101&amp;owner=exclude&amp;count=40&amp;search_text=</v>
      </c>
      <c r="J480">
        <v>913077</v>
      </c>
      <c r="K480" s="5">
        <v>73.534999999999997</v>
      </c>
      <c r="L480">
        <f>K480+M480+O480</f>
        <v>246.47899999999998</v>
      </c>
      <c r="M480" s="3">
        <f>104.797+2.238</f>
        <v>107.035</v>
      </c>
      <c r="N480">
        <f t="shared" si="75"/>
        <v>107.035</v>
      </c>
      <c r="O480" s="3">
        <v>65.909000000000006</v>
      </c>
      <c r="P480">
        <v>65.909000000000006</v>
      </c>
      <c r="Q480" t="s">
        <v>124</v>
      </c>
      <c r="R480" s="4">
        <v>73.534999999999997</v>
      </c>
      <c r="S480" s="4">
        <v>172.94399999999999</v>
      </c>
      <c r="T480">
        <f>SUM(K480,M480,O480)</f>
        <v>246.47899999999998</v>
      </c>
      <c r="U480">
        <f t="shared" si="85"/>
        <v>246.47899999999998</v>
      </c>
    </row>
    <row r="481" spans="1:21" x14ac:dyDescent="0.35">
      <c r="A481">
        <v>62990</v>
      </c>
      <c r="B481" s="1">
        <v>38352</v>
      </c>
      <c r="C481">
        <v>2004</v>
      </c>
      <c r="D481" t="s">
        <v>66</v>
      </c>
      <c r="E481" t="s">
        <v>67</v>
      </c>
      <c r="F481" t="str">
        <f t="shared" si="77"/>
        <v>913077_2004</v>
      </c>
      <c r="G481" s="2" t="str">
        <f t="shared" si="78"/>
        <v>extracted_filing/913077_2004_10-K.html</v>
      </c>
      <c r="H481" s="2" t="str">
        <f t="shared" si="79"/>
        <v>extracted_filing/913077_2004_10-K.txt</v>
      </c>
      <c r="I481" s="2" t="str">
        <f t="shared" si="80"/>
        <v>https://www.sec.gov/cgi-bin/browse-edgar?action=getcompany&amp;CIK=913077&amp;type=10-K&amp;dateb=20080101&amp;owner=exclude&amp;count=40&amp;search_text=</v>
      </c>
      <c r="J481">
        <v>913077</v>
      </c>
      <c r="K481" s="5">
        <v>69.209999999999894</v>
      </c>
      <c r="L481">
        <f>K481+M481+O481</f>
        <v>260.50799999999992</v>
      </c>
      <c r="M481" s="3">
        <f>116.973+0.92</f>
        <v>117.893</v>
      </c>
      <c r="N481">
        <f t="shared" si="75"/>
        <v>117.893</v>
      </c>
      <c r="O481" s="3">
        <v>73.405000000000001</v>
      </c>
      <c r="P481">
        <v>73.405000000000001</v>
      </c>
      <c r="Q481" t="s">
        <v>124</v>
      </c>
      <c r="R481" s="4">
        <v>69.209999999999894</v>
      </c>
      <c r="S481" s="4">
        <v>191.298</v>
      </c>
      <c r="T481">
        <f>SUM(K481,M481,O481)</f>
        <v>260.50799999999992</v>
      </c>
      <c r="U481">
        <f t="shared" si="85"/>
        <v>260.50799999999992</v>
      </c>
    </row>
    <row r="482" spans="1:21" x14ac:dyDescent="0.35">
      <c r="A482">
        <v>62990</v>
      </c>
      <c r="B482" s="1">
        <v>38717</v>
      </c>
      <c r="C482">
        <v>2005</v>
      </c>
      <c r="D482" t="s">
        <v>66</v>
      </c>
      <c r="E482" t="s">
        <v>67</v>
      </c>
      <c r="F482" t="str">
        <f t="shared" si="77"/>
        <v>913077_2005</v>
      </c>
      <c r="G482" s="2" t="str">
        <f t="shared" si="78"/>
        <v>extracted_filing/913077_2005_10-K.html</v>
      </c>
      <c r="H482" s="2" t="str">
        <f t="shared" si="79"/>
        <v>extracted_filing/913077_2005_10-K.txt</v>
      </c>
      <c r="I482" s="2" t="str">
        <f t="shared" si="80"/>
        <v>https://www.sec.gov/cgi-bin/browse-edgar?action=getcompany&amp;CIK=913077&amp;type=10-K&amp;dateb=20080101&amp;owner=exclude&amp;count=40&amp;search_text=</v>
      </c>
      <c r="J482">
        <v>913077</v>
      </c>
      <c r="K482" s="5">
        <v>73.347999999999999</v>
      </c>
      <c r="L482">
        <f>K482+M482+O482</f>
        <v>273.81</v>
      </c>
      <c r="M482" s="3">
        <f>121.952+1.106</f>
        <v>123.05799999999999</v>
      </c>
      <c r="N482">
        <f t="shared" si="75"/>
        <v>123.05799999999999</v>
      </c>
      <c r="O482" s="3">
        <v>77.403999999999996</v>
      </c>
      <c r="P482">
        <v>77.403999999999996</v>
      </c>
      <c r="Q482" t="s">
        <v>124</v>
      </c>
      <c r="R482" s="4">
        <v>73.347999999999999</v>
      </c>
      <c r="S482" s="4">
        <v>200.328</v>
      </c>
      <c r="T482">
        <f>SUM(K482,M482,O482)</f>
        <v>273.81</v>
      </c>
      <c r="U482">
        <f t="shared" ref="U482:U483" si="86">SUM(R482:S482)</f>
        <v>273.67599999999999</v>
      </c>
    </row>
    <row r="483" spans="1:21" x14ac:dyDescent="0.35">
      <c r="A483">
        <v>62990</v>
      </c>
      <c r="B483" s="1">
        <v>39082</v>
      </c>
      <c r="C483">
        <v>2006</v>
      </c>
      <c r="D483" t="s">
        <v>66</v>
      </c>
      <c r="E483" t="s">
        <v>67</v>
      </c>
      <c r="F483" t="str">
        <f t="shared" si="77"/>
        <v>913077_2006</v>
      </c>
      <c r="G483" s="2" t="str">
        <f t="shared" si="78"/>
        <v>extracted_filing/913077_2006_10-K.html</v>
      </c>
      <c r="H483" s="2" t="str">
        <f t="shared" si="79"/>
        <v>extracted_filing/913077_2006_10-K.txt</v>
      </c>
      <c r="I483" s="2" t="str">
        <f t="shared" si="80"/>
        <v>https://www.sec.gov/cgi-bin/browse-edgar?action=getcompany&amp;CIK=913077&amp;type=10-K&amp;dateb=20080101&amp;owner=exclude&amp;count=40&amp;search_text=</v>
      </c>
      <c r="J483">
        <v>913077</v>
      </c>
      <c r="K483" s="3">
        <f>94.576+29.149+5.218-22.796-8.315</f>
        <v>97.831999999999994</v>
      </c>
      <c r="L483">
        <f>K483+M483+O483</f>
        <v>329.25400000000002</v>
      </c>
      <c r="M483" s="3">
        <v>145.126</v>
      </c>
      <c r="N483">
        <f t="shared" si="75"/>
        <v>145.126</v>
      </c>
      <c r="O483" s="3">
        <v>86.296000000000006</v>
      </c>
      <c r="P483">
        <v>86.296000000000006</v>
      </c>
      <c r="Q483" t="s">
        <v>124</v>
      </c>
      <c r="R483" s="4">
        <v>97.831999999999894</v>
      </c>
      <c r="S483" s="4">
        <v>231.422</v>
      </c>
      <c r="T483">
        <f>SUM(K483,M483,O483)</f>
        <v>329.25400000000002</v>
      </c>
      <c r="U483">
        <f t="shared" si="86"/>
        <v>329.25399999999991</v>
      </c>
    </row>
    <row r="484" spans="1:21" x14ac:dyDescent="0.35">
      <c r="A484">
        <v>63454</v>
      </c>
      <c r="B484" s="1">
        <v>35795</v>
      </c>
      <c r="C484">
        <v>1997</v>
      </c>
      <c r="D484" t="s">
        <v>68</v>
      </c>
      <c r="E484" t="s">
        <v>69</v>
      </c>
      <c r="F484" t="str">
        <f t="shared" si="77"/>
        <v>1015739_1997</v>
      </c>
      <c r="G484" s="2" t="str">
        <f t="shared" si="78"/>
        <v>extracted_filing/1015739_1997_10-K.html</v>
      </c>
      <c r="H484" s="2" t="str">
        <f t="shared" si="79"/>
        <v>extracted_filing/1015739_1997_10-K.txt</v>
      </c>
      <c r="I484" s="2" t="str">
        <f t="shared" si="80"/>
        <v>https://www.sec.gov/cgi-bin/browse-edgar?action=getcompany&amp;CIK=1015739&amp;type=10-K&amp;dateb=20080101&amp;owner=exclude&amp;count=40&amp;search_text=</v>
      </c>
      <c r="J484">
        <v>1015739</v>
      </c>
      <c r="K484" s="3">
        <f>1.252-0.902</f>
        <v>0.35</v>
      </c>
      <c r="L484">
        <f>K484+M484+O484</f>
        <v>11.452999999999999</v>
      </c>
      <c r="M484" s="3">
        <f>2.286+1.943</f>
        <v>4.2290000000000001</v>
      </c>
      <c r="N484">
        <f t="shared" si="75"/>
        <v>4.2290000000000001</v>
      </c>
      <c r="O484" s="3">
        <v>6.8739999999999997</v>
      </c>
      <c r="P484">
        <v>6.8739999999999997</v>
      </c>
      <c r="Q484" t="s">
        <v>121</v>
      </c>
      <c r="R484" s="4">
        <v>11.452999999999999</v>
      </c>
      <c r="S484" s="4"/>
      <c r="T484">
        <f>SUM(K484,M484,O484)</f>
        <v>11.452999999999999</v>
      </c>
    </row>
    <row r="485" spans="1:21" x14ac:dyDescent="0.35">
      <c r="A485">
        <v>63454</v>
      </c>
      <c r="B485" s="1">
        <v>36160</v>
      </c>
      <c r="C485">
        <v>1998</v>
      </c>
      <c r="D485" t="s">
        <v>68</v>
      </c>
      <c r="E485" t="s">
        <v>69</v>
      </c>
      <c r="F485" t="str">
        <f t="shared" si="77"/>
        <v>1015739_1998</v>
      </c>
      <c r="G485" s="2" t="str">
        <f t="shared" si="78"/>
        <v>extracted_filing/1015739_1998_10-K.html</v>
      </c>
      <c r="H485" s="2" t="str">
        <f t="shared" si="79"/>
        <v>extracted_filing/1015739_1998_10-K.txt</v>
      </c>
      <c r="I485" s="2" t="str">
        <f t="shared" si="80"/>
        <v>https://www.sec.gov/cgi-bin/browse-edgar?action=getcompany&amp;CIK=1015739&amp;type=10-K&amp;dateb=20080101&amp;owner=exclude&amp;count=40&amp;search_text=</v>
      </c>
      <c r="J485">
        <v>1015739</v>
      </c>
      <c r="K485" s="3">
        <f>1.394+5.431-1.53</f>
        <v>5.2949999999999999</v>
      </c>
      <c r="L485">
        <f>K485+M485+O485</f>
        <v>14.218</v>
      </c>
      <c r="M485" s="3">
        <f>2.83+2.206</f>
        <v>5.0359999999999996</v>
      </c>
      <c r="N485">
        <f t="shared" si="75"/>
        <v>5.0359999999999996</v>
      </c>
      <c r="O485" s="3">
        <v>3.887</v>
      </c>
      <c r="P485">
        <v>3.887</v>
      </c>
      <c r="Q485" t="s">
        <v>121</v>
      </c>
      <c r="R485" s="4">
        <v>14.217000000000001</v>
      </c>
      <c r="S485" s="4"/>
      <c r="T485">
        <f>SUM(K485,M485,O485)</f>
        <v>14.218</v>
      </c>
    </row>
    <row r="486" spans="1:21" x14ac:dyDescent="0.35">
      <c r="A486">
        <v>63454</v>
      </c>
      <c r="B486" s="1">
        <v>36525</v>
      </c>
      <c r="C486">
        <v>1999</v>
      </c>
      <c r="D486" t="s">
        <v>68</v>
      </c>
      <c r="E486" t="s">
        <v>69</v>
      </c>
      <c r="F486" t="str">
        <f t="shared" si="77"/>
        <v>1015739_1999</v>
      </c>
      <c r="G486" s="2" t="str">
        <f t="shared" si="78"/>
        <v>extracted_filing/1015739_1999_10-K.html</v>
      </c>
      <c r="H486" s="2" t="str">
        <f t="shared" si="79"/>
        <v>extracted_filing/1015739_1999_10-K.txt</v>
      </c>
      <c r="I486" s="2" t="str">
        <f t="shared" si="80"/>
        <v>https://www.sec.gov/cgi-bin/browse-edgar?action=getcompany&amp;CIK=1015739&amp;type=10-K&amp;dateb=20080101&amp;owner=exclude&amp;count=40&amp;search_text=</v>
      </c>
      <c r="J486">
        <v>1015739</v>
      </c>
      <c r="K486" s="3">
        <f>1.363+7.053-1.775</f>
        <v>6.641</v>
      </c>
      <c r="L486">
        <f>K486+M486+O486</f>
        <v>15.429</v>
      </c>
      <c r="M486" s="3">
        <f>2.574+2.579</f>
        <v>5.1530000000000005</v>
      </c>
      <c r="N486">
        <f t="shared" si="75"/>
        <v>5.1530000000000005</v>
      </c>
      <c r="O486" s="3">
        <v>3.6349999999999998</v>
      </c>
      <c r="P486">
        <v>3.6349999999999998</v>
      </c>
      <c r="Q486" t="s">
        <v>121</v>
      </c>
      <c r="R486" s="4">
        <v>15.430999999999999</v>
      </c>
      <c r="S486" s="4"/>
      <c r="T486">
        <f>SUM(K486,M486,O486)</f>
        <v>15.429</v>
      </c>
    </row>
    <row r="487" spans="1:21" x14ac:dyDescent="0.35">
      <c r="A487">
        <v>63454</v>
      </c>
      <c r="B487" s="1">
        <v>36891</v>
      </c>
      <c r="C487">
        <v>2000</v>
      </c>
      <c r="D487" t="s">
        <v>68</v>
      </c>
      <c r="E487" t="s">
        <v>69</v>
      </c>
      <c r="F487" t="str">
        <f t="shared" si="77"/>
        <v>1015739_2000</v>
      </c>
      <c r="G487" s="2" t="str">
        <f t="shared" si="78"/>
        <v>extracted_filing/1015739_2000_10-K.html</v>
      </c>
      <c r="H487" s="2" t="str">
        <f t="shared" si="79"/>
        <v>extracted_filing/1015739_2000_10-K.txt</v>
      </c>
      <c r="I487" s="2" t="str">
        <f t="shared" si="80"/>
        <v>https://www.sec.gov/cgi-bin/browse-edgar?action=getcompany&amp;CIK=1015739&amp;type=10-K&amp;dateb=20080101&amp;owner=exclude&amp;count=40&amp;search_text=</v>
      </c>
      <c r="J487">
        <v>1015739</v>
      </c>
      <c r="K487" s="3">
        <f>0.831+8.8-1.738</f>
        <v>7.8930000000000007</v>
      </c>
      <c r="L487">
        <f>K487+M487+O487</f>
        <v>19.439</v>
      </c>
      <c r="M487" s="3">
        <f>2.533+3.098</f>
        <v>5.6310000000000002</v>
      </c>
      <c r="N487">
        <f t="shared" si="75"/>
        <v>5.6310000000000002</v>
      </c>
      <c r="O487" s="3">
        <f>5.915</f>
        <v>5.915</v>
      </c>
      <c r="P487">
        <f>5.915</f>
        <v>5.915</v>
      </c>
      <c r="Q487" t="s">
        <v>121</v>
      </c>
      <c r="R487" s="4">
        <v>19.439</v>
      </c>
      <c r="S487" s="4"/>
      <c r="T487">
        <f>SUM(K487,M487,O487)</f>
        <v>19.439</v>
      </c>
    </row>
    <row r="488" spans="1:21" x14ac:dyDescent="0.35">
      <c r="A488">
        <v>63454</v>
      </c>
      <c r="B488" s="1">
        <v>37256</v>
      </c>
      <c r="C488">
        <v>2001</v>
      </c>
      <c r="D488" t="s">
        <v>68</v>
      </c>
      <c r="E488" t="s">
        <v>69</v>
      </c>
      <c r="F488" t="str">
        <f t="shared" si="77"/>
        <v>1015739_2001</v>
      </c>
      <c r="G488" s="2" t="str">
        <f t="shared" si="78"/>
        <v>extracted_filing/1015739_2001_10-K.html</v>
      </c>
      <c r="H488" s="2" t="str">
        <f t="shared" si="79"/>
        <v>extracted_filing/1015739_2001_10-K.txt</v>
      </c>
      <c r="I488" s="2" t="str">
        <f t="shared" si="80"/>
        <v>https://www.sec.gov/cgi-bin/browse-edgar?action=getcompany&amp;CIK=1015739&amp;type=10-K&amp;dateb=20080101&amp;owner=exclude&amp;count=40&amp;search_text=</v>
      </c>
      <c r="J488">
        <v>1015739</v>
      </c>
      <c r="K488" s="3">
        <f>0.629+6.822-1.72</f>
        <v>5.7310000000000008</v>
      </c>
      <c r="L488">
        <f>K488+M488+O488</f>
        <v>21.65</v>
      </c>
      <c r="M488" s="3">
        <f>2.916+2.899</f>
        <v>5.8149999999999995</v>
      </c>
      <c r="N488">
        <f t="shared" si="75"/>
        <v>5.8149999999999995</v>
      </c>
      <c r="O488" s="3">
        <f>10.104</f>
        <v>10.103999999999999</v>
      </c>
      <c r="P488">
        <f>10.104</f>
        <v>10.103999999999999</v>
      </c>
      <c r="Q488" t="s">
        <v>121</v>
      </c>
      <c r="R488" s="4">
        <v>21.65</v>
      </c>
      <c r="S488" s="4"/>
      <c r="T488">
        <f>SUM(K488,M488,O488)</f>
        <v>21.65</v>
      </c>
    </row>
    <row r="489" spans="1:21" x14ac:dyDescent="0.35">
      <c r="A489">
        <v>63454</v>
      </c>
      <c r="B489" s="1">
        <v>37621</v>
      </c>
      <c r="C489">
        <v>2002</v>
      </c>
      <c r="D489" t="s">
        <v>68</v>
      </c>
      <c r="E489" t="s">
        <v>69</v>
      </c>
      <c r="F489" t="str">
        <f t="shared" si="77"/>
        <v>1015739_2002</v>
      </c>
      <c r="G489" s="2" t="str">
        <f t="shared" si="78"/>
        <v>extracted_filing/1015739_2002_10-K.html</v>
      </c>
      <c r="H489" s="2" t="str">
        <f t="shared" si="79"/>
        <v>extracted_filing/1015739_2002_10-K.txt</v>
      </c>
      <c r="I489" s="2" t="str">
        <f t="shared" si="80"/>
        <v>https://www.sec.gov/cgi-bin/browse-edgar?action=getcompany&amp;CIK=1015739&amp;type=10-K&amp;dateb=20080101&amp;owner=exclude&amp;count=40&amp;search_text=</v>
      </c>
      <c r="J489">
        <v>1015739</v>
      </c>
      <c r="K489" s="3">
        <f>0.955+4.889-1.844</f>
        <v>4</v>
      </c>
      <c r="L489">
        <f>K489+M489+O489</f>
        <v>24.529</v>
      </c>
      <c r="M489" s="3">
        <f>2.966+3.607</f>
        <v>6.5730000000000004</v>
      </c>
      <c r="N489">
        <f t="shared" si="75"/>
        <v>6.5730000000000004</v>
      </c>
      <c r="O489" s="3">
        <v>13.956</v>
      </c>
      <c r="P489">
        <v>13.956</v>
      </c>
      <c r="Q489" t="s">
        <v>121</v>
      </c>
      <c r="R489" s="4">
        <v>24.529</v>
      </c>
      <c r="S489" s="4"/>
      <c r="T489">
        <f>SUM(K489,M489,O489)</f>
        <v>24.529</v>
      </c>
    </row>
    <row r="490" spans="1:21" x14ac:dyDescent="0.35">
      <c r="A490">
        <v>63454</v>
      </c>
      <c r="B490" s="1">
        <v>37986</v>
      </c>
      <c r="C490">
        <v>2003</v>
      </c>
      <c r="D490" t="s">
        <v>68</v>
      </c>
      <c r="E490" t="s">
        <v>69</v>
      </c>
      <c r="F490" t="str">
        <f t="shared" si="77"/>
        <v>1015739_2003</v>
      </c>
      <c r="G490" s="2" t="str">
        <f t="shared" si="78"/>
        <v>extracted_filing/1015739_2003_10-K.html</v>
      </c>
      <c r="H490" s="2" t="str">
        <f t="shared" si="79"/>
        <v>extracted_filing/1015739_2003_10-K.txt</v>
      </c>
      <c r="I490" s="2" t="str">
        <f t="shared" si="80"/>
        <v>https://www.sec.gov/cgi-bin/browse-edgar?action=getcompany&amp;CIK=1015739&amp;type=10-K&amp;dateb=20080101&amp;owner=exclude&amp;count=40&amp;search_text=</v>
      </c>
      <c r="J490">
        <v>1015739</v>
      </c>
      <c r="K490" s="3">
        <f>1.043+1.567-1.471</f>
        <v>1.1389999999999998</v>
      </c>
      <c r="L490">
        <f>K490+M490+O490</f>
        <v>18.006999999999998</v>
      </c>
      <c r="M490" s="3">
        <f>2.407+2.387</f>
        <v>4.7940000000000005</v>
      </c>
      <c r="N490">
        <f t="shared" si="75"/>
        <v>4.7940000000000005</v>
      </c>
      <c r="O490" s="3">
        <v>12.074</v>
      </c>
      <c r="P490">
        <v>12.074</v>
      </c>
      <c r="Q490" t="s">
        <v>121</v>
      </c>
      <c r="R490" s="4">
        <v>18.007000000000001</v>
      </c>
      <c r="S490" s="4"/>
      <c r="T490">
        <f>SUM(K490,M490,O490)</f>
        <v>18.006999999999998</v>
      </c>
    </row>
    <row r="491" spans="1:21" x14ac:dyDescent="0.35">
      <c r="A491">
        <v>63454</v>
      </c>
      <c r="B491" s="1">
        <v>38352</v>
      </c>
      <c r="C491">
        <v>2004</v>
      </c>
      <c r="D491" t="s">
        <v>68</v>
      </c>
      <c r="E491" t="s">
        <v>69</v>
      </c>
      <c r="F491" t="str">
        <f t="shared" si="77"/>
        <v>1015739_2004</v>
      </c>
      <c r="G491" s="2" t="str">
        <f t="shared" si="78"/>
        <v>extracted_filing/1015739_2004_10-K.html</v>
      </c>
      <c r="H491" s="2" t="str">
        <f t="shared" si="79"/>
        <v>extracted_filing/1015739_2004_10-K.txt</v>
      </c>
      <c r="I491" s="2" t="str">
        <f t="shared" si="80"/>
        <v>https://www.sec.gov/cgi-bin/browse-edgar?action=getcompany&amp;CIK=1015739&amp;type=10-K&amp;dateb=20080101&amp;owner=exclude&amp;count=40&amp;search_text=</v>
      </c>
      <c r="J491">
        <v>1015739</v>
      </c>
      <c r="K491" s="3">
        <f>0.862+2.683-0.969</f>
        <v>2.5760000000000001</v>
      </c>
      <c r="L491">
        <f>K491+M491+O491</f>
        <v>17.441000000000003</v>
      </c>
      <c r="M491" s="3">
        <f>2.379+2.473</f>
        <v>4.8520000000000003</v>
      </c>
      <c r="N491">
        <f t="shared" si="75"/>
        <v>4.8520000000000003</v>
      </c>
      <c r="O491" s="3">
        <v>10.013</v>
      </c>
      <c r="P491">
        <v>10.013</v>
      </c>
      <c r="Q491" t="s">
        <v>121</v>
      </c>
      <c r="R491" s="4">
        <v>17.440999999999999</v>
      </c>
      <c r="S491" s="4"/>
      <c r="T491">
        <f>SUM(K491,M491,O491)</f>
        <v>17.441000000000003</v>
      </c>
    </row>
    <row r="492" spans="1:21" x14ac:dyDescent="0.35">
      <c r="A492">
        <v>63454</v>
      </c>
      <c r="B492" s="1">
        <v>38717</v>
      </c>
      <c r="C492">
        <v>2005</v>
      </c>
      <c r="D492" t="s">
        <v>68</v>
      </c>
      <c r="E492" t="s">
        <v>69</v>
      </c>
      <c r="F492" t="str">
        <f t="shared" si="77"/>
        <v>1015739_2005</v>
      </c>
      <c r="G492" s="2" t="str">
        <f t="shared" si="78"/>
        <v>extracted_filing/1015739_2005_10-K.html</v>
      </c>
      <c r="H492" s="2" t="str">
        <f t="shared" si="79"/>
        <v>extracted_filing/1015739_2005_10-K.txt</v>
      </c>
      <c r="I492" s="2" t="str">
        <f t="shared" si="80"/>
        <v>https://www.sec.gov/cgi-bin/browse-edgar?action=getcompany&amp;CIK=1015739&amp;type=10-K&amp;dateb=20080101&amp;owner=exclude&amp;count=40&amp;search_text=</v>
      </c>
      <c r="J492">
        <v>1015739</v>
      </c>
      <c r="K492" s="3">
        <f>0.474+3.27-0.614</f>
        <v>3.13</v>
      </c>
      <c r="L492">
        <f>K492+M492+O492</f>
        <v>18.670999999999999</v>
      </c>
      <c r="M492" s="3">
        <f>2.738+2.633</f>
        <v>5.3710000000000004</v>
      </c>
      <c r="N492">
        <f t="shared" si="75"/>
        <v>5.3710000000000004</v>
      </c>
      <c r="O492" s="3">
        <v>10.17</v>
      </c>
      <c r="P492">
        <v>10.17</v>
      </c>
      <c r="Q492" t="s">
        <v>124</v>
      </c>
      <c r="R492" s="4">
        <v>3.13</v>
      </c>
      <c r="S492" s="4">
        <v>15.541</v>
      </c>
      <c r="T492">
        <f>SUM(K492,M492,O492)</f>
        <v>18.670999999999999</v>
      </c>
      <c r="U492">
        <f t="shared" ref="U492" si="87">SUM(R492:S492)</f>
        <v>18.670999999999999</v>
      </c>
    </row>
    <row r="493" spans="1:21" x14ac:dyDescent="0.35">
      <c r="A493">
        <v>63454</v>
      </c>
      <c r="B493" s="1">
        <v>39082</v>
      </c>
      <c r="C493">
        <v>2006</v>
      </c>
      <c r="D493" t="s">
        <v>68</v>
      </c>
      <c r="E493" t="s">
        <v>69</v>
      </c>
      <c r="F493" t="str">
        <f t="shared" si="77"/>
        <v>1015739_2006</v>
      </c>
      <c r="G493" s="2" t="str">
        <f t="shared" si="78"/>
        <v>extracted_filing/1015739_2006_10-K.html</v>
      </c>
      <c r="H493" s="2" t="str">
        <f t="shared" si="79"/>
        <v>extracted_filing/1015739_2006_10-K.txt</v>
      </c>
      <c r="I493" s="2" t="str">
        <f t="shared" si="80"/>
        <v>https://www.sec.gov/cgi-bin/browse-edgar?action=getcompany&amp;CIK=1015739&amp;type=10-K&amp;dateb=20080101&amp;owner=exclude&amp;count=40&amp;search_text=</v>
      </c>
      <c r="J493">
        <v>1015739</v>
      </c>
      <c r="K493" s="3">
        <f>0.918+5.182-0.686</f>
        <v>5.4140000000000006</v>
      </c>
      <c r="L493">
        <f>K493+M493+O493</f>
        <v>23.768999999999998</v>
      </c>
      <c r="M493" s="3">
        <f>3.359+3.765</f>
        <v>7.1240000000000006</v>
      </c>
      <c r="N493">
        <f t="shared" si="75"/>
        <v>7.1240000000000006</v>
      </c>
      <c r="O493" s="3">
        <f>11.231</f>
        <v>11.231</v>
      </c>
      <c r="P493">
        <f>11.231</f>
        <v>11.231</v>
      </c>
      <c r="Q493" t="s">
        <v>121</v>
      </c>
      <c r="R493" s="4">
        <v>23.768999999999998</v>
      </c>
      <c r="S493" s="4"/>
      <c r="T493">
        <f>SUM(K493,M493,O493)</f>
        <v>23.768999999999998</v>
      </c>
    </row>
    <row r="494" spans="1:21" x14ac:dyDescent="0.35">
      <c r="A494">
        <v>63600</v>
      </c>
      <c r="B494" s="1">
        <v>35795</v>
      </c>
      <c r="C494">
        <v>1997</v>
      </c>
      <c r="D494">
        <v>232572107</v>
      </c>
      <c r="E494" t="s">
        <v>70</v>
      </c>
      <c r="F494" t="str">
        <f t="shared" si="77"/>
        <v>897067_1997</v>
      </c>
      <c r="G494" s="2" t="str">
        <f t="shared" si="78"/>
        <v>extracted_filing/897067_1997_10-K.html</v>
      </c>
      <c r="H494" s="2" t="str">
        <f t="shared" si="79"/>
        <v>extracted_filing/897067_1997_10-K.txt</v>
      </c>
      <c r="I494" s="2" t="str">
        <f t="shared" si="80"/>
        <v>https://www.sec.gov/cgi-bin/browse-edgar?action=getcompany&amp;CIK=897067&amp;type=10-K&amp;dateb=20080101&amp;owner=exclude&amp;count=40&amp;search_text=</v>
      </c>
      <c r="J494">
        <v>897067</v>
      </c>
      <c r="K494" s="3">
        <f>123.654-7.606</f>
        <v>116.048</v>
      </c>
      <c r="L494">
        <f>K494+M494+O494</f>
        <v>161.59700000000001</v>
      </c>
      <c r="M494" s="3">
        <f>11.992+8.586</f>
        <v>20.578000000000003</v>
      </c>
      <c r="N494">
        <f t="shared" si="75"/>
        <v>20.578000000000003</v>
      </c>
      <c r="O494" s="3">
        <v>24.971</v>
      </c>
      <c r="P494">
        <v>24.971</v>
      </c>
      <c r="Q494" t="s">
        <v>121</v>
      </c>
      <c r="R494" s="4">
        <v>161.59700000000001</v>
      </c>
      <c r="S494" s="4"/>
      <c r="T494">
        <f>SUM(K494,M494,O494)</f>
        <v>161.59700000000001</v>
      </c>
    </row>
    <row r="495" spans="1:21" x14ac:dyDescent="0.35">
      <c r="A495">
        <v>63600</v>
      </c>
      <c r="B495" s="1">
        <v>36160</v>
      </c>
      <c r="C495">
        <v>1998</v>
      </c>
      <c r="D495">
        <v>232572107</v>
      </c>
      <c r="E495" t="s">
        <v>70</v>
      </c>
      <c r="F495" t="str">
        <f t="shared" si="77"/>
        <v>897067_1998</v>
      </c>
      <c r="G495" s="2" t="str">
        <f t="shared" si="78"/>
        <v>extracted_filing/897067_1998_10-K.html</v>
      </c>
      <c r="H495" s="2" t="str">
        <f t="shared" si="79"/>
        <v>extracted_filing/897067_1998_10-K.txt</v>
      </c>
      <c r="I495" s="2" t="str">
        <f t="shared" si="80"/>
        <v>https://www.sec.gov/cgi-bin/browse-edgar?action=getcompany&amp;CIK=897067&amp;type=10-K&amp;dateb=20080101&amp;owner=exclude&amp;count=40&amp;search_text=</v>
      </c>
      <c r="J495">
        <v>897067</v>
      </c>
      <c r="K495" s="3">
        <f>125.713-16.001</f>
        <v>109.71199999999999</v>
      </c>
      <c r="L495">
        <f>K495+M495+O495</f>
        <v>163.87899999999996</v>
      </c>
      <c r="M495" s="3">
        <f>14.528+9.487</f>
        <v>24.015000000000001</v>
      </c>
      <c r="N495">
        <f t="shared" si="75"/>
        <v>24.015000000000001</v>
      </c>
      <c r="O495" s="3">
        <v>30.152000000000001</v>
      </c>
      <c r="P495">
        <v>30.152000000000001</v>
      </c>
      <c r="Q495" t="s">
        <v>121</v>
      </c>
      <c r="R495" s="4">
        <v>163.87899999999999</v>
      </c>
      <c r="S495" s="4"/>
      <c r="T495">
        <f>SUM(K495,M495,O495)</f>
        <v>163.87899999999996</v>
      </c>
    </row>
    <row r="496" spans="1:21" x14ac:dyDescent="0.35">
      <c r="A496">
        <v>63600</v>
      </c>
      <c r="B496" s="1">
        <v>36525</v>
      </c>
      <c r="C496">
        <v>1999</v>
      </c>
      <c r="D496">
        <v>232572107</v>
      </c>
      <c r="E496" t="s">
        <v>70</v>
      </c>
      <c r="F496" t="str">
        <f t="shared" si="77"/>
        <v>897067_1999</v>
      </c>
      <c r="G496" s="2" t="str">
        <f t="shared" si="78"/>
        <v>extracted_filing/897067_1999_10-K.html</v>
      </c>
      <c r="H496" s="2" t="str">
        <f t="shared" si="79"/>
        <v>extracted_filing/897067_1999_10-K.txt</v>
      </c>
      <c r="I496" s="2" t="str">
        <f t="shared" si="80"/>
        <v>https://www.sec.gov/cgi-bin/browse-edgar?action=getcompany&amp;CIK=897067&amp;type=10-K&amp;dateb=20080101&amp;owner=exclude&amp;count=40&amp;search_text=</v>
      </c>
      <c r="J496">
        <v>897067</v>
      </c>
      <c r="K496" s="3">
        <f>143.105-18.463</f>
        <v>124.642</v>
      </c>
      <c r="L496">
        <f>K496+M496+O496</f>
        <v>189.00300000000001</v>
      </c>
      <c r="M496" s="3">
        <f>16.742+13.101</f>
        <v>29.843000000000004</v>
      </c>
      <c r="N496">
        <f t="shared" si="75"/>
        <v>29.843000000000004</v>
      </c>
      <c r="O496" s="3">
        <v>34.518000000000001</v>
      </c>
      <c r="P496">
        <v>34.518000000000001</v>
      </c>
      <c r="Q496" t="s">
        <v>121</v>
      </c>
      <c r="R496" s="4">
        <v>189.00299999999999</v>
      </c>
      <c r="S496" s="4"/>
      <c r="T496">
        <f>SUM(K496,M496,O496)</f>
        <v>189.00300000000001</v>
      </c>
    </row>
    <row r="497" spans="1:21" x14ac:dyDescent="0.35">
      <c r="A497">
        <v>63600</v>
      </c>
      <c r="B497" s="1">
        <v>36891</v>
      </c>
      <c r="C497">
        <v>2000</v>
      </c>
      <c r="D497">
        <v>232572107</v>
      </c>
      <c r="E497" t="s">
        <v>70</v>
      </c>
      <c r="F497" t="str">
        <f t="shared" si="77"/>
        <v>897067_2000</v>
      </c>
      <c r="G497" s="2" t="str">
        <f t="shared" si="78"/>
        <v>extracted_filing/897067_2000_10-K.html</v>
      </c>
      <c r="H497" s="2" t="str">
        <f t="shared" si="79"/>
        <v>extracted_filing/897067_2000_10-K.txt</v>
      </c>
      <c r="I497" s="2" t="str">
        <f t="shared" si="80"/>
        <v>https://www.sec.gov/cgi-bin/browse-edgar?action=getcompany&amp;CIK=897067&amp;type=10-K&amp;dateb=20080101&amp;owner=exclude&amp;count=40&amp;search_text=</v>
      </c>
      <c r="J497">
        <v>897067</v>
      </c>
      <c r="K497" s="3">
        <f>187.579-19.197</f>
        <v>168.38200000000001</v>
      </c>
      <c r="L497">
        <f>K497+M497+O497</f>
        <v>256.53100000000001</v>
      </c>
      <c r="M497" s="3">
        <f>20.098+22.618</f>
        <v>42.715999999999994</v>
      </c>
      <c r="N497">
        <f t="shared" si="75"/>
        <v>42.715999999999994</v>
      </c>
      <c r="O497" s="3">
        <f>45.433</f>
        <v>45.433</v>
      </c>
      <c r="P497">
        <f>45.433</f>
        <v>45.433</v>
      </c>
      <c r="Q497" t="s">
        <v>121</v>
      </c>
      <c r="R497" s="4">
        <v>256.53100000000001</v>
      </c>
      <c r="S497" s="4"/>
      <c r="T497">
        <f>SUM(K497,M497,O497)</f>
        <v>256.53100000000001</v>
      </c>
    </row>
    <row r="498" spans="1:21" x14ac:dyDescent="0.35">
      <c r="A498">
        <v>63600</v>
      </c>
      <c r="B498" s="1">
        <v>37256</v>
      </c>
      <c r="C498">
        <v>2001</v>
      </c>
      <c r="D498">
        <v>232572107</v>
      </c>
      <c r="E498" t="s">
        <v>70</v>
      </c>
      <c r="F498" t="str">
        <f t="shared" si="77"/>
        <v>897067_2001</v>
      </c>
      <c r="G498" s="2" t="str">
        <f t="shared" si="78"/>
        <v>extracted_filing/897067_2001_10-K.html</v>
      </c>
      <c r="H498" s="2" t="str">
        <f t="shared" si="79"/>
        <v>extracted_filing/897067_2001_10-K.txt</v>
      </c>
      <c r="I498" s="2" t="str">
        <f t="shared" si="80"/>
        <v>https://www.sec.gov/cgi-bin/browse-edgar?action=getcompany&amp;CIK=897067&amp;type=10-K&amp;dateb=20080101&amp;owner=exclude&amp;count=40&amp;search_text=</v>
      </c>
      <c r="J498">
        <v>897067</v>
      </c>
      <c r="K498">
        <v>128.78899999999999</v>
      </c>
      <c r="L498">
        <f>K498+M498+O498</f>
        <v>225.76399999999998</v>
      </c>
      <c r="M498" s="3">
        <f>19.617+18.99</f>
        <v>38.606999999999999</v>
      </c>
      <c r="N498">
        <f t="shared" si="75"/>
        <v>38.606999999999999</v>
      </c>
      <c r="O498" s="3">
        <v>58.368000000000002</v>
      </c>
      <c r="P498">
        <v>58.368000000000002</v>
      </c>
      <c r="Q498" t="s">
        <v>124</v>
      </c>
      <c r="R498" s="4">
        <v>128.78899999999999</v>
      </c>
      <c r="S498" s="4">
        <v>96.974999999999895</v>
      </c>
      <c r="T498">
        <f>SUM(K498,M498,O498)</f>
        <v>225.76399999999998</v>
      </c>
      <c r="U498">
        <f t="shared" ref="U498:U502" si="88">SUM(R498:S498)</f>
        <v>225.7639999999999</v>
      </c>
    </row>
    <row r="499" spans="1:21" x14ac:dyDescent="0.35">
      <c r="A499">
        <v>63600</v>
      </c>
      <c r="B499" s="1">
        <v>37621</v>
      </c>
      <c r="C499">
        <v>2002</v>
      </c>
      <c r="D499">
        <v>232572107</v>
      </c>
      <c r="E499" t="s">
        <v>70</v>
      </c>
      <c r="F499" t="str">
        <f t="shared" si="77"/>
        <v>897067_2002</v>
      </c>
      <c r="G499" s="2" t="str">
        <f t="shared" si="78"/>
        <v>extracted_filing/897067_2002_10-K.html</v>
      </c>
      <c r="H499" s="2" t="str">
        <f t="shared" si="79"/>
        <v>extracted_filing/897067_2002_10-K.txt</v>
      </c>
      <c r="I499" s="2" t="str">
        <f t="shared" si="80"/>
        <v>https://www.sec.gov/cgi-bin/browse-edgar?action=getcompany&amp;CIK=897067&amp;type=10-K&amp;dateb=20080101&amp;owner=exclude&amp;count=40&amp;search_text=</v>
      </c>
      <c r="J499">
        <v>897067</v>
      </c>
      <c r="K499">
        <v>136.76300000000001</v>
      </c>
      <c r="L499">
        <f>K499+M499+O499</f>
        <v>245.84199999999998</v>
      </c>
      <c r="M499" s="3">
        <f>17.153+18.212</f>
        <v>35.364999999999995</v>
      </c>
      <c r="N499">
        <f t="shared" si="75"/>
        <v>35.364999999999995</v>
      </c>
      <c r="O499" s="3">
        <v>73.713999999999999</v>
      </c>
      <c r="P499">
        <v>73.713999999999999</v>
      </c>
      <c r="Q499" t="s">
        <v>124</v>
      </c>
      <c r="R499" s="4">
        <v>136.76300000000001</v>
      </c>
      <c r="S499" s="4">
        <v>109.07899999999999</v>
      </c>
      <c r="T499">
        <f>SUM(K499,M499,O499)</f>
        <v>245.84199999999998</v>
      </c>
      <c r="U499">
        <f t="shared" si="88"/>
        <v>245.84199999999998</v>
      </c>
    </row>
    <row r="500" spans="1:21" x14ac:dyDescent="0.35">
      <c r="A500">
        <v>63600</v>
      </c>
      <c r="B500" s="1">
        <v>37986</v>
      </c>
      <c r="C500">
        <v>2003</v>
      </c>
      <c r="D500">
        <v>232572107</v>
      </c>
      <c r="E500" t="s">
        <v>70</v>
      </c>
      <c r="F500" t="str">
        <f t="shared" si="77"/>
        <v>897067_2003</v>
      </c>
      <c r="G500" s="2" t="str">
        <f t="shared" si="78"/>
        <v>extracted_filing/897067_2003_10-K.html</v>
      </c>
      <c r="H500" s="2" t="str">
        <f t="shared" si="79"/>
        <v>extracted_filing/897067_2003_10-K.txt</v>
      </c>
      <c r="I500" s="2" t="str">
        <f t="shared" si="80"/>
        <v>https://www.sec.gov/cgi-bin/browse-edgar?action=getcompany&amp;CIK=897067&amp;type=10-K&amp;dateb=20080101&amp;owner=exclude&amp;count=40&amp;search_text=</v>
      </c>
      <c r="J500">
        <v>897067</v>
      </c>
      <c r="K500">
        <v>152.70099999999999</v>
      </c>
      <c r="L500">
        <f>K500+M500+O500</f>
        <v>266.99200000000002</v>
      </c>
      <c r="M500" s="3">
        <f>16.966+39.094</f>
        <v>56.06</v>
      </c>
      <c r="N500">
        <f t="shared" si="75"/>
        <v>56.06</v>
      </c>
      <c r="O500" s="3">
        <f>58.231</f>
        <v>58.231000000000002</v>
      </c>
      <c r="P500">
        <f>58.231</f>
        <v>58.231000000000002</v>
      </c>
      <c r="Q500" t="s">
        <v>124</v>
      </c>
      <c r="R500" s="4">
        <v>152.70099999999999</v>
      </c>
      <c r="S500" s="4">
        <v>98.69</v>
      </c>
      <c r="T500" s="4">
        <f>SUM(K500,M500,O500)</f>
        <v>266.99200000000002</v>
      </c>
      <c r="U500">
        <f t="shared" si="88"/>
        <v>251.39099999999999</v>
      </c>
    </row>
    <row r="501" spans="1:21" x14ac:dyDescent="0.35">
      <c r="A501">
        <v>63600</v>
      </c>
      <c r="B501" s="1">
        <v>38352</v>
      </c>
      <c r="C501">
        <v>2004</v>
      </c>
      <c r="D501">
        <v>232572107</v>
      </c>
      <c r="E501" t="s">
        <v>70</v>
      </c>
      <c r="F501" t="str">
        <f t="shared" si="77"/>
        <v>897067_2004</v>
      </c>
      <c r="G501" s="2" t="str">
        <f t="shared" si="78"/>
        <v>extracted_filing/897067_2004_10-K.html</v>
      </c>
      <c r="H501" s="2" t="str">
        <f t="shared" si="79"/>
        <v>extracted_filing/897067_2004_10-K.txt</v>
      </c>
      <c r="I501" s="2" t="str">
        <f t="shared" si="80"/>
        <v>https://www.sec.gov/cgi-bin/browse-edgar?action=getcompany&amp;CIK=897067&amp;type=10-K&amp;dateb=20080101&amp;owner=exclude&amp;count=40&amp;search_text=</v>
      </c>
      <c r="J501">
        <v>897067</v>
      </c>
      <c r="K501">
        <v>215.26900000000001</v>
      </c>
      <c r="L501">
        <f>K501+M501+O501</f>
        <v>328.72</v>
      </c>
      <c r="M501" s="3">
        <f>23.369+31.63</f>
        <v>54.998999999999995</v>
      </c>
      <c r="N501">
        <f t="shared" si="75"/>
        <v>54.998999999999995</v>
      </c>
      <c r="O501" s="3">
        <v>58.451999999999998</v>
      </c>
      <c r="P501">
        <v>58.451999999999998</v>
      </c>
      <c r="Q501" t="s">
        <v>124</v>
      </c>
      <c r="R501" s="4">
        <v>215.26900000000001</v>
      </c>
      <c r="S501" s="4">
        <v>113.45099999999999</v>
      </c>
      <c r="T501">
        <f>SUM(K501,M501,O501)</f>
        <v>328.72</v>
      </c>
      <c r="U501">
        <f t="shared" si="88"/>
        <v>328.72</v>
      </c>
    </row>
    <row r="502" spans="1:21" x14ac:dyDescent="0.35">
      <c r="A502">
        <v>63600</v>
      </c>
      <c r="B502" s="1">
        <v>38717</v>
      </c>
      <c r="C502">
        <v>2005</v>
      </c>
      <c r="D502">
        <v>232572107</v>
      </c>
      <c r="E502" t="s">
        <v>70</v>
      </c>
      <c r="F502" t="str">
        <f t="shared" si="77"/>
        <v>897067_2005</v>
      </c>
      <c r="G502" s="2" t="str">
        <f t="shared" si="78"/>
        <v>extracted_filing/897067_2005_10-K.html</v>
      </c>
      <c r="H502" s="2" t="str">
        <f t="shared" si="79"/>
        <v>extracted_filing/897067_2005_10-K.txt</v>
      </c>
      <c r="I502" s="2" t="str">
        <f t="shared" si="80"/>
        <v>https://www.sec.gov/cgi-bin/browse-edgar?action=getcompany&amp;CIK=897067&amp;type=10-K&amp;dateb=20080101&amp;owner=exclude&amp;count=40&amp;search_text=</v>
      </c>
      <c r="J502">
        <v>897067</v>
      </c>
      <c r="K502">
        <v>199.01</v>
      </c>
      <c r="L502">
        <f>K502+M502+O502</f>
        <v>314.69200000000001</v>
      </c>
      <c r="M502" s="3">
        <f>25.143+26.514</f>
        <v>51.656999999999996</v>
      </c>
      <c r="N502">
        <f t="shared" si="75"/>
        <v>51.656999999999996</v>
      </c>
      <c r="O502" s="3">
        <v>64.025000000000006</v>
      </c>
      <c r="P502">
        <v>64.025000000000006</v>
      </c>
      <c r="Q502" t="s">
        <v>124</v>
      </c>
      <c r="R502" s="4">
        <v>199.01</v>
      </c>
      <c r="S502" s="4">
        <v>115.682</v>
      </c>
      <c r="T502">
        <f>SUM(K502,M502,O502)</f>
        <v>314.69200000000001</v>
      </c>
      <c r="U502">
        <f t="shared" si="88"/>
        <v>314.69200000000001</v>
      </c>
    </row>
    <row r="503" spans="1:21" x14ac:dyDescent="0.35">
      <c r="A503">
        <v>63600</v>
      </c>
      <c r="B503" s="1">
        <v>39082</v>
      </c>
      <c r="C503">
        <v>2006</v>
      </c>
      <c r="D503">
        <v>232572107</v>
      </c>
      <c r="E503" t="s">
        <v>70</v>
      </c>
      <c r="F503" t="str">
        <f t="shared" si="77"/>
        <v>897067_2006</v>
      </c>
      <c r="G503" s="2" t="str">
        <f t="shared" si="78"/>
        <v>extracted_filing/897067_2006_10-K.html</v>
      </c>
      <c r="H503" s="2" t="str">
        <f t="shared" si="79"/>
        <v>extracted_filing/897067_2006_10-K.txt</v>
      </c>
      <c r="I503" s="2" t="str">
        <f t="shared" si="80"/>
        <v>https://www.sec.gov/cgi-bin/browse-edgar?action=getcompany&amp;CIK=897067&amp;type=10-K&amp;dateb=20080101&amp;owner=exclude&amp;count=40&amp;search_text=</v>
      </c>
      <c r="J503">
        <v>897067</v>
      </c>
      <c r="K503">
        <v>256.84300000000002</v>
      </c>
      <c r="L503">
        <f>K503+M503+O503</f>
        <v>400.32400000000001</v>
      </c>
      <c r="M503" s="3">
        <f>30.618+38.889</f>
        <v>69.507000000000005</v>
      </c>
      <c r="N503">
        <f t="shared" si="75"/>
        <v>69.507000000000005</v>
      </c>
      <c r="O503" s="3">
        <f>73.974</f>
        <v>73.974000000000004</v>
      </c>
      <c r="P503">
        <f>73.974</f>
        <v>73.974000000000004</v>
      </c>
      <c r="Q503" t="s">
        <v>124</v>
      </c>
      <c r="R503" s="4">
        <v>256.84300000000002</v>
      </c>
      <c r="S503" s="4">
        <v>143.48099999999999</v>
      </c>
      <c r="T503">
        <f>SUM(K503,M503,O503)</f>
        <v>400.32400000000001</v>
      </c>
      <c r="U503">
        <f>SUM(R503:S503)</f>
        <v>400.32400000000001</v>
      </c>
    </row>
    <row r="504" spans="1:21" x14ac:dyDescent="0.35">
      <c r="A504">
        <v>64156</v>
      </c>
      <c r="B504" s="1">
        <v>35795</v>
      </c>
      <c r="C504">
        <v>1997</v>
      </c>
      <c r="D504">
        <v>611742107</v>
      </c>
      <c r="E504" t="s">
        <v>71</v>
      </c>
      <c r="F504" t="str">
        <f t="shared" si="77"/>
        <v>1020416_1997</v>
      </c>
      <c r="G504" s="2" t="str">
        <f t="shared" si="78"/>
        <v>extracted_filing/1020416_1997_10-K.html</v>
      </c>
      <c r="H504" s="2" t="str">
        <f t="shared" si="79"/>
        <v>extracted_filing/1020416_1997_10-K.txt</v>
      </c>
      <c r="I504" s="2" t="str">
        <f t="shared" si="80"/>
        <v>https://www.sec.gov/cgi-bin/browse-edgar?action=getcompany&amp;CIK=1020416&amp;type=10-K&amp;dateb=20080101&amp;owner=exclude&amp;count=40&amp;search_text=</v>
      </c>
      <c r="J504">
        <v>1020416</v>
      </c>
      <c r="K504">
        <v>114.938</v>
      </c>
      <c r="L504">
        <f>K504+M504+O504</f>
        <v>197.65</v>
      </c>
      <c r="M504">
        <v>82.712000000000003</v>
      </c>
      <c r="Q504" t="s">
        <v>119</v>
      </c>
      <c r="R504">
        <v>114.938</v>
      </c>
      <c r="S504">
        <v>82.712000000000003</v>
      </c>
    </row>
    <row r="505" spans="1:21" x14ac:dyDescent="0.35">
      <c r="A505">
        <v>64156</v>
      </c>
      <c r="B505" s="1">
        <v>36160</v>
      </c>
      <c r="C505">
        <v>1998</v>
      </c>
      <c r="D505">
        <v>611742107</v>
      </c>
      <c r="E505" t="s">
        <v>71</v>
      </c>
      <c r="F505" t="str">
        <f t="shared" si="77"/>
        <v>1020416_1998</v>
      </c>
      <c r="G505" s="2" t="str">
        <f t="shared" si="78"/>
        <v>extracted_filing/1020416_1998_10-K.html</v>
      </c>
      <c r="H505" s="2" t="str">
        <f t="shared" si="79"/>
        <v>extracted_filing/1020416_1998_10-K.txt</v>
      </c>
      <c r="I505" s="2" t="str">
        <f t="shared" si="80"/>
        <v>https://www.sec.gov/cgi-bin/browse-edgar?action=getcompany&amp;CIK=1020416&amp;type=10-K&amp;dateb=20080101&amp;owner=exclude&amp;count=40&amp;search_text=</v>
      </c>
      <c r="J505">
        <v>1020416</v>
      </c>
      <c r="K505">
        <v>211.77199999999999</v>
      </c>
      <c r="L505">
        <f>K505+M505+O505</f>
        <v>338.60699999999997</v>
      </c>
      <c r="M505">
        <v>126.83499999999999</v>
      </c>
      <c r="Q505" t="s">
        <v>119</v>
      </c>
      <c r="R505">
        <v>211.77199999999999</v>
      </c>
      <c r="S505">
        <v>126.83499999999999</v>
      </c>
    </row>
    <row r="506" spans="1:21" x14ac:dyDescent="0.35">
      <c r="A506">
        <v>64156</v>
      </c>
      <c r="B506" s="1">
        <v>36525</v>
      </c>
      <c r="C506">
        <v>1999</v>
      </c>
      <c r="D506">
        <v>611742107</v>
      </c>
      <c r="E506" t="s">
        <v>71</v>
      </c>
      <c r="F506" t="str">
        <f t="shared" si="77"/>
        <v>1020416_1999</v>
      </c>
      <c r="G506" s="2" t="str">
        <f t="shared" si="78"/>
        <v>extracted_filing/1020416_1999_10-K.html</v>
      </c>
      <c r="H506" s="2" t="str">
        <f t="shared" si="79"/>
        <v>extracted_filing/1020416_1999_10-K.txt</v>
      </c>
      <c r="I506" s="2" t="str">
        <f t="shared" si="80"/>
        <v>https://www.sec.gov/cgi-bin/browse-edgar?action=getcompany&amp;CIK=1020416&amp;type=10-K&amp;dateb=20080101&amp;owner=exclude&amp;count=40&amp;search_text=</v>
      </c>
      <c r="J506">
        <v>1020416</v>
      </c>
      <c r="K506">
        <v>412.74599999999998</v>
      </c>
      <c r="L506">
        <f>K506+M506+O506</f>
        <v>657.2</v>
      </c>
      <c r="M506">
        <v>244.45400000000001</v>
      </c>
      <c r="Q506" t="s">
        <v>119</v>
      </c>
      <c r="R506">
        <v>412.74599999999998</v>
      </c>
      <c r="S506">
        <v>244.45400000000001</v>
      </c>
    </row>
    <row r="507" spans="1:21" x14ac:dyDescent="0.35">
      <c r="A507">
        <v>64156</v>
      </c>
      <c r="B507" s="1">
        <v>36891</v>
      </c>
      <c r="C507">
        <v>2000</v>
      </c>
      <c r="D507">
        <v>611742107</v>
      </c>
      <c r="E507" t="s">
        <v>71</v>
      </c>
      <c r="F507" t="str">
        <f t="shared" si="77"/>
        <v>1020416_2000</v>
      </c>
      <c r="G507" s="2" t="str">
        <f t="shared" si="78"/>
        <v>extracted_filing/1020416_2000_10-K.html</v>
      </c>
      <c r="H507" s="2" t="str">
        <f t="shared" si="79"/>
        <v>extracted_filing/1020416_2000_10-K.txt</v>
      </c>
      <c r="I507" s="2" t="str">
        <f t="shared" si="80"/>
        <v>https://www.sec.gov/cgi-bin/browse-edgar?action=getcompany&amp;CIK=1020416&amp;type=10-K&amp;dateb=20080101&amp;owner=exclude&amp;count=40&amp;search_text=</v>
      </c>
      <c r="J507">
        <v>1020416</v>
      </c>
      <c r="K507">
        <v>621.31600000000003</v>
      </c>
      <c r="L507">
        <f>K507+M507+O507</f>
        <v>1070.1110000000001</v>
      </c>
      <c r="M507">
        <v>448.79500000000002</v>
      </c>
      <c r="Q507" t="s">
        <v>119</v>
      </c>
      <c r="R507">
        <v>621.31600000000003</v>
      </c>
      <c r="S507">
        <v>448.79500000000002</v>
      </c>
    </row>
    <row r="508" spans="1:21" x14ac:dyDescent="0.35">
      <c r="A508">
        <v>64156</v>
      </c>
      <c r="B508" s="1">
        <v>37256</v>
      </c>
      <c r="C508">
        <v>2001</v>
      </c>
      <c r="D508">
        <v>611742107</v>
      </c>
      <c r="E508" t="s">
        <v>71</v>
      </c>
      <c r="F508" t="str">
        <f t="shared" si="77"/>
        <v>1020416_2001</v>
      </c>
      <c r="G508" s="2" t="str">
        <f t="shared" si="78"/>
        <v>extracted_filing/1020416_2001_10-K.html</v>
      </c>
      <c r="H508" s="2" t="str">
        <f t="shared" si="79"/>
        <v>extracted_filing/1020416_2001_10-K.txt</v>
      </c>
      <c r="I508" s="2" t="str">
        <f t="shared" si="80"/>
        <v>https://www.sec.gov/cgi-bin/browse-edgar?action=getcompany&amp;CIK=1020416&amp;type=10-K&amp;dateb=20080101&amp;owner=exclude&amp;count=40&amp;search_text=</v>
      </c>
      <c r="J508">
        <v>1020416</v>
      </c>
      <c r="K508">
        <v>1186.174</v>
      </c>
      <c r="L508">
        <f>K508+M508+O508</f>
        <v>1186.174</v>
      </c>
      <c r="Q508" t="s">
        <v>118</v>
      </c>
      <c r="R508">
        <v>1186.174</v>
      </c>
    </row>
    <row r="509" spans="1:21" x14ac:dyDescent="0.35">
      <c r="A509">
        <v>64156</v>
      </c>
      <c r="B509" s="1">
        <v>37621</v>
      </c>
      <c r="C509">
        <v>2002</v>
      </c>
      <c r="D509">
        <v>611742107</v>
      </c>
      <c r="E509" t="s">
        <v>71</v>
      </c>
      <c r="F509" t="str">
        <f t="shared" si="77"/>
        <v>1020416_2002</v>
      </c>
      <c r="G509" s="2" t="str">
        <f t="shared" si="78"/>
        <v>extracted_filing/1020416_2002_10-K.html</v>
      </c>
      <c r="H509" s="2" t="str">
        <f t="shared" si="79"/>
        <v>extracted_filing/1020416_2002_10-K.txt</v>
      </c>
      <c r="I509" s="2" t="str">
        <f t="shared" si="80"/>
        <v>https://www.sec.gov/cgi-bin/browse-edgar?action=getcompany&amp;CIK=1020416&amp;type=10-K&amp;dateb=20080101&amp;owner=exclude&amp;count=40&amp;search_text=</v>
      </c>
      <c r="J509">
        <v>1020416</v>
      </c>
      <c r="K509">
        <v>1002.583</v>
      </c>
      <c r="L509">
        <f>K509+M509+O509</f>
        <v>1002.583</v>
      </c>
      <c r="Q509" t="s">
        <v>118</v>
      </c>
      <c r="R509">
        <v>1002.583</v>
      </c>
    </row>
    <row r="510" spans="1:21" x14ac:dyDescent="0.35">
      <c r="A510">
        <v>64156</v>
      </c>
      <c r="B510" s="1">
        <v>37986</v>
      </c>
      <c r="C510">
        <v>2003</v>
      </c>
      <c r="D510">
        <v>611742107</v>
      </c>
      <c r="E510" t="s">
        <v>71</v>
      </c>
      <c r="F510" t="str">
        <f t="shared" si="77"/>
        <v>1020416_2003</v>
      </c>
      <c r="G510" s="2" t="str">
        <f t="shared" si="78"/>
        <v>extracted_filing/1020416_2003_10-K.html</v>
      </c>
      <c r="H510" s="2" t="str">
        <f t="shared" si="79"/>
        <v>extracted_filing/1020416_2003_10-K.txt</v>
      </c>
      <c r="I510" s="2" t="str">
        <f t="shared" si="80"/>
        <v>https://www.sec.gov/cgi-bin/browse-edgar?action=getcompany&amp;CIK=1020416&amp;type=10-K&amp;dateb=20080101&amp;owner=exclude&amp;count=40&amp;search_text=</v>
      </c>
      <c r="J510">
        <v>1020416</v>
      </c>
      <c r="K510">
        <v>578.86400000000003</v>
      </c>
      <c r="L510">
        <f>K510+M510+O510</f>
        <v>578.86400000000003</v>
      </c>
      <c r="Q510" t="s">
        <v>118</v>
      </c>
      <c r="R510">
        <v>578.86400000000003</v>
      </c>
    </row>
    <row r="511" spans="1:21" x14ac:dyDescent="0.35">
      <c r="A511">
        <v>64156</v>
      </c>
      <c r="B511" s="1">
        <v>38352</v>
      </c>
      <c r="C511">
        <v>2004</v>
      </c>
      <c r="D511">
        <v>611742107</v>
      </c>
      <c r="E511" t="s">
        <v>71</v>
      </c>
      <c r="F511" t="str">
        <f t="shared" si="77"/>
        <v>1020416_2004</v>
      </c>
      <c r="G511" s="2" t="str">
        <f t="shared" si="78"/>
        <v>extracted_filing/1020416_2004_10-K.html</v>
      </c>
      <c r="H511" s="2" t="str">
        <f t="shared" si="79"/>
        <v>extracted_filing/1020416_2004_10-K.txt</v>
      </c>
      <c r="I511" s="2" t="str">
        <f t="shared" si="80"/>
        <v>https://www.sec.gov/cgi-bin/browse-edgar?action=getcompany&amp;CIK=1020416&amp;type=10-K&amp;dateb=20080101&amp;owner=exclude&amp;count=40&amp;search_text=</v>
      </c>
      <c r="J511">
        <v>1020416</v>
      </c>
      <c r="K511">
        <v>693.57</v>
      </c>
      <c r="L511">
        <f>K511+M511+O511</f>
        <v>693.57</v>
      </c>
      <c r="Q511" t="s">
        <v>118</v>
      </c>
      <c r="R511">
        <v>693.57</v>
      </c>
    </row>
    <row r="512" spans="1:21" x14ac:dyDescent="0.35">
      <c r="A512">
        <v>64156</v>
      </c>
      <c r="B512" s="1">
        <v>38717</v>
      </c>
      <c r="C512">
        <v>2005</v>
      </c>
      <c r="D512">
        <v>611742107</v>
      </c>
      <c r="E512" t="s">
        <v>71</v>
      </c>
      <c r="F512" t="str">
        <f t="shared" si="77"/>
        <v>1020416_2005</v>
      </c>
      <c r="G512" s="2" t="str">
        <f t="shared" si="78"/>
        <v>extracted_filing/1020416_2005_10-K.html</v>
      </c>
      <c r="H512" s="2" t="str">
        <f t="shared" si="79"/>
        <v>extracted_filing/1020416_2005_10-K.txt</v>
      </c>
      <c r="I512" s="2" t="str">
        <f t="shared" si="80"/>
        <v>https://www.sec.gov/cgi-bin/browse-edgar?action=getcompany&amp;CIK=1020416&amp;type=10-K&amp;dateb=20080101&amp;owner=exclude&amp;count=40&amp;search_text=</v>
      </c>
      <c r="J512">
        <v>1020416</v>
      </c>
      <c r="K512">
        <v>784.78399999999999</v>
      </c>
      <c r="L512">
        <f>K512+M512+O512</f>
        <v>784.78399999999999</v>
      </c>
      <c r="Q512" t="s">
        <v>118</v>
      </c>
      <c r="R512">
        <v>784.78399999999999</v>
      </c>
    </row>
    <row r="513" spans="1:21" x14ac:dyDescent="0.35">
      <c r="A513">
        <v>64156</v>
      </c>
      <c r="B513" s="1">
        <v>39082</v>
      </c>
      <c r="C513">
        <v>2006</v>
      </c>
      <c r="D513">
        <v>611742107</v>
      </c>
      <c r="E513" t="s">
        <v>71</v>
      </c>
      <c r="F513" t="str">
        <f t="shared" si="77"/>
        <v>1020416_2006</v>
      </c>
      <c r="G513" s="2" t="str">
        <f t="shared" si="78"/>
        <v>extracted_filing/1020416_2006_10-K.html</v>
      </c>
      <c r="H513" s="2" t="str">
        <f t="shared" si="79"/>
        <v>extracted_filing/1020416_2006_10-K.txt</v>
      </c>
      <c r="I513" s="2" t="str">
        <f t="shared" si="80"/>
        <v>https://www.sec.gov/cgi-bin/browse-edgar?action=getcompany&amp;CIK=1020416&amp;type=10-K&amp;dateb=20080101&amp;owner=exclude&amp;count=40&amp;search_text=</v>
      </c>
      <c r="J513">
        <v>1020416</v>
      </c>
      <c r="K513">
        <v>847.03200000000004</v>
      </c>
      <c r="L513">
        <f>K513+M513+O513</f>
        <v>847.03200000000004</v>
      </c>
      <c r="Q513" t="s">
        <v>118</v>
      </c>
      <c r="R513">
        <v>847.03200000000004</v>
      </c>
    </row>
    <row r="514" spans="1:21" x14ac:dyDescent="0.35">
      <c r="A514">
        <v>110685</v>
      </c>
      <c r="B514" s="1">
        <v>36160</v>
      </c>
      <c r="C514">
        <v>1998</v>
      </c>
      <c r="D514">
        <v>502424104</v>
      </c>
      <c r="E514" t="s">
        <v>72</v>
      </c>
      <c r="F514" t="str">
        <f t="shared" ref="F514:F522" si="89">_xlfn.CONCAT(TEXT(J514,0),"_",TEXT(C514,0))</f>
        <v>1056239_1998</v>
      </c>
      <c r="G514" s="2" t="str">
        <f t="shared" si="78"/>
        <v>extracted_filing/1056239_1998_10-K.html</v>
      </c>
      <c r="H514" s="2" t="str">
        <f t="shared" si="79"/>
        <v>extracted_filing/1056239_1998_10-K.txt</v>
      </c>
      <c r="I514" s="2" t="str">
        <f t="shared" si="80"/>
        <v>https://www.sec.gov/cgi-bin/browse-edgar?action=getcompany&amp;CIK=1056239&amp;type=10-K&amp;dateb=20080101&amp;owner=exclude&amp;count=40&amp;search_text=</v>
      </c>
      <c r="J514">
        <v>1056239</v>
      </c>
      <c r="K514">
        <v>896.34100000000001</v>
      </c>
      <c r="L514">
        <f>K514+M514+O514</f>
        <v>896.34100000000001</v>
      </c>
      <c r="Q514" t="s">
        <v>117</v>
      </c>
      <c r="R514">
        <v>896.34100000000001</v>
      </c>
    </row>
    <row r="515" spans="1:21" x14ac:dyDescent="0.35">
      <c r="A515">
        <v>110685</v>
      </c>
      <c r="B515" s="1">
        <v>36525</v>
      </c>
      <c r="C515">
        <v>1999</v>
      </c>
      <c r="D515">
        <v>502424104</v>
      </c>
      <c r="E515" t="s">
        <v>72</v>
      </c>
      <c r="F515" t="str">
        <f t="shared" si="89"/>
        <v>1056239_1999</v>
      </c>
      <c r="G515" s="2" t="str">
        <f t="shared" ref="G515:G522" si="90">HYPERLINK(_xlfn.CONCAT("extracted_filing/",$F515,"_10-K.html"))</f>
        <v>extracted_filing/1056239_1999_10-K.html</v>
      </c>
      <c r="H515" s="2" t="str">
        <f t="shared" ref="H515:H522" si="91">HYPERLINK(_xlfn.CONCAT("extracted_filing/",$F515,"_10-K.txt"))</f>
        <v>extracted_filing/1056239_1999_10-K.txt</v>
      </c>
      <c r="I515" s="2" t="str">
        <f t="shared" ref="I515:I522" si="92">HYPERLINK(_xlfn.CONCAT("https://www.sec.gov/cgi-bin/browse-edgar?action=getcompany&amp;CIK=",TEXT(J515,0),"&amp;type=10-K&amp;dateb=20080101&amp;owner=exclude&amp;count=40&amp;search_text="))</f>
        <v>https://www.sec.gov/cgi-bin/browse-edgar?action=getcompany&amp;CIK=1056239&amp;type=10-K&amp;dateb=20080101&amp;owner=exclude&amp;count=40&amp;search_text=</v>
      </c>
      <c r="J515">
        <v>1056239</v>
      </c>
      <c r="K515">
        <v>1201.258</v>
      </c>
      <c r="L515">
        <f>K515+M515+O515</f>
        <v>1201.258</v>
      </c>
      <c r="Q515" t="s">
        <v>117</v>
      </c>
      <c r="R515">
        <v>1201.258</v>
      </c>
    </row>
    <row r="516" spans="1:21" x14ac:dyDescent="0.35">
      <c r="A516">
        <v>110685</v>
      </c>
      <c r="B516" s="1">
        <v>36891</v>
      </c>
      <c r="C516">
        <v>2000</v>
      </c>
      <c r="D516">
        <v>502424104</v>
      </c>
      <c r="E516" t="s">
        <v>72</v>
      </c>
      <c r="F516" t="str">
        <f t="shared" si="89"/>
        <v>1056239_2000</v>
      </c>
      <c r="G516" s="2" t="str">
        <f t="shared" si="90"/>
        <v>extracted_filing/1056239_2000_10-K.html</v>
      </c>
      <c r="H516" s="2" t="str">
        <f t="shared" si="91"/>
        <v>extracted_filing/1056239_2000_10-K.txt</v>
      </c>
      <c r="I516" s="2" t="str">
        <f t="shared" si="92"/>
        <v>https://www.sec.gov/cgi-bin/browse-edgar?action=getcompany&amp;CIK=1056239&amp;type=10-K&amp;dateb=20080101&amp;owner=exclude&amp;count=40&amp;search_text=</v>
      </c>
      <c r="J516">
        <v>1056239</v>
      </c>
      <c r="K516">
        <v>1615.8579999999999</v>
      </c>
      <c r="L516">
        <f>K516+M516+O516</f>
        <v>1615.8579999999999</v>
      </c>
      <c r="Q516" t="s">
        <v>117</v>
      </c>
      <c r="R516">
        <v>1615.8579999999999</v>
      </c>
    </row>
    <row r="517" spans="1:21" x14ac:dyDescent="0.35">
      <c r="A517">
        <v>110685</v>
      </c>
      <c r="B517" s="1">
        <v>37256</v>
      </c>
      <c r="C517">
        <v>2001</v>
      </c>
      <c r="D517">
        <v>502424104</v>
      </c>
      <c r="E517" t="s">
        <v>72</v>
      </c>
      <c r="F517" t="str">
        <f t="shared" si="89"/>
        <v>1056239_2001</v>
      </c>
      <c r="G517" s="2" t="str">
        <f t="shared" si="90"/>
        <v>extracted_filing/1056239_2001_10-K.html</v>
      </c>
      <c r="H517" s="2" t="str">
        <f t="shared" si="91"/>
        <v>extracted_filing/1056239_2001_10-K.txt</v>
      </c>
      <c r="I517" s="2" t="str">
        <f t="shared" si="92"/>
        <v>https://www.sec.gov/cgi-bin/browse-edgar?action=getcompany&amp;CIK=1056239&amp;type=10-K&amp;dateb=20080101&amp;owner=exclude&amp;count=40&amp;search_text=</v>
      </c>
      <c r="J517">
        <v>1056239</v>
      </c>
      <c r="K517">
        <f>1989.124</f>
        <v>1989.124</v>
      </c>
      <c r="L517">
        <f>K517+M517+O517</f>
        <v>1989.124</v>
      </c>
      <c r="Q517" t="s">
        <v>117</v>
      </c>
      <c r="R517">
        <f>1989.124</f>
        <v>1989.124</v>
      </c>
    </row>
    <row r="518" spans="1:21" x14ac:dyDescent="0.35">
      <c r="A518">
        <v>110685</v>
      </c>
      <c r="B518" s="1">
        <v>37621</v>
      </c>
      <c r="C518">
        <v>2002</v>
      </c>
      <c r="D518">
        <v>502424104</v>
      </c>
      <c r="E518" t="s">
        <v>72</v>
      </c>
      <c r="F518" t="str">
        <f t="shared" si="89"/>
        <v>1056239_2002</v>
      </c>
      <c r="G518" s="2" t="str">
        <f t="shared" si="90"/>
        <v>extracted_filing/1056239_2002_10-K.html</v>
      </c>
      <c r="H518" s="2" t="str">
        <f t="shared" si="91"/>
        <v>extracted_filing/1056239_2002_10-K.txt</v>
      </c>
      <c r="I518" s="2" t="str">
        <f t="shared" si="92"/>
        <v>https://www.sec.gov/cgi-bin/browse-edgar?action=getcompany&amp;CIK=1056239&amp;type=10-K&amp;dateb=20080101&amp;owner=exclude&amp;count=40&amp;search_text=</v>
      </c>
      <c r="J518">
        <v>1056239</v>
      </c>
      <c r="K518">
        <v>3339.1309999999999</v>
      </c>
      <c r="L518">
        <f>K518+M518+O518</f>
        <v>3488.02</v>
      </c>
      <c r="M518" s="7">
        <v>114.05200000000001</v>
      </c>
      <c r="O518" s="3">
        <v>34.837000000000003</v>
      </c>
      <c r="Q518" t="s">
        <v>116</v>
      </c>
      <c r="R518">
        <v>3339.1309999999999</v>
      </c>
      <c r="S518" s="4">
        <v>148.88900000000001</v>
      </c>
      <c r="T518">
        <f>SUM(K518,M518,O518)</f>
        <v>3488.02</v>
      </c>
      <c r="U518">
        <f>SUM(R518:S518)</f>
        <v>3488.02</v>
      </c>
    </row>
    <row r="519" spans="1:21" x14ac:dyDescent="0.35">
      <c r="A519">
        <v>110685</v>
      </c>
      <c r="B519" s="1">
        <v>37986</v>
      </c>
      <c r="C519">
        <v>2003</v>
      </c>
      <c r="D519">
        <v>502424104</v>
      </c>
      <c r="E519" t="s">
        <v>72</v>
      </c>
      <c r="F519" t="str">
        <f t="shared" si="89"/>
        <v>1056239_2003</v>
      </c>
      <c r="G519" s="2" t="str">
        <f t="shared" si="90"/>
        <v>extracted_filing/1056239_2003_10-K.html</v>
      </c>
      <c r="H519" s="2" t="str">
        <f t="shared" si="91"/>
        <v>extracted_filing/1056239_2003_10-K.txt</v>
      </c>
      <c r="I519" s="2" t="str">
        <f t="shared" si="92"/>
        <v>https://www.sec.gov/cgi-bin/browse-edgar?action=getcompany&amp;CIK=1056239&amp;type=10-K&amp;dateb=20080101&amp;owner=exclude&amp;count=40&amp;search_text=</v>
      </c>
      <c r="J519">
        <v>1056239</v>
      </c>
      <c r="K519">
        <v>4210.2259999999997</v>
      </c>
      <c r="L519">
        <f>K519+M519+O519</f>
        <v>4400.6229999999996</v>
      </c>
      <c r="M519" s="7">
        <v>137.626</v>
      </c>
      <c r="O519" s="3">
        <v>52.771000000000001</v>
      </c>
      <c r="Q519" t="s">
        <v>116</v>
      </c>
      <c r="R519">
        <v>4210.2259999999997</v>
      </c>
      <c r="S519" s="4">
        <v>190.39699999999999</v>
      </c>
      <c r="T519">
        <f>SUM(K519,M519,O519)</f>
        <v>4400.6229999999996</v>
      </c>
      <c r="U519">
        <f t="shared" ref="U519:U522" si="93">SUM(R519:S519)</f>
        <v>4400.6229999999996</v>
      </c>
    </row>
    <row r="520" spans="1:21" x14ac:dyDescent="0.35">
      <c r="A520">
        <v>110685</v>
      </c>
      <c r="B520" s="1">
        <v>38352</v>
      </c>
      <c r="C520">
        <v>2004</v>
      </c>
      <c r="D520">
        <v>502424104</v>
      </c>
      <c r="E520" t="s">
        <v>72</v>
      </c>
      <c r="F520" t="str">
        <f t="shared" si="89"/>
        <v>1056239_2004</v>
      </c>
      <c r="G520" s="2" t="str">
        <f t="shared" si="90"/>
        <v>extracted_filing/1056239_2004_10-K.html</v>
      </c>
      <c r="H520" s="2" t="str">
        <f t="shared" si="91"/>
        <v>extracted_filing/1056239_2004_10-K.txt</v>
      </c>
      <c r="I520" s="2" t="str">
        <f t="shared" si="92"/>
        <v>https://www.sec.gov/cgi-bin/browse-edgar?action=getcompany&amp;CIK=1056239&amp;type=10-K&amp;dateb=20080101&amp;owner=exclude&amp;count=40&amp;search_text=</v>
      </c>
      <c r="J520">
        <v>1056239</v>
      </c>
      <c r="K520">
        <v>5829.3760000000002</v>
      </c>
      <c r="L520">
        <f>K520+M520+O520</f>
        <v>6042.1184000000003</v>
      </c>
      <c r="M520" s="7">
        <v>141.54900000000001</v>
      </c>
      <c r="O520" s="3">
        <v>71.193399999999997</v>
      </c>
      <c r="Q520" t="s">
        <v>116</v>
      </c>
      <c r="R520">
        <v>5829.3760000000002</v>
      </c>
      <c r="S520" s="4">
        <v>212.74299999999999</v>
      </c>
      <c r="T520">
        <f>SUM(K520,M520,O520)</f>
        <v>6042.1184000000003</v>
      </c>
      <c r="U520">
        <f t="shared" si="93"/>
        <v>6042.1190000000006</v>
      </c>
    </row>
    <row r="521" spans="1:21" x14ac:dyDescent="0.35">
      <c r="A521">
        <v>110685</v>
      </c>
      <c r="B521" s="1">
        <v>38717</v>
      </c>
      <c r="C521">
        <v>2005</v>
      </c>
      <c r="D521">
        <v>502424104</v>
      </c>
      <c r="E521" t="s">
        <v>72</v>
      </c>
      <c r="F521" t="str">
        <f t="shared" si="89"/>
        <v>1056239_2005</v>
      </c>
      <c r="G521" s="2" t="str">
        <f t="shared" si="90"/>
        <v>extracted_filing/1056239_2005_10-K.html</v>
      </c>
      <c r="H521" s="2" t="str">
        <f t="shared" si="91"/>
        <v>extracted_filing/1056239_2005_10-K.txt</v>
      </c>
      <c r="I521" s="2" t="str">
        <f t="shared" si="92"/>
        <v>https://www.sec.gov/cgi-bin/browse-edgar?action=getcompany&amp;CIK=1056239&amp;type=10-K&amp;dateb=20080101&amp;owner=exclude&amp;count=40&amp;search_text=</v>
      </c>
      <c r="J521">
        <v>1056239</v>
      </c>
      <c r="K521">
        <v>8080.9</v>
      </c>
      <c r="L521">
        <f>K521+M521+O521</f>
        <v>8313.4</v>
      </c>
      <c r="M521" s="7">
        <v>166.8</v>
      </c>
      <c r="O521" s="3">
        <v>65.7</v>
      </c>
      <c r="Q521" t="s">
        <v>116</v>
      </c>
      <c r="R521">
        <v>8080.9</v>
      </c>
      <c r="S521" s="4">
        <v>232.5</v>
      </c>
      <c r="T521">
        <f>SUM(K521,M521,O521)</f>
        <v>8313.4</v>
      </c>
      <c r="U521">
        <f t="shared" si="93"/>
        <v>8313.4</v>
      </c>
    </row>
    <row r="522" spans="1:21" x14ac:dyDescent="0.35">
      <c r="A522">
        <v>110685</v>
      </c>
      <c r="B522" s="1">
        <v>39082</v>
      </c>
      <c r="C522">
        <v>2006</v>
      </c>
      <c r="D522">
        <v>502424104</v>
      </c>
      <c r="E522" t="s">
        <v>72</v>
      </c>
      <c r="F522" t="str">
        <f t="shared" si="89"/>
        <v>1056239_2006</v>
      </c>
      <c r="G522" s="2" t="str">
        <f t="shared" si="90"/>
        <v>extracted_filing/1056239_2006_10-K.html</v>
      </c>
      <c r="H522" s="2" t="str">
        <f t="shared" si="91"/>
        <v>extracted_filing/1056239_2006_10-K.txt</v>
      </c>
      <c r="I522" s="2" t="str">
        <f t="shared" si="92"/>
        <v>https://www.sec.gov/cgi-bin/browse-edgar?action=getcompany&amp;CIK=1056239&amp;type=10-K&amp;dateb=20080101&amp;owner=exclude&amp;count=40&amp;search_text=</v>
      </c>
      <c r="J522">
        <v>1056239</v>
      </c>
      <c r="K522">
        <v>10729.1</v>
      </c>
      <c r="L522">
        <f>K522+M522+O522</f>
        <v>11021.6</v>
      </c>
      <c r="M522" s="7">
        <v>206.2</v>
      </c>
      <c r="O522" s="3">
        <v>86.3</v>
      </c>
      <c r="Q522" t="s">
        <v>116</v>
      </c>
      <c r="R522">
        <v>10729.1</v>
      </c>
      <c r="S522" s="4">
        <v>292.5</v>
      </c>
      <c r="T522">
        <f>SUM(K522,M522,O522)</f>
        <v>11021.6</v>
      </c>
      <c r="U522">
        <f t="shared" si="93"/>
        <v>11021.6</v>
      </c>
    </row>
  </sheetData>
  <phoneticPr fontId="2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firm_years_needing_sga_data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Jerome Taillard</dc:creator>
  <cp:lastModifiedBy>Donald Bowen</cp:lastModifiedBy>
  <dcterms:created xsi:type="dcterms:W3CDTF">2024-11-21T20:58:39Z</dcterms:created>
  <dcterms:modified xsi:type="dcterms:W3CDTF">2025-01-16T18:12:23Z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b306a34-4f90-403b-9fff-d1d3d6603342_Enabled">
    <vt:lpwstr>true</vt:lpwstr>
  </property>
  <property fmtid="{D5CDD505-2E9C-101B-9397-08002B2CF9AE}" pid="3" name="MSIP_Label_8b306a34-4f90-403b-9fff-d1d3d6603342_SetDate">
    <vt:lpwstr>2024-11-22T16:38:47Z</vt:lpwstr>
  </property>
  <property fmtid="{D5CDD505-2E9C-101B-9397-08002B2CF9AE}" pid="4" name="MSIP_Label_8b306a34-4f90-403b-9fff-d1d3d6603342_Method">
    <vt:lpwstr>Standard</vt:lpwstr>
  </property>
  <property fmtid="{D5CDD505-2E9C-101B-9397-08002B2CF9AE}" pid="5" name="MSIP_Label_8b306a34-4f90-403b-9fff-d1d3d6603342_Name">
    <vt:lpwstr>General</vt:lpwstr>
  </property>
  <property fmtid="{D5CDD505-2E9C-101B-9397-08002B2CF9AE}" pid="6" name="MSIP_Label_8b306a34-4f90-403b-9fff-d1d3d6603342_SiteId">
    <vt:lpwstr>e83d2ad7-3bcd-4d5c-9d6c-6ffa1a4434bf</vt:lpwstr>
  </property>
  <property fmtid="{D5CDD505-2E9C-101B-9397-08002B2CF9AE}" pid="7" name="MSIP_Label_8b306a34-4f90-403b-9fff-d1d3d6603342_ActionId">
    <vt:lpwstr>a31a507f-666c-40d4-8c13-350b3348472c</vt:lpwstr>
  </property>
  <property fmtid="{D5CDD505-2E9C-101B-9397-08002B2CF9AE}" pid="8" name="MSIP_Label_8b306a34-4f90-403b-9fff-d1d3d6603342_ContentBits">
    <vt:lpwstr>0</vt:lpwstr>
  </property>
</Properties>
</file>