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truongbui/Library/CloudStorage/Dropbox/Work/Reason/Reason Work/Florida/Florida-FRS Actuarial Model/"/>
    </mc:Choice>
  </mc:AlternateContent>
  <xr:revisionPtr revIDLastSave="0" documentId="13_ncr:1_{104AE31C-2078-6B42-9787-A82409DF081B}" xr6:coauthVersionLast="47" xr6:coauthVersionMax="47" xr10:uidLastSave="{00000000-0000-0000-0000-000000000000}"/>
  <bookViews>
    <workbookView xWindow="0" yWindow="500" windowWidth="51200" windowHeight="28300" tabRatio="500" activeTab="3" xr2:uid="{00000000-000D-0000-FFFF-FFFF00000000}"/>
  </bookViews>
  <sheets>
    <sheet name="Retiree Distribution" sheetId="32" r:id="rId1"/>
    <sheet name="Entrant Profile" sheetId="33" r:id="rId2"/>
    <sheet name="Funding Input" sheetId="34" r:id="rId3"/>
    <sheet name="Amort Input" sheetId="59" r:id="rId4"/>
    <sheet name="Return Scenarios" sheetId="35" r:id="rId5"/>
    <sheet name="Salary Distribution Special" sheetId="30" r:id="rId6"/>
    <sheet name="HeadCount Distribution Special" sheetId="31" r:id="rId7"/>
    <sheet name="Salary Distribution Regular" sheetId="26" r:id="rId8"/>
    <sheet name="HeadCount Distribution Regular" sheetId="27" r:id="rId9"/>
    <sheet name="HeadCount Distribution Admin" sheetId="36" r:id="rId10"/>
    <sheet name="Salary Distribution Admin" sheetId="37" r:id="rId11"/>
    <sheet name="Salary Distribution Eco" sheetId="38" r:id="rId12"/>
    <sheet name="HeadCount Distribution Eco" sheetId="39" r:id="rId13"/>
    <sheet name="HeadCount Distribution Eso" sheetId="40" r:id="rId14"/>
    <sheet name="Salary Distribution Eso" sheetId="41" r:id="rId15"/>
    <sheet name="Salary Distribution Judge" sheetId="42" r:id="rId16"/>
    <sheet name="HeadCount Distribution Judge" sheetId="43" r:id="rId17"/>
    <sheet name="HeadCount Distribution Sen Man" sheetId="44" r:id="rId18"/>
    <sheet name="Salary Distribution Sen Man" sheetId="45" r:id="rId19"/>
    <sheet name="Salary Growth" sheetId="18" r:id="rId20"/>
    <sheet name="Withdrawal Rates" sheetId="29" state="hidden" r:id="rId21"/>
    <sheet name="Withdrawal Rate Regular Male" sheetId="48" r:id="rId22"/>
    <sheet name="Withdrawal Rate Regular Female" sheetId="49" r:id="rId23"/>
    <sheet name="Withdrawal Rate Special Male" sheetId="50" r:id="rId24"/>
    <sheet name="Withdrawal Rate Special Female" sheetId="51" r:id="rId25"/>
    <sheet name="Withdrawal Rate Eco" sheetId="52" r:id="rId26"/>
    <sheet name="Withdrawal Rate Eso" sheetId="53" r:id="rId27"/>
    <sheet name="Withdrawal Rate Judges" sheetId="54" r:id="rId28"/>
    <sheet name="Withdrawal Rate Sen Man Male" sheetId="56" r:id="rId29"/>
    <sheet name="Withdrawal Rate Sen Man Female" sheetId="57" r:id="rId30"/>
    <sheet name="Withdrawal Rate Admin Female" sheetId="58" r:id="rId31"/>
    <sheet name="Withdrawal Rate Admin Male" sheetId="55" r:id="rId32"/>
    <sheet name="Retirement Rates" sheetId="20" r:id="rId33"/>
    <sheet name="Sheet12" sheetId="47" r:id="rId34"/>
  </sheets>
  <externalReferences>
    <externalReference r:id="rId35"/>
    <externalReference r:id="rId36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0" i="34" l="1"/>
  <c r="BZ2" i="34"/>
  <c r="BZ3" i="34"/>
  <c r="BZ4" i="34"/>
  <c r="BZ5" i="34"/>
  <c r="BZ6" i="34"/>
  <c r="BZ7" i="34"/>
  <c r="BZ8" i="34"/>
  <c r="BZ9" i="34"/>
  <c r="BZ10" i="34"/>
  <c r="AJ2" i="34"/>
  <c r="AJ3" i="34"/>
  <c r="AJ4" i="34"/>
  <c r="AJ5" i="34"/>
  <c r="AJ6" i="34"/>
  <c r="AJ7" i="34"/>
  <c r="AJ8" i="34"/>
  <c r="AJ9" i="34"/>
  <c r="AJ10" i="34"/>
  <c r="AV2" i="34"/>
  <c r="AV3" i="34"/>
  <c r="AV4" i="34"/>
  <c r="AV5" i="34"/>
  <c r="AV6" i="34"/>
  <c r="AV7" i="34"/>
  <c r="AV8" i="34"/>
  <c r="AV9" i="34"/>
  <c r="G10" i="34" l="1"/>
  <c r="D9" i="34"/>
  <c r="D8" i="34"/>
  <c r="D7" i="34"/>
  <c r="D6" i="34"/>
  <c r="D5" i="34"/>
  <c r="D4" i="34"/>
  <c r="F4" i="34" s="1"/>
  <c r="BF4" i="34" s="1"/>
  <c r="BJ4" i="34" s="1"/>
  <c r="D3" i="34"/>
  <c r="F3" i="34" s="1"/>
  <c r="BF3" i="34" s="1"/>
  <c r="BJ3" i="34" s="1"/>
  <c r="D2" i="34"/>
  <c r="F2" i="34" s="1"/>
  <c r="BF2" i="34" s="1"/>
  <c r="BJ2" i="34" s="1"/>
  <c r="C6" i="34" l="1"/>
  <c r="F6" i="34" s="1"/>
  <c r="BF6" i="34" s="1"/>
  <c r="BJ6" i="34" s="1"/>
  <c r="C5" i="34"/>
  <c r="F5" i="34" s="1"/>
  <c r="BF5" i="34" s="1"/>
  <c r="BJ5" i="34" s="1"/>
  <c r="C7" i="34"/>
  <c r="F7" i="34" s="1"/>
  <c r="BF7" i="34" s="1"/>
  <c r="BJ7" i="34" s="1"/>
  <c r="AF10" i="34"/>
  <c r="AG10" i="34" s="1"/>
  <c r="AI10" i="34" s="1"/>
  <c r="D10" i="34"/>
  <c r="F8" i="34"/>
  <c r="BF8" i="34" s="1"/>
  <c r="BJ8" i="34" s="1"/>
  <c r="CF10" i="34"/>
  <c r="CF8" i="34"/>
  <c r="CF6" i="34"/>
  <c r="CF5" i="34"/>
  <c r="CF7" i="34"/>
  <c r="CF4" i="34"/>
  <c r="CF3" i="34"/>
  <c r="CD9" i="34"/>
  <c r="CD8" i="34"/>
  <c r="CD7" i="34"/>
  <c r="CD6" i="34"/>
  <c r="CD5" i="34"/>
  <c r="CD4" i="34"/>
  <c r="CD3" i="34"/>
  <c r="AM10" i="34" l="1"/>
  <c r="AO10" i="34" s="1"/>
  <c r="AU10" i="34"/>
  <c r="CD10" i="34"/>
  <c r="CF9" i="34"/>
  <c r="BO10" i="34" l="1"/>
  <c r="BN10" i="34" s="1"/>
  <c r="BL10" i="34"/>
  <c r="BK10" i="34" s="1"/>
  <c r="BQ10" i="34"/>
  <c r="AY10" i="34"/>
  <c r="Z10" i="34"/>
  <c r="AC10" i="34"/>
  <c r="V10" i="34"/>
  <c r="E10" i="34"/>
  <c r="AV10" i="34" s="1"/>
  <c r="H10" i="34"/>
  <c r="I10" i="34"/>
  <c r="J10" i="34"/>
  <c r="K10" i="34"/>
  <c r="P10" i="34"/>
  <c r="S10" i="34"/>
  <c r="BR10" i="34"/>
  <c r="U9" i="34"/>
  <c r="T9" i="34"/>
  <c r="R9" i="34"/>
  <c r="Q9" i="34"/>
  <c r="O9" i="34"/>
  <c r="N9" i="34"/>
  <c r="AD9" i="34" s="1"/>
  <c r="C9" i="34"/>
  <c r="BE9" i="34"/>
  <c r="BB9" i="34"/>
  <c r="W10" i="34"/>
  <c r="AX9" i="34" l="1"/>
  <c r="AW9" i="34" s="1"/>
  <c r="BI9" i="34" s="1"/>
  <c r="F9" i="34"/>
  <c r="AE9" i="34"/>
  <c r="X9" i="34"/>
  <c r="Y9" i="34" s="1"/>
  <c r="AA9" i="34"/>
  <c r="AB9" i="34" s="1"/>
  <c r="BE8" i="34"/>
  <c r="BB8" i="34"/>
  <c r="BE7" i="34"/>
  <c r="BB7" i="34"/>
  <c r="BE6" i="34"/>
  <c r="BB6" i="34"/>
  <c r="BE5" i="34"/>
  <c r="BB5" i="34"/>
  <c r="BE4" i="34"/>
  <c r="BB4" i="34"/>
  <c r="BE3" i="34"/>
  <c r="BB3" i="34"/>
  <c r="BE2" i="34"/>
  <c r="BB2" i="34"/>
  <c r="AG8" i="34"/>
  <c r="AG7" i="34"/>
  <c r="AG6" i="34"/>
  <c r="AG5" i="34"/>
  <c r="AG4" i="34"/>
  <c r="AG3" i="34"/>
  <c r="AG2" i="34"/>
  <c r="U8" i="34"/>
  <c r="U7" i="34"/>
  <c r="U6" i="34"/>
  <c r="U5" i="34"/>
  <c r="U4" i="34"/>
  <c r="U3" i="34"/>
  <c r="U2" i="34"/>
  <c r="T8" i="34"/>
  <c r="T7" i="34"/>
  <c r="T6" i="34"/>
  <c r="T5" i="34"/>
  <c r="T4" i="34"/>
  <c r="T3" i="34"/>
  <c r="T2" i="34"/>
  <c r="R8" i="34"/>
  <c r="R7" i="34"/>
  <c r="R6" i="34"/>
  <c r="R5" i="34"/>
  <c r="R4" i="34"/>
  <c r="R3" i="34"/>
  <c r="R2" i="34"/>
  <c r="Q8" i="34"/>
  <c r="Q7" i="34"/>
  <c r="Q6" i="34"/>
  <c r="Q5" i="34"/>
  <c r="Q4" i="34"/>
  <c r="Q3" i="34"/>
  <c r="Q2" i="34"/>
  <c r="O8" i="34"/>
  <c r="O7" i="34"/>
  <c r="O6" i="34"/>
  <c r="O5" i="34"/>
  <c r="O4" i="34"/>
  <c r="O3" i="34"/>
  <c r="O2" i="34"/>
  <c r="N8" i="34"/>
  <c r="N6" i="34"/>
  <c r="N5" i="34"/>
  <c r="N7" i="34"/>
  <c r="N4" i="34"/>
  <c r="N3" i="34"/>
  <c r="N2" i="34"/>
  <c r="AX3" i="34"/>
  <c r="AW3" i="34" s="1"/>
  <c r="BI3" i="34" s="1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2" i="32"/>
  <c r="E11" i="32"/>
  <c r="E4" i="32"/>
  <c r="E3" i="32"/>
  <c r="E5" i="32"/>
  <c r="E6" i="32"/>
  <c r="E7" i="32"/>
  <c r="E8" i="32"/>
  <c r="E9" i="32"/>
  <c r="E10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2" i="32"/>
  <c r="D4" i="32"/>
  <c r="D2" i="32"/>
  <c r="D3" i="32"/>
  <c r="D5" i="32"/>
  <c r="D6" i="32"/>
  <c r="D7" i="32"/>
  <c r="D8" i="32"/>
  <c r="D9" i="32"/>
  <c r="D10" i="32"/>
  <c r="D11" i="32"/>
  <c r="C59" i="32"/>
  <c r="C60" i="32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58" i="32"/>
  <c r="C57" i="32"/>
  <c r="C54" i="32"/>
  <c r="C55" i="32" s="1"/>
  <c r="C56" i="32" s="1"/>
  <c r="C53" i="32"/>
  <c r="C52" i="32"/>
  <c r="B52" i="32"/>
  <c r="C49" i="32"/>
  <c r="C50" i="32"/>
  <c r="C51" i="32"/>
  <c r="C48" i="32"/>
  <c r="C47" i="32"/>
  <c r="C44" i="32"/>
  <c r="C45" i="32" s="1"/>
  <c r="C46" i="32" s="1"/>
  <c r="C43" i="32"/>
  <c r="C42" i="32"/>
  <c r="C38" i="32"/>
  <c r="C39" i="32"/>
  <c r="C40" i="32"/>
  <c r="C41" i="32"/>
  <c r="C37" i="32"/>
  <c r="C33" i="32"/>
  <c r="C34" i="32"/>
  <c r="C35" i="32"/>
  <c r="C36" i="32"/>
  <c r="C32" i="32"/>
  <c r="C28" i="32"/>
  <c r="C29" i="32"/>
  <c r="C30" i="32"/>
  <c r="C31" i="32"/>
  <c r="C27" i="32"/>
  <c r="C23" i="32"/>
  <c r="C24" i="32"/>
  <c r="C25" i="32"/>
  <c r="C26" i="32"/>
  <c r="C22" i="32"/>
  <c r="C18" i="32"/>
  <c r="C19" i="32"/>
  <c r="C20" i="32"/>
  <c r="C21" i="32"/>
  <c r="C17" i="32"/>
  <c r="C13" i="32"/>
  <c r="C14" i="32"/>
  <c r="C15" i="32"/>
  <c r="C16" i="32"/>
  <c r="C12" i="32"/>
  <c r="C8" i="32"/>
  <c r="C9" i="32"/>
  <c r="C10" i="32"/>
  <c r="C11" i="32"/>
  <c r="C7" i="32"/>
  <c r="C3" i="32"/>
  <c r="C4" i="32"/>
  <c r="C5" i="32"/>
  <c r="C6" i="32"/>
  <c r="C2" i="32"/>
  <c r="B23" i="32"/>
  <c r="B24" i="32"/>
  <c r="B25" i="32"/>
  <c r="B26" i="32"/>
  <c r="B22" i="32"/>
  <c r="B59" i="32"/>
  <c r="B60" i="32"/>
  <c r="B61" i="32"/>
  <c r="B62" i="32"/>
  <c r="B63" i="32"/>
  <c r="B64" i="32"/>
  <c r="B65" i="32"/>
  <c r="B66" i="32"/>
  <c r="B67" i="32"/>
  <c r="B68" i="32"/>
  <c r="B69" i="32" s="1"/>
  <c r="B70" i="32" s="1"/>
  <c r="B71" i="32" s="1"/>
  <c r="B72" i="32" s="1"/>
  <c r="B73" i="32" s="1"/>
  <c r="B74" i="32" s="1"/>
  <c r="B75" i="32" s="1"/>
  <c r="B76" i="32" s="1"/>
  <c r="B77" i="32" s="1"/>
  <c r="B58" i="32"/>
  <c r="B57" i="32"/>
  <c r="B54" i="32"/>
  <c r="B55" i="32"/>
  <c r="B56" i="32"/>
  <c r="B53" i="32"/>
  <c r="B49" i="32"/>
  <c r="B50" i="32" s="1"/>
  <c r="B51" i="32" s="1"/>
  <c r="B48" i="32"/>
  <c r="B47" i="32"/>
  <c r="B38" i="32"/>
  <c r="B39" i="32"/>
  <c r="B40" i="32"/>
  <c r="B41" i="32"/>
  <c r="B42" i="32" s="1"/>
  <c r="B43" i="32" s="1"/>
  <c r="B44" i="32" s="1"/>
  <c r="B45" i="32" s="1"/>
  <c r="B46" i="32" s="1"/>
  <c r="B37" i="32"/>
  <c r="BH3" i="34" l="1"/>
  <c r="BF9" i="34"/>
  <c r="BJ9" i="34" s="1"/>
  <c r="BH9" i="34" s="1"/>
  <c r="AU4" i="34"/>
  <c r="AI4" i="34"/>
  <c r="AU7" i="34"/>
  <c r="AI7" i="34"/>
  <c r="AU5" i="34"/>
  <c r="AI5" i="34"/>
  <c r="AU8" i="34"/>
  <c r="AI8" i="34"/>
  <c r="AU2" i="34"/>
  <c r="AI2" i="34"/>
  <c r="AU6" i="34"/>
  <c r="AI6" i="34"/>
  <c r="AU3" i="34"/>
  <c r="AI3" i="34"/>
  <c r="F10" i="34"/>
  <c r="AS10" i="34"/>
  <c r="BF10" i="34" s="1"/>
  <c r="BJ10" i="34" s="1"/>
  <c r="R10" i="34"/>
  <c r="O10" i="34"/>
  <c r="BB10" i="34"/>
  <c r="C10" i="34"/>
  <c r="T10" i="34"/>
  <c r="Q10" i="34"/>
  <c r="U10" i="34"/>
  <c r="BE10" i="34"/>
  <c r="N10" i="34"/>
  <c r="AD8" i="34"/>
  <c r="AX2" i="34"/>
  <c r="AW2" i="34" s="1"/>
  <c r="BI2" i="34" s="1"/>
  <c r="AA7" i="34"/>
  <c r="AB7" i="34" s="1"/>
  <c r="AX4" i="34"/>
  <c r="AW4" i="34" s="1"/>
  <c r="BI4" i="34" s="1"/>
  <c r="AX6" i="34"/>
  <c r="AW6" i="34" s="1"/>
  <c r="BI6" i="34" s="1"/>
  <c r="AX7" i="34"/>
  <c r="AW7" i="34" s="1"/>
  <c r="BI7" i="34" s="1"/>
  <c r="AX5" i="34"/>
  <c r="AW5" i="34" s="1"/>
  <c r="BI5" i="34" s="1"/>
  <c r="AE3" i="34"/>
  <c r="AE4" i="34"/>
  <c r="X2" i="34"/>
  <c r="AE5" i="34"/>
  <c r="AM7" i="34"/>
  <c r="AM5" i="34"/>
  <c r="AM8" i="34"/>
  <c r="AM4" i="34"/>
  <c r="AD2" i="34"/>
  <c r="AM6" i="34"/>
  <c r="X3" i="34"/>
  <c r="Y3" i="34" s="1"/>
  <c r="AA3" i="34"/>
  <c r="AB3" i="34" s="1"/>
  <c r="AM3" i="34"/>
  <c r="AE2" i="34"/>
  <c r="AA2" i="34"/>
  <c r="AB2" i="34" s="1"/>
  <c r="AA5" i="34"/>
  <c r="AB5" i="34" s="1"/>
  <c r="AA6" i="34"/>
  <c r="AB6" i="34" s="1"/>
  <c r="AA4" i="34"/>
  <c r="AB4" i="34" s="1"/>
  <c r="AE7" i="34"/>
  <c r="AE8" i="34"/>
  <c r="AA8" i="34"/>
  <c r="AE6" i="34"/>
  <c r="AD6" i="34"/>
  <c r="AD5" i="34"/>
  <c r="AD4" i="34"/>
  <c r="X4" i="34"/>
  <c r="Y4" i="34" s="1"/>
  <c r="B33" i="32"/>
  <c r="B34" i="32"/>
  <c r="B35" i="32"/>
  <c r="D35" i="32" s="1"/>
  <c r="B36" i="32"/>
  <c r="B32" i="32"/>
  <c r="B28" i="32"/>
  <c r="B29" i="32"/>
  <c r="B30" i="32"/>
  <c r="D30" i="32" s="1"/>
  <c r="B31" i="32"/>
  <c r="B27" i="32"/>
  <c r="B18" i="32"/>
  <c r="B19" i="32"/>
  <c r="D19" i="32" s="1"/>
  <c r="B20" i="32"/>
  <c r="B21" i="32"/>
  <c r="B17" i="32"/>
  <c r="B13" i="32"/>
  <c r="B14" i="32"/>
  <c r="B15" i="32"/>
  <c r="B16" i="32"/>
  <c r="B12" i="32"/>
  <c r="B8" i="32"/>
  <c r="B9" i="32"/>
  <c r="B10" i="32"/>
  <c r="B11" i="32"/>
  <c r="B7" i="32"/>
  <c r="B3" i="32"/>
  <c r="B4" i="32"/>
  <c r="B5" i="32"/>
  <c r="B6" i="32"/>
  <c r="B2" i="32"/>
  <c r="D16" i="32"/>
  <c r="A3" i="33"/>
  <c r="A4" i="33" s="1"/>
  <c r="A5" i="33" s="1"/>
  <c r="A6" i="33" s="1"/>
  <c r="A7" i="33" s="1"/>
  <c r="A8" i="33" s="1"/>
  <c r="A9" i="33" s="1"/>
  <c r="A10" i="33" s="1"/>
  <c r="A11" i="33" s="1"/>
  <c r="A12" i="33" s="1"/>
  <c r="D75" i="32"/>
  <c r="D74" i="32"/>
  <c r="D71" i="32"/>
  <c r="D64" i="32"/>
  <c r="D58" i="32"/>
  <c r="D54" i="32"/>
  <c r="D46" i="32"/>
  <c r="D39" i="32"/>
  <c r="D38" i="32"/>
  <c r="D15" i="32"/>
  <c r="BH2" i="34" l="1"/>
  <c r="BH5" i="34"/>
  <c r="BH6" i="34"/>
  <c r="BW9" i="34"/>
  <c r="BX9" i="34"/>
  <c r="BH7" i="34"/>
  <c r="BH4" i="34"/>
  <c r="BW3" i="34"/>
  <c r="BX3" i="34"/>
  <c r="AF9" i="34"/>
  <c r="AG9" i="34" s="1"/>
  <c r="AI9" i="34" s="1"/>
  <c r="AA10" i="34"/>
  <c r="AX8" i="34"/>
  <c r="AX10" i="34" s="1"/>
  <c r="AD10" i="34"/>
  <c r="AB8" i="34"/>
  <c r="AB10" i="34" s="1"/>
  <c r="AO5" i="34"/>
  <c r="BA5" i="34"/>
  <c r="AZ5" i="34" s="1"/>
  <c r="AO7" i="34"/>
  <c r="BA7" i="34"/>
  <c r="AZ7" i="34" s="1"/>
  <c r="AO3" i="34"/>
  <c r="BA3" i="34"/>
  <c r="AO6" i="34"/>
  <c r="BA6" i="34"/>
  <c r="AZ6" i="34" s="1"/>
  <c r="AO4" i="34"/>
  <c r="BA4" i="34"/>
  <c r="AZ4" i="34" s="1"/>
  <c r="BA8" i="34"/>
  <c r="AM2" i="34"/>
  <c r="X8" i="34"/>
  <c r="AD7" i="34"/>
  <c r="X7" i="34"/>
  <c r="Y7" i="34" s="1"/>
  <c r="AD3" i="34"/>
  <c r="X5" i="34"/>
  <c r="Y5" i="34" s="1"/>
  <c r="X6" i="34"/>
  <c r="Y6" i="34" s="1"/>
  <c r="D12" i="32"/>
  <c r="D26" i="32"/>
  <c r="D55" i="32"/>
  <c r="D56" i="32"/>
  <c r="D66" i="32"/>
  <c r="D51" i="32"/>
  <c r="D42" i="32"/>
  <c r="D47" i="32"/>
  <c r="D31" i="32"/>
  <c r="D22" i="32"/>
  <c r="D27" i="32"/>
  <c r="D18" i="32"/>
  <c r="D28" i="32"/>
  <c r="D70" i="32"/>
  <c r="D67" i="32"/>
  <c r="D59" i="32"/>
  <c r="D50" i="32"/>
  <c r="D23" i="32"/>
  <c r="D62" i="32"/>
  <c r="D72" i="32"/>
  <c r="D63" i="32"/>
  <c r="D43" i="32"/>
  <c r="D14" i="32"/>
  <c r="D34" i="32"/>
  <c r="D44" i="32"/>
  <c r="D36" i="32"/>
  <c r="D48" i="32"/>
  <c r="D21" i="32"/>
  <c r="D32" i="32"/>
  <c r="D40" i="32"/>
  <c r="D20" i="32"/>
  <c r="D60" i="32"/>
  <c r="D76" i="32"/>
  <c r="D52" i="32"/>
  <c r="D68" i="32"/>
  <c r="D24" i="32"/>
  <c r="D13" i="32"/>
  <c r="D17" i="32"/>
  <c r="D25" i="32"/>
  <c r="D33" i="32"/>
  <c r="D41" i="32"/>
  <c r="D49" i="32"/>
  <c r="D57" i="32"/>
  <c r="D73" i="32"/>
  <c r="D29" i="32"/>
  <c r="D37" i="32"/>
  <c r="D45" i="32"/>
  <c r="D53" i="32"/>
  <c r="D61" i="32"/>
  <c r="D65" i="32"/>
  <c r="D69" i="32"/>
  <c r="D77" i="32"/>
  <c r="BW6" i="34" l="1"/>
  <c r="BX6" i="34"/>
  <c r="BW4" i="34"/>
  <c r="BX4" i="34"/>
  <c r="BW5" i="34"/>
  <c r="BX5" i="34"/>
  <c r="BW7" i="34"/>
  <c r="BX7" i="34"/>
  <c r="BW2" i="34"/>
  <c r="BX2" i="34"/>
  <c r="AM9" i="34"/>
  <c r="AO9" i="34" s="1"/>
  <c r="AU9" i="34"/>
  <c r="AW8" i="34"/>
  <c r="X10" i="34"/>
  <c r="AZ8" i="34"/>
  <c r="BI8" i="34"/>
  <c r="Y8" i="34"/>
  <c r="BD4" i="34"/>
  <c r="BC4" i="34" s="1"/>
  <c r="BD6" i="34"/>
  <c r="BC6" i="34" s="1"/>
  <c r="BD7" i="34"/>
  <c r="BC7" i="34" s="1"/>
  <c r="AZ3" i="34"/>
  <c r="BD3" i="34"/>
  <c r="BC3" i="34" s="1"/>
  <c r="BD5" i="34"/>
  <c r="BC5" i="34" s="1"/>
  <c r="AO2" i="34"/>
  <c r="BA2" i="34"/>
  <c r="Y2" i="34"/>
  <c r="BH8" i="34" l="1"/>
  <c r="BA9" i="34"/>
  <c r="AZ9" i="34" s="1"/>
  <c r="BA10" i="34"/>
  <c r="Y10" i="34"/>
  <c r="BD8" i="34"/>
  <c r="BI10" i="34"/>
  <c r="BC8" i="34"/>
  <c r="AZ2" i="34"/>
  <c r="BD2" i="34"/>
  <c r="BC2" i="34" s="1"/>
  <c r="BH10" i="34" l="1"/>
  <c r="CB10" i="34"/>
  <c r="AZ10" i="34"/>
  <c r="BW8" i="34"/>
  <c r="BX8" i="34"/>
  <c r="BD9" i="34"/>
  <c r="BC9" i="34" s="1"/>
  <c r="BC10" i="34" s="1"/>
  <c r="BD10" i="34"/>
  <c r="AO8" i="34"/>
  <c r="BL8" i="34"/>
  <c r="BL7" i="34"/>
  <c r="BL3" i="34"/>
  <c r="BL5" i="34"/>
  <c r="BL9" i="34"/>
  <c r="BL2" i="34"/>
  <c r="BL4" i="34"/>
  <c r="BL6" i="34"/>
  <c r="BQ4" i="34"/>
  <c r="BR3" i="34"/>
  <c r="BO9" i="34"/>
  <c r="BN9" i="34" s="1"/>
  <c r="BM2" i="34"/>
  <c r="BR7" i="34"/>
  <c r="BP8" i="34"/>
  <c r="BR4" i="34"/>
  <c r="BO6" i="34"/>
  <c r="BP3" i="34"/>
  <c r="BR6" i="34"/>
  <c r="BR9" i="34"/>
  <c r="BQ7" i="34"/>
  <c r="BM3" i="34"/>
  <c r="BQ6" i="34"/>
  <c r="BO3" i="34"/>
  <c r="BO5" i="34"/>
  <c r="BP9" i="34"/>
  <c r="BM6" i="34"/>
  <c r="BQ8" i="34"/>
  <c r="BP4" i="34"/>
  <c r="BR2" i="34"/>
  <c r="BM9" i="34"/>
  <c r="BQ3" i="34"/>
  <c r="BR8" i="34"/>
  <c r="BQ5" i="34"/>
  <c r="BO8" i="34"/>
  <c r="BP5" i="34"/>
  <c r="BO4" i="34"/>
  <c r="BP7" i="34"/>
  <c r="BR5" i="34"/>
  <c r="BP2" i="34"/>
  <c r="BQ9" i="34"/>
  <c r="BM5" i="34"/>
  <c r="BP6" i="34"/>
  <c r="BM7" i="34"/>
  <c r="BO7" i="34"/>
  <c r="BM4" i="34"/>
  <c r="BO2" i="34"/>
  <c r="BM8" i="34"/>
  <c r="BQ2" i="34"/>
  <c r="BK8" i="34" l="1"/>
  <c r="CB8" i="34" s="1"/>
  <c r="BW10" i="34"/>
  <c r="BX10" i="34"/>
  <c r="BN4" i="34"/>
  <c r="BN7" i="34"/>
  <c r="BN8" i="34"/>
  <c r="BN6" i="34"/>
  <c r="BN5" i="34"/>
  <c r="BN3" i="34"/>
  <c r="BN2" i="34"/>
  <c r="BK3" i="34"/>
  <c r="CB3" i="34" s="1"/>
  <c r="BK6" i="34"/>
  <c r="CB6" i="34" s="1"/>
  <c r="BK4" i="34"/>
  <c r="CB4" i="34" s="1"/>
  <c r="BK7" i="34"/>
  <c r="CB7" i="34" s="1"/>
  <c r="BK2" i="34"/>
  <c r="CB2" i="34" s="1"/>
  <c r="BK9" i="34"/>
  <c r="CB9" i="34" s="1"/>
  <c r="BK5" i="34"/>
  <c r="CB5" i="34" s="1"/>
  <c r="CC10" i="34" l="1"/>
  <c r="CE10" i="34" s="1"/>
</calcChain>
</file>

<file path=xl/sharedStrings.xml><?xml version="1.0" encoding="utf-8"?>
<sst xmlns="http://schemas.openxmlformats.org/spreadsheetml/2006/main" count="743" uniqueCount="197">
  <si>
    <t>Age</t>
  </si>
  <si>
    <t>YOS</t>
  </si>
  <si>
    <t>salary_increase_regular</t>
  </si>
  <si>
    <t>salary_increase_special_risk</t>
  </si>
  <si>
    <t>Regular_NonK12_Tier1_DROP_Female</t>
  </si>
  <si>
    <t>Regular_NonK12_Tier1_DROP_Male</t>
  </si>
  <si>
    <t>Regular_K12_Tier1_DROP_Female</t>
  </si>
  <si>
    <t>Regular_K12_Tier1_DROP_Male</t>
  </si>
  <si>
    <t>Regular_NonK12_Tier1_NonDROP_Female</t>
  </si>
  <si>
    <t>Regular_NonK12_Tier1_NonDROP_Male</t>
  </si>
  <si>
    <t>SpecialRisk_Tier1_DROP_Female</t>
  </si>
  <si>
    <t>SpecialRisk_Tier1_DROP_Male</t>
  </si>
  <si>
    <t>SpecialRisk_Tier1_NonDROP_Female</t>
  </si>
  <si>
    <t>SpecialRisk_Tier1_NonDROP_Male</t>
  </si>
  <si>
    <t>Regular_K12_Tier2_DROP_Female</t>
  </si>
  <si>
    <t>Regular_K12_Tier2_DROP_Male</t>
  </si>
  <si>
    <t>Regular_NonK12_Tier2_DROP_Female</t>
  </si>
  <si>
    <t>Regular_NonK12_Tier2_DROP_Male</t>
  </si>
  <si>
    <t>SpecialRisk_Tier2_DROP_Female</t>
  </si>
  <si>
    <t>SpecialRisk_Tier2_DROP_Male</t>
  </si>
  <si>
    <t>Regular_NonK12_Tier2_NonDROP_Female</t>
  </si>
  <si>
    <t>Regular_NonK12_Tier2_NonDROP_Male</t>
  </si>
  <si>
    <t>SpecialRisk_Tier2_NonDROP_Female</t>
  </si>
  <si>
    <t>SpecialRisk_Tier2_NonDROP_Male</t>
  </si>
  <si>
    <t>Regular_Male_Under25</t>
  </si>
  <si>
    <t>Regular_Male_25to29</t>
  </si>
  <si>
    <t>Regular_Male_30to34</t>
  </si>
  <si>
    <t>Regular_Male_35to44</t>
  </si>
  <si>
    <t>Regular_Male_45to54</t>
  </si>
  <si>
    <t>Regular_Female_Under25</t>
  </si>
  <si>
    <t>Regular_Female_25to29</t>
  </si>
  <si>
    <t>Regular_Female_30to34</t>
  </si>
  <si>
    <t>Regular_Female_35to44</t>
  </si>
  <si>
    <t>Regular_Female_45to54</t>
  </si>
  <si>
    <t>SpecialRisk_Male_Under25</t>
  </si>
  <si>
    <t>SpecialRisk_Male_25to29</t>
  </si>
  <si>
    <t>SpecialRisk_Male_30to34</t>
  </si>
  <si>
    <t>SpecialRisk_Male_35to44</t>
  </si>
  <si>
    <t>SpecialRisk_Male_45to54</t>
  </si>
  <si>
    <t>SpecialRisk_Female_Under25</t>
  </si>
  <si>
    <t>SpecialRisk_Female_25to29</t>
  </si>
  <si>
    <t>SpecialRisk_Female_30to34</t>
  </si>
  <si>
    <t>SpecialRisk_Female_35to44</t>
  </si>
  <si>
    <t>SpecialRisk_Female_45to54</t>
  </si>
  <si>
    <t>Regular_Male_55</t>
  </si>
  <si>
    <t>Regular_Female_55</t>
  </si>
  <si>
    <t>SpecialRisk_Male_55</t>
  </si>
  <si>
    <t>SpecialRisk_Female_55</t>
  </si>
  <si>
    <t>age</t>
  </si>
  <si>
    <t>n_retire</t>
  </si>
  <si>
    <t>total_ben</t>
  </si>
  <si>
    <t>avg_ben</t>
  </si>
  <si>
    <t>n_retire_ratio</t>
  </si>
  <si>
    <t>total_ben_ratio</t>
  </si>
  <si>
    <t>entry_age</t>
  </si>
  <si>
    <t>Count</t>
  </si>
  <si>
    <t>start_sal</t>
  </si>
  <si>
    <t>liability_gain_loss_legacy</t>
  </si>
  <si>
    <t>liability_gain_loss_new</t>
  </si>
  <si>
    <t>ee_nc_rate_legacy</t>
  </si>
  <si>
    <t>ee_nc_rate_new</t>
  </si>
  <si>
    <t>er_nc_rate_legacy</t>
  </si>
  <si>
    <t>er_nc_rate_new</t>
  </si>
  <si>
    <t>er_stat_rate</t>
  </si>
  <si>
    <t>amo_rate_legacy</t>
  </si>
  <si>
    <t>amo_rate_new</t>
  </si>
  <si>
    <t>admin_exp_rate</t>
  </si>
  <si>
    <t>ee_nc_cont_legacy</t>
  </si>
  <si>
    <t>ee_nc_cont_new</t>
  </si>
  <si>
    <t>er_nc_cont_legacy</t>
  </si>
  <si>
    <t>er_nc_cont_new</t>
  </si>
  <si>
    <t>er_amo_cont_legacy</t>
  </si>
  <si>
    <t>er_amo_cont_new</t>
  </si>
  <si>
    <t>ben_payment_legacy</t>
  </si>
  <si>
    <t>ben_payment_new</t>
  </si>
  <si>
    <t>refund_legacy</t>
  </si>
  <si>
    <t>refund_new</t>
  </si>
  <si>
    <t>admin_exp_legacy</t>
  </si>
  <si>
    <t>admin_exp_new</t>
  </si>
  <si>
    <t>solv_cont_legacy</t>
  </si>
  <si>
    <t>solv_cont_new</t>
  </si>
  <si>
    <t>all_in_cost_real</t>
  </si>
  <si>
    <t>net_cf_legacy</t>
  </si>
  <si>
    <t>net_cf_new</t>
  </si>
  <si>
    <t>year</t>
  </si>
  <si>
    <t>model</t>
  </si>
  <si>
    <t>assumption</t>
  </si>
  <si>
    <t>recession</t>
  </si>
  <si>
    <t>recur_recession</t>
  </si>
  <si>
    <t>constant_6</t>
  </si>
  <si>
    <t>yos</t>
  </si>
  <si>
    <t>salary_increase_admin</t>
  </si>
  <si>
    <t>salary_increase_eco</t>
  </si>
  <si>
    <t>salary_increase_eso</t>
  </si>
  <si>
    <t>salary_increase_judges</t>
  </si>
  <si>
    <t>salary_increase_senior_management</t>
  </si>
  <si>
    <t>under_25</t>
  </si>
  <si>
    <t>25_to_29</t>
  </si>
  <si>
    <t>30_to_34</t>
  </si>
  <si>
    <t>35_to_44</t>
  </si>
  <si>
    <t>45_to_54</t>
  </si>
  <si>
    <t>over_55</t>
  </si>
  <si>
    <t>total_payroll</t>
  </si>
  <si>
    <t>payroll_db_legacy</t>
  </si>
  <si>
    <t>payroll_db_new</t>
  </si>
  <si>
    <t>total_nc_rate</t>
  </si>
  <si>
    <t>nc_rate_db_legacy</t>
  </si>
  <si>
    <t>nc_rate_db_new</t>
  </si>
  <si>
    <t>dr_legacy</t>
  </si>
  <si>
    <t>dr_new</t>
  </si>
  <si>
    <t>total_aal</t>
  </si>
  <si>
    <t>total_liability_gain_loss</t>
  </si>
  <si>
    <t xml:space="preserve"> pvfb_retire_current</t>
  </si>
  <si>
    <t>aal_legacy</t>
  </si>
  <si>
    <t>aal_new</t>
  </si>
  <si>
    <t>total_ava</t>
  </si>
  <si>
    <t>ava_legacy</t>
  </si>
  <si>
    <t>ava_new</t>
  </si>
  <si>
    <t>total_mva</t>
  </si>
  <si>
    <t>mva_legacy</t>
  </si>
  <si>
    <t>mva_new</t>
  </si>
  <si>
    <t>roa</t>
  </si>
  <si>
    <t>total_ual_ava</t>
  </si>
  <si>
    <t>ual_ava_new</t>
  </si>
  <si>
    <t>total_ual_mva</t>
  </si>
  <si>
    <t>ual_mva_legacy</t>
  </si>
  <si>
    <t>ual_mva_new</t>
  </si>
  <si>
    <t>fr_ava</t>
  </si>
  <si>
    <t>fr_mva</t>
  </si>
  <si>
    <t>total_ben_payment</t>
  </si>
  <si>
    <t>total_ee_nc_cont</t>
  </si>
  <si>
    <t>total_er_nc_cont</t>
  </si>
  <si>
    <t>total_er_cont</t>
  </si>
  <si>
    <t>total_er_amo_cont</t>
  </si>
  <si>
    <t>ual_ava_legacy</t>
  </si>
  <si>
    <t>total_solv_cont</t>
  </si>
  <si>
    <t>total_er_cont_real</t>
  </si>
  <si>
    <t>total_er_cont_rate</t>
  </si>
  <si>
    <t>disbursement_to_IP</t>
  </si>
  <si>
    <t>exp_inv_earnings_ava_legacy</t>
  </si>
  <si>
    <t>exp_ava_legacy</t>
  </si>
  <si>
    <t>alloc_inv_earnings_ava_legacy</t>
  </si>
  <si>
    <t>net_reallocation_legacy</t>
  </si>
  <si>
    <t>exp_inv_earnings_ava_new</t>
  </si>
  <si>
    <t>alloc_inv_earnings_ava_new</t>
  </si>
  <si>
    <t>exp_ava_new</t>
  </si>
  <si>
    <t>net_reallocation_new</t>
  </si>
  <si>
    <t>class</t>
  </si>
  <si>
    <t>regular</t>
  </si>
  <si>
    <t>special</t>
  </si>
  <si>
    <t>admin</t>
  </si>
  <si>
    <t>eso</t>
  </si>
  <si>
    <t>eco</t>
  </si>
  <si>
    <t>judges</t>
  </si>
  <si>
    <t>senior management</t>
  </si>
  <si>
    <t>drop</t>
  </si>
  <si>
    <t>frs</t>
  </si>
  <si>
    <t>date</t>
  </si>
  <si>
    <t>amo_period</t>
  </si>
  <si>
    <t>amo_balance</t>
  </si>
  <si>
    <t>n/a</t>
  </si>
  <si>
    <t>June 30, 1999</t>
  </si>
  <si>
    <t>June 30, 2004</t>
  </si>
  <si>
    <t>June 30, 2009</t>
  </si>
  <si>
    <t>June 30, 2010</t>
  </si>
  <si>
    <t>June 30, 2011</t>
  </si>
  <si>
    <t>June 30, 2012</t>
  </si>
  <si>
    <t>June 30, 2013</t>
  </si>
  <si>
    <t>June 30, 2014</t>
  </si>
  <si>
    <t>June 30, 2015</t>
  </si>
  <si>
    <t>June 30, 2016</t>
  </si>
  <si>
    <t>June 30, 2017</t>
  </si>
  <si>
    <t>June 30, 2018</t>
  </si>
  <si>
    <t>June 30, 2019</t>
  </si>
  <si>
    <t>June 30, 2020</t>
  </si>
  <si>
    <t>June 30, 2021</t>
  </si>
  <si>
    <t>June 30, 2022</t>
  </si>
  <si>
    <t>June 30, 2000</t>
  </si>
  <si>
    <t>payroll_dc_legacy</t>
  </si>
  <si>
    <t>payroll_dc_new</t>
  </si>
  <si>
    <t>er_dc_rate_new</t>
  </si>
  <si>
    <t>er_dc_rate_legacy</t>
  </si>
  <si>
    <t>total_er_db_cont</t>
  </si>
  <si>
    <t>total_er_dc_cont</t>
  </si>
  <si>
    <t>nc_legacy</t>
  </si>
  <si>
    <t>nc_new</t>
  </si>
  <si>
    <t>total_refund</t>
  </si>
  <si>
    <t>nc_rate_legacy</t>
  </si>
  <si>
    <t>nc_rate_new</t>
  </si>
  <si>
    <t>er_dc_cont_legacy</t>
  </si>
  <si>
    <t>er_dc_cont_new</t>
  </si>
  <si>
    <t>ava_base_legacy</t>
  </si>
  <si>
    <t>ava_base_new</t>
  </si>
  <si>
    <t>unadj_ava_legacy</t>
  </si>
  <si>
    <t>unadj_ava_new</t>
  </si>
  <si>
    <t>cum_er_cont_real</t>
  </si>
  <si>
    <t>total_ual_mva_real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</si>
</sst>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$-809]#,##0"/>
    <numFmt numFmtId="169" formatCode="0.0000%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0" fontId="4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9" fontId="0" fillId="0" borderId="0" xfId="4" applyFont="1"/>
    <xf numFmtId="10" fontId="0" fillId="0" borderId="0" xfId="4" applyNumberFormat="1" applyFont="1"/>
    <xf numFmtId="9" fontId="0" fillId="2" borderId="0" xfId="4" applyFont="1" applyFill="1"/>
    <xf numFmtId="43" fontId="0" fillId="0" borderId="0" xfId="3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3" applyNumberFormat="1" applyFont="1"/>
    <xf numFmtId="164" fontId="0" fillId="2" borderId="0" xfId="3" applyNumberFormat="1" applyFont="1" applyFill="1"/>
    <xf numFmtId="3" fontId="0" fillId="0" borderId="0" xfId="0" applyNumberFormat="1"/>
    <xf numFmtId="164" fontId="0" fillId="0" borderId="0" xfId="3" applyNumberFormat="1" applyFont="1" applyFill="1"/>
    <xf numFmtId="10" fontId="0" fillId="0" borderId="0" xfId="0" applyNumberFormat="1"/>
    <xf numFmtId="43" fontId="0" fillId="0" borderId="0" xfId="0" applyNumberFormat="1"/>
    <xf numFmtId="10" fontId="7" fillId="0" borderId="0" xfId="0" applyNumberFormat="1" applyFont="1"/>
    <xf numFmtId="164" fontId="0" fillId="0" borderId="0" xfId="0" applyNumberFormat="1"/>
    <xf numFmtId="10" fontId="0" fillId="0" borderId="0" xfId="4" applyNumberFormat="1" applyFont="1" applyFill="1"/>
    <xf numFmtId="165" fontId="0" fillId="0" borderId="0" xfId="4" applyNumberFormat="1" applyFont="1" applyFill="1"/>
    <xf numFmtId="9" fontId="0" fillId="0" borderId="0" xfId="0" applyNumberFormat="1"/>
    <xf numFmtId="43" fontId="0" fillId="0" borderId="0" xfId="3" applyFont="1" applyFill="1"/>
    <xf numFmtId="0" fontId="8" fillId="0" borderId="0" xfId="0" applyFont="1"/>
    <xf numFmtId="166" fontId="9" fillId="0" borderId="0" xfId="0" applyNumberFormat="1" applyFont="1"/>
    <xf numFmtId="3" fontId="9" fillId="0" borderId="0" xfId="0" applyNumberFormat="1" applyFont="1"/>
    <xf numFmtId="1" fontId="9" fillId="0" borderId="0" xfId="0" applyNumberFormat="1" applyFont="1"/>
    <xf numFmtId="0" fontId="9" fillId="0" borderId="0" xfId="0" applyFont="1"/>
    <xf numFmtId="166" fontId="7" fillId="0" borderId="0" xfId="0" applyNumberFormat="1" applyFont="1"/>
    <xf numFmtId="3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0" fillId="0" borderId="0" xfId="0" applyFill="1"/>
    <xf numFmtId="169" fontId="0" fillId="0" borderId="0" xfId="4" applyNumberFormat="1" applyFont="1"/>
    <xf numFmtId="166" fontId="0" fillId="0" borderId="0" xfId="0" applyNumberFormat="1"/>
  </cellXfs>
  <cellStyles count="8">
    <cellStyle name="Comma" xfId="3" builtinId="3"/>
    <cellStyle name="Normal" xfId="0" builtinId="0"/>
    <cellStyle name="Normal 2" xfId="1" xr:uid="{00000000-0005-0000-0000-000003000000}"/>
    <cellStyle name="Normal 3" xfId="5" xr:uid="{00000000-0005-0000-0000-000004000000}"/>
    <cellStyle name="Normal 4" xfId="2" xr:uid="{00000000-0005-0000-0000-000005000000}"/>
    <cellStyle name="Normal 5" xfId="6" xr:uid="{7B1833E6-4B0C-4206-81C1-6D09970B7AE4}"/>
    <cellStyle name="Normal 6" xfId="7" xr:uid="{852AEB74-F8BC-4B18-8005-2058CF01EBE0}"/>
    <cellStyle name="Percent" xfId="4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BDD8D-3457-47AE-89D9-669A10E1ABC6}">
  <sheetPr>
    <tabColor rgb="FFFFFF00"/>
  </sheetPr>
  <dimension ref="A1:F77"/>
  <sheetViews>
    <sheetView workbookViewId="0">
      <selection activeCell="H16" sqref="H16"/>
    </sheetView>
  </sheetViews>
  <sheetFormatPr baseColWidth="10" defaultColWidth="8.83203125" defaultRowHeight="16" x14ac:dyDescent="0.2"/>
  <cols>
    <col min="1" max="1" width="4.1640625" bestFit="1" customWidth="1"/>
    <col min="2" max="2" width="8" bestFit="1" customWidth="1"/>
    <col min="3" max="3" width="15" style="6" bestFit="1" customWidth="1"/>
    <col min="4" max="4" width="8" bestFit="1" customWidth="1"/>
    <col min="5" max="5" width="12.5" bestFit="1" customWidth="1"/>
    <col min="6" max="6" width="13.83203125" bestFit="1" customWidth="1"/>
  </cols>
  <sheetData>
    <row r="1" spans="1:6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">
      <c r="A2">
        <v>45</v>
      </c>
      <c r="B2">
        <f>(1964+424)/5</f>
        <v>477.6</v>
      </c>
      <c r="C2" s="6">
        <f>(28474000+8740000)/5</f>
        <v>7442800</v>
      </c>
      <c r="D2" s="6">
        <f t="shared" ref="D2:D11" si="0">C2/B2</f>
        <v>15583.752093802344</v>
      </c>
      <c r="E2">
        <f>B2/SUM($B$2:$B$77)</f>
        <v>1.0765145811826322E-3</v>
      </c>
      <c r="F2">
        <f>C2/SUM($C$2:$C$77)</f>
        <v>6.6660433036662609E-4</v>
      </c>
    </row>
    <row r="3" spans="1:6" x14ac:dyDescent="0.2">
      <c r="A3">
        <v>46</v>
      </c>
      <c r="B3">
        <f t="shared" ref="B3:B6" si="1">(1964+424)/5</f>
        <v>477.6</v>
      </c>
      <c r="C3" s="6">
        <f t="shared" ref="C3:C6" si="2">(28474000+8740000)/5</f>
        <v>7442800</v>
      </c>
      <c r="D3" s="6">
        <f t="shared" si="0"/>
        <v>15583.752093802344</v>
      </c>
      <c r="E3">
        <f t="shared" ref="E3:E66" si="3">B3/SUM($B$2:$B$77)</f>
        <v>1.0765145811826322E-3</v>
      </c>
      <c r="F3">
        <f t="shared" ref="F3:F66" si="4">C3/SUM($C$2:$C$77)</f>
        <v>6.6660433036662609E-4</v>
      </c>
    </row>
    <row r="4" spans="1:6" x14ac:dyDescent="0.2">
      <c r="A4">
        <v>47</v>
      </c>
      <c r="B4">
        <f t="shared" si="1"/>
        <v>477.6</v>
      </c>
      <c r="C4" s="6">
        <f t="shared" si="2"/>
        <v>7442800</v>
      </c>
      <c r="D4" s="6">
        <f>C4/B4</f>
        <v>15583.752093802344</v>
      </c>
      <c r="E4">
        <f>B4/SUM($B$2:$B$77)</f>
        <v>1.0765145811826322E-3</v>
      </c>
      <c r="F4">
        <f t="shared" si="4"/>
        <v>6.6660433036662609E-4</v>
      </c>
    </row>
    <row r="5" spans="1:6" x14ac:dyDescent="0.2">
      <c r="A5">
        <v>48</v>
      </c>
      <c r="B5">
        <f t="shared" si="1"/>
        <v>477.6</v>
      </c>
      <c r="C5" s="6">
        <f t="shared" si="2"/>
        <v>7442800</v>
      </c>
      <c r="D5" s="6">
        <f t="shared" si="0"/>
        <v>15583.752093802344</v>
      </c>
      <c r="E5">
        <f t="shared" si="3"/>
        <v>1.0765145811826322E-3</v>
      </c>
      <c r="F5">
        <f t="shared" si="4"/>
        <v>6.6660433036662609E-4</v>
      </c>
    </row>
    <row r="6" spans="1:6" x14ac:dyDescent="0.2">
      <c r="A6">
        <v>49</v>
      </c>
      <c r="B6">
        <f t="shared" si="1"/>
        <v>477.6</v>
      </c>
      <c r="C6" s="6">
        <f t="shared" si="2"/>
        <v>7442800</v>
      </c>
      <c r="D6" s="6">
        <f t="shared" si="0"/>
        <v>15583.752093802344</v>
      </c>
      <c r="E6">
        <f t="shared" si="3"/>
        <v>1.0765145811826322E-3</v>
      </c>
      <c r="F6">
        <f t="shared" si="4"/>
        <v>6.6660433036662609E-4</v>
      </c>
    </row>
    <row r="7" spans="1:6" x14ac:dyDescent="0.2">
      <c r="A7">
        <v>50</v>
      </c>
      <c r="B7">
        <f>(3903+805)/5</f>
        <v>941.6</v>
      </c>
      <c r="C7" s="6">
        <f>(133928000 + 15834000)/5</f>
        <v>29952400</v>
      </c>
      <c r="D7" s="6">
        <f t="shared" si="0"/>
        <v>31810.110450297365</v>
      </c>
      <c r="E7">
        <f t="shared" si="3"/>
        <v>2.1223746433031124E-3</v>
      </c>
      <c r="F7">
        <f t="shared" si="4"/>
        <v>2.6826462547526915E-3</v>
      </c>
    </row>
    <row r="8" spans="1:6" x14ac:dyDescent="0.2">
      <c r="A8">
        <v>51</v>
      </c>
      <c r="B8">
        <f t="shared" ref="B8:B11" si="5">(3903+805)/5</f>
        <v>941.6</v>
      </c>
      <c r="C8" s="6">
        <f t="shared" ref="C8:C11" si="6">(133928000 + 15834000)/5</f>
        <v>29952400</v>
      </c>
      <c r="D8" s="6">
        <f t="shared" si="0"/>
        <v>31810.110450297365</v>
      </c>
      <c r="E8">
        <f t="shared" si="3"/>
        <v>2.1223746433031124E-3</v>
      </c>
      <c r="F8">
        <f t="shared" si="4"/>
        <v>2.6826462547526915E-3</v>
      </c>
    </row>
    <row r="9" spans="1:6" x14ac:dyDescent="0.2">
      <c r="A9">
        <v>52</v>
      </c>
      <c r="B9">
        <f t="shared" si="5"/>
        <v>941.6</v>
      </c>
      <c r="C9" s="6">
        <f t="shared" si="6"/>
        <v>29952400</v>
      </c>
      <c r="D9" s="6">
        <f t="shared" si="0"/>
        <v>31810.110450297365</v>
      </c>
      <c r="E9">
        <f t="shared" si="3"/>
        <v>2.1223746433031124E-3</v>
      </c>
      <c r="F9">
        <f t="shared" si="4"/>
        <v>2.6826462547526915E-3</v>
      </c>
    </row>
    <row r="10" spans="1:6" x14ac:dyDescent="0.2">
      <c r="A10">
        <v>53</v>
      </c>
      <c r="B10">
        <f t="shared" si="5"/>
        <v>941.6</v>
      </c>
      <c r="C10" s="6">
        <f t="shared" si="6"/>
        <v>29952400</v>
      </c>
      <c r="D10" s="6">
        <f t="shared" si="0"/>
        <v>31810.110450297365</v>
      </c>
      <c r="E10">
        <f t="shared" si="3"/>
        <v>2.1223746433031124E-3</v>
      </c>
      <c r="F10">
        <f t="shared" si="4"/>
        <v>2.6826462547526915E-3</v>
      </c>
    </row>
    <row r="11" spans="1:6" x14ac:dyDescent="0.2">
      <c r="A11">
        <v>54</v>
      </c>
      <c r="B11">
        <f t="shared" si="5"/>
        <v>941.6</v>
      </c>
      <c r="C11" s="6">
        <f t="shared" si="6"/>
        <v>29952400</v>
      </c>
      <c r="D11" s="6">
        <f t="shared" si="0"/>
        <v>31810.110450297365</v>
      </c>
      <c r="E11">
        <f>B11/SUM($B$2:$B$77)</f>
        <v>2.1223746433031124E-3</v>
      </c>
      <c r="F11">
        <f t="shared" si="4"/>
        <v>2.6826462547526915E-3</v>
      </c>
    </row>
    <row r="12" spans="1:6" x14ac:dyDescent="0.2">
      <c r="A12">
        <v>55</v>
      </c>
      <c r="B12" s="6">
        <f>(15381+1663)/5</f>
        <v>3408.8</v>
      </c>
      <c r="C12" s="6">
        <f>(520884000 + 33505000)/5</f>
        <v>110877800</v>
      </c>
      <c r="D12" s="6">
        <f t="shared" ref="D12:D75" si="7">C12/B12</f>
        <v>32526.930298052099</v>
      </c>
      <c r="E12">
        <f t="shared" si="3"/>
        <v>7.6834650425782174E-3</v>
      </c>
      <c r="F12">
        <f t="shared" si="4"/>
        <v>9.9306204145650414E-3</v>
      </c>
    </row>
    <row r="13" spans="1:6" x14ac:dyDescent="0.2">
      <c r="A13">
        <v>56</v>
      </c>
      <c r="B13" s="6">
        <f t="shared" ref="B13:B16" si="8">(15381+1663)/5</f>
        <v>3408.8</v>
      </c>
      <c r="C13" s="6">
        <f t="shared" ref="C13:C16" si="9">(520884000 + 33505000)/5</f>
        <v>110877800</v>
      </c>
      <c r="D13" s="6">
        <f t="shared" si="7"/>
        <v>32526.930298052099</v>
      </c>
      <c r="E13">
        <f t="shared" si="3"/>
        <v>7.6834650425782174E-3</v>
      </c>
      <c r="F13">
        <f t="shared" si="4"/>
        <v>9.9306204145650414E-3</v>
      </c>
    </row>
    <row r="14" spans="1:6" x14ac:dyDescent="0.2">
      <c r="A14">
        <v>57</v>
      </c>
      <c r="B14" s="6">
        <f t="shared" si="8"/>
        <v>3408.8</v>
      </c>
      <c r="C14" s="6">
        <f t="shared" si="9"/>
        <v>110877800</v>
      </c>
      <c r="D14" s="6">
        <f t="shared" si="7"/>
        <v>32526.930298052099</v>
      </c>
      <c r="E14">
        <f t="shared" si="3"/>
        <v>7.6834650425782174E-3</v>
      </c>
      <c r="F14">
        <f t="shared" si="4"/>
        <v>9.9306204145650414E-3</v>
      </c>
    </row>
    <row r="15" spans="1:6" x14ac:dyDescent="0.2">
      <c r="A15">
        <v>58</v>
      </c>
      <c r="B15" s="6">
        <f t="shared" si="8"/>
        <v>3408.8</v>
      </c>
      <c r="C15" s="6">
        <f t="shared" si="9"/>
        <v>110877800</v>
      </c>
      <c r="D15" s="6">
        <f t="shared" si="7"/>
        <v>32526.930298052099</v>
      </c>
      <c r="E15">
        <f t="shared" si="3"/>
        <v>7.6834650425782174E-3</v>
      </c>
      <c r="F15">
        <f t="shared" si="4"/>
        <v>9.9306204145650414E-3</v>
      </c>
    </row>
    <row r="16" spans="1:6" x14ac:dyDescent="0.2">
      <c r="A16">
        <v>59</v>
      </c>
      <c r="B16" s="6">
        <f t="shared" si="8"/>
        <v>3408.8</v>
      </c>
      <c r="C16" s="6">
        <f t="shared" si="9"/>
        <v>110877800</v>
      </c>
      <c r="D16" s="6">
        <f>C16/B16</f>
        <v>32526.930298052099</v>
      </c>
      <c r="E16">
        <f t="shared" si="3"/>
        <v>7.6834650425782174E-3</v>
      </c>
      <c r="F16">
        <f t="shared" si="4"/>
        <v>9.9306204145650414E-3</v>
      </c>
    </row>
    <row r="17" spans="1:6" x14ac:dyDescent="0.2">
      <c r="A17">
        <v>60</v>
      </c>
      <c r="B17" s="6">
        <f>(46187+2471)/5</f>
        <v>9731.6</v>
      </c>
      <c r="C17" s="6">
        <f>(1231948000 + 43097000)/5</f>
        <v>255009000</v>
      </c>
      <c r="D17" s="6">
        <f t="shared" si="7"/>
        <v>26204.221299683504</v>
      </c>
      <c r="E17">
        <f t="shared" si="3"/>
        <v>2.1935111595973417E-2</v>
      </c>
      <c r="F17">
        <f t="shared" si="4"/>
        <v>2.2839536690823743E-2</v>
      </c>
    </row>
    <row r="18" spans="1:6" x14ac:dyDescent="0.2">
      <c r="A18">
        <v>61</v>
      </c>
      <c r="B18" s="6">
        <f t="shared" ref="B18:B21" si="10">(46187+2471)/5</f>
        <v>9731.6</v>
      </c>
      <c r="C18" s="6">
        <f t="shared" ref="C18:C21" si="11">(1231948000 + 43097000)/5</f>
        <v>255009000</v>
      </c>
      <c r="D18" s="6">
        <f t="shared" si="7"/>
        <v>26204.221299683504</v>
      </c>
      <c r="E18">
        <f t="shared" si="3"/>
        <v>2.1935111595973417E-2</v>
      </c>
      <c r="F18">
        <f t="shared" si="4"/>
        <v>2.2839536690823743E-2</v>
      </c>
    </row>
    <row r="19" spans="1:6" x14ac:dyDescent="0.2">
      <c r="A19">
        <v>62</v>
      </c>
      <c r="B19" s="6">
        <f t="shared" si="10"/>
        <v>9731.6</v>
      </c>
      <c r="C19" s="6">
        <f t="shared" si="11"/>
        <v>255009000</v>
      </c>
      <c r="D19" s="6">
        <f t="shared" si="7"/>
        <v>26204.221299683504</v>
      </c>
      <c r="E19">
        <f t="shared" si="3"/>
        <v>2.1935111595973417E-2</v>
      </c>
      <c r="F19">
        <f t="shared" si="4"/>
        <v>2.2839536690823743E-2</v>
      </c>
    </row>
    <row r="20" spans="1:6" x14ac:dyDescent="0.2">
      <c r="A20">
        <v>63</v>
      </c>
      <c r="B20" s="6">
        <f t="shared" si="10"/>
        <v>9731.6</v>
      </c>
      <c r="C20" s="6">
        <f t="shared" si="11"/>
        <v>255009000</v>
      </c>
      <c r="D20" s="6">
        <f t="shared" si="7"/>
        <v>26204.221299683504</v>
      </c>
      <c r="E20">
        <f t="shared" si="3"/>
        <v>2.1935111595973417E-2</v>
      </c>
      <c r="F20">
        <f t="shared" si="4"/>
        <v>2.2839536690823743E-2</v>
      </c>
    </row>
    <row r="21" spans="1:6" x14ac:dyDescent="0.2">
      <c r="A21">
        <v>64</v>
      </c>
      <c r="B21" s="6">
        <f t="shared" si="10"/>
        <v>9731.6</v>
      </c>
      <c r="C21" s="6">
        <f t="shared" si="11"/>
        <v>255009000</v>
      </c>
      <c r="D21" s="6">
        <f t="shared" si="7"/>
        <v>26204.221299683504</v>
      </c>
      <c r="E21">
        <f t="shared" si="3"/>
        <v>2.1935111595973417E-2</v>
      </c>
      <c r="F21">
        <f t="shared" si="4"/>
        <v>2.2839536690823743E-2</v>
      </c>
    </row>
    <row r="22" spans="1:6" x14ac:dyDescent="0.2">
      <c r="A22">
        <v>65</v>
      </c>
      <c r="B22" s="6">
        <f>(90882+2740)/5</f>
        <v>18724.400000000001</v>
      </c>
      <c r="C22" s="6">
        <f>(2178788000 + 50825000)/5</f>
        <v>445922600</v>
      </c>
      <c r="D22" s="6">
        <f t="shared" si="7"/>
        <v>23815.054153938174</v>
      </c>
      <c r="E22">
        <f t="shared" si="3"/>
        <v>4.2204961524070515E-2</v>
      </c>
      <c r="F22">
        <f t="shared" si="4"/>
        <v>3.9938455442621708E-2</v>
      </c>
    </row>
    <row r="23" spans="1:6" x14ac:dyDescent="0.2">
      <c r="A23">
        <v>66</v>
      </c>
      <c r="B23" s="6">
        <f t="shared" ref="B23:B26" si="12">(90882+2740)/5</f>
        <v>18724.400000000001</v>
      </c>
      <c r="C23" s="6">
        <f t="shared" ref="C23:C26" si="13">(2178788000 + 50825000)/5</f>
        <v>445922600</v>
      </c>
      <c r="D23" s="6">
        <f t="shared" si="7"/>
        <v>23815.054153938174</v>
      </c>
      <c r="E23">
        <f t="shared" si="3"/>
        <v>4.2204961524070515E-2</v>
      </c>
      <c r="F23">
        <f t="shared" si="4"/>
        <v>3.9938455442621708E-2</v>
      </c>
    </row>
    <row r="24" spans="1:6" x14ac:dyDescent="0.2">
      <c r="A24">
        <v>67</v>
      </c>
      <c r="B24" s="6">
        <f t="shared" si="12"/>
        <v>18724.400000000001</v>
      </c>
      <c r="C24" s="6">
        <f t="shared" si="13"/>
        <v>445922600</v>
      </c>
      <c r="D24" s="6">
        <f t="shared" si="7"/>
        <v>23815.054153938174</v>
      </c>
      <c r="E24">
        <f t="shared" si="3"/>
        <v>4.2204961524070515E-2</v>
      </c>
      <c r="F24">
        <f t="shared" si="4"/>
        <v>3.9938455442621708E-2</v>
      </c>
    </row>
    <row r="25" spans="1:6" x14ac:dyDescent="0.2">
      <c r="A25">
        <v>68</v>
      </c>
      <c r="B25" s="6">
        <f t="shared" si="12"/>
        <v>18724.400000000001</v>
      </c>
      <c r="C25" s="6">
        <f t="shared" si="13"/>
        <v>445922600</v>
      </c>
      <c r="D25" s="6">
        <f t="shared" si="7"/>
        <v>23815.054153938174</v>
      </c>
      <c r="E25">
        <f t="shared" si="3"/>
        <v>4.2204961524070515E-2</v>
      </c>
      <c r="F25">
        <f t="shared" si="4"/>
        <v>3.9938455442621708E-2</v>
      </c>
    </row>
    <row r="26" spans="1:6" x14ac:dyDescent="0.2">
      <c r="A26">
        <v>69</v>
      </c>
      <c r="B26" s="6">
        <f t="shared" si="12"/>
        <v>18724.400000000001</v>
      </c>
      <c r="C26" s="6">
        <f t="shared" si="13"/>
        <v>445922600</v>
      </c>
      <c r="D26" s="6">
        <f t="shared" si="7"/>
        <v>23815.054153938174</v>
      </c>
      <c r="E26">
        <f t="shared" si="3"/>
        <v>4.2204961524070515E-2</v>
      </c>
      <c r="F26">
        <f t="shared" si="4"/>
        <v>3.9938455442621708E-2</v>
      </c>
    </row>
    <row r="27" spans="1:6" x14ac:dyDescent="0.2">
      <c r="A27">
        <v>70</v>
      </c>
      <c r="B27" s="6">
        <f>(104155 + 2287)/5</f>
        <v>21288.400000000001</v>
      </c>
      <c r="C27" s="6">
        <f>(2628535000+42139000)/5</f>
        <v>534134800</v>
      </c>
      <c r="D27" s="6">
        <f t="shared" si="7"/>
        <v>25090.415437515265</v>
      </c>
      <c r="E27">
        <f t="shared" si="3"/>
        <v>4.7984239970787997E-2</v>
      </c>
      <c r="F27">
        <f t="shared" si="4"/>
        <v>4.7839062003481453E-2</v>
      </c>
    </row>
    <row r="28" spans="1:6" x14ac:dyDescent="0.2">
      <c r="A28">
        <v>71</v>
      </c>
      <c r="B28" s="6">
        <f t="shared" ref="B28:B31" si="14">(104155 + 2287)/5</f>
        <v>21288.400000000001</v>
      </c>
      <c r="C28" s="6">
        <f t="shared" ref="C28:C31" si="15">(2628535000+42139000)/5</f>
        <v>534134800</v>
      </c>
      <c r="D28" s="6">
        <f t="shared" si="7"/>
        <v>25090.415437515265</v>
      </c>
      <c r="E28">
        <f t="shared" si="3"/>
        <v>4.7984239970787997E-2</v>
      </c>
      <c r="F28">
        <f t="shared" si="4"/>
        <v>4.7839062003481453E-2</v>
      </c>
    </row>
    <row r="29" spans="1:6" x14ac:dyDescent="0.2">
      <c r="A29">
        <v>72</v>
      </c>
      <c r="B29" s="6">
        <f t="shared" si="14"/>
        <v>21288.400000000001</v>
      </c>
      <c r="C29" s="6">
        <f t="shared" si="15"/>
        <v>534134800</v>
      </c>
      <c r="D29" s="6">
        <f t="shared" si="7"/>
        <v>25090.415437515265</v>
      </c>
      <c r="E29">
        <f t="shared" si="3"/>
        <v>4.7984239970787997E-2</v>
      </c>
      <c r="F29">
        <f t="shared" si="4"/>
        <v>4.7839062003481453E-2</v>
      </c>
    </row>
    <row r="30" spans="1:6" x14ac:dyDescent="0.2">
      <c r="A30">
        <v>73</v>
      </c>
      <c r="B30" s="6">
        <f t="shared" si="14"/>
        <v>21288.400000000001</v>
      </c>
      <c r="C30" s="6">
        <f t="shared" si="15"/>
        <v>534134800</v>
      </c>
      <c r="D30" s="6">
        <f>C30/B30</f>
        <v>25090.415437515265</v>
      </c>
      <c r="E30">
        <f t="shared" si="3"/>
        <v>4.7984239970787997E-2</v>
      </c>
      <c r="F30">
        <f t="shared" si="4"/>
        <v>4.7839062003481453E-2</v>
      </c>
    </row>
    <row r="31" spans="1:6" x14ac:dyDescent="0.2">
      <c r="A31">
        <v>74</v>
      </c>
      <c r="B31" s="6">
        <f t="shared" si="14"/>
        <v>21288.400000000001</v>
      </c>
      <c r="C31" s="6">
        <f t="shared" si="15"/>
        <v>534134800</v>
      </c>
      <c r="D31" s="6">
        <f t="shared" si="7"/>
        <v>25090.415437515265</v>
      </c>
      <c r="E31">
        <f t="shared" si="3"/>
        <v>4.7984239970787997E-2</v>
      </c>
      <c r="F31">
        <f t="shared" si="4"/>
        <v>4.7839062003481453E-2</v>
      </c>
    </row>
    <row r="32" spans="1:6" x14ac:dyDescent="0.2">
      <c r="A32">
        <v>75</v>
      </c>
      <c r="B32" s="6">
        <f>(81140+1547)/5</f>
        <v>16537.400000000001</v>
      </c>
      <c r="C32" s="6">
        <f>(2076629000+28653000)/5</f>
        <v>421056400</v>
      </c>
      <c r="D32" s="6">
        <f t="shared" si="7"/>
        <v>25460.858417889147</v>
      </c>
      <c r="E32">
        <f t="shared" si="3"/>
        <v>3.7275444377825928E-2</v>
      </c>
      <c r="F32">
        <f t="shared" si="4"/>
        <v>3.7711347821865734E-2</v>
      </c>
    </row>
    <row r="33" spans="1:6" x14ac:dyDescent="0.2">
      <c r="A33">
        <v>76</v>
      </c>
      <c r="B33" s="6">
        <f t="shared" ref="B33:B36" si="16">(81140+1547)/5</f>
        <v>16537.400000000001</v>
      </c>
      <c r="C33" s="6">
        <f t="shared" ref="C33:C36" si="17">(2076629000+28653000)/5</f>
        <v>421056400</v>
      </c>
      <c r="D33" s="6">
        <f t="shared" si="7"/>
        <v>25460.858417889147</v>
      </c>
      <c r="E33">
        <f t="shared" si="3"/>
        <v>3.7275444377825928E-2</v>
      </c>
      <c r="F33">
        <f t="shared" si="4"/>
        <v>3.7711347821865734E-2</v>
      </c>
    </row>
    <row r="34" spans="1:6" x14ac:dyDescent="0.2">
      <c r="A34">
        <v>77</v>
      </c>
      <c r="B34" s="6">
        <f t="shared" si="16"/>
        <v>16537.400000000001</v>
      </c>
      <c r="C34" s="6">
        <f t="shared" si="17"/>
        <v>421056400</v>
      </c>
      <c r="D34" s="6">
        <f t="shared" si="7"/>
        <v>25460.858417889147</v>
      </c>
      <c r="E34">
        <f t="shared" si="3"/>
        <v>3.7275444377825928E-2</v>
      </c>
      <c r="F34">
        <f t="shared" si="4"/>
        <v>3.7711347821865734E-2</v>
      </c>
    </row>
    <row r="35" spans="1:6" x14ac:dyDescent="0.2">
      <c r="A35">
        <v>78</v>
      </c>
      <c r="B35" s="6">
        <f t="shared" si="16"/>
        <v>16537.400000000001</v>
      </c>
      <c r="C35" s="6">
        <f t="shared" si="17"/>
        <v>421056400</v>
      </c>
      <c r="D35" s="6">
        <f t="shared" si="7"/>
        <v>25460.858417889147</v>
      </c>
      <c r="E35">
        <f t="shared" si="3"/>
        <v>3.7275444377825928E-2</v>
      </c>
      <c r="F35">
        <f t="shared" si="4"/>
        <v>3.7711347821865734E-2</v>
      </c>
    </row>
    <row r="36" spans="1:6" x14ac:dyDescent="0.2">
      <c r="A36">
        <v>79</v>
      </c>
      <c r="B36" s="6">
        <f t="shared" si="16"/>
        <v>16537.400000000001</v>
      </c>
      <c r="C36" s="6">
        <f t="shared" si="17"/>
        <v>421056400</v>
      </c>
      <c r="D36" s="6">
        <f t="shared" si="7"/>
        <v>25460.858417889147</v>
      </c>
      <c r="E36">
        <f t="shared" si="3"/>
        <v>3.7275444377825928E-2</v>
      </c>
      <c r="F36">
        <f t="shared" si="4"/>
        <v>3.7711347821865734E-2</v>
      </c>
    </row>
    <row r="37" spans="1:6" x14ac:dyDescent="0.2">
      <c r="A37">
        <v>80</v>
      </c>
      <c r="B37" s="7">
        <f>(87072+1033)/10</f>
        <v>8810.5</v>
      </c>
      <c r="C37" s="7">
        <f>(2125387000+17878000)/10</f>
        <v>214326500</v>
      </c>
      <c r="D37" s="6">
        <f t="shared" si="7"/>
        <v>24326.258441632144</v>
      </c>
      <c r="E37">
        <f t="shared" si="3"/>
        <v>1.9858944132138987E-2</v>
      </c>
      <c r="F37">
        <f t="shared" si="4"/>
        <v>1.9195863520761365E-2</v>
      </c>
    </row>
    <row r="38" spans="1:6" x14ac:dyDescent="0.2">
      <c r="A38">
        <v>81</v>
      </c>
      <c r="B38" s="7">
        <f t="shared" ref="B38:B41" si="18">(87072+1033)/10</f>
        <v>8810.5</v>
      </c>
      <c r="C38" s="7">
        <f t="shared" ref="C38:C41" si="19">(2125387000+17878000)/10</f>
        <v>214326500</v>
      </c>
      <c r="D38" s="6">
        <f t="shared" si="7"/>
        <v>24326.258441632144</v>
      </c>
      <c r="E38">
        <f t="shared" si="3"/>
        <v>1.9858944132138987E-2</v>
      </c>
      <c r="F38">
        <f t="shared" si="4"/>
        <v>1.9195863520761365E-2</v>
      </c>
    </row>
    <row r="39" spans="1:6" x14ac:dyDescent="0.2">
      <c r="A39">
        <v>82</v>
      </c>
      <c r="B39" s="7">
        <f t="shared" si="18"/>
        <v>8810.5</v>
      </c>
      <c r="C39" s="7">
        <f t="shared" si="19"/>
        <v>214326500</v>
      </c>
      <c r="D39" s="6">
        <f t="shared" si="7"/>
        <v>24326.258441632144</v>
      </c>
      <c r="E39">
        <f t="shared" si="3"/>
        <v>1.9858944132138987E-2</v>
      </c>
      <c r="F39">
        <f t="shared" si="4"/>
        <v>1.9195863520761365E-2</v>
      </c>
    </row>
    <row r="40" spans="1:6" x14ac:dyDescent="0.2">
      <c r="A40">
        <v>83</v>
      </c>
      <c r="B40" s="7">
        <f t="shared" si="18"/>
        <v>8810.5</v>
      </c>
      <c r="C40" s="7">
        <f t="shared" si="19"/>
        <v>214326500</v>
      </c>
      <c r="D40" s="6">
        <f t="shared" si="7"/>
        <v>24326.258441632144</v>
      </c>
      <c r="E40">
        <f t="shared" si="3"/>
        <v>1.9858944132138987E-2</v>
      </c>
      <c r="F40">
        <f t="shared" si="4"/>
        <v>1.9195863520761365E-2</v>
      </c>
    </row>
    <row r="41" spans="1:6" x14ac:dyDescent="0.2">
      <c r="A41">
        <v>84</v>
      </c>
      <c r="B41" s="7">
        <f t="shared" si="18"/>
        <v>8810.5</v>
      </c>
      <c r="C41" s="7">
        <f t="shared" si="19"/>
        <v>214326500</v>
      </c>
      <c r="D41" s="6">
        <f t="shared" si="7"/>
        <v>24326.258441632144</v>
      </c>
      <c r="E41">
        <f t="shared" si="3"/>
        <v>1.9858944132138987E-2</v>
      </c>
      <c r="F41">
        <f t="shared" si="4"/>
        <v>1.9195863520761365E-2</v>
      </c>
    </row>
    <row r="42" spans="1:6" x14ac:dyDescent="0.2">
      <c r="A42">
        <v>85</v>
      </c>
      <c r="B42" s="7">
        <f>B41/2</f>
        <v>4405.25</v>
      </c>
      <c r="C42" s="7">
        <f>C41/2</f>
        <v>107163250</v>
      </c>
      <c r="D42" s="6">
        <f t="shared" si="7"/>
        <v>24326.258441632144</v>
      </c>
      <c r="E42">
        <f t="shared" si="3"/>
        <v>9.9294720660694936E-3</v>
      </c>
      <c r="F42">
        <f t="shared" si="4"/>
        <v>9.5979317603806825E-3</v>
      </c>
    </row>
    <row r="43" spans="1:6" x14ac:dyDescent="0.2">
      <c r="A43">
        <v>86</v>
      </c>
      <c r="B43" s="7">
        <f>B42</f>
        <v>4405.25</v>
      </c>
      <c r="C43" s="7">
        <f>C42</f>
        <v>107163250</v>
      </c>
      <c r="D43" s="6">
        <f>C43/B43</f>
        <v>24326.258441632144</v>
      </c>
      <c r="E43">
        <f t="shared" si="3"/>
        <v>9.9294720660694936E-3</v>
      </c>
      <c r="F43">
        <f t="shared" si="4"/>
        <v>9.5979317603806825E-3</v>
      </c>
    </row>
    <row r="44" spans="1:6" x14ac:dyDescent="0.2">
      <c r="A44">
        <v>87</v>
      </c>
      <c r="B44" s="7">
        <f t="shared" ref="B44:B46" si="20">B43</f>
        <v>4405.25</v>
      </c>
      <c r="C44" s="7">
        <f t="shared" ref="C44:C46" si="21">C43</f>
        <v>107163250</v>
      </c>
      <c r="D44" s="6">
        <f>C44/B44</f>
        <v>24326.258441632144</v>
      </c>
      <c r="E44">
        <f t="shared" si="3"/>
        <v>9.9294720660694936E-3</v>
      </c>
      <c r="F44">
        <f t="shared" si="4"/>
        <v>9.5979317603806825E-3</v>
      </c>
    </row>
    <row r="45" spans="1:6" x14ac:dyDescent="0.2">
      <c r="A45">
        <v>88</v>
      </c>
      <c r="B45" s="7">
        <f t="shared" si="20"/>
        <v>4405.25</v>
      </c>
      <c r="C45" s="7">
        <f t="shared" si="21"/>
        <v>107163250</v>
      </c>
      <c r="D45" s="6">
        <f>C45/B45</f>
        <v>24326.258441632144</v>
      </c>
      <c r="E45">
        <f t="shared" si="3"/>
        <v>9.9294720660694936E-3</v>
      </c>
      <c r="F45">
        <f t="shared" si="4"/>
        <v>9.5979317603806825E-3</v>
      </c>
    </row>
    <row r="46" spans="1:6" x14ac:dyDescent="0.2">
      <c r="A46">
        <v>89</v>
      </c>
      <c r="B46" s="7">
        <f t="shared" si="20"/>
        <v>4405.25</v>
      </c>
      <c r="C46" s="7">
        <f t="shared" si="21"/>
        <v>107163250</v>
      </c>
      <c r="D46" s="6">
        <f>C46/B46</f>
        <v>24326.258441632144</v>
      </c>
      <c r="E46">
        <f t="shared" si="3"/>
        <v>9.9294720660694936E-3</v>
      </c>
      <c r="F46">
        <f t="shared" si="4"/>
        <v>9.5979317603806825E-3</v>
      </c>
    </row>
    <row r="47" spans="1:6" x14ac:dyDescent="0.2">
      <c r="A47">
        <v>90</v>
      </c>
      <c r="B47" s="7">
        <f>B46/2</f>
        <v>2202.625</v>
      </c>
      <c r="C47" s="7">
        <f>C46/2</f>
        <v>53581625</v>
      </c>
      <c r="D47" s="6">
        <f>C47/B47</f>
        <v>24326.258441632144</v>
      </c>
      <c r="E47">
        <f t="shared" si="3"/>
        <v>4.9647360330347468E-3</v>
      </c>
      <c r="F47">
        <f t="shared" si="4"/>
        <v>4.7989658801903413E-3</v>
      </c>
    </row>
    <row r="48" spans="1:6" x14ac:dyDescent="0.2">
      <c r="A48">
        <v>91</v>
      </c>
      <c r="B48" s="7">
        <f>B47</f>
        <v>2202.625</v>
      </c>
      <c r="C48" s="7">
        <f>C47</f>
        <v>53581625</v>
      </c>
      <c r="D48" s="6">
        <f t="shared" si="7"/>
        <v>24326.258441632144</v>
      </c>
      <c r="E48">
        <f t="shared" si="3"/>
        <v>4.9647360330347468E-3</v>
      </c>
      <c r="F48">
        <f t="shared" si="4"/>
        <v>4.7989658801903413E-3</v>
      </c>
    </row>
    <row r="49" spans="1:6" x14ac:dyDescent="0.2">
      <c r="A49">
        <v>92</v>
      </c>
      <c r="B49" s="7">
        <f t="shared" ref="B49:B51" si="22">B48</f>
        <v>2202.625</v>
      </c>
      <c r="C49" s="7">
        <f t="shared" ref="C49:C51" si="23">C48</f>
        <v>53581625</v>
      </c>
      <c r="D49" s="6">
        <f t="shared" si="7"/>
        <v>24326.258441632144</v>
      </c>
      <c r="E49">
        <f t="shared" si="3"/>
        <v>4.9647360330347468E-3</v>
      </c>
      <c r="F49">
        <f t="shared" si="4"/>
        <v>4.7989658801903413E-3</v>
      </c>
    </row>
    <row r="50" spans="1:6" x14ac:dyDescent="0.2">
      <c r="A50">
        <v>93</v>
      </c>
      <c r="B50" s="7">
        <f t="shared" si="22"/>
        <v>2202.625</v>
      </c>
      <c r="C50" s="7">
        <f t="shared" si="23"/>
        <v>53581625</v>
      </c>
      <c r="D50" s="6">
        <f t="shared" si="7"/>
        <v>24326.258441632144</v>
      </c>
      <c r="E50">
        <f t="shared" si="3"/>
        <v>4.9647360330347468E-3</v>
      </c>
      <c r="F50">
        <f t="shared" si="4"/>
        <v>4.7989658801903413E-3</v>
      </c>
    </row>
    <row r="51" spans="1:6" x14ac:dyDescent="0.2">
      <c r="A51">
        <v>94</v>
      </c>
      <c r="B51" s="7">
        <f t="shared" si="22"/>
        <v>2202.625</v>
      </c>
      <c r="C51" s="7">
        <f t="shared" si="23"/>
        <v>53581625</v>
      </c>
      <c r="D51" s="6">
        <f t="shared" si="7"/>
        <v>24326.258441632144</v>
      </c>
      <c r="E51">
        <f t="shared" si="3"/>
        <v>4.9647360330347468E-3</v>
      </c>
      <c r="F51">
        <f t="shared" si="4"/>
        <v>4.7989658801903413E-3</v>
      </c>
    </row>
    <row r="52" spans="1:6" x14ac:dyDescent="0.2">
      <c r="A52">
        <v>95</v>
      </c>
      <c r="B52" s="7">
        <f>B51/5</f>
        <v>440.52499999999998</v>
      </c>
      <c r="C52" s="7">
        <f>C51/5</f>
        <v>10716325</v>
      </c>
      <c r="D52" s="6">
        <f t="shared" si="7"/>
        <v>24326.258441632144</v>
      </c>
      <c r="E52">
        <f t="shared" si="3"/>
        <v>9.9294720660694931E-4</v>
      </c>
      <c r="F52">
        <f t="shared" si="4"/>
        <v>9.5979317603806825E-4</v>
      </c>
    </row>
    <row r="53" spans="1:6" x14ac:dyDescent="0.2">
      <c r="A53">
        <v>96</v>
      </c>
      <c r="B53" s="7">
        <f>B52</f>
        <v>440.52499999999998</v>
      </c>
      <c r="C53" s="7">
        <f>C52</f>
        <v>10716325</v>
      </c>
      <c r="D53" s="6">
        <f t="shared" si="7"/>
        <v>24326.258441632144</v>
      </c>
      <c r="E53">
        <f t="shared" si="3"/>
        <v>9.9294720660694931E-4</v>
      </c>
      <c r="F53">
        <f t="shared" si="4"/>
        <v>9.5979317603806825E-4</v>
      </c>
    </row>
    <row r="54" spans="1:6" x14ac:dyDescent="0.2">
      <c r="A54">
        <v>97</v>
      </c>
      <c r="B54" s="7">
        <f t="shared" ref="B54:B56" si="24">B53</f>
        <v>440.52499999999998</v>
      </c>
      <c r="C54" s="7">
        <f t="shared" ref="C54:C56" si="25">C53</f>
        <v>10716325</v>
      </c>
      <c r="D54" s="6">
        <f t="shared" si="7"/>
        <v>24326.258441632144</v>
      </c>
      <c r="E54">
        <f t="shared" si="3"/>
        <v>9.9294720660694931E-4</v>
      </c>
      <c r="F54">
        <f t="shared" si="4"/>
        <v>9.5979317603806825E-4</v>
      </c>
    </row>
    <row r="55" spans="1:6" x14ac:dyDescent="0.2">
      <c r="A55">
        <v>98</v>
      </c>
      <c r="B55" s="7">
        <f t="shared" si="24"/>
        <v>440.52499999999998</v>
      </c>
      <c r="C55" s="7">
        <f t="shared" si="25"/>
        <v>10716325</v>
      </c>
      <c r="D55" s="6">
        <f t="shared" si="7"/>
        <v>24326.258441632144</v>
      </c>
      <c r="E55">
        <f t="shared" si="3"/>
        <v>9.9294720660694931E-4</v>
      </c>
      <c r="F55">
        <f t="shared" si="4"/>
        <v>9.5979317603806825E-4</v>
      </c>
    </row>
    <row r="56" spans="1:6" x14ac:dyDescent="0.2">
      <c r="A56">
        <v>99</v>
      </c>
      <c r="B56" s="7">
        <f t="shared" si="24"/>
        <v>440.52499999999998</v>
      </c>
      <c r="C56" s="7">
        <f t="shared" si="25"/>
        <v>10716325</v>
      </c>
      <c r="D56" s="6">
        <f t="shared" si="7"/>
        <v>24326.258441632144</v>
      </c>
      <c r="E56">
        <f t="shared" si="3"/>
        <v>9.9294720660694931E-4</v>
      </c>
      <c r="F56">
        <f t="shared" si="4"/>
        <v>9.5979317603806825E-4</v>
      </c>
    </row>
    <row r="57" spans="1:6" x14ac:dyDescent="0.2">
      <c r="A57">
        <v>100</v>
      </c>
      <c r="B57" s="7">
        <f>(87072+1033-SUM(B37:B56))/COUNT(A57:A77)</f>
        <v>419.54761904762046</v>
      </c>
      <c r="C57" s="7">
        <f>(2125387000+17878000-SUM(C37:C56))/COUNT(A57:A57:A77)</f>
        <v>10206023.80952381</v>
      </c>
      <c r="D57" s="6">
        <f t="shared" si="7"/>
        <v>24326.258441632061</v>
      </c>
      <c r="E57">
        <f t="shared" si="3"/>
        <v>9.4566400629233593E-4</v>
      </c>
      <c r="F57">
        <f t="shared" si="4"/>
        <v>9.1408873908387458E-4</v>
      </c>
    </row>
    <row r="58" spans="1:6" x14ac:dyDescent="0.2">
      <c r="A58">
        <v>101</v>
      </c>
      <c r="B58" s="7">
        <f>B57</f>
        <v>419.54761904762046</v>
      </c>
      <c r="C58" s="7">
        <f>C57</f>
        <v>10206023.80952381</v>
      </c>
      <c r="D58" s="6">
        <f t="shared" si="7"/>
        <v>24326.258441632061</v>
      </c>
      <c r="E58">
        <f t="shared" si="3"/>
        <v>9.4566400629233593E-4</v>
      </c>
      <c r="F58">
        <f t="shared" si="4"/>
        <v>9.1408873908387458E-4</v>
      </c>
    </row>
    <row r="59" spans="1:6" x14ac:dyDescent="0.2">
      <c r="A59">
        <v>102</v>
      </c>
      <c r="B59" s="7">
        <f t="shared" ref="B59:B77" si="26">B58</f>
        <v>419.54761904762046</v>
      </c>
      <c r="C59" s="7">
        <f t="shared" ref="C59:C77" si="27">C58</f>
        <v>10206023.80952381</v>
      </c>
      <c r="D59" s="6">
        <f t="shared" si="7"/>
        <v>24326.258441632061</v>
      </c>
      <c r="E59">
        <f t="shared" si="3"/>
        <v>9.4566400629233593E-4</v>
      </c>
      <c r="F59">
        <f t="shared" si="4"/>
        <v>9.1408873908387458E-4</v>
      </c>
    </row>
    <row r="60" spans="1:6" x14ac:dyDescent="0.2">
      <c r="A60">
        <v>103</v>
      </c>
      <c r="B60" s="7">
        <f t="shared" si="26"/>
        <v>419.54761904762046</v>
      </c>
      <c r="C60" s="7">
        <f t="shared" si="27"/>
        <v>10206023.80952381</v>
      </c>
      <c r="D60" s="6">
        <f t="shared" si="7"/>
        <v>24326.258441632061</v>
      </c>
      <c r="E60">
        <f t="shared" si="3"/>
        <v>9.4566400629233593E-4</v>
      </c>
      <c r="F60">
        <f t="shared" si="4"/>
        <v>9.1408873908387458E-4</v>
      </c>
    </row>
    <row r="61" spans="1:6" x14ac:dyDescent="0.2">
      <c r="A61">
        <v>104</v>
      </c>
      <c r="B61" s="7">
        <f t="shared" si="26"/>
        <v>419.54761904762046</v>
      </c>
      <c r="C61" s="7">
        <f t="shared" si="27"/>
        <v>10206023.80952381</v>
      </c>
      <c r="D61" s="6">
        <f t="shared" si="7"/>
        <v>24326.258441632061</v>
      </c>
      <c r="E61">
        <f t="shared" si="3"/>
        <v>9.4566400629233593E-4</v>
      </c>
      <c r="F61">
        <f t="shared" si="4"/>
        <v>9.1408873908387458E-4</v>
      </c>
    </row>
    <row r="62" spans="1:6" x14ac:dyDescent="0.2">
      <c r="A62">
        <v>105</v>
      </c>
      <c r="B62" s="7">
        <f t="shared" si="26"/>
        <v>419.54761904762046</v>
      </c>
      <c r="C62" s="7">
        <f t="shared" si="27"/>
        <v>10206023.80952381</v>
      </c>
      <c r="D62" s="6">
        <f t="shared" si="7"/>
        <v>24326.258441632061</v>
      </c>
      <c r="E62">
        <f t="shared" si="3"/>
        <v>9.4566400629233593E-4</v>
      </c>
      <c r="F62">
        <f t="shared" si="4"/>
        <v>9.1408873908387458E-4</v>
      </c>
    </row>
    <row r="63" spans="1:6" x14ac:dyDescent="0.2">
      <c r="A63">
        <v>106</v>
      </c>
      <c r="B63" s="7">
        <f t="shared" si="26"/>
        <v>419.54761904762046</v>
      </c>
      <c r="C63" s="7">
        <f t="shared" si="27"/>
        <v>10206023.80952381</v>
      </c>
      <c r="D63" s="6">
        <f t="shared" si="7"/>
        <v>24326.258441632061</v>
      </c>
      <c r="E63">
        <f t="shared" si="3"/>
        <v>9.4566400629233593E-4</v>
      </c>
      <c r="F63">
        <f t="shared" si="4"/>
        <v>9.1408873908387458E-4</v>
      </c>
    </row>
    <row r="64" spans="1:6" x14ac:dyDescent="0.2">
      <c r="A64">
        <v>107</v>
      </c>
      <c r="B64" s="7">
        <f t="shared" si="26"/>
        <v>419.54761904762046</v>
      </c>
      <c r="C64" s="7">
        <f t="shared" si="27"/>
        <v>10206023.80952381</v>
      </c>
      <c r="D64" s="6">
        <f t="shared" si="7"/>
        <v>24326.258441632061</v>
      </c>
      <c r="E64">
        <f t="shared" si="3"/>
        <v>9.4566400629233593E-4</v>
      </c>
      <c r="F64">
        <f t="shared" si="4"/>
        <v>9.1408873908387458E-4</v>
      </c>
    </row>
    <row r="65" spans="1:6" x14ac:dyDescent="0.2">
      <c r="A65">
        <v>108</v>
      </c>
      <c r="B65" s="7">
        <f t="shared" si="26"/>
        <v>419.54761904762046</v>
      </c>
      <c r="C65" s="7">
        <f t="shared" si="27"/>
        <v>10206023.80952381</v>
      </c>
      <c r="D65" s="6">
        <f t="shared" si="7"/>
        <v>24326.258441632061</v>
      </c>
      <c r="E65">
        <f t="shared" si="3"/>
        <v>9.4566400629233593E-4</v>
      </c>
      <c r="F65">
        <f t="shared" si="4"/>
        <v>9.1408873908387458E-4</v>
      </c>
    </row>
    <row r="66" spans="1:6" x14ac:dyDescent="0.2">
      <c r="A66">
        <v>109</v>
      </c>
      <c r="B66" s="7">
        <f t="shared" si="26"/>
        <v>419.54761904762046</v>
      </c>
      <c r="C66" s="7">
        <f t="shared" si="27"/>
        <v>10206023.80952381</v>
      </c>
      <c r="D66" s="6">
        <f t="shared" si="7"/>
        <v>24326.258441632061</v>
      </c>
      <c r="E66">
        <f t="shared" si="3"/>
        <v>9.4566400629233593E-4</v>
      </c>
      <c r="F66">
        <f t="shared" si="4"/>
        <v>9.1408873908387458E-4</v>
      </c>
    </row>
    <row r="67" spans="1:6" x14ac:dyDescent="0.2">
      <c r="A67">
        <v>110</v>
      </c>
      <c r="B67" s="7">
        <f t="shared" si="26"/>
        <v>419.54761904762046</v>
      </c>
      <c r="C67" s="7">
        <f t="shared" si="27"/>
        <v>10206023.80952381</v>
      </c>
      <c r="D67" s="6">
        <f t="shared" si="7"/>
        <v>24326.258441632061</v>
      </c>
      <c r="E67">
        <f t="shared" ref="E67:E77" si="28">B67/SUM($B$2:$B$77)</f>
        <v>9.4566400629233593E-4</v>
      </c>
      <c r="F67">
        <f t="shared" ref="F67:F77" si="29">C67/SUM($C$2:$C$77)</f>
        <v>9.1408873908387458E-4</v>
      </c>
    </row>
    <row r="68" spans="1:6" x14ac:dyDescent="0.2">
      <c r="A68">
        <v>111</v>
      </c>
      <c r="B68" s="7">
        <f t="shared" si="26"/>
        <v>419.54761904762046</v>
      </c>
      <c r="C68" s="7">
        <f t="shared" si="27"/>
        <v>10206023.80952381</v>
      </c>
      <c r="D68" s="6">
        <f t="shared" si="7"/>
        <v>24326.258441632061</v>
      </c>
      <c r="E68">
        <f t="shared" si="28"/>
        <v>9.4566400629233593E-4</v>
      </c>
      <c r="F68">
        <f t="shared" si="29"/>
        <v>9.1408873908387458E-4</v>
      </c>
    </row>
    <row r="69" spans="1:6" x14ac:dyDescent="0.2">
      <c r="A69">
        <v>112</v>
      </c>
      <c r="B69" s="7">
        <f t="shared" si="26"/>
        <v>419.54761904762046</v>
      </c>
      <c r="C69" s="7">
        <f t="shared" si="27"/>
        <v>10206023.80952381</v>
      </c>
      <c r="D69" s="6">
        <f t="shared" si="7"/>
        <v>24326.258441632061</v>
      </c>
      <c r="E69">
        <f t="shared" si="28"/>
        <v>9.4566400629233593E-4</v>
      </c>
      <c r="F69">
        <f t="shared" si="29"/>
        <v>9.1408873908387458E-4</v>
      </c>
    </row>
    <row r="70" spans="1:6" x14ac:dyDescent="0.2">
      <c r="A70">
        <v>113</v>
      </c>
      <c r="B70" s="7">
        <f t="shared" si="26"/>
        <v>419.54761904762046</v>
      </c>
      <c r="C70" s="7">
        <f t="shared" si="27"/>
        <v>10206023.80952381</v>
      </c>
      <c r="D70" s="6">
        <f t="shared" si="7"/>
        <v>24326.258441632061</v>
      </c>
      <c r="E70">
        <f t="shared" si="28"/>
        <v>9.4566400629233593E-4</v>
      </c>
      <c r="F70">
        <f t="shared" si="29"/>
        <v>9.1408873908387458E-4</v>
      </c>
    </row>
    <row r="71" spans="1:6" x14ac:dyDescent="0.2">
      <c r="A71">
        <v>114</v>
      </c>
      <c r="B71" s="7">
        <f t="shared" si="26"/>
        <v>419.54761904762046</v>
      </c>
      <c r="C71" s="7">
        <f t="shared" si="27"/>
        <v>10206023.80952381</v>
      </c>
      <c r="D71" s="6">
        <f t="shared" si="7"/>
        <v>24326.258441632061</v>
      </c>
      <c r="E71">
        <f t="shared" si="28"/>
        <v>9.4566400629233593E-4</v>
      </c>
      <c r="F71">
        <f t="shared" si="29"/>
        <v>9.1408873908387458E-4</v>
      </c>
    </row>
    <row r="72" spans="1:6" x14ac:dyDescent="0.2">
      <c r="A72">
        <v>115</v>
      </c>
      <c r="B72" s="7">
        <f t="shared" si="26"/>
        <v>419.54761904762046</v>
      </c>
      <c r="C72" s="7">
        <f t="shared" si="27"/>
        <v>10206023.80952381</v>
      </c>
      <c r="D72" s="6">
        <f t="shared" si="7"/>
        <v>24326.258441632061</v>
      </c>
      <c r="E72">
        <f t="shared" si="28"/>
        <v>9.4566400629233593E-4</v>
      </c>
      <c r="F72">
        <f t="shared" si="29"/>
        <v>9.1408873908387458E-4</v>
      </c>
    </row>
    <row r="73" spans="1:6" x14ac:dyDescent="0.2">
      <c r="A73">
        <v>116</v>
      </c>
      <c r="B73" s="7">
        <f t="shared" si="26"/>
        <v>419.54761904762046</v>
      </c>
      <c r="C73" s="7">
        <f t="shared" si="27"/>
        <v>10206023.80952381</v>
      </c>
      <c r="D73" s="6">
        <f t="shared" si="7"/>
        <v>24326.258441632061</v>
      </c>
      <c r="E73">
        <f t="shared" si="28"/>
        <v>9.4566400629233593E-4</v>
      </c>
      <c r="F73">
        <f t="shared" si="29"/>
        <v>9.1408873908387458E-4</v>
      </c>
    </row>
    <row r="74" spans="1:6" x14ac:dyDescent="0.2">
      <c r="A74">
        <v>117</v>
      </c>
      <c r="B74" s="7">
        <f t="shared" si="26"/>
        <v>419.54761904762046</v>
      </c>
      <c r="C74" s="7">
        <f t="shared" si="27"/>
        <v>10206023.80952381</v>
      </c>
      <c r="D74" s="6">
        <f t="shared" si="7"/>
        <v>24326.258441632061</v>
      </c>
      <c r="E74">
        <f t="shared" si="28"/>
        <v>9.4566400629233593E-4</v>
      </c>
      <c r="F74">
        <f t="shared" si="29"/>
        <v>9.1408873908387458E-4</v>
      </c>
    </row>
    <row r="75" spans="1:6" x14ac:dyDescent="0.2">
      <c r="A75">
        <v>118</v>
      </c>
      <c r="B75" s="7">
        <f t="shared" si="26"/>
        <v>419.54761904762046</v>
      </c>
      <c r="C75" s="7">
        <f t="shared" si="27"/>
        <v>10206023.80952381</v>
      </c>
      <c r="D75" s="6">
        <f t="shared" si="7"/>
        <v>24326.258441632061</v>
      </c>
      <c r="E75">
        <f t="shared" si="28"/>
        <v>9.4566400629233593E-4</v>
      </c>
      <c r="F75">
        <f t="shared" si="29"/>
        <v>9.1408873908387458E-4</v>
      </c>
    </row>
    <row r="76" spans="1:6" x14ac:dyDescent="0.2">
      <c r="A76">
        <v>119</v>
      </c>
      <c r="B76" s="7">
        <f t="shared" si="26"/>
        <v>419.54761904762046</v>
      </c>
      <c r="C76" s="7">
        <f t="shared" si="27"/>
        <v>10206023.80952381</v>
      </c>
      <c r="D76" s="6">
        <f t="shared" ref="D76:D77" si="30">C76/B76</f>
        <v>24326.258441632061</v>
      </c>
      <c r="E76">
        <f t="shared" si="28"/>
        <v>9.4566400629233593E-4</v>
      </c>
      <c r="F76">
        <f t="shared" si="29"/>
        <v>9.1408873908387458E-4</v>
      </c>
    </row>
    <row r="77" spans="1:6" x14ac:dyDescent="0.2">
      <c r="A77">
        <v>120</v>
      </c>
      <c r="B77" s="7">
        <f t="shared" si="26"/>
        <v>419.54761904762046</v>
      </c>
      <c r="C77" s="7">
        <f t="shared" si="27"/>
        <v>10206023.80952381</v>
      </c>
      <c r="D77" s="6">
        <f t="shared" si="30"/>
        <v>24326.258441632061</v>
      </c>
      <c r="E77">
        <f t="shared" si="28"/>
        <v>9.4566400629233593E-4</v>
      </c>
      <c r="F77">
        <f t="shared" si="29"/>
        <v>9.1408873908387458E-4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F533-9F89-4740-A861-F45A21A4134D}">
  <sheetPr>
    <tabColor rgb="FFFFFF00"/>
  </sheetPr>
  <dimension ref="A1:L35"/>
  <sheetViews>
    <sheetView workbookViewId="0">
      <selection activeCell="K14" sqref="K14"/>
    </sheetView>
  </sheetViews>
  <sheetFormatPr baseColWidth="10" defaultColWidth="8.83203125" defaultRowHeight="16" x14ac:dyDescent="0.2"/>
  <cols>
    <col min="1" max="1" width="4.33203125" bestFit="1" customWidth="1"/>
    <col min="2" max="12" width="12.33203125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</row>
    <row r="4" spans="1:12" x14ac:dyDescent="0.2">
      <c r="A4" s="5">
        <v>27</v>
      </c>
      <c r="B4" s="4"/>
      <c r="C4" s="4">
        <v>2</v>
      </c>
      <c r="D4" s="4"/>
      <c r="E4" s="4"/>
      <c r="F4" s="4"/>
      <c r="G4" s="4"/>
      <c r="H4" s="4"/>
    </row>
    <row r="5" spans="1:12" x14ac:dyDescent="0.2">
      <c r="A5" s="5">
        <v>32</v>
      </c>
      <c r="B5" s="4"/>
      <c r="C5" s="4">
        <v>5</v>
      </c>
      <c r="D5" s="4">
        <v>4</v>
      </c>
      <c r="E5" s="4"/>
    </row>
    <row r="6" spans="1:12" x14ac:dyDescent="0.2">
      <c r="A6" s="5">
        <v>37</v>
      </c>
      <c r="B6" s="4"/>
      <c r="C6" s="4">
        <v>2</v>
      </c>
      <c r="D6" s="4">
        <v>5</v>
      </c>
      <c r="E6" s="4">
        <v>1</v>
      </c>
      <c r="F6" s="4"/>
      <c r="G6" s="4"/>
      <c r="H6" s="4"/>
    </row>
    <row r="7" spans="1:12" x14ac:dyDescent="0.2">
      <c r="A7" s="5">
        <v>42</v>
      </c>
      <c r="B7" s="4"/>
      <c r="C7" s="4">
        <v>1</v>
      </c>
      <c r="D7" s="4">
        <v>4</v>
      </c>
      <c r="E7" s="4">
        <v>5</v>
      </c>
      <c r="F7" s="4">
        <v>3</v>
      </c>
      <c r="G7" s="4"/>
      <c r="H7" s="4"/>
    </row>
    <row r="8" spans="1:12" x14ac:dyDescent="0.2">
      <c r="A8" s="5">
        <v>47</v>
      </c>
      <c r="B8" s="4"/>
      <c r="C8" s="4"/>
      <c r="D8" s="4">
        <v>4</v>
      </c>
      <c r="E8" s="4">
        <v>4</v>
      </c>
      <c r="F8" s="4">
        <v>5</v>
      </c>
      <c r="G8" s="4">
        <v>6</v>
      </c>
      <c r="H8" s="4"/>
    </row>
    <row r="9" spans="1:12" x14ac:dyDescent="0.2">
      <c r="A9" s="5">
        <v>52</v>
      </c>
      <c r="B9" s="4"/>
      <c r="C9" s="4">
        <v>2</v>
      </c>
      <c r="D9" s="4">
        <v>1</v>
      </c>
      <c r="E9" s="4">
        <v>4</v>
      </c>
      <c r="F9" s="4">
        <v>6</v>
      </c>
      <c r="G9" s="4">
        <v>4</v>
      </c>
      <c r="H9" s="4">
        <v>2</v>
      </c>
    </row>
    <row r="10" spans="1:12" x14ac:dyDescent="0.2">
      <c r="A10" s="5">
        <v>57</v>
      </c>
      <c r="B10" s="4"/>
      <c r="C10" s="4"/>
      <c r="D10" s="4">
        <v>1</v>
      </c>
      <c r="E10" s="4">
        <v>1</v>
      </c>
      <c r="F10" s="4">
        <v>2</v>
      </c>
      <c r="G10" s="4">
        <v>1</v>
      </c>
      <c r="H10" s="4">
        <v>1</v>
      </c>
      <c r="I10" s="4"/>
    </row>
    <row r="11" spans="1:12" x14ac:dyDescent="0.2">
      <c r="A11" s="5">
        <v>62</v>
      </c>
      <c r="B11" s="4"/>
      <c r="C11" s="4"/>
      <c r="D11" s="4"/>
      <c r="E11" s="4"/>
      <c r="F11" s="4">
        <v>1</v>
      </c>
      <c r="G11" s="4"/>
      <c r="H11" s="4"/>
      <c r="I11" s="4"/>
      <c r="J11" s="4"/>
    </row>
    <row r="12" spans="1:12" x14ac:dyDescent="0.2">
      <c r="A12" s="5">
        <v>67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2" x14ac:dyDescent="0.2">
      <c r="A13" s="5"/>
      <c r="B13" s="4"/>
      <c r="C13" s="4"/>
      <c r="D13" s="4"/>
      <c r="E13" s="4"/>
      <c r="F13" s="4"/>
      <c r="G13" s="4"/>
      <c r="H13" s="4"/>
    </row>
    <row r="18" spans="1:12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34" spans="3:3" x14ac:dyDescent="0.2">
      <c r="C34" s="11"/>
    </row>
    <row r="35" spans="3:3" x14ac:dyDescent="0.2">
      <c r="C3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B97F-BA44-A84A-9D96-AB7C37746A5F}">
  <sheetPr>
    <tabColor rgb="FFFFFF00"/>
  </sheetPr>
  <dimension ref="A1:L12"/>
  <sheetViews>
    <sheetView workbookViewId="0">
      <selection activeCell="C6" sqref="C6"/>
    </sheetView>
  </sheetViews>
  <sheetFormatPr baseColWidth="10" defaultColWidth="8.83203125" defaultRowHeight="16" x14ac:dyDescent="0.2"/>
  <cols>
    <col min="1" max="1" width="4.33203125" bestFit="1" customWidth="1"/>
    <col min="2" max="11" width="10.5" bestFit="1" customWidth="1"/>
    <col min="12" max="12" width="11.5" bestFit="1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</row>
    <row r="4" spans="1:12" x14ac:dyDescent="0.2">
      <c r="A4" s="5">
        <v>27</v>
      </c>
      <c r="B4" s="4"/>
      <c r="C4" s="4">
        <v>43553</v>
      </c>
      <c r="D4" s="4"/>
      <c r="E4" s="4"/>
      <c r="F4" s="4"/>
      <c r="G4" s="4"/>
      <c r="H4" s="4"/>
    </row>
    <row r="5" spans="1:12" x14ac:dyDescent="0.2">
      <c r="A5" s="5">
        <v>32</v>
      </c>
      <c r="B5" s="4"/>
      <c r="C5" s="4">
        <v>46372</v>
      </c>
      <c r="D5" s="4">
        <v>46589</v>
      </c>
      <c r="E5" s="4"/>
    </row>
    <row r="6" spans="1:12" x14ac:dyDescent="0.2">
      <c r="A6" s="5">
        <v>37</v>
      </c>
      <c r="B6" s="4"/>
      <c r="C6" s="4">
        <v>44457</v>
      </c>
      <c r="D6" s="4">
        <v>45751</v>
      </c>
      <c r="E6" s="4">
        <v>45056</v>
      </c>
      <c r="F6" s="4"/>
      <c r="G6" s="4"/>
      <c r="H6" s="4"/>
    </row>
    <row r="7" spans="1:12" x14ac:dyDescent="0.2">
      <c r="A7" s="5">
        <v>42</v>
      </c>
      <c r="B7" s="4"/>
      <c r="C7" s="4">
        <v>42061</v>
      </c>
      <c r="D7" s="4">
        <v>41306</v>
      </c>
      <c r="E7" s="4">
        <v>46007</v>
      </c>
      <c r="F7" s="4">
        <v>43711</v>
      </c>
      <c r="G7" s="4"/>
      <c r="H7" s="4"/>
    </row>
    <row r="8" spans="1:12" x14ac:dyDescent="0.2">
      <c r="A8" s="5">
        <v>47</v>
      </c>
      <c r="B8" s="4"/>
      <c r="C8" s="4"/>
      <c r="D8" s="4">
        <v>41587</v>
      </c>
      <c r="E8" s="4">
        <v>45440</v>
      </c>
      <c r="F8" s="4">
        <v>53647</v>
      </c>
      <c r="G8" s="4">
        <v>57724</v>
      </c>
      <c r="H8" s="4"/>
    </row>
    <row r="9" spans="1:12" x14ac:dyDescent="0.2">
      <c r="A9" s="5">
        <v>52</v>
      </c>
      <c r="B9" s="4"/>
      <c r="C9" s="4">
        <v>44220</v>
      </c>
      <c r="D9" s="4">
        <v>43856</v>
      </c>
      <c r="E9" s="4">
        <v>46451</v>
      </c>
      <c r="F9" s="4">
        <v>43664</v>
      </c>
      <c r="G9" s="4">
        <v>62433</v>
      </c>
      <c r="H9" s="4">
        <v>79840</v>
      </c>
      <c r="I9" s="4"/>
    </row>
    <row r="10" spans="1:12" x14ac:dyDescent="0.2">
      <c r="A10" s="5">
        <v>57</v>
      </c>
      <c r="B10" s="4"/>
      <c r="C10" s="4"/>
      <c r="D10" s="4">
        <v>33376</v>
      </c>
      <c r="E10" s="4">
        <v>61310</v>
      </c>
      <c r="F10" s="4">
        <v>57342</v>
      </c>
      <c r="G10" s="4">
        <v>64478</v>
      </c>
      <c r="H10" s="4">
        <v>42000</v>
      </c>
      <c r="I10" s="4"/>
      <c r="J10" s="4"/>
    </row>
    <row r="11" spans="1:12" x14ac:dyDescent="0.2">
      <c r="A11" s="5">
        <v>62</v>
      </c>
      <c r="B11" s="4"/>
      <c r="C11" s="4"/>
      <c r="D11" s="4"/>
      <c r="E11" s="4"/>
      <c r="F11" s="4">
        <v>44290</v>
      </c>
      <c r="G11" s="4"/>
      <c r="H11" s="4"/>
      <c r="I11" s="4"/>
      <c r="J11" s="4"/>
      <c r="K11" s="4"/>
    </row>
    <row r="12" spans="1:12" x14ac:dyDescent="0.2">
      <c r="A12" s="5">
        <v>67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0FEAA-060B-384D-B06D-9ECC84F35781}">
  <sheetPr>
    <tabColor rgb="FFFFFF00"/>
  </sheetPr>
  <dimension ref="A1:L12"/>
  <sheetViews>
    <sheetView workbookViewId="0">
      <selection activeCell="M1" sqref="M1"/>
    </sheetView>
  </sheetViews>
  <sheetFormatPr baseColWidth="10" defaultRowHeight="16" x14ac:dyDescent="0.2"/>
  <cols>
    <col min="1" max="1" width="4.1640625" bestFit="1" customWidth="1"/>
    <col min="2" max="3" width="10.5" bestFit="1" customWidth="1"/>
    <col min="4" max="9" width="11.5" bestFit="1" customWidth="1"/>
    <col min="10" max="10" width="10.5" bestFit="1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/>
      <c r="C4" s="4">
        <v>29697</v>
      </c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19479</v>
      </c>
      <c r="C5" s="4">
        <v>29697</v>
      </c>
      <c r="D5" s="4"/>
      <c r="E5" s="4"/>
      <c r="F5" s="4"/>
      <c r="G5" s="4"/>
      <c r="H5" s="4"/>
      <c r="I5" s="4"/>
      <c r="J5" s="4"/>
    </row>
    <row r="6" spans="1:12" x14ac:dyDescent="0.2">
      <c r="A6" s="5">
        <v>37</v>
      </c>
      <c r="B6" s="4">
        <v>62179</v>
      </c>
      <c r="C6" s="4">
        <v>29697</v>
      </c>
      <c r="D6" s="4">
        <v>137969</v>
      </c>
      <c r="E6" s="4"/>
      <c r="F6" s="4"/>
      <c r="G6" s="4"/>
      <c r="H6" s="4"/>
      <c r="I6" s="4"/>
      <c r="J6" s="4"/>
    </row>
    <row r="7" spans="1:12" x14ac:dyDescent="0.2">
      <c r="A7" s="5">
        <v>42</v>
      </c>
      <c r="B7" s="4">
        <v>29697</v>
      </c>
      <c r="C7" s="4">
        <v>29697</v>
      </c>
      <c r="D7" s="4">
        <v>29697</v>
      </c>
      <c r="E7" s="4">
        <v>29697</v>
      </c>
      <c r="F7" s="4"/>
      <c r="G7" s="4"/>
      <c r="H7" s="4"/>
      <c r="I7" s="4"/>
      <c r="J7" s="4"/>
    </row>
    <row r="8" spans="1:12" x14ac:dyDescent="0.2">
      <c r="A8" s="5">
        <v>47</v>
      </c>
      <c r="B8" s="4">
        <v>29697</v>
      </c>
      <c r="C8" s="4">
        <v>29697</v>
      </c>
      <c r="D8" s="4">
        <v>96085</v>
      </c>
      <c r="E8" s="4">
        <v>110901</v>
      </c>
      <c r="F8" s="4">
        <v>192105</v>
      </c>
      <c r="G8" s="4">
        <v>27222</v>
      </c>
      <c r="H8" s="4"/>
      <c r="I8" s="4"/>
      <c r="J8" s="4"/>
    </row>
    <row r="9" spans="1:12" x14ac:dyDescent="0.2">
      <c r="A9" s="5">
        <v>52</v>
      </c>
      <c r="B9" s="4">
        <v>29697</v>
      </c>
      <c r="C9" s="4">
        <v>28472</v>
      </c>
      <c r="D9" s="4">
        <v>29697</v>
      </c>
      <c r="E9" s="4">
        <v>151503</v>
      </c>
      <c r="F9" s="4">
        <v>192105</v>
      </c>
      <c r="G9" s="4">
        <v>110901</v>
      </c>
      <c r="H9" s="4"/>
      <c r="I9" s="4"/>
      <c r="J9" s="4"/>
    </row>
    <row r="10" spans="1:12" x14ac:dyDescent="0.2">
      <c r="A10" s="5">
        <v>57</v>
      </c>
      <c r="B10" s="4">
        <v>29697</v>
      </c>
      <c r="C10" s="4">
        <v>29697</v>
      </c>
      <c r="D10" s="4">
        <v>29697</v>
      </c>
      <c r="E10" s="4">
        <v>29697</v>
      </c>
      <c r="F10" s="4"/>
      <c r="G10" s="4"/>
      <c r="H10" s="4">
        <v>192105</v>
      </c>
      <c r="I10" s="4"/>
      <c r="J10" s="4"/>
    </row>
    <row r="11" spans="1:12" x14ac:dyDescent="0.2">
      <c r="A11" s="5">
        <v>62</v>
      </c>
      <c r="B11" s="4">
        <v>29697</v>
      </c>
      <c r="C11" s="4">
        <v>29697</v>
      </c>
      <c r="D11" s="4">
        <v>29697</v>
      </c>
      <c r="E11" s="4">
        <v>29697</v>
      </c>
      <c r="F11" s="4"/>
      <c r="G11" s="4">
        <v>192105</v>
      </c>
      <c r="H11" s="4"/>
      <c r="I11" s="4">
        <v>192105</v>
      </c>
      <c r="J11" s="4">
        <v>29697</v>
      </c>
    </row>
    <row r="12" spans="1:12" x14ac:dyDescent="0.2">
      <c r="A12" s="5">
        <v>67</v>
      </c>
      <c r="B12" s="4">
        <v>29697</v>
      </c>
      <c r="C12" s="4">
        <v>29697</v>
      </c>
      <c r="D12" s="4">
        <v>29697</v>
      </c>
      <c r="E12" s="4">
        <v>29697</v>
      </c>
      <c r="F12" s="4">
        <v>137969</v>
      </c>
      <c r="G12" s="4">
        <v>29697</v>
      </c>
      <c r="H12" s="4"/>
      <c r="I12" s="4"/>
      <c r="J1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A2BE-28F9-C94F-B660-A2CCAE484B55}">
  <sheetPr>
    <tabColor rgb="FFFFFF00"/>
  </sheetPr>
  <dimension ref="A1:L12"/>
  <sheetViews>
    <sheetView workbookViewId="0">
      <selection sqref="A1:L12"/>
    </sheetView>
  </sheetViews>
  <sheetFormatPr baseColWidth="10" defaultRowHeight="16" x14ac:dyDescent="0.2"/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/>
      <c r="C4" s="4">
        <v>1</v>
      </c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2</v>
      </c>
      <c r="C5" s="4">
        <v>2</v>
      </c>
      <c r="D5" s="4"/>
      <c r="E5" s="4"/>
      <c r="F5" s="4"/>
      <c r="G5" s="4"/>
      <c r="H5" s="4"/>
      <c r="I5" s="4"/>
      <c r="J5" s="4"/>
    </row>
    <row r="6" spans="1:12" x14ac:dyDescent="0.2">
      <c r="A6" s="5">
        <v>37</v>
      </c>
      <c r="B6" s="4">
        <v>5</v>
      </c>
      <c r="C6" s="4">
        <v>5</v>
      </c>
      <c r="D6" s="4">
        <v>3</v>
      </c>
      <c r="E6" s="4"/>
      <c r="F6" s="4"/>
      <c r="G6" s="4"/>
      <c r="H6" s="4"/>
      <c r="I6" s="4"/>
      <c r="J6" s="4"/>
    </row>
    <row r="7" spans="1:12" x14ac:dyDescent="0.2">
      <c r="A7" s="5">
        <v>42</v>
      </c>
      <c r="B7" s="4">
        <v>1</v>
      </c>
      <c r="C7" s="4">
        <v>4</v>
      </c>
      <c r="D7" s="4">
        <v>1</v>
      </c>
      <c r="E7" s="4">
        <v>1</v>
      </c>
      <c r="F7" s="4"/>
      <c r="G7" s="4"/>
      <c r="H7" s="4"/>
      <c r="I7" s="4"/>
      <c r="J7" s="4"/>
    </row>
    <row r="8" spans="1:12" x14ac:dyDescent="0.2">
      <c r="A8" s="5">
        <v>47</v>
      </c>
      <c r="B8" s="4">
        <v>3</v>
      </c>
      <c r="C8" s="4">
        <v>5</v>
      </c>
      <c r="D8" s="4">
        <v>4</v>
      </c>
      <c r="E8" s="4">
        <v>2</v>
      </c>
      <c r="F8" s="4">
        <v>1</v>
      </c>
      <c r="G8" s="4">
        <v>1</v>
      </c>
      <c r="H8" s="4"/>
      <c r="I8" s="4"/>
      <c r="J8" s="4"/>
    </row>
    <row r="9" spans="1:12" x14ac:dyDescent="0.2">
      <c r="A9" s="5">
        <v>52</v>
      </c>
      <c r="B9" s="4">
        <v>2</v>
      </c>
      <c r="C9" s="4">
        <v>3</v>
      </c>
      <c r="D9" s="4">
        <v>1</v>
      </c>
      <c r="E9" s="4">
        <v>4</v>
      </c>
      <c r="F9" s="4">
        <v>3</v>
      </c>
      <c r="G9" s="4">
        <v>2</v>
      </c>
      <c r="H9" s="4"/>
      <c r="I9" s="4"/>
      <c r="J9" s="4"/>
    </row>
    <row r="10" spans="1:12" x14ac:dyDescent="0.2">
      <c r="A10" s="5">
        <v>57</v>
      </c>
      <c r="B10" s="4">
        <v>1</v>
      </c>
      <c r="C10" s="4">
        <v>2</v>
      </c>
      <c r="D10" s="4">
        <v>1</v>
      </c>
      <c r="E10" s="4">
        <v>4</v>
      </c>
      <c r="F10" s="4"/>
      <c r="G10" s="4"/>
      <c r="H10" s="4">
        <v>3</v>
      </c>
      <c r="I10" s="4"/>
      <c r="J10" s="4"/>
    </row>
    <row r="11" spans="1:12" x14ac:dyDescent="0.2">
      <c r="A11" s="5">
        <v>62</v>
      </c>
      <c r="B11" s="4">
        <v>1</v>
      </c>
      <c r="C11" s="4">
        <v>3</v>
      </c>
      <c r="D11" s="4">
        <v>3</v>
      </c>
      <c r="E11" s="4">
        <v>1</v>
      </c>
      <c r="F11" s="4"/>
      <c r="G11" s="4">
        <v>1</v>
      </c>
      <c r="H11" s="4"/>
      <c r="I11" s="4">
        <v>1</v>
      </c>
      <c r="J11" s="4">
        <v>1</v>
      </c>
    </row>
    <row r="12" spans="1:12" x14ac:dyDescent="0.2">
      <c r="A12" s="5">
        <v>67</v>
      </c>
      <c r="B12" s="4">
        <v>1</v>
      </c>
      <c r="C12" s="4">
        <v>1</v>
      </c>
      <c r="D12" s="4">
        <v>2</v>
      </c>
      <c r="E12" s="4">
        <v>2</v>
      </c>
      <c r="F12" s="4">
        <v>3</v>
      </c>
      <c r="G12" s="4">
        <v>1</v>
      </c>
      <c r="H12" s="4"/>
      <c r="I12" s="4"/>
      <c r="J12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AC68-0D9A-7746-84EB-7783B97292C3}">
  <sheetPr>
    <tabColor rgb="FFFFFF00"/>
  </sheetPr>
  <dimension ref="A1:L12"/>
  <sheetViews>
    <sheetView workbookViewId="0">
      <selection sqref="A1:L12"/>
    </sheetView>
  </sheetViews>
  <sheetFormatPr baseColWidth="10" defaultRowHeight="16" x14ac:dyDescent="0.2"/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>
        <v>1</v>
      </c>
      <c r="C4" s="4">
        <v>1</v>
      </c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8</v>
      </c>
      <c r="C5" s="4">
        <v>4</v>
      </c>
      <c r="D5" s="4">
        <v>2</v>
      </c>
      <c r="E5" s="4"/>
      <c r="F5" s="4"/>
      <c r="G5" s="4"/>
      <c r="H5" s="4"/>
      <c r="I5" s="4"/>
      <c r="J5" s="4"/>
    </row>
    <row r="6" spans="1:12" x14ac:dyDescent="0.2">
      <c r="A6" s="5">
        <v>37</v>
      </c>
      <c r="B6" s="4">
        <v>9</v>
      </c>
      <c r="C6" s="4">
        <v>10</v>
      </c>
      <c r="D6" s="4">
        <v>7</v>
      </c>
      <c r="E6" s="4">
        <v>2</v>
      </c>
      <c r="F6" s="4"/>
      <c r="G6" s="4"/>
      <c r="H6" s="4"/>
      <c r="I6" s="4"/>
      <c r="J6" s="4"/>
    </row>
    <row r="7" spans="1:12" x14ac:dyDescent="0.2">
      <c r="A7" s="5">
        <v>42</v>
      </c>
      <c r="B7" s="4">
        <v>16</v>
      </c>
      <c r="C7" s="4">
        <v>17</v>
      </c>
      <c r="D7" s="4">
        <v>11</v>
      </c>
      <c r="E7" s="4">
        <v>10</v>
      </c>
      <c r="F7" s="4">
        <v>4</v>
      </c>
      <c r="G7" s="4"/>
      <c r="H7" s="4"/>
      <c r="I7" s="4"/>
      <c r="J7" s="4"/>
    </row>
    <row r="8" spans="1:12" x14ac:dyDescent="0.2">
      <c r="A8" s="5">
        <v>47</v>
      </c>
      <c r="B8" s="4">
        <v>15</v>
      </c>
      <c r="C8" s="4">
        <v>19</v>
      </c>
      <c r="D8" s="4">
        <v>13</v>
      </c>
      <c r="E8" s="4">
        <v>11</v>
      </c>
      <c r="F8" s="4">
        <v>10</v>
      </c>
      <c r="G8" s="4">
        <v>5</v>
      </c>
      <c r="H8" s="4">
        <v>1</v>
      </c>
      <c r="I8" s="4"/>
      <c r="J8" s="4"/>
    </row>
    <row r="9" spans="1:12" x14ac:dyDescent="0.2">
      <c r="A9" s="5">
        <v>52</v>
      </c>
      <c r="B9" s="4">
        <v>11</v>
      </c>
      <c r="C9" s="4">
        <v>28</v>
      </c>
      <c r="D9" s="4">
        <v>25</v>
      </c>
      <c r="E9" s="4">
        <v>16</v>
      </c>
      <c r="F9" s="4">
        <v>17</v>
      </c>
      <c r="G9" s="4">
        <v>17</v>
      </c>
      <c r="H9" s="4">
        <v>9</v>
      </c>
      <c r="I9" s="4">
        <v>1</v>
      </c>
      <c r="J9" s="4"/>
    </row>
    <row r="10" spans="1:12" x14ac:dyDescent="0.2">
      <c r="A10" s="5">
        <v>57</v>
      </c>
      <c r="B10" s="4">
        <v>11</v>
      </c>
      <c r="C10" s="4">
        <v>29</v>
      </c>
      <c r="D10" s="4">
        <v>20</v>
      </c>
      <c r="E10" s="4">
        <v>12</v>
      </c>
      <c r="F10" s="4">
        <v>15</v>
      </c>
      <c r="G10" s="4">
        <v>5</v>
      </c>
      <c r="H10" s="4">
        <v>11</v>
      </c>
      <c r="I10" s="4">
        <v>5</v>
      </c>
      <c r="J10" s="4"/>
    </row>
    <row r="11" spans="1:12" x14ac:dyDescent="0.2">
      <c r="A11" s="5">
        <v>62</v>
      </c>
      <c r="B11" s="4">
        <v>7</v>
      </c>
      <c r="C11" s="4">
        <v>34</v>
      </c>
      <c r="D11" s="4">
        <v>16</v>
      </c>
      <c r="E11" s="4">
        <v>12</v>
      </c>
      <c r="F11" s="4">
        <v>10</v>
      </c>
      <c r="G11" s="4">
        <v>10</v>
      </c>
      <c r="H11" s="4">
        <v>5</v>
      </c>
      <c r="I11" s="4">
        <v>3</v>
      </c>
      <c r="J11" s="4"/>
    </row>
    <row r="12" spans="1:12" x14ac:dyDescent="0.2">
      <c r="A12" s="5">
        <v>67</v>
      </c>
      <c r="B12" s="4">
        <v>17</v>
      </c>
      <c r="C12" s="4">
        <v>31</v>
      </c>
      <c r="D12" s="4">
        <v>26</v>
      </c>
      <c r="E12" s="4">
        <v>28</v>
      </c>
      <c r="F12" s="4">
        <v>21</v>
      </c>
      <c r="G12" s="4">
        <v>14</v>
      </c>
      <c r="H12" s="4">
        <v>4</v>
      </c>
      <c r="I12" s="4">
        <v>6</v>
      </c>
      <c r="J12" s="4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842A-D307-A848-831F-DD8BC3465C45}">
  <sheetPr>
    <tabColor rgb="FFFFFF00"/>
  </sheetPr>
  <dimension ref="A1:L12"/>
  <sheetViews>
    <sheetView workbookViewId="0">
      <selection sqref="A1:L12"/>
    </sheetView>
  </sheetViews>
  <sheetFormatPr baseColWidth="10" defaultRowHeight="16" x14ac:dyDescent="0.2"/>
  <cols>
    <col min="2" max="4" width="10.5" bestFit="1" customWidth="1"/>
    <col min="5" max="10" width="11.5" bestFit="1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>
        <v>37215</v>
      </c>
      <c r="C4" s="4">
        <v>8652</v>
      </c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24961</v>
      </c>
      <c r="C5" s="4">
        <v>17250</v>
      </c>
      <c r="D5" s="4">
        <v>76367</v>
      </c>
      <c r="E5" s="4"/>
      <c r="F5" s="4"/>
      <c r="G5" s="4"/>
      <c r="H5" s="4"/>
      <c r="I5" s="4"/>
      <c r="J5" s="4"/>
    </row>
    <row r="6" spans="1:12" x14ac:dyDescent="0.2">
      <c r="A6" s="5">
        <v>37</v>
      </c>
      <c r="B6" s="4">
        <v>53053</v>
      </c>
      <c r="C6" s="4">
        <v>27029</v>
      </c>
      <c r="D6" s="4">
        <v>63235</v>
      </c>
      <c r="E6" s="4">
        <v>77637</v>
      </c>
      <c r="F6" s="4"/>
      <c r="G6" s="4"/>
      <c r="H6" s="4"/>
      <c r="I6" s="4"/>
      <c r="J6" s="4"/>
    </row>
    <row r="7" spans="1:12" x14ac:dyDescent="0.2">
      <c r="A7" s="5">
        <v>42</v>
      </c>
      <c r="B7" s="4">
        <v>42096</v>
      </c>
      <c r="C7" s="4">
        <v>37309</v>
      </c>
      <c r="D7" s="4">
        <v>88336</v>
      </c>
      <c r="E7" s="4">
        <v>75094</v>
      </c>
      <c r="F7" s="4">
        <v>106347</v>
      </c>
      <c r="G7" s="4"/>
      <c r="H7" s="4"/>
      <c r="I7" s="4"/>
      <c r="J7" s="4"/>
    </row>
    <row r="8" spans="1:12" x14ac:dyDescent="0.2">
      <c r="A8" s="5">
        <v>47</v>
      </c>
      <c r="B8" s="4">
        <v>54868</v>
      </c>
      <c r="C8" s="4">
        <v>66050</v>
      </c>
      <c r="D8" s="4">
        <v>52282</v>
      </c>
      <c r="E8" s="4">
        <v>108084</v>
      </c>
      <c r="F8" s="4">
        <v>88408</v>
      </c>
      <c r="G8" s="4">
        <v>102145</v>
      </c>
      <c r="H8" s="4">
        <v>28406</v>
      </c>
      <c r="I8" s="4"/>
      <c r="J8" s="4"/>
    </row>
    <row r="9" spans="1:12" x14ac:dyDescent="0.2">
      <c r="A9" s="5">
        <v>52</v>
      </c>
      <c r="B9" s="4">
        <v>62842</v>
      </c>
      <c r="C9" s="4">
        <v>38362</v>
      </c>
      <c r="D9" s="4">
        <v>82480</v>
      </c>
      <c r="E9" s="4">
        <v>77074</v>
      </c>
      <c r="F9" s="4">
        <v>71254</v>
      </c>
      <c r="G9" s="4">
        <v>86667</v>
      </c>
      <c r="H9" s="4">
        <v>125976</v>
      </c>
      <c r="I9" s="4">
        <v>157647</v>
      </c>
      <c r="J9" s="4"/>
    </row>
    <row r="10" spans="1:12" x14ac:dyDescent="0.2">
      <c r="A10" s="5">
        <v>57</v>
      </c>
      <c r="B10" s="4">
        <v>32352</v>
      </c>
      <c r="C10" s="4">
        <v>66494</v>
      </c>
      <c r="D10" s="4">
        <v>45005</v>
      </c>
      <c r="E10" s="4">
        <v>99802</v>
      </c>
      <c r="F10" s="4">
        <v>91706</v>
      </c>
      <c r="G10" s="4">
        <v>111580</v>
      </c>
      <c r="H10" s="4">
        <v>102202</v>
      </c>
      <c r="I10" s="4">
        <v>120194</v>
      </c>
      <c r="J10" s="4"/>
    </row>
    <row r="11" spans="1:12" x14ac:dyDescent="0.2">
      <c r="A11" s="5">
        <v>62</v>
      </c>
      <c r="B11" s="4">
        <v>47076</v>
      </c>
      <c r="C11" s="4">
        <v>53367</v>
      </c>
      <c r="D11" s="4">
        <v>63778</v>
      </c>
      <c r="E11" s="4">
        <v>69254</v>
      </c>
      <c r="F11" s="4">
        <v>77451</v>
      </c>
      <c r="G11" s="4">
        <v>67898</v>
      </c>
      <c r="H11" s="4">
        <v>100965</v>
      </c>
      <c r="I11" s="4">
        <v>62594</v>
      </c>
      <c r="J11" s="4"/>
    </row>
    <row r="12" spans="1:12" x14ac:dyDescent="0.2">
      <c r="A12" s="5">
        <v>67</v>
      </c>
      <c r="B12" s="4">
        <v>35921</v>
      </c>
      <c r="C12" s="4">
        <v>58172</v>
      </c>
      <c r="D12" s="4">
        <v>48546</v>
      </c>
      <c r="E12" s="4">
        <v>55796</v>
      </c>
      <c r="F12" s="4">
        <v>53336</v>
      </c>
      <c r="G12" s="4">
        <v>66599</v>
      </c>
      <c r="H12" s="4">
        <v>92269</v>
      </c>
      <c r="I12" s="4">
        <v>114664</v>
      </c>
      <c r="J12" s="4">
        <v>102296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6E1B-371B-5A49-A577-D72728BC3403}">
  <sheetPr>
    <tabColor rgb="FFFFFF00"/>
  </sheetPr>
  <dimension ref="A1:L12"/>
  <sheetViews>
    <sheetView workbookViewId="0">
      <selection sqref="A1:L12"/>
    </sheetView>
  </sheetViews>
  <sheetFormatPr baseColWidth="10" defaultRowHeight="16" x14ac:dyDescent="0.2"/>
  <cols>
    <col min="2" max="10" width="11.5" bestFit="1" customWidth="1"/>
    <col min="11" max="12" width="3.1640625" bestFit="1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/>
      <c r="C4" s="4"/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160255</v>
      </c>
      <c r="C5" s="4"/>
      <c r="D5" s="4"/>
      <c r="E5" s="4"/>
      <c r="F5" s="4"/>
      <c r="G5" s="4"/>
      <c r="H5" s="4"/>
      <c r="I5" s="4"/>
      <c r="J5" s="4"/>
    </row>
    <row r="6" spans="1:12" x14ac:dyDescent="0.2">
      <c r="A6" s="5">
        <v>37</v>
      </c>
      <c r="B6" s="4">
        <v>140572</v>
      </c>
      <c r="C6" s="4">
        <v>155271</v>
      </c>
      <c r="D6" s="4">
        <v>157362</v>
      </c>
      <c r="E6" s="4"/>
      <c r="F6" s="4"/>
      <c r="G6" s="4"/>
      <c r="H6" s="4"/>
      <c r="I6" s="4"/>
      <c r="J6" s="4"/>
    </row>
    <row r="7" spans="1:12" x14ac:dyDescent="0.2">
      <c r="A7" s="5">
        <v>42</v>
      </c>
      <c r="B7" s="4">
        <v>163841</v>
      </c>
      <c r="C7" s="4">
        <v>168551</v>
      </c>
      <c r="D7" s="4">
        <v>161853</v>
      </c>
      <c r="E7" s="4">
        <v>154784</v>
      </c>
      <c r="F7" s="4"/>
      <c r="G7" s="4"/>
      <c r="H7" s="4"/>
      <c r="I7" s="4"/>
      <c r="J7" s="4"/>
    </row>
    <row r="8" spans="1:12" x14ac:dyDescent="0.2">
      <c r="A8" s="5">
        <v>47</v>
      </c>
      <c r="B8" s="4">
        <v>160416</v>
      </c>
      <c r="C8" s="4">
        <v>162442</v>
      </c>
      <c r="D8" s="4">
        <v>167759</v>
      </c>
      <c r="E8" s="4">
        <v>160709</v>
      </c>
      <c r="F8" s="4">
        <v>158583</v>
      </c>
      <c r="G8" s="4"/>
      <c r="H8" s="4"/>
      <c r="I8" s="4"/>
      <c r="J8" s="4"/>
    </row>
    <row r="9" spans="1:12" x14ac:dyDescent="0.2">
      <c r="A9" s="5">
        <v>52</v>
      </c>
      <c r="B9" s="4">
        <v>159976</v>
      </c>
      <c r="C9" s="4">
        <v>167255</v>
      </c>
      <c r="D9" s="4">
        <v>156700</v>
      </c>
      <c r="E9" s="4">
        <v>163568</v>
      </c>
      <c r="F9" s="4">
        <v>163347</v>
      </c>
      <c r="G9" s="4">
        <v>165445</v>
      </c>
      <c r="H9" s="4">
        <v>156377</v>
      </c>
      <c r="I9" s="4"/>
      <c r="J9" s="4"/>
    </row>
    <row r="10" spans="1:12" x14ac:dyDescent="0.2">
      <c r="A10" s="5">
        <v>57</v>
      </c>
      <c r="B10" s="4">
        <v>160948</v>
      </c>
      <c r="C10" s="4">
        <v>165811</v>
      </c>
      <c r="D10" s="4">
        <v>161624</v>
      </c>
      <c r="E10" s="4">
        <v>159709</v>
      </c>
      <c r="F10" s="4">
        <v>164589</v>
      </c>
      <c r="G10" s="4">
        <v>165836</v>
      </c>
      <c r="H10" s="4">
        <v>161856</v>
      </c>
      <c r="I10" s="4"/>
      <c r="J10" s="4"/>
    </row>
    <row r="11" spans="1:12" x14ac:dyDescent="0.2">
      <c r="A11" s="5">
        <v>62</v>
      </c>
      <c r="B11" s="4">
        <v>171446</v>
      </c>
      <c r="C11" s="4">
        <v>166973</v>
      </c>
      <c r="D11" s="4">
        <v>165472</v>
      </c>
      <c r="E11" s="4">
        <v>165115</v>
      </c>
      <c r="F11" s="4">
        <v>164229</v>
      </c>
      <c r="G11" s="4">
        <v>163951</v>
      </c>
      <c r="H11" s="4">
        <v>163391</v>
      </c>
      <c r="I11" s="4">
        <v>163683</v>
      </c>
      <c r="J11" s="4"/>
    </row>
    <row r="12" spans="1:12" x14ac:dyDescent="0.2">
      <c r="A12" s="5">
        <v>67</v>
      </c>
      <c r="B12" s="4">
        <v>152573</v>
      </c>
      <c r="C12" s="4">
        <v>168834</v>
      </c>
      <c r="D12" s="4">
        <v>164291</v>
      </c>
      <c r="E12" s="4">
        <v>163987</v>
      </c>
      <c r="F12" s="4">
        <v>177119</v>
      </c>
      <c r="G12" s="4">
        <v>180936</v>
      </c>
      <c r="H12" s="4">
        <v>174241</v>
      </c>
      <c r="I12" s="4">
        <v>160943</v>
      </c>
      <c r="J12" s="4">
        <v>171330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AA3B-6C79-C143-BA18-E2C629D01B90}">
  <sheetPr>
    <tabColor rgb="FFFFFF00"/>
  </sheetPr>
  <dimension ref="A1:L12"/>
  <sheetViews>
    <sheetView workbookViewId="0">
      <selection sqref="A1:L12"/>
    </sheetView>
  </sheetViews>
  <sheetFormatPr baseColWidth="10" defaultRowHeight="16" x14ac:dyDescent="0.2"/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/>
      <c r="C4" s="4"/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1</v>
      </c>
      <c r="C5" s="4"/>
      <c r="D5" s="4"/>
      <c r="E5" s="4"/>
      <c r="F5" s="4"/>
      <c r="G5" s="4"/>
      <c r="H5" s="4"/>
      <c r="I5" s="4"/>
      <c r="J5" s="4"/>
    </row>
    <row r="6" spans="1:12" x14ac:dyDescent="0.2">
      <c r="A6" s="5">
        <v>37</v>
      </c>
      <c r="B6" s="4">
        <v>13</v>
      </c>
      <c r="C6" s="4">
        <v>8</v>
      </c>
      <c r="D6" s="4">
        <v>11</v>
      </c>
      <c r="E6" s="4"/>
      <c r="F6" s="4"/>
      <c r="G6" s="4"/>
      <c r="H6" s="4"/>
      <c r="I6" s="4"/>
      <c r="J6" s="4"/>
    </row>
    <row r="7" spans="1:12" x14ac:dyDescent="0.2">
      <c r="A7" s="5">
        <v>42</v>
      </c>
      <c r="B7" s="4">
        <v>18</v>
      </c>
      <c r="C7" s="4">
        <v>16</v>
      </c>
      <c r="D7" s="4">
        <v>12</v>
      </c>
      <c r="E7" s="4">
        <v>11</v>
      </c>
      <c r="F7" s="4"/>
      <c r="G7" s="4"/>
      <c r="H7" s="4"/>
      <c r="I7" s="4"/>
      <c r="J7" s="4"/>
    </row>
    <row r="8" spans="1:12" x14ac:dyDescent="0.2">
      <c r="A8" s="5">
        <v>47</v>
      </c>
      <c r="B8" s="4">
        <v>14</v>
      </c>
      <c r="C8" s="4">
        <v>24</v>
      </c>
      <c r="D8" s="4">
        <v>15</v>
      </c>
      <c r="E8" s="4">
        <v>21</v>
      </c>
      <c r="F8" s="4">
        <v>20</v>
      </c>
      <c r="G8" s="4"/>
      <c r="H8" s="4"/>
      <c r="I8" s="4"/>
      <c r="J8" s="4"/>
    </row>
    <row r="9" spans="1:12" x14ac:dyDescent="0.2">
      <c r="A9" s="5">
        <v>52</v>
      </c>
      <c r="B9" s="4">
        <v>18</v>
      </c>
      <c r="C9" s="4">
        <v>20</v>
      </c>
      <c r="D9" s="4">
        <v>30</v>
      </c>
      <c r="E9" s="4">
        <v>29</v>
      </c>
      <c r="F9" s="4">
        <v>32</v>
      </c>
      <c r="G9" s="4">
        <v>25</v>
      </c>
      <c r="H9" s="4">
        <v>1</v>
      </c>
      <c r="I9" s="4"/>
      <c r="J9" s="4"/>
    </row>
    <row r="10" spans="1:12" x14ac:dyDescent="0.2">
      <c r="A10" s="5">
        <v>57</v>
      </c>
      <c r="B10" s="4">
        <v>6</v>
      </c>
      <c r="C10" s="4">
        <v>26</v>
      </c>
      <c r="D10" s="4">
        <v>21</v>
      </c>
      <c r="E10" s="4">
        <v>20</v>
      </c>
      <c r="F10" s="4">
        <v>31</v>
      </c>
      <c r="G10" s="4">
        <v>23</v>
      </c>
      <c r="H10" s="4">
        <v>10</v>
      </c>
      <c r="I10" s="4"/>
      <c r="J10" s="4"/>
    </row>
    <row r="11" spans="1:12" x14ac:dyDescent="0.2">
      <c r="A11" s="5">
        <v>62</v>
      </c>
      <c r="B11" s="4">
        <v>3</v>
      </c>
      <c r="C11" s="4">
        <v>18</v>
      </c>
      <c r="D11" s="4">
        <v>29</v>
      </c>
      <c r="E11" s="4">
        <v>25</v>
      </c>
      <c r="F11" s="4">
        <v>26</v>
      </c>
      <c r="G11" s="4">
        <v>19</v>
      </c>
      <c r="H11" s="4">
        <v>9</v>
      </c>
      <c r="I11" s="4">
        <v>5</v>
      </c>
      <c r="J11" s="4"/>
    </row>
    <row r="12" spans="1:12" x14ac:dyDescent="0.2">
      <c r="A12" s="5">
        <v>67</v>
      </c>
      <c r="B12" s="4">
        <v>2</v>
      </c>
      <c r="C12" s="4">
        <v>8</v>
      </c>
      <c r="D12" s="4">
        <v>15</v>
      </c>
      <c r="E12" s="4">
        <v>12</v>
      </c>
      <c r="F12" s="4">
        <v>11</v>
      </c>
      <c r="G12" s="4">
        <v>4</v>
      </c>
      <c r="H12" s="4">
        <v>2</v>
      </c>
      <c r="I12" s="4">
        <v>2</v>
      </c>
      <c r="J12" s="4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1DDA-77B5-FE4E-A3DD-367E0D76DE02}">
  <sheetPr>
    <tabColor rgb="FFFFFF00"/>
  </sheetPr>
  <dimension ref="A1:L12"/>
  <sheetViews>
    <sheetView workbookViewId="0">
      <selection activeCell="M13" sqref="M13"/>
    </sheetView>
  </sheetViews>
  <sheetFormatPr baseColWidth="10" defaultRowHeight="16" x14ac:dyDescent="0.2"/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>
        <v>2</v>
      </c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>
        <v>142</v>
      </c>
      <c r="C4" s="4">
        <v>11</v>
      </c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157</v>
      </c>
      <c r="C5" s="4">
        <v>209</v>
      </c>
      <c r="D5" s="4">
        <v>15</v>
      </c>
      <c r="E5" s="4">
        <v>2</v>
      </c>
      <c r="F5" s="4"/>
      <c r="G5" s="4"/>
      <c r="H5" s="4"/>
      <c r="I5" s="4"/>
      <c r="J5" s="4"/>
    </row>
    <row r="6" spans="1:12" x14ac:dyDescent="0.2">
      <c r="A6" s="5">
        <v>37</v>
      </c>
      <c r="B6" s="4">
        <v>87</v>
      </c>
      <c r="C6" s="4">
        <v>252</v>
      </c>
      <c r="D6" s="4">
        <v>177</v>
      </c>
      <c r="E6" s="4">
        <v>50</v>
      </c>
      <c r="F6" s="4">
        <v>2</v>
      </c>
      <c r="G6" s="4"/>
      <c r="H6" s="4"/>
      <c r="I6" s="4"/>
      <c r="J6" s="4"/>
    </row>
    <row r="7" spans="1:12" x14ac:dyDescent="0.2">
      <c r="A7" s="5">
        <v>42</v>
      </c>
      <c r="B7" s="4">
        <v>58</v>
      </c>
      <c r="C7" s="4">
        <v>100</v>
      </c>
      <c r="D7" s="4">
        <v>145</v>
      </c>
      <c r="E7" s="4">
        <v>242</v>
      </c>
      <c r="F7" s="4">
        <v>61</v>
      </c>
      <c r="G7" s="4">
        <v>2</v>
      </c>
      <c r="H7" s="4"/>
      <c r="I7" s="4"/>
      <c r="J7" s="4"/>
    </row>
    <row r="8" spans="1:12" x14ac:dyDescent="0.2">
      <c r="A8" s="5">
        <v>47</v>
      </c>
      <c r="B8" s="4">
        <v>57</v>
      </c>
      <c r="C8" s="4">
        <v>88</v>
      </c>
      <c r="D8" s="4">
        <v>98</v>
      </c>
      <c r="E8" s="4">
        <v>189</v>
      </c>
      <c r="F8" s="4">
        <v>255</v>
      </c>
      <c r="G8" s="4">
        <v>87</v>
      </c>
      <c r="H8" s="4">
        <v>1</v>
      </c>
      <c r="I8" s="4"/>
      <c r="J8" s="4"/>
    </row>
    <row r="9" spans="1:12" x14ac:dyDescent="0.2">
      <c r="A9" s="5">
        <v>52</v>
      </c>
      <c r="B9" s="4">
        <v>60</v>
      </c>
      <c r="C9" s="4">
        <v>72</v>
      </c>
      <c r="D9" s="4">
        <v>85</v>
      </c>
      <c r="E9" s="4">
        <v>145</v>
      </c>
      <c r="F9" s="4">
        <v>256</v>
      </c>
      <c r="G9" s="4">
        <v>321</v>
      </c>
      <c r="H9" s="4">
        <v>73</v>
      </c>
      <c r="I9" s="4">
        <v>2</v>
      </c>
      <c r="J9" s="4"/>
    </row>
    <row r="10" spans="1:12" x14ac:dyDescent="0.2">
      <c r="A10" s="5">
        <v>57</v>
      </c>
      <c r="B10" s="4">
        <v>60</v>
      </c>
      <c r="C10" s="4">
        <v>77</v>
      </c>
      <c r="D10" s="4">
        <v>87</v>
      </c>
      <c r="E10" s="4">
        <v>129</v>
      </c>
      <c r="F10" s="4">
        <v>153</v>
      </c>
      <c r="G10" s="4">
        <v>225</v>
      </c>
      <c r="H10" s="4">
        <v>125</v>
      </c>
      <c r="I10" s="4">
        <v>15</v>
      </c>
      <c r="J10" s="4">
        <v>1</v>
      </c>
    </row>
    <row r="11" spans="1:12" x14ac:dyDescent="0.2">
      <c r="A11" s="5">
        <v>62</v>
      </c>
      <c r="B11" s="4">
        <v>39</v>
      </c>
      <c r="C11" s="4">
        <v>75</v>
      </c>
      <c r="D11" s="4">
        <v>71</v>
      </c>
      <c r="E11" s="4">
        <v>87</v>
      </c>
      <c r="F11" s="4">
        <v>71</v>
      </c>
      <c r="G11" s="4">
        <v>94</v>
      </c>
      <c r="H11" s="4">
        <v>38</v>
      </c>
      <c r="I11" s="4">
        <v>31</v>
      </c>
      <c r="J11" s="4">
        <v>6</v>
      </c>
    </row>
    <row r="12" spans="1:12" x14ac:dyDescent="0.2">
      <c r="A12" s="5">
        <v>67</v>
      </c>
      <c r="B12" s="4">
        <v>7</v>
      </c>
      <c r="C12" s="4">
        <v>25</v>
      </c>
      <c r="D12" s="4">
        <v>38</v>
      </c>
      <c r="E12" s="4">
        <v>48</v>
      </c>
      <c r="F12" s="4">
        <v>42</v>
      </c>
      <c r="G12" s="4">
        <v>27</v>
      </c>
      <c r="H12" s="4">
        <v>19</v>
      </c>
      <c r="I12" s="4">
        <v>17</v>
      </c>
      <c r="J12" s="4">
        <v>8</v>
      </c>
      <c r="K12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6316-D953-8643-84B6-C8F1D73E599A}">
  <sheetPr>
    <tabColor rgb="FFFFFF00"/>
  </sheetPr>
  <dimension ref="A1:L12"/>
  <sheetViews>
    <sheetView workbookViewId="0">
      <selection activeCell="O31" sqref="O31"/>
    </sheetView>
  </sheetViews>
  <sheetFormatPr baseColWidth="10" defaultRowHeight="16" x14ac:dyDescent="0.2"/>
  <cols>
    <col min="2" max="10" width="11.5" bestFit="1" customWidth="1"/>
    <col min="11" max="11" width="14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">
      <c r="A3" s="5">
        <v>22</v>
      </c>
      <c r="B3" s="4">
        <v>42065</v>
      </c>
      <c r="C3" s="4"/>
      <c r="D3" s="4"/>
      <c r="E3" s="4"/>
      <c r="F3" s="4"/>
      <c r="G3" s="4"/>
      <c r="H3" s="4"/>
      <c r="I3" s="4"/>
      <c r="J3" s="4"/>
    </row>
    <row r="4" spans="1:12" x14ac:dyDescent="0.2">
      <c r="A4" s="5">
        <v>27</v>
      </c>
      <c r="B4" s="4">
        <v>53166</v>
      </c>
      <c r="C4" s="4">
        <v>61026</v>
      </c>
      <c r="D4" s="4"/>
      <c r="E4" s="4"/>
      <c r="F4" s="4"/>
      <c r="G4" s="4"/>
      <c r="H4" s="4"/>
      <c r="I4" s="4"/>
      <c r="J4" s="4"/>
    </row>
    <row r="5" spans="1:12" x14ac:dyDescent="0.2">
      <c r="A5" s="5">
        <v>32</v>
      </c>
      <c r="B5" s="4">
        <v>56168</v>
      </c>
      <c r="C5" s="4">
        <v>68476</v>
      </c>
      <c r="D5" s="4">
        <v>85739</v>
      </c>
      <c r="E5" s="4">
        <v>64389</v>
      </c>
      <c r="F5" s="4"/>
      <c r="G5" s="4"/>
      <c r="H5" s="4"/>
      <c r="I5" s="4"/>
      <c r="J5" s="4"/>
    </row>
    <row r="6" spans="1:12" x14ac:dyDescent="0.2">
      <c r="A6" s="5">
        <v>37</v>
      </c>
      <c r="B6" s="4">
        <v>64150</v>
      </c>
      <c r="C6" s="4">
        <v>74641</v>
      </c>
      <c r="D6" s="4">
        <v>87588</v>
      </c>
      <c r="E6" s="4">
        <v>86311</v>
      </c>
      <c r="F6" s="4">
        <v>97611</v>
      </c>
      <c r="G6" s="4"/>
      <c r="H6" s="4"/>
      <c r="I6" s="4"/>
      <c r="J6" s="4"/>
    </row>
    <row r="7" spans="1:12" x14ac:dyDescent="0.2">
      <c r="A7" s="5">
        <v>42</v>
      </c>
      <c r="B7" s="4">
        <v>91314</v>
      </c>
      <c r="C7" s="4">
        <v>85842</v>
      </c>
      <c r="D7" s="4">
        <v>87989</v>
      </c>
      <c r="E7" s="4">
        <v>99864</v>
      </c>
      <c r="F7" s="4">
        <v>107578</v>
      </c>
      <c r="G7" s="4">
        <v>98542</v>
      </c>
      <c r="H7" s="4"/>
      <c r="I7" s="4"/>
      <c r="J7" s="4"/>
    </row>
    <row r="8" spans="1:12" x14ac:dyDescent="0.2">
      <c r="A8" s="5">
        <v>47</v>
      </c>
      <c r="B8" s="4">
        <v>93778</v>
      </c>
      <c r="C8" s="4">
        <v>121790</v>
      </c>
      <c r="D8" s="4">
        <v>112017</v>
      </c>
      <c r="E8" s="4">
        <v>105440</v>
      </c>
      <c r="F8" s="4">
        <v>107502</v>
      </c>
      <c r="G8" s="4">
        <v>100444</v>
      </c>
      <c r="H8" s="4">
        <v>96054</v>
      </c>
      <c r="I8" s="4"/>
      <c r="J8" s="4"/>
    </row>
    <row r="9" spans="1:12" x14ac:dyDescent="0.2">
      <c r="A9" s="5">
        <v>52</v>
      </c>
      <c r="B9" s="4">
        <v>119578</v>
      </c>
      <c r="C9" s="4">
        <v>113064</v>
      </c>
      <c r="D9" s="4">
        <v>106639</v>
      </c>
      <c r="E9" s="4">
        <v>112603</v>
      </c>
      <c r="F9" s="4">
        <v>116324</v>
      </c>
      <c r="G9" s="4">
        <v>124839</v>
      </c>
      <c r="H9" s="4">
        <v>124615</v>
      </c>
      <c r="I9" s="4">
        <v>79818</v>
      </c>
      <c r="J9" s="4"/>
    </row>
    <row r="10" spans="1:12" x14ac:dyDescent="0.2">
      <c r="A10" s="5">
        <v>57</v>
      </c>
      <c r="B10" s="4">
        <v>119883</v>
      </c>
      <c r="C10" s="4">
        <v>113058</v>
      </c>
      <c r="D10" s="4">
        <v>119772</v>
      </c>
      <c r="E10" s="4">
        <v>115707</v>
      </c>
      <c r="F10" s="4">
        <v>119032</v>
      </c>
      <c r="G10" s="4">
        <v>124957</v>
      </c>
      <c r="H10" s="4">
        <v>135496</v>
      </c>
      <c r="I10" s="4">
        <v>138692</v>
      </c>
      <c r="J10" s="4">
        <v>52852</v>
      </c>
    </row>
    <row r="11" spans="1:12" x14ac:dyDescent="0.2">
      <c r="A11" s="5">
        <v>62</v>
      </c>
      <c r="B11" s="4">
        <v>112662</v>
      </c>
      <c r="C11" s="4">
        <v>134721</v>
      </c>
      <c r="D11" s="4">
        <v>125737</v>
      </c>
      <c r="E11" s="4">
        <v>126311</v>
      </c>
      <c r="F11" s="4">
        <v>130338</v>
      </c>
      <c r="G11" s="4">
        <v>126428</v>
      </c>
      <c r="H11" s="4">
        <v>132497</v>
      </c>
      <c r="I11" s="4">
        <v>140258</v>
      </c>
      <c r="J11" s="4">
        <v>109370</v>
      </c>
    </row>
    <row r="12" spans="1:12" x14ac:dyDescent="0.2">
      <c r="A12" s="5">
        <v>67</v>
      </c>
      <c r="B12" s="4">
        <v>78477</v>
      </c>
      <c r="C12" s="4">
        <v>135997</v>
      </c>
      <c r="D12" s="4">
        <v>147809</v>
      </c>
      <c r="E12" s="4">
        <v>108804</v>
      </c>
      <c r="F12" s="4">
        <v>135277</v>
      </c>
      <c r="G12" s="4">
        <v>143160</v>
      </c>
      <c r="H12" s="4">
        <v>167875</v>
      </c>
      <c r="I12" s="4">
        <v>136501</v>
      </c>
      <c r="J12" s="4">
        <v>188556</v>
      </c>
      <c r="K12" s="4">
        <v>242596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6DA-3D66-4D1C-8FD0-ABA5228E3F5F}">
  <dimension ref="A1:C12"/>
  <sheetViews>
    <sheetView workbookViewId="0">
      <selection activeCell="F22" sqref="F22"/>
    </sheetView>
  </sheetViews>
  <sheetFormatPr baseColWidth="10" defaultColWidth="8.6640625" defaultRowHeight="16" x14ac:dyDescent="0.2"/>
  <cols>
    <col min="1" max="1" width="9.6640625" bestFit="1" customWidth="1"/>
    <col min="2" max="2" width="12.1640625" customWidth="1"/>
    <col min="3" max="3" width="13.1640625" bestFit="1" customWidth="1"/>
    <col min="4" max="4" width="13.1640625" customWidth="1"/>
    <col min="5" max="5" width="10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>
        <v>20</v>
      </c>
      <c r="B2" s="8">
        <v>6831</v>
      </c>
      <c r="C2" s="9">
        <v>36718.166079235096</v>
      </c>
    </row>
    <row r="3" spans="1:3" x14ac:dyDescent="0.2">
      <c r="A3">
        <f t="shared" ref="A3:A12" si="0">A2+5</f>
        <v>25</v>
      </c>
      <c r="B3" s="8">
        <v>10917</v>
      </c>
      <c r="C3" s="9">
        <v>52715.331167729368</v>
      </c>
    </row>
    <row r="4" spans="1:3" x14ac:dyDescent="0.2">
      <c r="A4">
        <f t="shared" si="0"/>
        <v>30</v>
      </c>
      <c r="B4" s="8">
        <v>5895</v>
      </c>
      <c r="C4" s="9">
        <v>52270.229448343947</v>
      </c>
    </row>
    <row r="5" spans="1:3" x14ac:dyDescent="0.2">
      <c r="A5">
        <f t="shared" si="0"/>
        <v>35</v>
      </c>
      <c r="B5" s="8">
        <v>5266</v>
      </c>
      <c r="C5" s="9">
        <v>52392.389295044879</v>
      </c>
    </row>
    <row r="6" spans="1:3" x14ac:dyDescent="0.2">
      <c r="A6">
        <f t="shared" si="0"/>
        <v>40</v>
      </c>
      <c r="B6" s="8">
        <v>4769</v>
      </c>
      <c r="C6" s="9">
        <v>51969.152147521418</v>
      </c>
    </row>
    <row r="7" spans="1:3" x14ac:dyDescent="0.2">
      <c r="A7">
        <f t="shared" si="0"/>
        <v>45</v>
      </c>
      <c r="B7" s="8">
        <v>3563</v>
      </c>
      <c r="C7" s="9">
        <v>51440.642744698474</v>
      </c>
    </row>
    <row r="8" spans="1:3" x14ac:dyDescent="0.2">
      <c r="A8">
        <f t="shared" si="0"/>
        <v>50</v>
      </c>
      <c r="B8" s="8">
        <v>3008</v>
      </c>
      <c r="C8" s="9">
        <v>50351.960484656985</v>
      </c>
    </row>
    <row r="9" spans="1:3" x14ac:dyDescent="0.2">
      <c r="A9">
        <f t="shared" si="0"/>
        <v>55</v>
      </c>
      <c r="B9" s="8">
        <v>1786</v>
      </c>
      <c r="C9" s="9">
        <v>47507.694523616832</v>
      </c>
    </row>
    <row r="10" spans="1:3" x14ac:dyDescent="0.2">
      <c r="A10">
        <f t="shared" si="0"/>
        <v>60</v>
      </c>
      <c r="B10" s="8">
        <v>1247</v>
      </c>
      <c r="C10" s="9">
        <v>45183.530711375235</v>
      </c>
    </row>
    <row r="11" spans="1:3" x14ac:dyDescent="0.2">
      <c r="A11">
        <f t="shared" si="0"/>
        <v>65</v>
      </c>
      <c r="B11" s="8">
        <v>806</v>
      </c>
      <c r="C11" s="9">
        <v>38731.350194296007</v>
      </c>
    </row>
    <row r="12" spans="1:3" x14ac:dyDescent="0.2">
      <c r="A12">
        <f t="shared" si="0"/>
        <v>70</v>
      </c>
      <c r="B12" s="8">
        <v>677</v>
      </c>
      <c r="C12" s="9">
        <v>38731.350194296007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162"/>
  <sheetViews>
    <sheetView workbookViewId="0">
      <selection activeCell="G36" sqref="G36"/>
    </sheetView>
  </sheetViews>
  <sheetFormatPr baseColWidth="10" defaultColWidth="11.1640625" defaultRowHeight="16" x14ac:dyDescent="0.2"/>
  <cols>
    <col min="1" max="1" width="4.5" bestFit="1" customWidth="1"/>
    <col min="2" max="2" width="20.83203125" bestFit="1" customWidth="1"/>
    <col min="3" max="3" width="24.6640625" bestFit="1" customWidth="1"/>
    <col min="4" max="4" width="20.1640625" bestFit="1" customWidth="1"/>
    <col min="5" max="6" width="17.83203125" bestFit="1" customWidth="1"/>
    <col min="7" max="7" width="20.33203125" bestFit="1" customWidth="1"/>
    <col min="8" max="8" width="32.5" bestFit="1" customWidth="1"/>
  </cols>
  <sheetData>
    <row r="1" spans="1:8" x14ac:dyDescent="0.2">
      <c r="A1" t="s">
        <v>90</v>
      </c>
      <c r="B1" t="s">
        <v>2</v>
      </c>
      <c r="C1" t="s">
        <v>3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 x14ac:dyDescent="0.2">
      <c r="A2">
        <v>0</v>
      </c>
      <c r="B2" s="2">
        <v>7.8E-2</v>
      </c>
      <c r="C2" s="2">
        <v>7.3999999999999996E-2</v>
      </c>
      <c r="D2" s="12">
        <v>3.6999999999999998E-2</v>
      </c>
      <c r="E2" s="12">
        <v>3.5000000000000003E-2</v>
      </c>
      <c r="F2" s="12">
        <v>3.2500000000000001E-2</v>
      </c>
      <c r="G2" s="12">
        <v>3.5000000000000003E-2</v>
      </c>
      <c r="H2" s="12">
        <v>8.2000000000000003E-2</v>
      </c>
    </row>
    <row r="3" spans="1:8" x14ac:dyDescent="0.2">
      <c r="A3">
        <v>1</v>
      </c>
      <c r="B3" s="2">
        <v>5.8000000000000003E-2</v>
      </c>
      <c r="C3" s="2">
        <v>5.7000000000000002E-2</v>
      </c>
      <c r="D3" s="12">
        <v>3.6999999999999998E-2</v>
      </c>
      <c r="E3" s="12">
        <v>3.5000000000000003E-2</v>
      </c>
      <c r="F3" s="12">
        <v>3.2500000000000001E-2</v>
      </c>
      <c r="G3" s="12">
        <v>3.5000000000000003E-2</v>
      </c>
      <c r="H3" s="12">
        <v>8.2000000000000003E-2</v>
      </c>
    </row>
    <row r="4" spans="1:8" x14ac:dyDescent="0.2">
      <c r="A4">
        <v>2</v>
      </c>
      <c r="B4" s="2">
        <v>5.3999999999999999E-2</v>
      </c>
      <c r="C4" s="2">
        <v>5.3999999999999999E-2</v>
      </c>
      <c r="D4" s="12">
        <v>3.6999999999999998E-2</v>
      </c>
      <c r="E4" s="12">
        <v>3.5000000000000003E-2</v>
      </c>
      <c r="F4" s="12">
        <v>3.2500000000000001E-2</v>
      </c>
      <c r="G4" s="12">
        <v>3.5000000000000003E-2</v>
      </c>
      <c r="H4" s="12">
        <v>7.2999999999999995E-2</v>
      </c>
    </row>
    <row r="5" spans="1:8" x14ac:dyDescent="0.2">
      <c r="A5">
        <v>3</v>
      </c>
      <c r="B5" s="2">
        <v>5.0999999999999997E-2</v>
      </c>
      <c r="C5" s="2">
        <v>5.3999999999999999E-2</v>
      </c>
      <c r="D5" s="12">
        <v>3.6999999999999998E-2</v>
      </c>
      <c r="E5" s="12">
        <v>3.5000000000000003E-2</v>
      </c>
      <c r="F5" s="12">
        <v>3.2500000000000001E-2</v>
      </c>
      <c r="G5" s="12">
        <v>3.5000000000000003E-2</v>
      </c>
      <c r="H5" s="12">
        <v>6.5000000000000002E-2</v>
      </c>
    </row>
    <row r="6" spans="1:8" x14ac:dyDescent="0.2">
      <c r="A6">
        <v>4</v>
      </c>
      <c r="B6" s="2">
        <v>4.7E-2</v>
      </c>
      <c r="C6" s="2">
        <v>5.3999999999999999E-2</v>
      </c>
      <c r="D6" s="12">
        <v>3.6999999999999998E-2</v>
      </c>
      <c r="E6" s="12">
        <v>3.5000000000000003E-2</v>
      </c>
      <c r="F6" s="12">
        <v>3.2500000000000001E-2</v>
      </c>
      <c r="G6" s="12">
        <v>3.5000000000000003E-2</v>
      </c>
      <c r="H6" s="12">
        <v>6.0999999999999999E-2</v>
      </c>
    </row>
    <row r="7" spans="1:8" x14ac:dyDescent="0.2">
      <c r="A7">
        <v>5</v>
      </c>
      <c r="B7" s="2">
        <v>4.5999999999999999E-2</v>
      </c>
      <c r="C7" s="2">
        <v>5.3999999999999999E-2</v>
      </c>
      <c r="D7" s="12">
        <v>3.6999999999999998E-2</v>
      </c>
      <c r="E7" s="12">
        <v>3.5000000000000003E-2</v>
      </c>
      <c r="F7" s="12">
        <v>3.2500000000000001E-2</v>
      </c>
      <c r="G7" s="12">
        <v>3.5000000000000003E-2</v>
      </c>
      <c r="H7" s="12">
        <v>5.8000000000000003E-2</v>
      </c>
    </row>
    <row r="8" spans="1:8" x14ac:dyDescent="0.2">
      <c r="A8">
        <v>6</v>
      </c>
      <c r="B8" s="2">
        <v>4.5999999999999999E-2</v>
      </c>
      <c r="C8" s="2">
        <v>5.3999999999999999E-2</v>
      </c>
      <c r="D8" s="12">
        <v>3.6999999999999998E-2</v>
      </c>
      <c r="E8" s="12">
        <v>3.5000000000000003E-2</v>
      </c>
      <c r="F8" s="12">
        <v>3.2500000000000001E-2</v>
      </c>
      <c r="G8" s="12">
        <v>3.5000000000000003E-2</v>
      </c>
      <c r="H8" s="12">
        <v>5.3999999999999999E-2</v>
      </c>
    </row>
    <row r="9" spans="1:8" x14ac:dyDescent="0.2">
      <c r="A9">
        <v>7</v>
      </c>
      <c r="B9" s="2">
        <v>4.3999999999999997E-2</v>
      </c>
      <c r="C9" s="2">
        <v>5.2999999999999999E-2</v>
      </c>
      <c r="D9" s="12">
        <v>3.6999999999999998E-2</v>
      </c>
      <c r="E9" s="12">
        <v>3.5000000000000003E-2</v>
      </c>
      <c r="F9" s="12">
        <v>3.2500000000000001E-2</v>
      </c>
      <c r="G9" s="12">
        <v>3.5000000000000003E-2</v>
      </c>
      <c r="H9" s="12">
        <v>5.0999999999999997E-2</v>
      </c>
    </row>
    <row r="10" spans="1:8" x14ac:dyDescent="0.2">
      <c r="A10">
        <v>8</v>
      </c>
      <c r="B10" s="2">
        <v>4.3999999999999997E-2</v>
      </c>
      <c r="C10" s="2">
        <v>5.2999999999999999E-2</v>
      </c>
      <c r="D10" s="12">
        <v>3.6999999999999998E-2</v>
      </c>
      <c r="E10" s="12">
        <v>3.5000000000000003E-2</v>
      </c>
      <c r="F10" s="12">
        <v>3.2500000000000001E-2</v>
      </c>
      <c r="G10" s="12">
        <v>3.5000000000000003E-2</v>
      </c>
      <c r="H10" s="12">
        <v>4.5999999999999999E-2</v>
      </c>
    </row>
    <row r="11" spans="1:8" x14ac:dyDescent="0.2">
      <c r="A11">
        <v>9</v>
      </c>
      <c r="B11" s="2">
        <v>4.3999999999999997E-2</v>
      </c>
      <c r="C11" s="2">
        <v>5.2999999999999999E-2</v>
      </c>
      <c r="D11" s="12">
        <v>3.6999999999999998E-2</v>
      </c>
      <c r="E11" s="12">
        <v>3.5000000000000003E-2</v>
      </c>
      <c r="F11" s="12">
        <v>3.2500000000000001E-2</v>
      </c>
      <c r="G11" s="12">
        <v>3.5000000000000003E-2</v>
      </c>
      <c r="H11" s="12">
        <v>4.5999999999999999E-2</v>
      </c>
    </row>
    <row r="12" spans="1:8" x14ac:dyDescent="0.2">
      <c r="A12">
        <v>10</v>
      </c>
      <c r="B12" s="2">
        <v>4.3999999999999997E-2</v>
      </c>
      <c r="C12" s="2">
        <v>5.2999999999999999E-2</v>
      </c>
      <c r="D12" s="12">
        <v>3.6999999999999998E-2</v>
      </c>
      <c r="E12" s="12">
        <v>3.5000000000000003E-2</v>
      </c>
      <c r="F12" s="12">
        <v>3.2500000000000001E-2</v>
      </c>
      <c r="G12" s="12">
        <v>3.5000000000000003E-2</v>
      </c>
      <c r="H12" s="12">
        <v>4.5999999999999999E-2</v>
      </c>
    </row>
    <row r="13" spans="1:8" x14ac:dyDescent="0.2">
      <c r="A13">
        <v>11</v>
      </c>
      <c r="B13" s="2">
        <v>4.2999999999999997E-2</v>
      </c>
      <c r="C13" s="2">
        <v>5.0999999999999997E-2</v>
      </c>
      <c r="D13" s="12">
        <v>3.6999999999999998E-2</v>
      </c>
      <c r="E13" s="12">
        <v>3.5000000000000003E-2</v>
      </c>
      <c r="F13" s="12">
        <v>3.2500000000000001E-2</v>
      </c>
      <c r="G13" s="12">
        <v>3.5000000000000003E-2</v>
      </c>
      <c r="H13" s="12">
        <v>4.5999999999999999E-2</v>
      </c>
    </row>
    <row r="14" spans="1:8" x14ac:dyDescent="0.2">
      <c r="A14">
        <v>12</v>
      </c>
      <c r="B14" s="2">
        <v>4.2000000000000003E-2</v>
      </c>
      <c r="C14" s="2">
        <v>5.0999999999999997E-2</v>
      </c>
      <c r="D14" s="12">
        <v>3.6999999999999998E-2</v>
      </c>
      <c r="E14" s="12">
        <v>3.5000000000000003E-2</v>
      </c>
      <c r="F14" s="12">
        <v>3.2500000000000001E-2</v>
      </c>
      <c r="G14" s="12">
        <v>3.5000000000000003E-2</v>
      </c>
      <c r="H14" s="12">
        <v>4.5999999999999999E-2</v>
      </c>
    </row>
    <row r="15" spans="1:8" x14ac:dyDescent="0.2">
      <c r="A15">
        <v>13</v>
      </c>
      <c r="B15" s="2">
        <v>4.2000000000000003E-2</v>
      </c>
      <c r="C15" s="2">
        <v>0.05</v>
      </c>
      <c r="D15" s="12">
        <v>3.6999999999999998E-2</v>
      </c>
      <c r="E15" s="12">
        <v>3.5000000000000003E-2</v>
      </c>
      <c r="F15" s="12">
        <v>3.2500000000000001E-2</v>
      </c>
      <c r="G15" s="12">
        <v>3.5000000000000003E-2</v>
      </c>
      <c r="H15" s="12">
        <v>4.5999999999999999E-2</v>
      </c>
    </row>
    <row r="16" spans="1:8" x14ac:dyDescent="0.2">
      <c r="A16">
        <v>14</v>
      </c>
      <c r="B16" s="2">
        <v>4.2000000000000003E-2</v>
      </c>
      <c r="C16" s="2">
        <v>0.05</v>
      </c>
      <c r="D16" s="12">
        <v>3.6999999999999998E-2</v>
      </c>
      <c r="E16" s="12">
        <v>3.5000000000000003E-2</v>
      </c>
      <c r="F16" s="12">
        <v>3.2500000000000001E-2</v>
      </c>
      <c r="G16" s="12">
        <v>3.5000000000000003E-2</v>
      </c>
      <c r="H16" s="12">
        <v>4.5999999999999999E-2</v>
      </c>
    </row>
    <row r="17" spans="1:8" x14ac:dyDescent="0.2">
      <c r="A17">
        <v>15</v>
      </c>
      <c r="B17" s="2">
        <v>4.2000000000000003E-2</v>
      </c>
      <c r="C17" s="2">
        <v>0.05</v>
      </c>
      <c r="D17" s="12">
        <v>3.6999999999999998E-2</v>
      </c>
      <c r="E17" s="12">
        <v>3.5000000000000003E-2</v>
      </c>
      <c r="F17" s="12">
        <v>3.2500000000000001E-2</v>
      </c>
      <c r="G17" s="12">
        <v>3.5000000000000003E-2</v>
      </c>
      <c r="H17" s="12">
        <v>4.5999999999999999E-2</v>
      </c>
    </row>
    <row r="18" spans="1:8" x14ac:dyDescent="0.2">
      <c r="A18">
        <v>16</v>
      </c>
      <c r="B18" s="2">
        <v>4.2000000000000003E-2</v>
      </c>
      <c r="C18" s="2">
        <v>4.8000000000000001E-2</v>
      </c>
      <c r="D18" s="12">
        <v>3.6999999999999998E-2</v>
      </c>
      <c r="E18" s="12">
        <v>3.5000000000000003E-2</v>
      </c>
      <c r="F18" s="12">
        <v>3.2500000000000001E-2</v>
      </c>
      <c r="G18" s="12">
        <v>3.5000000000000003E-2</v>
      </c>
      <c r="H18" s="12">
        <v>4.5999999999999999E-2</v>
      </c>
    </row>
    <row r="19" spans="1:8" x14ac:dyDescent="0.2">
      <c r="A19">
        <v>17</v>
      </c>
      <c r="B19" s="2">
        <v>4.2000000000000003E-2</v>
      </c>
      <c r="C19" s="2">
        <v>4.8000000000000001E-2</v>
      </c>
      <c r="D19" s="12">
        <v>3.6999999999999998E-2</v>
      </c>
      <c r="E19" s="12">
        <v>3.5000000000000003E-2</v>
      </c>
      <c r="F19" s="12">
        <v>3.2500000000000001E-2</v>
      </c>
      <c r="G19" s="12">
        <v>3.5000000000000003E-2</v>
      </c>
      <c r="H19" s="12">
        <v>4.1000000000000002E-2</v>
      </c>
    </row>
    <row r="20" spans="1:8" x14ac:dyDescent="0.2">
      <c r="A20">
        <v>18</v>
      </c>
      <c r="B20" s="2">
        <v>4.1000000000000002E-2</v>
      </c>
      <c r="C20" s="2">
        <v>4.8000000000000001E-2</v>
      </c>
      <c r="D20" s="12">
        <v>3.6999999999999998E-2</v>
      </c>
      <c r="E20" s="12">
        <v>3.5000000000000003E-2</v>
      </c>
      <c r="F20" s="12">
        <v>3.2500000000000001E-2</v>
      </c>
      <c r="G20" s="12">
        <v>3.5000000000000003E-2</v>
      </c>
      <c r="H20" s="12">
        <v>4.1000000000000002E-2</v>
      </c>
    </row>
    <row r="21" spans="1:8" x14ac:dyDescent="0.2">
      <c r="A21">
        <v>19</v>
      </c>
      <c r="B21" s="2">
        <v>4.1000000000000002E-2</v>
      </c>
      <c r="C21" s="2">
        <v>4.8000000000000001E-2</v>
      </c>
      <c r="D21" s="12">
        <v>3.6999999999999998E-2</v>
      </c>
      <c r="E21" s="12">
        <v>3.5000000000000003E-2</v>
      </c>
      <c r="F21" s="12">
        <v>3.2500000000000001E-2</v>
      </c>
      <c r="G21" s="12">
        <v>3.5000000000000003E-2</v>
      </c>
      <c r="H21" s="12">
        <v>4.1000000000000002E-2</v>
      </c>
    </row>
    <row r="22" spans="1:8" x14ac:dyDescent="0.2">
      <c r="A22">
        <v>20</v>
      </c>
      <c r="B22" s="2">
        <v>4.1000000000000002E-2</v>
      </c>
      <c r="C22" s="2">
        <v>4.8000000000000001E-2</v>
      </c>
      <c r="D22" s="12">
        <v>3.6999999999999998E-2</v>
      </c>
      <c r="E22" s="12">
        <v>3.5000000000000003E-2</v>
      </c>
      <c r="F22" s="12">
        <v>3.2500000000000001E-2</v>
      </c>
      <c r="G22" s="12">
        <v>3.5000000000000003E-2</v>
      </c>
      <c r="H22" s="12">
        <v>4.1000000000000002E-2</v>
      </c>
    </row>
    <row r="23" spans="1:8" x14ac:dyDescent="0.2">
      <c r="A23">
        <v>21</v>
      </c>
      <c r="B23" s="2">
        <v>0.04</v>
      </c>
      <c r="C23" s="2">
        <v>4.8000000000000001E-2</v>
      </c>
      <c r="D23" s="12">
        <v>3.6999999999999998E-2</v>
      </c>
      <c r="E23" s="12">
        <v>3.5000000000000003E-2</v>
      </c>
      <c r="F23" s="12">
        <v>3.2500000000000001E-2</v>
      </c>
      <c r="G23" s="12">
        <v>3.5000000000000003E-2</v>
      </c>
      <c r="H23" s="12">
        <v>4.1000000000000002E-2</v>
      </c>
    </row>
    <row r="24" spans="1:8" x14ac:dyDescent="0.2">
      <c r="A24">
        <v>22</v>
      </c>
      <c r="B24" s="2">
        <v>0.04</v>
      </c>
      <c r="C24" s="2">
        <v>4.8000000000000001E-2</v>
      </c>
      <c r="D24" s="12">
        <v>3.6999999999999998E-2</v>
      </c>
      <c r="E24" s="12">
        <v>3.5000000000000003E-2</v>
      </c>
      <c r="F24" s="12">
        <v>3.2500000000000001E-2</v>
      </c>
      <c r="G24" s="12">
        <v>3.5000000000000003E-2</v>
      </c>
      <c r="H24" s="12">
        <v>4.1000000000000002E-2</v>
      </c>
    </row>
    <row r="25" spans="1:8" x14ac:dyDescent="0.2">
      <c r="A25">
        <v>23</v>
      </c>
      <c r="B25" s="2">
        <v>3.9E-2</v>
      </c>
      <c r="C25" s="2">
        <v>4.8000000000000001E-2</v>
      </c>
      <c r="D25" s="12">
        <v>3.6999999999999998E-2</v>
      </c>
      <c r="E25" s="12">
        <v>3.5000000000000003E-2</v>
      </c>
      <c r="F25" s="12">
        <v>3.2500000000000001E-2</v>
      </c>
      <c r="G25" s="12">
        <v>3.5000000000000003E-2</v>
      </c>
      <c r="H25" s="12">
        <v>4.1000000000000002E-2</v>
      </c>
    </row>
    <row r="26" spans="1:8" x14ac:dyDescent="0.2">
      <c r="A26">
        <v>24</v>
      </c>
      <c r="B26" s="2">
        <v>3.9E-2</v>
      </c>
      <c r="C26" s="2">
        <v>4.8000000000000001E-2</v>
      </c>
      <c r="D26" s="12">
        <v>3.6999999999999998E-2</v>
      </c>
      <c r="E26" s="12">
        <v>3.5000000000000003E-2</v>
      </c>
      <c r="F26" s="12">
        <v>3.2500000000000001E-2</v>
      </c>
      <c r="G26" s="12">
        <v>3.5000000000000003E-2</v>
      </c>
      <c r="H26" s="12">
        <v>4.1000000000000002E-2</v>
      </c>
    </row>
    <row r="27" spans="1:8" x14ac:dyDescent="0.2">
      <c r="A27">
        <v>25</v>
      </c>
      <c r="B27" s="2">
        <v>3.7999999999999999E-2</v>
      </c>
      <c r="C27" s="2">
        <v>4.8000000000000001E-2</v>
      </c>
      <c r="D27" s="12">
        <v>3.6999999999999998E-2</v>
      </c>
      <c r="E27" s="12">
        <v>3.5000000000000003E-2</v>
      </c>
      <c r="F27" s="12">
        <v>3.2500000000000001E-2</v>
      </c>
      <c r="G27" s="12">
        <v>3.5000000000000003E-2</v>
      </c>
      <c r="H27" s="12">
        <v>4.1000000000000002E-2</v>
      </c>
    </row>
    <row r="28" spans="1:8" x14ac:dyDescent="0.2">
      <c r="A28">
        <v>26</v>
      </c>
      <c r="B28" s="2">
        <v>3.7000000000000005E-2</v>
      </c>
      <c r="C28" s="2">
        <v>4.8000000000000001E-2</v>
      </c>
      <c r="D28" s="12">
        <v>3.6999999999999998E-2</v>
      </c>
      <c r="E28" s="12">
        <v>3.5000000000000003E-2</v>
      </c>
      <c r="F28" s="12">
        <v>3.2500000000000001E-2</v>
      </c>
      <c r="G28" s="12">
        <v>3.5000000000000003E-2</v>
      </c>
      <c r="H28" s="12">
        <v>4.1000000000000002E-2</v>
      </c>
    </row>
    <row r="29" spans="1:8" x14ac:dyDescent="0.2">
      <c r="A29">
        <v>27</v>
      </c>
      <c r="B29" s="2">
        <v>3.6000000000000004E-2</v>
      </c>
      <c r="C29" s="2">
        <v>4.8000000000000001E-2</v>
      </c>
      <c r="D29" s="12">
        <v>3.6999999999999998E-2</v>
      </c>
      <c r="E29" s="12">
        <v>3.5000000000000003E-2</v>
      </c>
      <c r="F29" s="12">
        <v>3.2500000000000001E-2</v>
      </c>
      <c r="G29" s="12">
        <v>3.5000000000000003E-2</v>
      </c>
      <c r="H29" s="12">
        <v>4.1000000000000002E-2</v>
      </c>
    </row>
    <row r="30" spans="1:8" x14ac:dyDescent="0.2">
      <c r="A30">
        <v>28</v>
      </c>
      <c r="B30" s="2">
        <v>3.5000000000000003E-2</v>
      </c>
      <c r="C30" s="2">
        <v>4.8000000000000001E-2</v>
      </c>
      <c r="D30" s="12">
        <v>3.6999999999999998E-2</v>
      </c>
      <c r="E30" s="12">
        <v>3.5000000000000003E-2</v>
      </c>
      <c r="F30" s="12">
        <v>3.2500000000000001E-2</v>
      </c>
      <c r="G30" s="12">
        <v>3.5000000000000003E-2</v>
      </c>
      <c r="H30" s="12">
        <v>4.1000000000000002E-2</v>
      </c>
    </row>
    <row r="31" spans="1:8" x14ac:dyDescent="0.2">
      <c r="A31">
        <v>29</v>
      </c>
      <c r="B31" s="2">
        <v>3.4000000000000002E-2</v>
      </c>
      <c r="C31" s="2">
        <v>4.8000000000000001E-2</v>
      </c>
      <c r="D31" s="12">
        <v>3.6999999999999998E-2</v>
      </c>
      <c r="E31" s="12">
        <v>3.5000000000000003E-2</v>
      </c>
      <c r="F31" s="12">
        <v>3.2500000000000001E-2</v>
      </c>
      <c r="G31" s="12">
        <v>3.5000000000000003E-2</v>
      </c>
      <c r="H31" s="12">
        <v>4.1000000000000002E-2</v>
      </c>
    </row>
    <row r="32" spans="1:8" x14ac:dyDescent="0.2">
      <c r="A32">
        <v>30</v>
      </c>
      <c r="B32" s="2">
        <v>3.4000000000000002E-2</v>
      </c>
      <c r="C32" s="2">
        <v>4.8000000000000001E-2</v>
      </c>
      <c r="D32" s="12">
        <v>3.6999999999999998E-2</v>
      </c>
      <c r="E32" s="12">
        <v>3.5000000000000003E-2</v>
      </c>
      <c r="F32" s="12">
        <v>3.2500000000000001E-2</v>
      </c>
      <c r="G32" s="12">
        <v>3.5000000000000003E-2</v>
      </c>
      <c r="H32" s="12">
        <v>4.1000000000000002E-2</v>
      </c>
    </row>
    <row r="33" spans="2:3" x14ac:dyDescent="0.2">
      <c r="B33" s="2"/>
      <c r="C33" s="2"/>
    </row>
    <row r="34" spans="2:3" x14ac:dyDescent="0.2">
      <c r="B34" s="2"/>
      <c r="C34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  <row r="42" spans="2:3" x14ac:dyDescent="0.2">
      <c r="B42" s="2"/>
      <c r="C42" s="2"/>
    </row>
    <row r="43" spans="2:3" x14ac:dyDescent="0.2">
      <c r="B43" s="2"/>
      <c r="C43" s="2"/>
    </row>
    <row r="44" spans="2:3" x14ac:dyDescent="0.2">
      <c r="B44" s="2"/>
      <c r="C44" s="2"/>
    </row>
    <row r="45" spans="2:3" x14ac:dyDescent="0.2">
      <c r="B45" s="2"/>
      <c r="C45" s="2"/>
    </row>
    <row r="46" spans="2:3" x14ac:dyDescent="0.2">
      <c r="B46" s="2"/>
      <c r="C46" s="2"/>
    </row>
    <row r="47" spans="2:3" x14ac:dyDescent="0.2">
      <c r="B47" s="2"/>
      <c r="C47" s="2"/>
    </row>
    <row r="48" spans="2:3" x14ac:dyDescent="0.2">
      <c r="B48" s="2"/>
      <c r="C48" s="2"/>
    </row>
    <row r="49" spans="2:3" x14ac:dyDescent="0.2">
      <c r="B49" s="2"/>
      <c r="C49" s="2"/>
    </row>
    <row r="50" spans="2:3" x14ac:dyDescent="0.2">
      <c r="B50" s="2"/>
      <c r="C50" s="2"/>
    </row>
    <row r="51" spans="2:3" x14ac:dyDescent="0.2">
      <c r="B51" s="2"/>
      <c r="C51" s="2"/>
    </row>
    <row r="52" spans="2:3" x14ac:dyDescent="0.2">
      <c r="B52" s="2"/>
      <c r="C52" s="2"/>
    </row>
    <row r="53" spans="2:3" x14ac:dyDescent="0.2">
      <c r="B53" s="2"/>
      <c r="C53" s="2"/>
    </row>
    <row r="54" spans="2:3" x14ac:dyDescent="0.2">
      <c r="B54" s="2"/>
      <c r="C54" s="2"/>
    </row>
    <row r="55" spans="2:3" x14ac:dyDescent="0.2">
      <c r="B55" s="2"/>
      <c r="C55" s="2"/>
    </row>
    <row r="56" spans="2:3" x14ac:dyDescent="0.2">
      <c r="B56" s="2"/>
      <c r="C56" s="2"/>
    </row>
    <row r="57" spans="2:3" x14ac:dyDescent="0.2">
      <c r="B57" s="2"/>
      <c r="C57" s="2"/>
    </row>
    <row r="58" spans="2:3" x14ac:dyDescent="0.2">
      <c r="B58" s="2"/>
      <c r="C58" s="2"/>
    </row>
    <row r="59" spans="2:3" x14ac:dyDescent="0.2">
      <c r="B59" s="2"/>
      <c r="C59" s="2"/>
    </row>
    <row r="60" spans="2:3" x14ac:dyDescent="0.2">
      <c r="B60" s="2"/>
      <c r="C60" s="2"/>
    </row>
    <row r="61" spans="2:3" x14ac:dyDescent="0.2">
      <c r="B61" s="2"/>
      <c r="C61" s="2"/>
    </row>
    <row r="62" spans="2:3" x14ac:dyDescent="0.2">
      <c r="B62" s="2"/>
      <c r="C62" s="2"/>
    </row>
    <row r="63" spans="2:3" x14ac:dyDescent="0.2">
      <c r="B63" s="2"/>
      <c r="C63" s="2"/>
    </row>
    <row r="64" spans="2:3" x14ac:dyDescent="0.2">
      <c r="B64" s="2"/>
      <c r="C64" s="2"/>
    </row>
    <row r="65" spans="2:3" x14ac:dyDescent="0.2">
      <c r="B65" s="2"/>
      <c r="C65" s="2"/>
    </row>
    <row r="66" spans="2:3" x14ac:dyDescent="0.2">
      <c r="B66" s="2"/>
      <c r="C66" s="2"/>
    </row>
    <row r="67" spans="2:3" x14ac:dyDescent="0.2">
      <c r="B67" s="2"/>
      <c r="C67" s="2"/>
    </row>
    <row r="68" spans="2:3" x14ac:dyDescent="0.2">
      <c r="B68" s="2"/>
      <c r="C68" s="2"/>
    </row>
    <row r="69" spans="2:3" x14ac:dyDescent="0.2">
      <c r="B69" s="2"/>
      <c r="C69" s="2"/>
    </row>
    <row r="70" spans="2:3" x14ac:dyDescent="0.2">
      <c r="B70" s="2"/>
      <c r="C70" s="2"/>
    </row>
    <row r="71" spans="2:3" x14ac:dyDescent="0.2">
      <c r="B71" s="2"/>
      <c r="C71" s="2"/>
    </row>
    <row r="72" spans="2:3" x14ac:dyDescent="0.2">
      <c r="B72" s="2"/>
      <c r="C72" s="2"/>
    </row>
    <row r="73" spans="2:3" x14ac:dyDescent="0.2">
      <c r="B73" s="2"/>
      <c r="C73" s="2"/>
    </row>
    <row r="74" spans="2:3" x14ac:dyDescent="0.2">
      <c r="B74" s="2"/>
      <c r="C74" s="2"/>
    </row>
    <row r="75" spans="2:3" x14ac:dyDescent="0.2">
      <c r="B75" s="2"/>
      <c r="C75" s="2"/>
    </row>
    <row r="76" spans="2:3" x14ac:dyDescent="0.2">
      <c r="B76" s="2"/>
      <c r="C76" s="2"/>
    </row>
    <row r="77" spans="2:3" x14ac:dyDescent="0.2">
      <c r="B77" s="2"/>
      <c r="C77" s="2"/>
    </row>
    <row r="78" spans="2:3" x14ac:dyDescent="0.2">
      <c r="B78" s="2"/>
      <c r="C78" s="2"/>
    </row>
    <row r="79" spans="2:3" x14ac:dyDescent="0.2">
      <c r="B79" s="2"/>
      <c r="C79" s="2"/>
    </row>
    <row r="80" spans="2:3" x14ac:dyDescent="0.2">
      <c r="B80" s="2"/>
      <c r="C80" s="2"/>
    </row>
    <row r="81" spans="2:3" x14ac:dyDescent="0.2">
      <c r="B81" s="2"/>
      <c r="C81" s="2"/>
    </row>
    <row r="82" spans="2:3" x14ac:dyDescent="0.2">
      <c r="B82" s="2"/>
      <c r="C82" s="2"/>
    </row>
    <row r="83" spans="2:3" x14ac:dyDescent="0.2">
      <c r="B83" s="2"/>
      <c r="C83" s="2"/>
    </row>
    <row r="84" spans="2:3" x14ac:dyDescent="0.2">
      <c r="B84" s="2"/>
      <c r="C84" s="2"/>
    </row>
    <row r="85" spans="2:3" x14ac:dyDescent="0.2">
      <c r="B85" s="2"/>
      <c r="C85" s="2"/>
    </row>
    <row r="86" spans="2:3" x14ac:dyDescent="0.2">
      <c r="B86" s="2"/>
      <c r="C86" s="2"/>
    </row>
    <row r="87" spans="2:3" x14ac:dyDescent="0.2">
      <c r="B87" s="2"/>
      <c r="C87" s="2"/>
    </row>
    <row r="88" spans="2:3" x14ac:dyDescent="0.2">
      <c r="B88" s="2"/>
      <c r="C88" s="2"/>
    </row>
    <row r="89" spans="2:3" x14ac:dyDescent="0.2">
      <c r="B89" s="2"/>
      <c r="C89" s="2"/>
    </row>
    <row r="90" spans="2:3" x14ac:dyDescent="0.2">
      <c r="B90" s="2"/>
      <c r="C90" s="2"/>
    </row>
    <row r="91" spans="2:3" x14ac:dyDescent="0.2">
      <c r="B91" s="2"/>
      <c r="C91" s="2"/>
    </row>
    <row r="92" spans="2:3" x14ac:dyDescent="0.2">
      <c r="B92" s="2"/>
      <c r="C92" s="2"/>
    </row>
    <row r="93" spans="2:3" x14ac:dyDescent="0.2">
      <c r="B93" s="2"/>
      <c r="C93" s="2"/>
    </row>
    <row r="94" spans="2:3" x14ac:dyDescent="0.2">
      <c r="B94" s="2"/>
      <c r="C94" s="2"/>
    </row>
    <row r="95" spans="2:3" x14ac:dyDescent="0.2">
      <c r="B95" s="2"/>
      <c r="C95" s="2"/>
    </row>
    <row r="96" spans="2:3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7DDE-1E18-4C8A-AB41-54154E6B2C77}">
  <dimension ref="A1:Y44"/>
  <sheetViews>
    <sheetView workbookViewId="0">
      <selection activeCell="X42" sqref="X42"/>
    </sheetView>
  </sheetViews>
  <sheetFormatPr baseColWidth="10" defaultColWidth="8.83203125" defaultRowHeight="16" x14ac:dyDescent="0.2"/>
  <cols>
    <col min="1" max="1" width="9.33203125" customWidth="1"/>
    <col min="2" max="2" width="20.5" hidden="1" customWidth="1"/>
    <col min="3" max="6" width="19.1640625" hidden="1" customWidth="1"/>
    <col min="7" max="7" width="16.33203125" hidden="1" customWidth="1"/>
    <col min="8" max="8" width="20.5" hidden="1" customWidth="1"/>
    <col min="9" max="12" width="19.1640625" hidden="1" customWidth="1"/>
    <col min="13" max="13" width="16.33203125" hidden="1" customWidth="1"/>
    <col min="14" max="14" width="20.5" customWidth="1"/>
    <col min="15" max="18" width="19.1640625" customWidth="1"/>
    <col min="19" max="19" width="16.33203125" customWidth="1"/>
    <col min="20" max="20" width="20.5" customWidth="1"/>
    <col min="21" max="23" width="19.1640625" customWidth="1"/>
    <col min="24" max="24" width="19.1640625" bestFit="1" customWidth="1"/>
    <col min="25" max="25" width="16.33203125" bestFit="1" customWidth="1"/>
  </cols>
  <sheetData>
    <row r="1" spans="1:25" x14ac:dyDescent="0.2">
      <c r="A1" t="s">
        <v>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44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45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46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</row>
    <row r="2" spans="1:25" x14ac:dyDescent="0.2">
      <c r="A2">
        <v>0</v>
      </c>
      <c r="B2" s="2">
        <v>0.27</v>
      </c>
      <c r="C2" s="2">
        <v>0.25</v>
      </c>
      <c r="D2" s="2">
        <v>0.23</v>
      </c>
      <c r="E2" s="2">
        <v>0.22</v>
      </c>
      <c r="F2" s="2">
        <v>0.21</v>
      </c>
      <c r="G2" s="2">
        <v>0.27</v>
      </c>
      <c r="H2" s="2">
        <v>0.28000000000000003</v>
      </c>
      <c r="I2" s="2">
        <v>0.28000000000000003</v>
      </c>
      <c r="J2" s="2">
        <v>0.27</v>
      </c>
      <c r="K2" s="2">
        <v>0.26</v>
      </c>
      <c r="L2" s="2">
        <v>0.25</v>
      </c>
      <c r="M2" s="2">
        <v>0.3</v>
      </c>
      <c r="N2" s="2">
        <v>0.17499999999999999</v>
      </c>
      <c r="O2" s="2">
        <v>0.155</v>
      </c>
      <c r="P2" s="2">
        <v>0.155</v>
      </c>
      <c r="Q2" s="2">
        <v>0.17499999999999999</v>
      </c>
      <c r="R2" s="2">
        <v>0.17499999999999999</v>
      </c>
      <c r="S2" s="2">
        <v>0.17499999999999999</v>
      </c>
      <c r="T2" s="2">
        <v>0.24</v>
      </c>
      <c r="U2" s="2">
        <v>0.24</v>
      </c>
      <c r="V2" s="2">
        <v>0.24</v>
      </c>
      <c r="W2" s="2">
        <v>0.26</v>
      </c>
      <c r="X2" s="2">
        <v>0.3</v>
      </c>
      <c r="Y2" s="2">
        <v>0.3</v>
      </c>
    </row>
    <row r="3" spans="1:25" x14ac:dyDescent="0.2">
      <c r="A3">
        <v>1</v>
      </c>
      <c r="B3" s="2">
        <v>0.19</v>
      </c>
      <c r="C3" s="2">
        <v>0.17</v>
      </c>
      <c r="D3" s="2">
        <v>0.15</v>
      </c>
      <c r="E3" s="2">
        <v>0.13500000000000001</v>
      </c>
      <c r="F3" s="2">
        <v>0.125</v>
      </c>
      <c r="G3" s="2">
        <v>0.125</v>
      </c>
      <c r="H3" s="2">
        <v>0.18</v>
      </c>
      <c r="I3" s="2">
        <v>0.17</v>
      </c>
      <c r="J3" s="2">
        <v>0.16</v>
      </c>
      <c r="K3" s="2">
        <v>0.15</v>
      </c>
      <c r="L3" s="2">
        <v>0.125</v>
      </c>
      <c r="M3" s="2">
        <v>0.125</v>
      </c>
      <c r="N3" s="2">
        <v>0.1</v>
      </c>
      <c r="O3" s="2">
        <v>0.09</v>
      </c>
      <c r="P3" s="2">
        <v>0.09</v>
      </c>
      <c r="Q3" s="2">
        <v>0.1</v>
      </c>
      <c r="R3" s="2">
        <v>0.09</v>
      </c>
      <c r="S3" s="2">
        <v>0.09</v>
      </c>
      <c r="T3" s="2">
        <v>0.13500000000000001</v>
      </c>
      <c r="U3" s="2">
        <v>0.13500000000000001</v>
      </c>
      <c r="V3" s="2">
        <v>0.13500000000000001</v>
      </c>
      <c r="W3" s="2">
        <v>0.13500000000000001</v>
      </c>
      <c r="X3" s="2">
        <v>0.13500000000000001</v>
      </c>
      <c r="Y3" s="2">
        <v>0.13500000000000001</v>
      </c>
    </row>
    <row r="4" spans="1:25" x14ac:dyDescent="0.2">
      <c r="A4">
        <v>2</v>
      </c>
      <c r="B4" s="2">
        <v>0.17499999999999999</v>
      </c>
      <c r="C4" s="2">
        <v>0.13500000000000001</v>
      </c>
      <c r="D4" s="2">
        <v>0.12</v>
      </c>
      <c r="E4" s="2">
        <v>0.105</v>
      </c>
      <c r="F4" s="2">
        <v>9.5000000000000001E-2</v>
      </c>
      <c r="G4" s="2">
        <v>0.09</v>
      </c>
      <c r="H4" s="2">
        <v>0.16</v>
      </c>
      <c r="I4" s="2">
        <v>0.13500000000000001</v>
      </c>
      <c r="J4" s="2">
        <v>0.125</v>
      </c>
      <c r="K4" s="2">
        <v>0.115</v>
      </c>
      <c r="L4" s="2">
        <v>0.1</v>
      </c>
      <c r="M4" s="2">
        <v>0.1</v>
      </c>
      <c r="N4" s="2">
        <v>0.08</v>
      </c>
      <c r="O4" s="2">
        <v>0.08</v>
      </c>
      <c r="P4" s="2">
        <v>0.08</v>
      </c>
      <c r="Q4" s="2">
        <v>0.08</v>
      </c>
      <c r="R4" s="2">
        <v>7.0000000000000007E-2</v>
      </c>
      <c r="S4" s="2">
        <v>7.0000000000000007E-2</v>
      </c>
      <c r="T4" s="2">
        <v>0.11</v>
      </c>
      <c r="U4" s="2">
        <v>0.11</v>
      </c>
      <c r="V4" s="2">
        <v>0.09</v>
      </c>
      <c r="W4" s="2">
        <v>0.105</v>
      </c>
      <c r="X4" s="2">
        <v>0.105</v>
      </c>
      <c r="Y4" s="2">
        <v>0.105</v>
      </c>
    </row>
    <row r="5" spans="1:25" x14ac:dyDescent="0.2">
      <c r="A5">
        <v>3</v>
      </c>
      <c r="B5" s="2">
        <v>0.16</v>
      </c>
      <c r="C5" s="2">
        <v>0.115</v>
      </c>
      <c r="D5" s="2">
        <v>0.1</v>
      </c>
      <c r="E5" s="2">
        <v>0.09</v>
      </c>
      <c r="F5" s="2">
        <v>7.8E-2</v>
      </c>
      <c r="G5" s="2">
        <v>7.8E-2</v>
      </c>
      <c r="H5" s="2">
        <v>0.16</v>
      </c>
      <c r="I5" s="2">
        <v>0.115</v>
      </c>
      <c r="J5" s="2">
        <v>0.105</v>
      </c>
      <c r="K5" s="2">
        <v>9.5000000000000001E-2</v>
      </c>
      <c r="L5" s="2">
        <v>0.09</v>
      </c>
      <c r="M5" s="2">
        <v>0.09</v>
      </c>
      <c r="N5" s="2">
        <v>7.0000000000000007E-2</v>
      </c>
      <c r="O5" s="2">
        <v>7.0000000000000007E-2</v>
      </c>
      <c r="P5" s="2">
        <v>7.0000000000000007E-2</v>
      </c>
      <c r="Q5" s="2">
        <v>7.0000000000000007E-2</v>
      </c>
      <c r="R5" s="2">
        <v>5.5E-2</v>
      </c>
      <c r="S5" s="2">
        <v>5.5E-2</v>
      </c>
      <c r="T5" s="2">
        <v>0.08</v>
      </c>
      <c r="U5" s="2">
        <v>0.08</v>
      </c>
      <c r="V5" s="2">
        <v>8.5000000000000006E-2</v>
      </c>
      <c r="W5" s="2">
        <v>0.105</v>
      </c>
      <c r="X5" s="2">
        <v>0.1</v>
      </c>
      <c r="Y5" s="2">
        <v>0.1</v>
      </c>
    </row>
    <row r="6" spans="1:25" x14ac:dyDescent="0.2">
      <c r="A6">
        <v>4</v>
      </c>
      <c r="B6" s="2">
        <v>0.155</v>
      </c>
      <c r="C6" s="2">
        <v>0.1</v>
      </c>
      <c r="D6" s="2">
        <v>8.5000000000000006E-2</v>
      </c>
      <c r="E6" s="2">
        <v>0.08</v>
      </c>
      <c r="F6" s="2">
        <v>6.5000000000000002E-2</v>
      </c>
      <c r="G6" s="2">
        <v>6.5000000000000002E-2</v>
      </c>
      <c r="H6" s="2">
        <v>0.16</v>
      </c>
      <c r="I6" s="2">
        <v>0.1</v>
      </c>
      <c r="J6" s="2">
        <v>0.09</v>
      </c>
      <c r="K6" s="2">
        <v>0.08</v>
      </c>
      <c r="L6" s="2">
        <v>7.4999999999999997E-2</v>
      </c>
      <c r="M6" s="2">
        <v>7.4999999999999997E-2</v>
      </c>
      <c r="N6" s="2">
        <v>0.05</v>
      </c>
      <c r="O6" s="2">
        <v>0.06</v>
      </c>
      <c r="P6" s="2">
        <v>0.06</v>
      </c>
      <c r="Q6" s="2">
        <v>0.06</v>
      </c>
      <c r="R6" s="2">
        <v>5.5E-2</v>
      </c>
      <c r="S6" s="2">
        <v>5.5E-2</v>
      </c>
      <c r="T6" s="2">
        <v>0.08</v>
      </c>
      <c r="U6" s="2">
        <v>0.08</v>
      </c>
      <c r="V6" s="2">
        <v>7.0000000000000007E-2</v>
      </c>
      <c r="W6" s="2">
        <v>7.0000000000000007E-2</v>
      </c>
      <c r="X6" s="2">
        <v>0.1</v>
      </c>
      <c r="Y6" s="2">
        <v>0.1</v>
      </c>
    </row>
    <row r="7" spans="1:25" x14ac:dyDescent="0.2">
      <c r="A7">
        <v>5</v>
      </c>
      <c r="B7" s="2">
        <v>0.105</v>
      </c>
      <c r="C7" s="2">
        <v>0.09</v>
      </c>
      <c r="D7" s="2">
        <v>8.5000000000000006E-2</v>
      </c>
      <c r="E7" s="2">
        <v>7.4999999999999997E-2</v>
      </c>
      <c r="F7" s="2">
        <v>0.06</v>
      </c>
      <c r="G7" s="2">
        <v>0.06</v>
      </c>
      <c r="H7" s="2">
        <v>0.13</v>
      </c>
      <c r="I7" s="2">
        <v>0.08</v>
      </c>
      <c r="J7" s="2">
        <v>0.08</v>
      </c>
      <c r="K7" s="2">
        <v>7.4999999999999997E-2</v>
      </c>
      <c r="L7" s="2">
        <v>7.4999999999999997E-2</v>
      </c>
      <c r="M7" s="2">
        <v>7.4999999999999997E-2</v>
      </c>
      <c r="N7" s="2">
        <v>0.04</v>
      </c>
      <c r="O7" s="2">
        <v>0.05</v>
      </c>
      <c r="P7" s="2">
        <v>0.05</v>
      </c>
      <c r="Q7" s="2">
        <v>0.05</v>
      </c>
      <c r="R7" s="2">
        <v>0.04</v>
      </c>
      <c r="S7" s="2">
        <v>0.04</v>
      </c>
      <c r="T7" s="2">
        <v>6.5000000000000002E-2</v>
      </c>
      <c r="U7" s="2">
        <v>6.5000000000000002E-2</v>
      </c>
      <c r="V7" s="2">
        <v>6.5000000000000002E-2</v>
      </c>
      <c r="W7" s="2">
        <v>6.5000000000000002E-2</v>
      </c>
      <c r="X7" s="2">
        <v>6.5000000000000002E-2</v>
      </c>
      <c r="Y7" s="2">
        <v>6.5000000000000002E-2</v>
      </c>
    </row>
    <row r="8" spans="1:25" x14ac:dyDescent="0.2">
      <c r="A8">
        <v>6</v>
      </c>
      <c r="B8" s="2">
        <v>0.105</v>
      </c>
      <c r="C8" s="2">
        <v>8.5000000000000006E-2</v>
      </c>
      <c r="D8" s="2">
        <v>7.4999999999999997E-2</v>
      </c>
      <c r="E8" s="2">
        <v>6.5000000000000002E-2</v>
      </c>
      <c r="F8" s="2">
        <v>0.06</v>
      </c>
      <c r="G8" s="2">
        <v>0.06</v>
      </c>
      <c r="H8" s="2">
        <v>0.12</v>
      </c>
      <c r="I8" s="2">
        <v>0.08</v>
      </c>
      <c r="J8" s="2">
        <v>0.08</v>
      </c>
      <c r="K8" s="2">
        <v>7.4999999999999997E-2</v>
      </c>
      <c r="L8" s="2">
        <v>7.4999999999999997E-2</v>
      </c>
      <c r="M8" s="2">
        <v>7.4999999999999997E-2</v>
      </c>
      <c r="N8" s="2">
        <v>0.04</v>
      </c>
      <c r="O8" s="2">
        <v>0.05</v>
      </c>
      <c r="P8" s="2">
        <v>0.05</v>
      </c>
      <c r="Q8" s="2">
        <v>0.05</v>
      </c>
      <c r="R8" s="2">
        <v>0.04</v>
      </c>
      <c r="S8" s="2">
        <v>0.04</v>
      </c>
      <c r="T8" s="2">
        <v>6.5000000000000002E-2</v>
      </c>
      <c r="U8" s="2">
        <v>6.5000000000000002E-2</v>
      </c>
      <c r="V8" s="2">
        <v>6.5000000000000002E-2</v>
      </c>
      <c r="W8" s="2">
        <v>6.5000000000000002E-2</v>
      </c>
      <c r="X8" s="2">
        <v>0.06</v>
      </c>
      <c r="Y8" s="2">
        <v>0.06</v>
      </c>
    </row>
    <row r="9" spans="1:25" x14ac:dyDescent="0.2">
      <c r="A9">
        <v>7</v>
      </c>
      <c r="B9" s="2">
        <v>0.08</v>
      </c>
      <c r="C9" s="2">
        <v>0.08</v>
      </c>
      <c r="D9" s="2">
        <v>6.5000000000000002E-2</v>
      </c>
      <c r="E9" s="2">
        <v>0.06</v>
      </c>
      <c r="F9" s="2">
        <v>0.05</v>
      </c>
      <c r="G9" s="2">
        <v>0.05</v>
      </c>
      <c r="H9" s="2">
        <v>7.4999999999999997E-2</v>
      </c>
      <c r="I9" s="2">
        <v>7.4999999999999997E-2</v>
      </c>
      <c r="J9" s="2">
        <v>7.4999999999999997E-2</v>
      </c>
      <c r="K9" s="2">
        <v>6.5000000000000002E-2</v>
      </c>
      <c r="L9" s="2">
        <v>6.5000000000000002E-2</v>
      </c>
      <c r="M9" s="2">
        <v>6.5000000000000002E-2</v>
      </c>
      <c r="N9" s="2">
        <v>0.04</v>
      </c>
      <c r="O9" s="2">
        <v>0.05</v>
      </c>
      <c r="P9" s="2">
        <v>0.04</v>
      </c>
      <c r="Q9" s="2">
        <v>0.04</v>
      </c>
      <c r="R9" s="2">
        <v>3.5000000000000003E-2</v>
      </c>
      <c r="S9" s="2">
        <v>3.5000000000000003E-2</v>
      </c>
      <c r="T9" s="2">
        <v>0.06</v>
      </c>
      <c r="U9" s="2">
        <v>0.06</v>
      </c>
      <c r="V9" s="2">
        <v>0.06</v>
      </c>
      <c r="W9" s="2">
        <v>0.06</v>
      </c>
      <c r="X9" s="2">
        <v>0.06</v>
      </c>
      <c r="Y9" s="2">
        <v>0.06</v>
      </c>
    </row>
    <row r="10" spans="1:25" x14ac:dyDescent="0.2">
      <c r="A10">
        <v>8</v>
      </c>
      <c r="B10" s="2">
        <v>5.5E-2</v>
      </c>
      <c r="C10" s="2">
        <v>5.5E-2</v>
      </c>
      <c r="D10" s="2">
        <v>0.05</v>
      </c>
      <c r="E10" s="2">
        <v>5.5E-2</v>
      </c>
      <c r="F10" s="2">
        <v>0.05</v>
      </c>
      <c r="G10" s="2">
        <v>0.04</v>
      </c>
      <c r="H10" s="2">
        <v>0.06</v>
      </c>
      <c r="I10" s="2">
        <v>0.06</v>
      </c>
      <c r="J10" s="2">
        <v>0.06</v>
      </c>
      <c r="K10" s="2">
        <v>5.5E-2</v>
      </c>
      <c r="L10" s="2">
        <v>5.5E-2</v>
      </c>
      <c r="M10" s="2">
        <v>5.5E-2</v>
      </c>
      <c r="N10" s="2">
        <v>3.5000000000000003E-2</v>
      </c>
      <c r="O10" s="2">
        <v>4.4999999999999998E-2</v>
      </c>
      <c r="P10" s="2">
        <v>3.5000000000000003E-2</v>
      </c>
      <c r="Q10" s="2">
        <v>3.5000000000000003E-2</v>
      </c>
      <c r="R10" s="2">
        <v>0.03</v>
      </c>
      <c r="S10" s="2">
        <v>0.03</v>
      </c>
      <c r="T10" s="2">
        <v>0.05</v>
      </c>
      <c r="U10" s="2">
        <v>0.05</v>
      </c>
      <c r="V10" s="2">
        <v>4.4999999999999998E-2</v>
      </c>
      <c r="W10" s="2">
        <v>4.4999999999999998E-2</v>
      </c>
      <c r="X10" s="2">
        <v>0.06</v>
      </c>
      <c r="Y10" s="2">
        <v>0.06</v>
      </c>
    </row>
    <row r="11" spans="1:25" x14ac:dyDescent="0.2">
      <c r="A11">
        <v>9</v>
      </c>
      <c r="B11" s="2">
        <v>0.05</v>
      </c>
      <c r="C11" s="2">
        <v>0.05</v>
      </c>
      <c r="D11" s="2">
        <v>0.05</v>
      </c>
      <c r="E11" s="2">
        <v>4.4999999999999998E-2</v>
      </c>
      <c r="F11" s="2">
        <v>0.04</v>
      </c>
      <c r="G11" s="2">
        <v>0.04</v>
      </c>
      <c r="H11" s="2">
        <v>0.05</v>
      </c>
      <c r="I11" s="2">
        <v>0.05</v>
      </c>
      <c r="J11" s="2">
        <v>0.05</v>
      </c>
      <c r="K11" s="2">
        <v>0.05</v>
      </c>
      <c r="L11" s="2">
        <v>0.05</v>
      </c>
      <c r="M11" s="2">
        <v>0.05</v>
      </c>
      <c r="N11" s="2">
        <v>0.03</v>
      </c>
      <c r="O11" s="2">
        <v>3.5000000000000003E-2</v>
      </c>
      <c r="P11" s="2">
        <v>0.03</v>
      </c>
      <c r="Q11" s="2">
        <v>0.03</v>
      </c>
      <c r="R11" s="2">
        <v>0.03</v>
      </c>
      <c r="S11" s="2">
        <v>0.03</v>
      </c>
      <c r="T11" s="2">
        <v>3.5000000000000003E-2</v>
      </c>
      <c r="U11" s="2">
        <v>3.5000000000000003E-2</v>
      </c>
      <c r="V11" s="2">
        <v>3.5000000000000003E-2</v>
      </c>
      <c r="W11" s="2">
        <v>3.5000000000000003E-2</v>
      </c>
      <c r="X11" s="2">
        <v>0.06</v>
      </c>
      <c r="Y11" s="2">
        <v>0.06</v>
      </c>
    </row>
    <row r="12" spans="1:25" x14ac:dyDescent="0.2">
      <c r="A12">
        <v>10</v>
      </c>
      <c r="B12" s="2">
        <v>0.04</v>
      </c>
      <c r="C12" s="2">
        <v>0.04</v>
      </c>
      <c r="D12" s="2">
        <v>0.04</v>
      </c>
      <c r="E12" s="2">
        <v>0.04</v>
      </c>
      <c r="F12" s="2">
        <v>0.04</v>
      </c>
      <c r="G12" s="2">
        <v>0.03</v>
      </c>
      <c r="H12" s="2">
        <v>4.4999999999999998E-2</v>
      </c>
      <c r="I12" s="2">
        <v>4.4999999999999998E-2</v>
      </c>
      <c r="J12" s="2">
        <v>4.4999999999999998E-2</v>
      </c>
      <c r="K12" s="2">
        <v>4.4999999999999998E-2</v>
      </c>
      <c r="L12" s="2">
        <v>4.4999999999999998E-2</v>
      </c>
      <c r="M12" s="2">
        <v>4.4999999999999998E-2</v>
      </c>
      <c r="N12" s="2">
        <v>2.5000000000000001E-2</v>
      </c>
      <c r="O12" s="2">
        <v>2.5000000000000001E-2</v>
      </c>
      <c r="P12" s="2">
        <v>2.5000000000000001E-2</v>
      </c>
      <c r="Q12" s="2">
        <v>2.5000000000000001E-2</v>
      </c>
      <c r="R12" s="2">
        <v>2.5000000000000001E-2</v>
      </c>
      <c r="S12" s="2">
        <v>2.5000000000000001E-2</v>
      </c>
      <c r="T12" s="2">
        <v>3.5000000000000003E-2</v>
      </c>
      <c r="U12" s="2">
        <v>3.5000000000000003E-2</v>
      </c>
      <c r="V12" s="2">
        <v>3.5000000000000003E-2</v>
      </c>
      <c r="W12" s="2">
        <v>3.5000000000000003E-2</v>
      </c>
      <c r="X12" s="2">
        <v>0.05</v>
      </c>
      <c r="Y12" s="2">
        <v>0.05</v>
      </c>
    </row>
    <row r="13" spans="1:25" x14ac:dyDescent="0.2">
      <c r="A13">
        <v>11</v>
      </c>
      <c r="B13" s="2">
        <v>3.5000000000000003E-2</v>
      </c>
      <c r="C13" s="2">
        <v>3.5000000000000003E-2</v>
      </c>
      <c r="D13" s="2">
        <v>0.03</v>
      </c>
      <c r="E13" s="2">
        <v>3.5000000000000003E-2</v>
      </c>
      <c r="F13" s="2">
        <v>3.5000000000000003E-2</v>
      </c>
      <c r="G13" s="2">
        <v>0.03</v>
      </c>
      <c r="H13" s="2">
        <v>0.04</v>
      </c>
      <c r="I13" s="2">
        <v>0.04</v>
      </c>
      <c r="J13" s="2">
        <v>0.04</v>
      </c>
      <c r="K13" s="2">
        <v>0.04</v>
      </c>
      <c r="L13" s="2">
        <v>0.04</v>
      </c>
      <c r="M13" s="2">
        <v>0.04</v>
      </c>
      <c r="N13" s="2">
        <v>0.02</v>
      </c>
      <c r="O13" s="2">
        <v>0.02</v>
      </c>
      <c r="P13" s="2">
        <v>0.02</v>
      </c>
      <c r="Q13" s="2">
        <v>0.02</v>
      </c>
      <c r="R13" s="2">
        <v>0.02</v>
      </c>
      <c r="S13" s="2">
        <v>0.02</v>
      </c>
      <c r="T13" s="2">
        <v>0.03</v>
      </c>
      <c r="U13" s="2">
        <v>0.03</v>
      </c>
      <c r="V13" s="2">
        <v>0.03</v>
      </c>
      <c r="W13" s="2">
        <v>0.03</v>
      </c>
      <c r="X13" s="2">
        <v>0.03</v>
      </c>
      <c r="Y13" s="2">
        <v>0.03</v>
      </c>
    </row>
    <row r="14" spans="1:25" x14ac:dyDescent="0.2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  <c r="H14" s="2">
        <v>3.5000000000000003E-2</v>
      </c>
      <c r="I14" s="2">
        <v>3.5000000000000003E-2</v>
      </c>
      <c r="J14" s="2">
        <v>3.5000000000000003E-2</v>
      </c>
      <c r="K14" s="2">
        <v>3.5000000000000003E-2</v>
      </c>
      <c r="L14" s="2">
        <v>3.5000000000000003E-2</v>
      </c>
      <c r="M14" s="2">
        <v>3.5000000000000003E-2</v>
      </c>
      <c r="N14" s="2">
        <v>0.02</v>
      </c>
      <c r="O14" s="2">
        <v>0.02</v>
      </c>
      <c r="P14" s="2">
        <v>0.02</v>
      </c>
      <c r="Q14" s="2">
        <v>0.02</v>
      </c>
      <c r="R14" s="2">
        <v>0.02</v>
      </c>
      <c r="S14" s="2">
        <v>0.02</v>
      </c>
      <c r="T14" s="2">
        <v>0.03</v>
      </c>
      <c r="U14" s="2">
        <v>0.03</v>
      </c>
      <c r="V14" s="2">
        <v>0.03</v>
      </c>
      <c r="W14" s="2">
        <v>0.03</v>
      </c>
      <c r="X14" s="2">
        <v>0.03</v>
      </c>
      <c r="Y14" s="2">
        <v>0.03</v>
      </c>
    </row>
    <row r="15" spans="1:25" x14ac:dyDescent="0.2">
      <c r="A15">
        <v>13</v>
      </c>
      <c r="B15" s="2">
        <v>0.03</v>
      </c>
      <c r="C15" s="2">
        <v>0.03</v>
      </c>
      <c r="D15" s="2">
        <v>0.03</v>
      </c>
      <c r="E15" s="2">
        <v>0.03</v>
      </c>
      <c r="F15" s="2">
        <v>0.03</v>
      </c>
      <c r="G15" s="2">
        <v>2.5000000000000001E-2</v>
      </c>
      <c r="H15" s="2">
        <v>3.5000000000000003E-2</v>
      </c>
      <c r="I15" s="2">
        <v>3.5000000000000003E-2</v>
      </c>
      <c r="J15" s="2">
        <v>3.5000000000000003E-2</v>
      </c>
      <c r="K15" s="2">
        <v>3.5000000000000003E-2</v>
      </c>
      <c r="L15" s="2">
        <v>3.5000000000000003E-2</v>
      </c>
      <c r="M15" s="2">
        <v>3.5000000000000003E-2</v>
      </c>
      <c r="N15" s="2">
        <v>0.02</v>
      </c>
      <c r="O15" s="2">
        <v>0.02</v>
      </c>
      <c r="P15" s="2">
        <v>0.02</v>
      </c>
      <c r="Q15" s="2">
        <v>0.02</v>
      </c>
      <c r="R15" s="2">
        <v>0.02</v>
      </c>
      <c r="S15" s="2">
        <v>0.02</v>
      </c>
      <c r="T15" s="2">
        <v>2.5000000000000001E-2</v>
      </c>
      <c r="U15" s="2">
        <v>2.5000000000000001E-2</v>
      </c>
      <c r="V15" s="2">
        <v>2.5000000000000001E-2</v>
      </c>
      <c r="W15" s="2">
        <v>2.5000000000000001E-2</v>
      </c>
      <c r="X15" s="2">
        <v>0.03</v>
      </c>
      <c r="Y15" s="2">
        <v>0.03</v>
      </c>
    </row>
    <row r="16" spans="1:25" x14ac:dyDescent="0.2">
      <c r="A16">
        <v>14</v>
      </c>
      <c r="B16" s="2">
        <v>2.5000000000000001E-2</v>
      </c>
      <c r="C16" s="2">
        <v>2.5000000000000001E-2</v>
      </c>
      <c r="D16" s="2">
        <v>1.4999999999999999E-2</v>
      </c>
      <c r="E16" s="2">
        <v>2.5000000000000001E-2</v>
      </c>
      <c r="F16" s="2">
        <v>2.5000000000000001E-2</v>
      </c>
      <c r="G16" s="2">
        <v>2.5000000000000001E-2</v>
      </c>
      <c r="H16" s="2">
        <v>0.03</v>
      </c>
      <c r="I16" s="2">
        <v>0.03</v>
      </c>
      <c r="J16" s="2">
        <v>0.03</v>
      </c>
      <c r="K16" s="2">
        <v>0.03</v>
      </c>
      <c r="L16" s="2">
        <v>0.03</v>
      </c>
      <c r="M16" s="2">
        <v>0.03</v>
      </c>
      <c r="N16" s="2">
        <v>1.4999999999999999E-2</v>
      </c>
      <c r="O16" s="2">
        <v>1.4999999999999999E-2</v>
      </c>
      <c r="P16" s="2">
        <v>1.4999999999999999E-2</v>
      </c>
      <c r="Q16" s="2">
        <v>1.4999999999999999E-2</v>
      </c>
      <c r="R16" s="2">
        <v>1.4999999999999999E-2</v>
      </c>
      <c r="S16" s="2">
        <v>1.4999999999999999E-2</v>
      </c>
      <c r="T16" s="2">
        <v>2.5000000000000001E-2</v>
      </c>
      <c r="U16" s="2">
        <v>2.5000000000000001E-2</v>
      </c>
      <c r="V16" s="2">
        <v>2.5000000000000001E-2</v>
      </c>
      <c r="W16" s="2">
        <v>2.5000000000000001E-2</v>
      </c>
      <c r="X16" s="2">
        <v>0.03</v>
      </c>
      <c r="Y16" s="2">
        <v>0.03</v>
      </c>
    </row>
    <row r="17" spans="1:25" x14ac:dyDescent="0.2">
      <c r="A17">
        <v>15</v>
      </c>
      <c r="B17" s="2">
        <v>2.5000000000000001E-2</v>
      </c>
      <c r="C17" s="2">
        <v>2.5000000000000001E-2</v>
      </c>
      <c r="D17" s="2">
        <v>1.4999999999999999E-2</v>
      </c>
      <c r="E17" s="2">
        <v>0.02</v>
      </c>
      <c r="F17" s="2">
        <v>0.02</v>
      </c>
      <c r="G17" s="2">
        <v>2.5000000000000001E-2</v>
      </c>
      <c r="H17" s="2">
        <v>0.03</v>
      </c>
      <c r="I17" s="2">
        <v>0.03</v>
      </c>
      <c r="J17" s="2">
        <v>0.03</v>
      </c>
      <c r="K17" s="2">
        <v>2.8000000000000001E-2</v>
      </c>
      <c r="L17" s="2">
        <v>2.8000000000000001E-2</v>
      </c>
      <c r="M17" s="2">
        <v>2.8000000000000001E-2</v>
      </c>
      <c r="N17" s="2">
        <v>1.4999999999999999E-2</v>
      </c>
      <c r="O17" s="2">
        <v>1.4999999999999999E-2</v>
      </c>
      <c r="P17" s="2">
        <v>1.4999999999999999E-2</v>
      </c>
      <c r="Q17" s="2">
        <v>1.4999999999999999E-2</v>
      </c>
      <c r="R17" s="2">
        <v>1.4999999999999999E-2</v>
      </c>
      <c r="S17" s="2">
        <v>1.4999999999999999E-2</v>
      </c>
      <c r="T17" s="2">
        <v>2.3E-2</v>
      </c>
      <c r="U17" s="2">
        <v>2.3E-2</v>
      </c>
      <c r="V17" s="2">
        <v>2.3E-2</v>
      </c>
      <c r="W17" s="2">
        <v>2.3E-2</v>
      </c>
      <c r="X17" s="2">
        <v>0.03</v>
      </c>
      <c r="Y17" s="2">
        <v>0.03</v>
      </c>
    </row>
    <row r="18" spans="1:25" x14ac:dyDescent="0.2">
      <c r="A18">
        <v>16</v>
      </c>
      <c r="B18" s="2">
        <v>0.02</v>
      </c>
      <c r="C18" s="2">
        <v>0.02</v>
      </c>
      <c r="D18" s="2">
        <v>1.4999999999999999E-2</v>
      </c>
      <c r="E18" s="2">
        <v>0.02</v>
      </c>
      <c r="F18" s="2">
        <v>0.02</v>
      </c>
      <c r="G18" s="2">
        <v>0.02</v>
      </c>
      <c r="H18" s="2">
        <v>0.03</v>
      </c>
      <c r="I18" s="2">
        <v>0.03</v>
      </c>
      <c r="J18" s="2">
        <v>0.03</v>
      </c>
      <c r="K18" s="2">
        <v>2.5000000000000001E-2</v>
      </c>
      <c r="L18" s="2">
        <v>2.5000000000000001E-2</v>
      </c>
      <c r="M18" s="2">
        <v>2.5000000000000001E-2</v>
      </c>
      <c r="N18" s="2">
        <v>0.01</v>
      </c>
      <c r="O18" s="2">
        <v>0.01</v>
      </c>
      <c r="P18" s="2">
        <v>0.01</v>
      </c>
      <c r="Q18" s="2">
        <v>0.01</v>
      </c>
      <c r="R18" s="2">
        <v>0.01</v>
      </c>
      <c r="S18" s="2">
        <v>0.01</v>
      </c>
      <c r="T18" s="2">
        <v>0.02</v>
      </c>
      <c r="U18" s="2">
        <v>0.02</v>
      </c>
      <c r="V18" s="2">
        <v>0.02</v>
      </c>
      <c r="W18" s="2">
        <v>0.02</v>
      </c>
      <c r="X18" s="2">
        <v>0.03</v>
      </c>
      <c r="Y18" s="2">
        <v>0.03</v>
      </c>
    </row>
    <row r="19" spans="1:25" x14ac:dyDescent="0.2">
      <c r="A19">
        <v>17</v>
      </c>
      <c r="B19" s="2">
        <v>0.02</v>
      </c>
      <c r="C19" s="2">
        <v>0.02</v>
      </c>
      <c r="D19" s="2">
        <v>1.4999999999999999E-2</v>
      </c>
      <c r="E19" s="2">
        <v>0.02</v>
      </c>
      <c r="F19" s="2">
        <v>0.02</v>
      </c>
      <c r="G19" s="2">
        <v>0.02</v>
      </c>
      <c r="H19" s="2">
        <v>2.5000000000000001E-2</v>
      </c>
      <c r="I19" s="2">
        <v>2.5000000000000001E-2</v>
      </c>
      <c r="J19" s="2">
        <v>2.5000000000000001E-2</v>
      </c>
      <c r="K19" s="2">
        <v>2.5000000000000001E-2</v>
      </c>
      <c r="L19" s="2">
        <v>2.5000000000000001E-2</v>
      </c>
      <c r="M19" s="2">
        <v>2.5000000000000001E-2</v>
      </c>
      <c r="N19" s="2">
        <v>0.01</v>
      </c>
      <c r="O19" s="2">
        <v>0.01</v>
      </c>
      <c r="P19" s="2">
        <v>0.01</v>
      </c>
      <c r="Q19" s="2">
        <v>0.01</v>
      </c>
      <c r="R19" s="2">
        <v>0.01</v>
      </c>
      <c r="S19" s="2">
        <v>0.01</v>
      </c>
      <c r="T19" s="2">
        <v>1.4999999999999999E-2</v>
      </c>
      <c r="U19" s="2">
        <v>1.4999999999999999E-2</v>
      </c>
      <c r="V19" s="2">
        <v>1.4999999999999999E-2</v>
      </c>
      <c r="W19" s="2">
        <v>1.4999999999999999E-2</v>
      </c>
      <c r="X19" s="2">
        <v>1.4999999999999999E-2</v>
      </c>
      <c r="Y19" s="2">
        <v>1.4999999999999999E-2</v>
      </c>
    </row>
    <row r="20" spans="1:25" x14ac:dyDescent="0.2">
      <c r="A20">
        <v>18</v>
      </c>
      <c r="B20" s="2">
        <v>0.02</v>
      </c>
      <c r="C20" s="2">
        <v>0.02</v>
      </c>
      <c r="D20" s="2">
        <v>1.4999999999999999E-2</v>
      </c>
      <c r="E20" s="2">
        <v>1.4999999999999999E-2</v>
      </c>
      <c r="F20" s="2">
        <v>1.4999999999999999E-2</v>
      </c>
      <c r="G20" s="2">
        <v>0.02</v>
      </c>
      <c r="H20" s="2">
        <v>0.02</v>
      </c>
      <c r="I20" s="2">
        <v>0.02</v>
      </c>
      <c r="J20" s="2">
        <v>0.02</v>
      </c>
      <c r="K20" s="2">
        <v>0.02</v>
      </c>
      <c r="L20" s="2">
        <v>0.02</v>
      </c>
      <c r="M20" s="2">
        <v>0.02</v>
      </c>
      <c r="N20" s="2">
        <v>0.01</v>
      </c>
      <c r="O20" s="2">
        <v>0.01</v>
      </c>
      <c r="P20" s="2">
        <v>0.01</v>
      </c>
      <c r="Q20" s="2">
        <v>0.01</v>
      </c>
      <c r="R20" s="2">
        <v>0.01</v>
      </c>
      <c r="S20" s="2">
        <v>0.01</v>
      </c>
      <c r="T20" s="2">
        <v>1.4999999999999999E-2</v>
      </c>
      <c r="U20" s="2">
        <v>1.4999999999999999E-2</v>
      </c>
      <c r="V20" s="2">
        <v>1.4999999999999999E-2</v>
      </c>
      <c r="W20" s="2">
        <v>1.4999999999999999E-2</v>
      </c>
      <c r="X20" s="2">
        <v>1.4999999999999999E-2</v>
      </c>
      <c r="Y20" s="2">
        <v>1.4999999999999999E-2</v>
      </c>
    </row>
    <row r="21" spans="1:25" x14ac:dyDescent="0.2">
      <c r="A21">
        <v>19</v>
      </c>
      <c r="B21" s="2">
        <v>0.02</v>
      </c>
      <c r="C21" s="2">
        <v>0.02</v>
      </c>
      <c r="D21" s="2">
        <v>1.4999999999999999E-2</v>
      </c>
      <c r="E21" s="2">
        <v>1.4999999999999999E-2</v>
      </c>
      <c r="F21" s="2">
        <v>1.4999999999999999E-2</v>
      </c>
      <c r="G21" s="2">
        <v>0.02</v>
      </c>
      <c r="H21" s="2">
        <v>0.02</v>
      </c>
      <c r="I21" s="2">
        <v>0.02</v>
      </c>
      <c r="J21" s="2">
        <v>0.02</v>
      </c>
      <c r="K21" s="2">
        <v>0.02</v>
      </c>
      <c r="L21" s="2">
        <v>0.02</v>
      </c>
      <c r="M21" s="2">
        <v>0.02</v>
      </c>
      <c r="N21" s="2">
        <v>0.01</v>
      </c>
      <c r="O21" s="2">
        <v>0.01</v>
      </c>
      <c r="P21" s="2">
        <v>0.01</v>
      </c>
      <c r="Q21" s="2">
        <v>0.01</v>
      </c>
      <c r="R21" s="2">
        <v>0.01</v>
      </c>
      <c r="S21" s="2">
        <v>0.01</v>
      </c>
      <c r="T21" s="2">
        <v>1.4999999999999999E-2</v>
      </c>
      <c r="U21" s="2">
        <v>1.4999999999999999E-2</v>
      </c>
      <c r="V21" s="2">
        <v>1.4999999999999999E-2</v>
      </c>
      <c r="W21" s="2">
        <v>1.4999999999999999E-2</v>
      </c>
      <c r="X21" s="2">
        <v>1.4999999999999999E-2</v>
      </c>
      <c r="Y21" s="2">
        <v>1.4999999999999999E-2</v>
      </c>
    </row>
    <row r="22" spans="1:25" x14ac:dyDescent="0.2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0.01</v>
      </c>
      <c r="F22" s="2">
        <v>0.01</v>
      </c>
      <c r="G22" s="2">
        <v>1.4999999999999999E-2</v>
      </c>
      <c r="H22" s="2">
        <v>0.02</v>
      </c>
      <c r="I22" s="2">
        <v>0.02</v>
      </c>
      <c r="J22" s="2">
        <v>0.02</v>
      </c>
      <c r="K22" s="2">
        <v>0.02</v>
      </c>
      <c r="L22" s="2">
        <v>0.02</v>
      </c>
      <c r="M22" s="2">
        <v>0.02</v>
      </c>
      <c r="N22" s="2">
        <v>0.01</v>
      </c>
      <c r="O22" s="2">
        <v>0.01</v>
      </c>
      <c r="P22" s="2">
        <v>0.01</v>
      </c>
      <c r="Q22" s="2">
        <v>0.01</v>
      </c>
      <c r="R22" s="2">
        <v>0.01</v>
      </c>
      <c r="S22" s="2">
        <v>0.01</v>
      </c>
      <c r="T22" s="2">
        <v>1.4999999999999999E-2</v>
      </c>
      <c r="U22" s="2">
        <v>1.4999999999999999E-2</v>
      </c>
      <c r="V22" s="2">
        <v>1.4999999999999999E-2</v>
      </c>
      <c r="W22" s="2">
        <v>1.4999999999999999E-2</v>
      </c>
      <c r="X22" s="2">
        <v>1.4999999999999999E-2</v>
      </c>
      <c r="Y22" s="2">
        <v>1.4999999999999999E-2</v>
      </c>
    </row>
    <row r="23" spans="1:25" x14ac:dyDescent="0.2">
      <c r="A23">
        <v>21</v>
      </c>
      <c r="B23" s="2">
        <v>1.2999999999999999E-2</v>
      </c>
      <c r="C23" s="2">
        <v>1.2999999999999999E-2</v>
      </c>
      <c r="D23" s="2">
        <v>1.4999999999999999E-2</v>
      </c>
      <c r="E23" s="2">
        <v>0.01</v>
      </c>
      <c r="F23" s="2">
        <v>0.01</v>
      </c>
      <c r="G23" s="2">
        <v>1.2999999999999999E-2</v>
      </c>
      <c r="H23" s="2">
        <v>1.4999999999999999E-2</v>
      </c>
      <c r="I23" s="2">
        <v>1.4999999999999999E-2</v>
      </c>
      <c r="J23" s="2">
        <v>1.4999999999999999E-2</v>
      </c>
      <c r="K23" s="2">
        <v>1.4999999999999999E-2</v>
      </c>
      <c r="L23" s="2">
        <v>1.4999999999999999E-2</v>
      </c>
      <c r="M23" s="2">
        <v>1.4999999999999999E-2</v>
      </c>
      <c r="N23" s="2">
        <v>0.01</v>
      </c>
      <c r="O23" s="2">
        <v>0.01</v>
      </c>
      <c r="P23" s="2">
        <v>0.01</v>
      </c>
      <c r="Q23" s="2">
        <v>0.01</v>
      </c>
      <c r="R23" s="2">
        <v>0.01</v>
      </c>
      <c r="S23" s="2">
        <v>0.01</v>
      </c>
      <c r="T23" s="2">
        <v>1.4999999999999999E-2</v>
      </c>
      <c r="U23" s="2">
        <v>1.4999999999999999E-2</v>
      </c>
      <c r="V23" s="2">
        <v>1.4999999999999999E-2</v>
      </c>
      <c r="W23" s="2">
        <v>1.4999999999999999E-2</v>
      </c>
      <c r="X23" s="2">
        <v>1.4999999999999999E-2</v>
      </c>
      <c r="Y23" s="2">
        <v>1.4999999999999999E-2</v>
      </c>
    </row>
    <row r="24" spans="1:25" x14ac:dyDescent="0.2">
      <c r="A24">
        <v>22</v>
      </c>
      <c r="B24" s="2">
        <v>1.2999999999999999E-2</v>
      </c>
      <c r="C24" s="2">
        <v>1.2999999999999999E-2</v>
      </c>
      <c r="D24" s="2">
        <v>1.4999999999999999E-2</v>
      </c>
      <c r="E24" s="2">
        <v>0.01</v>
      </c>
      <c r="F24" s="2">
        <v>0.01</v>
      </c>
      <c r="G24" s="2">
        <v>1.2999999999999999E-2</v>
      </c>
      <c r="H24" s="2">
        <v>1.4999999999999999E-2</v>
      </c>
      <c r="I24" s="2">
        <v>1.4999999999999999E-2</v>
      </c>
      <c r="J24" s="2">
        <v>1.4999999999999999E-2</v>
      </c>
      <c r="K24" s="2">
        <v>1.4999999999999999E-2</v>
      </c>
      <c r="L24" s="2">
        <v>1.4999999999999999E-2</v>
      </c>
      <c r="M24" s="2">
        <v>1.4999999999999999E-2</v>
      </c>
      <c r="N24" s="2">
        <v>8.0000000000000002E-3</v>
      </c>
      <c r="O24" s="2">
        <v>8.0000000000000002E-3</v>
      </c>
      <c r="P24" s="2">
        <v>8.0000000000000002E-3</v>
      </c>
      <c r="Q24" s="2">
        <v>8.0000000000000002E-3</v>
      </c>
      <c r="R24" s="2">
        <v>8.0000000000000002E-3</v>
      </c>
      <c r="S24" s="2">
        <v>8.0000000000000002E-3</v>
      </c>
      <c r="T24" s="2">
        <v>1.4999999999999999E-2</v>
      </c>
      <c r="U24" s="2">
        <v>1.4999999999999999E-2</v>
      </c>
      <c r="V24" s="2">
        <v>1.4999999999999999E-2</v>
      </c>
      <c r="W24" s="2">
        <v>1.4999999999999999E-2</v>
      </c>
      <c r="X24" s="2">
        <v>1.4999999999999999E-2</v>
      </c>
      <c r="Y24" s="2">
        <v>1.4999999999999999E-2</v>
      </c>
    </row>
    <row r="25" spans="1:25" x14ac:dyDescent="0.2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  <c r="H25" s="2">
        <v>1.2999999999999999E-2</v>
      </c>
      <c r="I25" s="2">
        <v>1.2999999999999999E-2</v>
      </c>
      <c r="J25" s="2">
        <v>1.2999999999999999E-2</v>
      </c>
      <c r="K25" s="2">
        <v>1.2999999999999999E-2</v>
      </c>
      <c r="L25" s="2">
        <v>1.2999999999999999E-2</v>
      </c>
      <c r="M25" s="2">
        <v>1.2999999999999999E-2</v>
      </c>
      <c r="N25" s="2">
        <v>5.0000000000000001E-3</v>
      </c>
      <c r="O25" s="2">
        <v>5.0000000000000001E-3</v>
      </c>
      <c r="P25" s="2">
        <v>5.0000000000000001E-3</v>
      </c>
      <c r="Q25" s="2">
        <v>5.0000000000000001E-3</v>
      </c>
      <c r="R25" s="2">
        <v>5.0000000000000001E-3</v>
      </c>
      <c r="S25" s="2">
        <v>5.0000000000000001E-3</v>
      </c>
      <c r="T25" s="2">
        <v>1.4999999999999999E-2</v>
      </c>
      <c r="U25" s="2">
        <v>1.4999999999999999E-2</v>
      </c>
      <c r="V25" s="2">
        <v>1.4999999999999999E-2</v>
      </c>
      <c r="W25" s="2">
        <v>1.4999999999999999E-2</v>
      </c>
      <c r="X25" s="2">
        <v>1.4999999999999999E-2</v>
      </c>
      <c r="Y25" s="2">
        <v>1.4999999999999999E-2</v>
      </c>
    </row>
    <row r="26" spans="1:25" x14ac:dyDescent="0.2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  <c r="H26" s="2">
        <v>1.2999999999999999E-2</v>
      </c>
      <c r="I26" s="2">
        <v>1.2999999999999999E-2</v>
      </c>
      <c r="J26" s="2">
        <v>1.2999999999999999E-2</v>
      </c>
      <c r="K26" s="2">
        <v>1.2999999999999999E-2</v>
      </c>
      <c r="L26" s="2">
        <v>1.2999999999999999E-2</v>
      </c>
      <c r="M26" s="2">
        <v>1.2999999999999999E-2</v>
      </c>
      <c r="N26" s="2">
        <v>5.0000000000000001E-3</v>
      </c>
      <c r="O26" s="2">
        <v>5.0000000000000001E-3</v>
      </c>
      <c r="P26" s="2">
        <v>5.0000000000000001E-3</v>
      </c>
      <c r="Q26" s="2">
        <v>5.0000000000000001E-3</v>
      </c>
      <c r="R26" s="2">
        <v>5.0000000000000001E-3</v>
      </c>
      <c r="S26" s="2">
        <v>5.0000000000000001E-3</v>
      </c>
      <c r="T26" s="2">
        <v>1.4999999999999999E-2</v>
      </c>
      <c r="U26" s="2">
        <v>1.4999999999999999E-2</v>
      </c>
      <c r="V26" s="2">
        <v>1.4999999999999999E-2</v>
      </c>
      <c r="W26" s="2">
        <v>1.4999999999999999E-2</v>
      </c>
      <c r="X26" s="2">
        <v>1.4999999999999999E-2</v>
      </c>
      <c r="Y26" s="2">
        <v>1.4999999999999999E-2</v>
      </c>
    </row>
    <row r="27" spans="1:25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  <c r="H27" s="2">
        <v>0.01</v>
      </c>
      <c r="I27" s="2">
        <v>0.01</v>
      </c>
      <c r="J27" s="2">
        <v>0.01</v>
      </c>
      <c r="K27" s="2">
        <v>0.01</v>
      </c>
      <c r="L27" s="2">
        <v>0.01</v>
      </c>
      <c r="M27" s="2">
        <v>0.01</v>
      </c>
      <c r="N27" s="2">
        <v>5.0000000000000001E-3</v>
      </c>
      <c r="O27" s="2">
        <v>5.0000000000000001E-3</v>
      </c>
      <c r="P27" s="2">
        <v>5.0000000000000001E-3</v>
      </c>
      <c r="Q27" s="2">
        <v>5.0000000000000001E-3</v>
      </c>
      <c r="R27" s="2">
        <v>5.0000000000000001E-3</v>
      </c>
      <c r="S27" s="2">
        <v>5.0000000000000001E-3</v>
      </c>
      <c r="T27" s="2">
        <v>0.01</v>
      </c>
      <c r="U27" s="2">
        <v>0.01</v>
      </c>
      <c r="V27" s="2">
        <v>0.01</v>
      </c>
      <c r="W27" s="2">
        <v>0.01</v>
      </c>
      <c r="X27" s="2">
        <v>0.01</v>
      </c>
      <c r="Y27" s="2">
        <v>0.01</v>
      </c>
    </row>
    <row r="28" spans="1:25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  <c r="H28" s="2">
        <v>0.01</v>
      </c>
      <c r="I28" s="2">
        <v>0.01</v>
      </c>
      <c r="J28" s="2">
        <v>0.01</v>
      </c>
      <c r="K28" s="2">
        <v>0.01</v>
      </c>
      <c r="L28" s="2">
        <v>0.01</v>
      </c>
      <c r="M28" s="2">
        <v>0.01</v>
      </c>
      <c r="N28" s="2">
        <v>5.0000000000000001E-3</v>
      </c>
      <c r="O28" s="2">
        <v>5.0000000000000001E-3</v>
      </c>
      <c r="P28" s="2">
        <v>5.0000000000000001E-3</v>
      </c>
      <c r="Q28" s="2">
        <v>5.0000000000000001E-3</v>
      </c>
      <c r="R28" s="2">
        <v>5.0000000000000001E-3</v>
      </c>
      <c r="S28" s="2">
        <v>5.0000000000000001E-3</v>
      </c>
      <c r="T28" s="2">
        <v>0.01</v>
      </c>
      <c r="U28" s="2">
        <v>0.01</v>
      </c>
      <c r="V28" s="2">
        <v>0.01</v>
      </c>
      <c r="W28" s="2">
        <v>0.01</v>
      </c>
      <c r="X28" s="2">
        <v>0.01</v>
      </c>
      <c r="Y28" s="2">
        <v>0.01</v>
      </c>
    </row>
    <row r="29" spans="1:25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  <c r="H29" s="2">
        <v>8.0000000000000002E-3</v>
      </c>
      <c r="I29" s="2">
        <v>8.0000000000000002E-3</v>
      </c>
      <c r="J29" s="2">
        <v>8.0000000000000002E-3</v>
      </c>
      <c r="K29" s="2">
        <v>8.0000000000000002E-3</v>
      </c>
      <c r="L29" s="2">
        <v>8.0000000000000002E-3</v>
      </c>
      <c r="M29" s="2">
        <v>8.0000000000000002E-3</v>
      </c>
      <c r="N29" s="2">
        <v>5.0000000000000001E-3</v>
      </c>
      <c r="O29" s="2">
        <v>5.0000000000000001E-3</v>
      </c>
      <c r="P29" s="2">
        <v>5.0000000000000001E-3</v>
      </c>
      <c r="Q29" s="2">
        <v>5.0000000000000001E-3</v>
      </c>
      <c r="R29" s="2">
        <v>5.0000000000000001E-3</v>
      </c>
      <c r="S29" s="2">
        <v>5.0000000000000001E-3</v>
      </c>
      <c r="T29" s="2">
        <v>0.01</v>
      </c>
      <c r="U29" s="2">
        <v>0.01</v>
      </c>
      <c r="V29" s="2">
        <v>0.01</v>
      </c>
      <c r="W29" s="2">
        <v>0.01</v>
      </c>
      <c r="X29" s="2">
        <v>0.01</v>
      </c>
      <c r="Y29" s="2">
        <v>0.01</v>
      </c>
    </row>
    <row r="30" spans="1:25" x14ac:dyDescent="0.2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5.0000000000000001E-3</v>
      </c>
      <c r="G30" s="2">
        <v>5.0000000000000001E-3</v>
      </c>
      <c r="H30" s="2">
        <v>8.0000000000000002E-3</v>
      </c>
      <c r="I30" s="2">
        <v>8.0000000000000002E-3</v>
      </c>
      <c r="J30" s="2">
        <v>8.0000000000000002E-3</v>
      </c>
      <c r="K30" s="2">
        <v>8.0000000000000002E-3</v>
      </c>
      <c r="L30" s="2">
        <v>8.0000000000000002E-3</v>
      </c>
      <c r="M30" s="2">
        <v>8.0000000000000002E-3</v>
      </c>
      <c r="N30" s="2">
        <v>5.0000000000000001E-3</v>
      </c>
      <c r="O30" s="2">
        <v>5.0000000000000001E-3</v>
      </c>
      <c r="P30" s="2">
        <v>5.0000000000000001E-3</v>
      </c>
      <c r="Q30" s="2">
        <v>5.0000000000000001E-3</v>
      </c>
      <c r="R30" s="2">
        <v>5.0000000000000001E-3</v>
      </c>
      <c r="S30" s="2">
        <v>5.0000000000000001E-3</v>
      </c>
      <c r="T30" s="2">
        <v>0.01</v>
      </c>
      <c r="U30" s="2">
        <v>0.01</v>
      </c>
      <c r="V30" s="2">
        <v>0.01</v>
      </c>
      <c r="W30" s="2">
        <v>0.01</v>
      </c>
      <c r="X30" s="2">
        <v>0.01</v>
      </c>
      <c r="Y30" s="2">
        <v>0.01</v>
      </c>
    </row>
    <row r="31" spans="1:25" x14ac:dyDescent="0.2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5.0000000000000001E-3</v>
      </c>
      <c r="G31" s="2">
        <v>5.0000000000000001E-3</v>
      </c>
      <c r="H31" s="2">
        <v>5.0000000000000001E-3</v>
      </c>
      <c r="I31" s="2">
        <v>5.0000000000000001E-3</v>
      </c>
      <c r="J31" s="2">
        <v>5.0000000000000001E-3</v>
      </c>
      <c r="K31" s="2">
        <v>5.0000000000000001E-3</v>
      </c>
      <c r="L31" s="2">
        <v>5.0000000000000001E-3</v>
      </c>
      <c r="M31" s="2">
        <v>5.0000000000000001E-3</v>
      </c>
      <c r="N31" s="2">
        <v>5.0000000000000001E-3</v>
      </c>
      <c r="O31" s="2">
        <v>5.0000000000000001E-3</v>
      </c>
      <c r="P31" s="2">
        <v>5.0000000000000001E-3</v>
      </c>
      <c r="Q31" s="2">
        <v>5.0000000000000001E-3</v>
      </c>
      <c r="R31" s="2">
        <v>5.0000000000000001E-3</v>
      </c>
      <c r="S31" s="2">
        <v>5.0000000000000001E-3</v>
      </c>
      <c r="T31" s="2">
        <v>0.01</v>
      </c>
      <c r="U31" s="2">
        <v>0.01</v>
      </c>
      <c r="V31" s="2">
        <v>0.01</v>
      </c>
      <c r="W31" s="2">
        <v>0.01</v>
      </c>
      <c r="X31" s="2">
        <v>0.01</v>
      </c>
      <c r="Y31" s="2">
        <v>0.01</v>
      </c>
    </row>
    <row r="32" spans="1:25" x14ac:dyDescent="0.2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5.0000000000000001E-3</v>
      </c>
      <c r="G32" s="2">
        <v>5.0000000000000001E-3</v>
      </c>
      <c r="H32" s="2">
        <v>5.0000000000000001E-3</v>
      </c>
      <c r="I32" s="2">
        <v>5.0000000000000001E-3</v>
      </c>
      <c r="J32" s="2">
        <v>5.0000000000000001E-3</v>
      </c>
      <c r="K32" s="2">
        <v>5.0000000000000001E-3</v>
      </c>
      <c r="L32" s="2">
        <v>5.0000000000000001E-3</v>
      </c>
      <c r="M32" s="2">
        <v>5.0000000000000001E-3</v>
      </c>
      <c r="N32" s="2">
        <v>5.0000000000000001E-3</v>
      </c>
      <c r="O32" s="2">
        <v>5.0000000000000001E-3</v>
      </c>
      <c r="P32" s="2">
        <v>5.0000000000000001E-3</v>
      </c>
      <c r="Q32" s="2">
        <v>5.0000000000000001E-3</v>
      </c>
      <c r="R32" s="2">
        <v>5.0000000000000001E-3</v>
      </c>
      <c r="S32" s="2">
        <v>5.0000000000000001E-3</v>
      </c>
      <c r="T32" s="2">
        <v>0.01</v>
      </c>
      <c r="U32" s="2">
        <v>0.01</v>
      </c>
      <c r="V32" s="2">
        <v>0.01</v>
      </c>
      <c r="W32" s="2">
        <v>0.01</v>
      </c>
      <c r="X32" s="2">
        <v>0.01</v>
      </c>
      <c r="Y32" s="2">
        <v>0.01</v>
      </c>
    </row>
    <row r="33" spans="2:25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7783-8D67-444F-A34C-4E994382DEDE}">
  <sheetPr>
    <tabColor rgb="FFFFFF00"/>
  </sheetPr>
  <dimension ref="A1:G32"/>
  <sheetViews>
    <sheetView workbookViewId="0">
      <selection activeCell="I43" sqref="I43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0.27</v>
      </c>
      <c r="C2" s="2">
        <v>0.25</v>
      </c>
      <c r="D2" s="2">
        <v>0.23</v>
      </c>
      <c r="E2" s="2">
        <v>0.22</v>
      </c>
      <c r="F2" s="2">
        <v>0.21</v>
      </c>
      <c r="G2" s="2">
        <v>0.27</v>
      </c>
    </row>
    <row r="3" spans="1:7" x14ac:dyDescent="0.2">
      <c r="A3">
        <v>1</v>
      </c>
      <c r="B3" s="2">
        <v>0.19</v>
      </c>
      <c r="C3" s="2">
        <v>0.17</v>
      </c>
      <c r="D3" s="2">
        <v>0.15</v>
      </c>
      <c r="E3" s="2">
        <v>0.13500000000000001</v>
      </c>
      <c r="F3" s="2">
        <v>0.125</v>
      </c>
      <c r="G3" s="2">
        <v>0.125</v>
      </c>
    </row>
    <row r="4" spans="1:7" x14ac:dyDescent="0.2">
      <c r="A4">
        <v>2</v>
      </c>
      <c r="B4" s="2">
        <v>0.17499999999999999</v>
      </c>
      <c r="C4" s="2">
        <v>0.13500000000000001</v>
      </c>
      <c r="D4" s="2">
        <v>0.12</v>
      </c>
      <c r="E4" s="2">
        <v>0.105</v>
      </c>
      <c r="F4" s="2">
        <v>9.5000000000000001E-2</v>
      </c>
      <c r="G4" s="2">
        <v>0.09</v>
      </c>
    </row>
    <row r="5" spans="1:7" x14ac:dyDescent="0.2">
      <c r="A5">
        <v>3</v>
      </c>
      <c r="B5" s="2">
        <v>0.16</v>
      </c>
      <c r="C5" s="2">
        <v>0.115</v>
      </c>
      <c r="D5" s="2">
        <v>0.1</v>
      </c>
      <c r="E5" s="2">
        <v>0.09</v>
      </c>
      <c r="F5" s="2">
        <v>7.8E-2</v>
      </c>
      <c r="G5" s="2">
        <v>7.8E-2</v>
      </c>
    </row>
    <row r="6" spans="1:7" x14ac:dyDescent="0.2">
      <c r="A6">
        <v>4</v>
      </c>
      <c r="B6" s="2">
        <v>0.155</v>
      </c>
      <c r="C6" s="2">
        <v>0.1</v>
      </c>
      <c r="D6" s="2">
        <v>8.5000000000000006E-2</v>
      </c>
      <c r="E6" s="2">
        <v>0.08</v>
      </c>
      <c r="F6" s="2">
        <v>6.5000000000000002E-2</v>
      </c>
      <c r="G6" s="2">
        <v>6.5000000000000002E-2</v>
      </c>
    </row>
    <row r="7" spans="1:7" x14ac:dyDescent="0.2">
      <c r="A7">
        <v>5</v>
      </c>
      <c r="B7" s="2">
        <v>0.105</v>
      </c>
      <c r="C7" s="2">
        <v>0.09</v>
      </c>
      <c r="D7" s="2">
        <v>8.5000000000000006E-2</v>
      </c>
      <c r="E7" s="2">
        <v>7.4999999999999997E-2</v>
      </c>
      <c r="F7" s="2">
        <v>0.06</v>
      </c>
      <c r="G7" s="2">
        <v>0.06</v>
      </c>
    </row>
    <row r="8" spans="1:7" x14ac:dyDescent="0.2">
      <c r="A8">
        <v>6</v>
      </c>
      <c r="B8" s="2">
        <v>0.105</v>
      </c>
      <c r="C8" s="2">
        <v>8.5000000000000006E-2</v>
      </c>
      <c r="D8" s="2">
        <v>7.4999999999999997E-2</v>
      </c>
      <c r="E8" s="2">
        <v>6.5000000000000002E-2</v>
      </c>
      <c r="F8" s="2">
        <v>0.06</v>
      </c>
      <c r="G8" s="2">
        <v>0.06</v>
      </c>
    </row>
    <row r="9" spans="1:7" x14ac:dyDescent="0.2">
      <c r="A9">
        <v>7</v>
      </c>
      <c r="B9" s="2">
        <v>0.08</v>
      </c>
      <c r="C9" s="2">
        <v>0.08</v>
      </c>
      <c r="D9" s="2">
        <v>6.5000000000000002E-2</v>
      </c>
      <c r="E9" s="2">
        <v>0.06</v>
      </c>
      <c r="F9" s="2">
        <v>0.05</v>
      </c>
      <c r="G9" s="2">
        <v>0.05</v>
      </c>
    </row>
    <row r="10" spans="1:7" x14ac:dyDescent="0.2">
      <c r="A10">
        <v>8</v>
      </c>
      <c r="B10" s="2">
        <v>5.5E-2</v>
      </c>
      <c r="C10" s="2">
        <v>5.5E-2</v>
      </c>
      <c r="D10" s="2">
        <v>0.05</v>
      </c>
      <c r="E10" s="2">
        <v>5.5E-2</v>
      </c>
      <c r="F10" s="2">
        <v>0.05</v>
      </c>
      <c r="G10" s="2">
        <v>0.04</v>
      </c>
    </row>
    <row r="11" spans="1:7" x14ac:dyDescent="0.2">
      <c r="A11">
        <v>9</v>
      </c>
      <c r="B11" s="2">
        <v>0.05</v>
      </c>
      <c r="C11" s="2">
        <v>0.05</v>
      </c>
      <c r="D11" s="2">
        <v>0.05</v>
      </c>
      <c r="E11" s="2">
        <v>4.4999999999999998E-2</v>
      </c>
      <c r="F11" s="2">
        <v>0.04</v>
      </c>
      <c r="G11" s="2">
        <v>0.04</v>
      </c>
    </row>
    <row r="12" spans="1:7" x14ac:dyDescent="0.2">
      <c r="A12">
        <v>10</v>
      </c>
      <c r="B12" s="2">
        <v>0.04</v>
      </c>
      <c r="C12" s="2">
        <v>0.04</v>
      </c>
      <c r="D12" s="2">
        <v>0.04</v>
      </c>
      <c r="E12" s="2">
        <v>0.04</v>
      </c>
      <c r="F12" s="2">
        <v>0.04</v>
      </c>
      <c r="G12" s="2">
        <v>0.03</v>
      </c>
    </row>
    <row r="13" spans="1:7" x14ac:dyDescent="0.2">
      <c r="A13">
        <v>11</v>
      </c>
      <c r="B13" s="2">
        <v>3.5000000000000003E-2</v>
      </c>
      <c r="C13" s="2">
        <v>3.5000000000000003E-2</v>
      </c>
      <c r="D13" s="2">
        <v>0.03</v>
      </c>
      <c r="E13" s="2">
        <v>3.5000000000000003E-2</v>
      </c>
      <c r="F13" s="2">
        <v>3.5000000000000003E-2</v>
      </c>
      <c r="G13" s="2">
        <v>0.03</v>
      </c>
    </row>
    <row r="14" spans="1:7" x14ac:dyDescent="0.2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</row>
    <row r="15" spans="1:7" x14ac:dyDescent="0.2">
      <c r="A15">
        <v>13</v>
      </c>
      <c r="B15" s="2">
        <v>0.03</v>
      </c>
      <c r="C15" s="2">
        <v>0.03</v>
      </c>
      <c r="D15" s="2">
        <v>0.03</v>
      </c>
      <c r="E15" s="2">
        <v>0.03</v>
      </c>
      <c r="F15" s="2">
        <v>0.03</v>
      </c>
      <c r="G15" s="2">
        <v>2.5000000000000001E-2</v>
      </c>
    </row>
    <row r="16" spans="1:7" x14ac:dyDescent="0.2">
      <c r="A16">
        <v>14</v>
      </c>
      <c r="B16" s="2">
        <v>2.5000000000000001E-2</v>
      </c>
      <c r="C16" s="2">
        <v>2.5000000000000001E-2</v>
      </c>
      <c r="D16" s="2">
        <v>1.4999999999999999E-2</v>
      </c>
      <c r="E16" s="2">
        <v>2.5000000000000001E-2</v>
      </c>
      <c r="F16" s="2">
        <v>2.5000000000000001E-2</v>
      </c>
      <c r="G16" s="2">
        <v>2.5000000000000001E-2</v>
      </c>
    </row>
    <row r="17" spans="1:7" x14ac:dyDescent="0.2">
      <c r="A17">
        <v>15</v>
      </c>
      <c r="B17" s="2">
        <v>2.5000000000000001E-2</v>
      </c>
      <c r="C17" s="2">
        <v>2.5000000000000001E-2</v>
      </c>
      <c r="D17" s="2">
        <v>1.4999999999999999E-2</v>
      </c>
      <c r="E17" s="2">
        <v>0.02</v>
      </c>
      <c r="F17" s="2">
        <v>0.02</v>
      </c>
      <c r="G17" s="2">
        <v>2.5000000000000001E-2</v>
      </c>
    </row>
    <row r="18" spans="1:7" x14ac:dyDescent="0.2">
      <c r="A18">
        <v>16</v>
      </c>
      <c r="B18" s="2">
        <v>0.02</v>
      </c>
      <c r="C18" s="2">
        <v>0.02</v>
      </c>
      <c r="D18" s="2">
        <v>1.4999999999999999E-2</v>
      </c>
      <c r="E18" s="2">
        <v>0.02</v>
      </c>
      <c r="F18" s="2">
        <v>0.02</v>
      </c>
      <c r="G18" s="2">
        <v>0.02</v>
      </c>
    </row>
    <row r="19" spans="1:7" x14ac:dyDescent="0.2">
      <c r="A19">
        <v>17</v>
      </c>
      <c r="B19" s="2">
        <v>0.02</v>
      </c>
      <c r="C19" s="2">
        <v>0.02</v>
      </c>
      <c r="D19" s="2">
        <v>1.4999999999999999E-2</v>
      </c>
      <c r="E19" s="2">
        <v>0.02</v>
      </c>
      <c r="F19" s="2">
        <v>0.02</v>
      </c>
      <c r="G19" s="2">
        <v>0.02</v>
      </c>
    </row>
    <row r="20" spans="1:7" x14ac:dyDescent="0.2">
      <c r="A20">
        <v>18</v>
      </c>
      <c r="B20" s="2">
        <v>0.02</v>
      </c>
      <c r="C20" s="2">
        <v>0.02</v>
      </c>
      <c r="D20" s="2">
        <v>1.4999999999999999E-2</v>
      </c>
      <c r="E20" s="2">
        <v>1.4999999999999999E-2</v>
      </c>
      <c r="F20" s="2">
        <v>1.4999999999999999E-2</v>
      </c>
      <c r="G20" s="2">
        <v>0.02</v>
      </c>
    </row>
    <row r="21" spans="1:7" x14ac:dyDescent="0.2">
      <c r="A21">
        <v>19</v>
      </c>
      <c r="B21" s="2">
        <v>0.02</v>
      </c>
      <c r="C21" s="2">
        <v>0.02</v>
      </c>
      <c r="D21" s="2">
        <v>1.4999999999999999E-2</v>
      </c>
      <c r="E21" s="2">
        <v>1.4999999999999999E-2</v>
      </c>
      <c r="F21" s="2">
        <v>1.4999999999999999E-2</v>
      </c>
      <c r="G21" s="2">
        <v>0.02</v>
      </c>
    </row>
    <row r="22" spans="1:7" x14ac:dyDescent="0.2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0.01</v>
      </c>
      <c r="F22" s="2">
        <v>0.01</v>
      </c>
      <c r="G22" s="2">
        <v>1.4999999999999999E-2</v>
      </c>
    </row>
    <row r="23" spans="1:7" x14ac:dyDescent="0.2">
      <c r="A23">
        <v>21</v>
      </c>
      <c r="B23" s="2">
        <v>1.2999999999999999E-2</v>
      </c>
      <c r="C23" s="2">
        <v>1.2999999999999999E-2</v>
      </c>
      <c r="D23" s="2">
        <v>1.4999999999999999E-2</v>
      </c>
      <c r="E23" s="2">
        <v>0.01</v>
      </c>
      <c r="F23" s="2">
        <v>0.01</v>
      </c>
      <c r="G23" s="2">
        <v>1.2999999999999999E-2</v>
      </c>
    </row>
    <row r="24" spans="1:7" x14ac:dyDescent="0.2">
      <c r="A24">
        <v>22</v>
      </c>
      <c r="B24" s="2">
        <v>1.2999999999999999E-2</v>
      </c>
      <c r="C24" s="2">
        <v>1.2999999999999999E-2</v>
      </c>
      <c r="D24" s="2">
        <v>1.4999999999999999E-2</v>
      </c>
      <c r="E24" s="2">
        <v>0.01</v>
      </c>
      <c r="F24" s="2">
        <v>0.01</v>
      </c>
      <c r="G24" s="2">
        <v>1.2999999999999999E-2</v>
      </c>
    </row>
    <row r="25" spans="1:7" x14ac:dyDescent="0.2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2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2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5.0000000000000001E-3</v>
      </c>
      <c r="G30" s="2">
        <v>5.0000000000000001E-3</v>
      </c>
    </row>
    <row r="31" spans="1:7" x14ac:dyDescent="0.2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5.0000000000000001E-3</v>
      </c>
      <c r="G31" s="2">
        <v>5.0000000000000001E-3</v>
      </c>
    </row>
    <row r="32" spans="1:7" x14ac:dyDescent="0.2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5.0000000000000001E-3</v>
      </c>
      <c r="G32" s="2">
        <v>5.0000000000000001E-3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948C-74D4-C94D-8EA8-C0371ECA7FDF}">
  <sheetPr>
    <tabColor rgb="FFFFFF00"/>
  </sheetPr>
  <dimension ref="A1:G32"/>
  <sheetViews>
    <sheetView workbookViewId="0">
      <selection activeCell="P43" sqref="P43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0.28000000000000003</v>
      </c>
      <c r="C2" s="2">
        <v>0.28000000000000003</v>
      </c>
      <c r="D2" s="2">
        <v>0.27</v>
      </c>
      <c r="E2" s="2">
        <v>0.26</v>
      </c>
      <c r="F2" s="2">
        <v>0.25</v>
      </c>
      <c r="G2" s="2">
        <v>0.3</v>
      </c>
    </row>
    <row r="3" spans="1:7" x14ac:dyDescent="0.2">
      <c r="A3">
        <v>1</v>
      </c>
      <c r="B3" s="2">
        <v>0.18</v>
      </c>
      <c r="C3" s="2">
        <v>0.17</v>
      </c>
      <c r="D3" s="2">
        <v>0.16</v>
      </c>
      <c r="E3" s="2">
        <v>0.15</v>
      </c>
      <c r="F3" s="2">
        <v>0.125</v>
      </c>
      <c r="G3" s="2">
        <v>0.125</v>
      </c>
    </row>
    <row r="4" spans="1:7" x14ac:dyDescent="0.2">
      <c r="A4">
        <v>2</v>
      </c>
      <c r="B4" s="2">
        <v>0.16</v>
      </c>
      <c r="C4" s="2">
        <v>0.13500000000000001</v>
      </c>
      <c r="D4" s="2">
        <v>0.125</v>
      </c>
      <c r="E4" s="2">
        <v>0.115</v>
      </c>
      <c r="F4" s="2">
        <v>0.1</v>
      </c>
      <c r="G4" s="2">
        <v>0.1</v>
      </c>
    </row>
    <row r="5" spans="1:7" x14ac:dyDescent="0.2">
      <c r="A5">
        <v>3</v>
      </c>
      <c r="B5" s="2">
        <v>0.16</v>
      </c>
      <c r="C5" s="2">
        <v>0.115</v>
      </c>
      <c r="D5" s="2">
        <v>0.105</v>
      </c>
      <c r="E5" s="2">
        <v>9.5000000000000001E-2</v>
      </c>
      <c r="F5" s="2">
        <v>0.09</v>
      </c>
      <c r="G5" s="2">
        <v>0.09</v>
      </c>
    </row>
    <row r="6" spans="1:7" x14ac:dyDescent="0.2">
      <c r="A6">
        <v>4</v>
      </c>
      <c r="B6" s="2">
        <v>0.16</v>
      </c>
      <c r="C6" s="2">
        <v>0.1</v>
      </c>
      <c r="D6" s="2">
        <v>0.09</v>
      </c>
      <c r="E6" s="2">
        <v>0.08</v>
      </c>
      <c r="F6" s="2">
        <v>7.4999999999999997E-2</v>
      </c>
      <c r="G6" s="2">
        <v>7.4999999999999997E-2</v>
      </c>
    </row>
    <row r="7" spans="1:7" x14ac:dyDescent="0.2">
      <c r="A7">
        <v>5</v>
      </c>
      <c r="B7" s="2">
        <v>0.13</v>
      </c>
      <c r="C7" s="2">
        <v>0.08</v>
      </c>
      <c r="D7" s="2">
        <v>0.08</v>
      </c>
      <c r="E7" s="2">
        <v>7.4999999999999997E-2</v>
      </c>
      <c r="F7" s="2">
        <v>7.4999999999999997E-2</v>
      </c>
      <c r="G7" s="2">
        <v>7.4999999999999997E-2</v>
      </c>
    </row>
    <row r="8" spans="1:7" x14ac:dyDescent="0.2">
      <c r="A8">
        <v>6</v>
      </c>
      <c r="B8" s="2">
        <v>0.12</v>
      </c>
      <c r="C8" s="2">
        <v>0.08</v>
      </c>
      <c r="D8" s="2">
        <v>0.08</v>
      </c>
      <c r="E8" s="2">
        <v>7.4999999999999997E-2</v>
      </c>
      <c r="F8" s="2">
        <v>7.4999999999999997E-2</v>
      </c>
      <c r="G8" s="2">
        <v>7.4999999999999997E-2</v>
      </c>
    </row>
    <row r="9" spans="1:7" x14ac:dyDescent="0.2">
      <c r="A9">
        <v>7</v>
      </c>
      <c r="B9" s="2">
        <v>7.4999999999999997E-2</v>
      </c>
      <c r="C9" s="2">
        <v>7.4999999999999997E-2</v>
      </c>
      <c r="D9" s="2">
        <v>7.4999999999999997E-2</v>
      </c>
      <c r="E9" s="2">
        <v>6.5000000000000002E-2</v>
      </c>
      <c r="F9" s="2">
        <v>6.5000000000000002E-2</v>
      </c>
      <c r="G9" s="2">
        <v>6.5000000000000002E-2</v>
      </c>
    </row>
    <row r="10" spans="1:7" x14ac:dyDescent="0.2">
      <c r="A10">
        <v>8</v>
      </c>
      <c r="B10" s="2">
        <v>0.06</v>
      </c>
      <c r="C10" s="2">
        <v>0.06</v>
      </c>
      <c r="D10" s="2">
        <v>0.06</v>
      </c>
      <c r="E10" s="2">
        <v>5.5E-2</v>
      </c>
      <c r="F10" s="2">
        <v>5.5E-2</v>
      </c>
      <c r="G10" s="2">
        <v>5.5E-2</v>
      </c>
    </row>
    <row r="11" spans="1:7" x14ac:dyDescent="0.2">
      <c r="A11">
        <v>9</v>
      </c>
      <c r="B11" s="2">
        <v>0.05</v>
      </c>
      <c r="C11" s="2">
        <v>0.05</v>
      </c>
      <c r="D11" s="2">
        <v>0.05</v>
      </c>
      <c r="E11" s="2">
        <v>0.05</v>
      </c>
      <c r="F11" s="2">
        <v>0.05</v>
      </c>
      <c r="G11" s="2">
        <v>0.05</v>
      </c>
    </row>
    <row r="12" spans="1:7" x14ac:dyDescent="0.2">
      <c r="A12">
        <v>10</v>
      </c>
      <c r="B12" s="2">
        <v>4.4999999999999998E-2</v>
      </c>
      <c r="C12" s="2">
        <v>4.4999999999999998E-2</v>
      </c>
      <c r="D12" s="2">
        <v>4.4999999999999998E-2</v>
      </c>
      <c r="E12" s="2">
        <v>4.4999999999999998E-2</v>
      </c>
      <c r="F12" s="2">
        <v>4.4999999999999998E-2</v>
      </c>
      <c r="G12" s="2">
        <v>4.4999999999999998E-2</v>
      </c>
    </row>
    <row r="13" spans="1:7" x14ac:dyDescent="0.2">
      <c r="A13">
        <v>11</v>
      </c>
      <c r="B13" s="2">
        <v>0.04</v>
      </c>
      <c r="C13" s="2">
        <v>0.04</v>
      </c>
      <c r="D13" s="2">
        <v>0.04</v>
      </c>
      <c r="E13" s="2">
        <v>0.04</v>
      </c>
      <c r="F13" s="2">
        <v>0.04</v>
      </c>
      <c r="G13" s="2">
        <v>0.04</v>
      </c>
    </row>
    <row r="14" spans="1:7" x14ac:dyDescent="0.2">
      <c r="A14">
        <v>12</v>
      </c>
      <c r="B14" s="2">
        <v>3.5000000000000003E-2</v>
      </c>
      <c r="C14" s="2">
        <v>3.5000000000000003E-2</v>
      </c>
      <c r="D14" s="2">
        <v>3.5000000000000003E-2</v>
      </c>
      <c r="E14" s="2">
        <v>3.5000000000000003E-2</v>
      </c>
      <c r="F14" s="2">
        <v>3.5000000000000003E-2</v>
      </c>
      <c r="G14" s="2">
        <v>3.5000000000000003E-2</v>
      </c>
    </row>
    <row r="15" spans="1:7" x14ac:dyDescent="0.2">
      <c r="A15">
        <v>13</v>
      </c>
      <c r="B15" s="2">
        <v>3.5000000000000003E-2</v>
      </c>
      <c r="C15" s="2">
        <v>3.5000000000000003E-2</v>
      </c>
      <c r="D15" s="2">
        <v>3.5000000000000003E-2</v>
      </c>
      <c r="E15" s="2">
        <v>3.5000000000000003E-2</v>
      </c>
      <c r="F15" s="2">
        <v>3.5000000000000003E-2</v>
      </c>
      <c r="G15" s="2">
        <v>3.5000000000000003E-2</v>
      </c>
    </row>
    <row r="16" spans="1:7" x14ac:dyDescent="0.2">
      <c r="A16">
        <v>14</v>
      </c>
      <c r="B16" s="2">
        <v>0.03</v>
      </c>
      <c r="C16" s="2">
        <v>0.03</v>
      </c>
      <c r="D16" s="2">
        <v>0.03</v>
      </c>
      <c r="E16" s="2">
        <v>0.03</v>
      </c>
      <c r="F16" s="2">
        <v>0.03</v>
      </c>
      <c r="G16" s="2">
        <v>0.03</v>
      </c>
    </row>
    <row r="17" spans="1:7" x14ac:dyDescent="0.2">
      <c r="A17">
        <v>15</v>
      </c>
      <c r="B17" s="2">
        <v>0.03</v>
      </c>
      <c r="C17" s="2">
        <v>0.03</v>
      </c>
      <c r="D17" s="2">
        <v>0.03</v>
      </c>
      <c r="E17" s="2">
        <v>2.8000000000000001E-2</v>
      </c>
      <c r="F17" s="2">
        <v>2.8000000000000001E-2</v>
      </c>
      <c r="G17" s="2">
        <v>2.8000000000000001E-2</v>
      </c>
    </row>
    <row r="18" spans="1:7" x14ac:dyDescent="0.2">
      <c r="A18">
        <v>16</v>
      </c>
      <c r="B18" s="2">
        <v>0.03</v>
      </c>
      <c r="C18" s="2">
        <v>0.03</v>
      </c>
      <c r="D18" s="2">
        <v>0.03</v>
      </c>
      <c r="E18" s="2">
        <v>2.5000000000000001E-2</v>
      </c>
      <c r="F18" s="2">
        <v>2.5000000000000001E-2</v>
      </c>
      <c r="G18" s="2">
        <v>2.5000000000000001E-2</v>
      </c>
    </row>
    <row r="19" spans="1:7" x14ac:dyDescent="0.2">
      <c r="A19">
        <v>17</v>
      </c>
      <c r="B19" s="2">
        <v>2.5000000000000001E-2</v>
      </c>
      <c r="C19" s="2">
        <v>2.5000000000000001E-2</v>
      </c>
      <c r="D19" s="2">
        <v>2.5000000000000001E-2</v>
      </c>
      <c r="E19" s="2">
        <v>2.5000000000000001E-2</v>
      </c>
      <c r="F19" s="2">
        <v>2.5000000000000001E-2</v>
      </c>
      <c r="G19" s="2">
        <v>2.5000000000000001E-2</v>
      </c>
    </row>
    <row r="20" spans="1:7" x14ac:dyDescent="0.2">
      <c r="A20">
        <v>18</v>
      </c>
      <c r="B20" s="2">
        <v>0.02</v>
      </c>
      <c r="C20" s="2">
        <v>0.02</v>
      </c>
      <c r="D20" s="2">
        <v>0.02</v>
      </c>
      <c r="E20" s="2">
        <v>0.02</v>
      </c>
      <c r="F20" s="2">
        <v>0.02</v>
      </c>
      <c r="G20" s="2">
        <v>0.02</v>
      </c>
    </row>
    <row r="21" spans="1:7" x14ac:dyDescent="0.2">
      <c r="A21">
        <v>19</v>
      </c>
      <c r="B21" s="2">
        <v>0.02</v>
      </c>
      <c r="C21" s="2">
        <v>0.02</v>
      </c>
      <c r="D21" s="2">
        <v>0.02</v>
      </c>
      <c r="E21" s="2">
        <v>0.02</v>
      </c>
      <c r="F21" s="2">
        <v>0.02</v>
      </c>
      <c r="G21" s="2">
        <v>0.02</v>
      </c>
    </row>
    <row r="22" spans="1:7" x14ac:dyDescent="0.2">
      <c r="A22">
        <v>20</v>
      </c>
      <c r="B22" s="2">
        <v>0.02</v>
      </c>
      <c r="C22" s="2">
        <v>0.02</v>
      </c>
      <c r="D22" s="2">
        <v>0.02</v>
      </c>
      <c r="E22" s="2">
        <v>0.02</v>
      </c>
      <c r="F22" s="2">
        <v>0.02</v>
      </c>
      <c r="G22" s="2">
        <v>0.02</v>
      </c>
    </row>
    <row r="23" spans="1:7" x14ac:dyDescent="0.2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1.4999999999999999E-2</v>
      </c>
      <c r="G23" s="2">
        <v>1.4999999999999999E-2</v>
      </c>
    </row>
    <row r="24" spans="1:7" x14ac:dyDescent="0.2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2">
      <c r="A25">
        <v>23</v>
      </c>
      <c r="B25" s="2">
        <v>1.2999999999999999E-2</v>
      </c>
      <c r="C25" s="2">
        <v>1.2999999999999999E-2</v>
      </c>
      <c r="D25" s="2">
        <v>1.2999999999999999E-2</v>
      </c>
      <c r="E25" s="2">
        <v>1.2999999999999999E-2</v>
      </c>
      <c r="F25" s="2">
        <v>1.2999999999999999E-2</v>
      </c>
      <c r="G25" s="2">
        <v>1.2999999999999999E-2</v>
      </c>
    </row>
    <row r="26" spans="1:7" x14ac:dyDescent="0.2">
      <c r="A26">
        <v>24</v>
      </c>
      <c r="B26" s="2">
        <v>1.2999999999999999E-2</v>
      </c>
      <c r="C26" s="2">
        <v>1.2999999999999999E-2</v>
      </c>
      <c r="D26" s="2">
        <v>1.2999999999999999E-2</v>
      </c>
      <c r="E26" s="2">
        <v>1.2999999999999999E-2</v>
      </c>
      <c r="F26" s="2">
        <v>1.2999999999999999E-2</v>
      </c>
      <c r="G26" s="2">
        <v>1.2999999999999999E-2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8.0000000000000002E-3</v>
      </c>
      <c r="C29" s="2">
        <v>8.0000000000000002E-3</v>
      </c>
      <c r="D29" s="2">
        <v>8.0000000000000002E-3</v>
      </c>
      <c r="E29" s="2">
        <v>8.0000000000000002E-3</v>
      </c>
      <c r="F29" s="2">
        <v>8.0000000000000002E-3</v>
      </c>
      <c r="G29" s="2">
        <v>8.0000000000000002E-3</v>
      </c>
    </row>
    <row r="30" spans="1:7" x14ac:dyDescent="0.2">
      <c r="A30">
        <v>28</v>
      </c>
      <c r="B30" s="2">
        <v>8.0000000000000002E-3</v>
      </c>
      <c r="C30" s="2">
        <v>8.0000000000000002E-3</v>
      </c>
      <c r="D30" s="2">
        <v>8.0000000000000002E-3</v>
      </c>
      <c r="E30" s="2">
        <v>8.0000000000000002E-3</v>
      </c>
      <c r="F30" s="2">
        <v>8.0000000000000002E-3</v>
      </c>
      <c r="G30" s="2">
        <v>8.0000000000000002E-3</v>
      </c>
    </row>
    <row r="31" spans="1:7" x14ac:dyDescent="0.2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5.0000000000000001E-3</v>
      </c>
      <c r="G31" s="2">
        <v>5.0000000000000001E-3</v>
      </c>
    </row>
    <row r="32" spans="1:7" x14ac:dyDescent="0.2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5.0000000000000001E-3</v>
      </c>
      <c r="G32" s="2">
        <v>5.0000000000000001E-3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2F6A-ABE8-4249-8C10-D5181850C8BA}">
  <sheetPr>
    <tabColor rgb="FFFFFF00"/>
  </sheetPr>
  <dimension ref="A1:G32"/>
  <sheetViews>
    <sheetView workbookViewId="0">
      <selection activeCell="D41" sqref="D41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0.17499999999999999</v>
      </c>
      <c r="C2" s="2">
        <v>0.155</v>
      </c>
      <c r="D2" s="2">
        <v>0.155</v>
      </c>
      <c r="E2" s="2">
        <v>0.17499999999999999</v>
      </c>
      <c r="F2" s="2">
        <v>0.17499999999999999</v>
      </c>
      <c r="G2" s="2">
        <v>0.17499999999999999</v>
      </c>
    </row>
    <row r="3" spans="1:7" x14ac:dyDescent="0.2">
      <c r="A3">
        <v>1</v>
      </c>
      <c r="B3" s="2">
        <v>0.1</v>
      </c>
      <c r="C3" s="2">
        <v>0.09</v>
      </c>
      <c r="D3" s="2">
        <v>0.09</v>
      </c>
      <c r="E3" s="2">
        <v>0.1</v>
      </c>
      <c r="F3" s="2">
        <v>0.09</v>
      </c>
      <c r="G3" s="2">
        <v>0.09</v>
      </c>
    </row>
    <row r="4" spans="1:7" x14ac:dyDescent="0.2">
      <c r="A4">
        <v>2</v>
      </c>
      <c r="B4" s="2">
        <v>0.08</v>
      </c>
      <c r="C4" s="2">
        <v>0.08</v>
      </c>
      <c r="D4" s="2">
        <v>0.08</v>
      </c>
      <c r="E4" s="2">
        <v>0.08</v>
      </c>
      <c r="F4" s="2">
        <v>7.0000000000000007E-2</v>
      </c>
      <c r="G4" s="2">
        <v>0.08</v>
      </c>
    </row>
    <row r="5" spans="1:7" x14ac:dyDescent="0.2">
      <c r="A5">
        <v>3</v>
      </c>
      <c r="B5" s="2">
        <v>7.0000000000000007E-2</v>
      </c>
      <c r="C5" s="2">
        <v>7.0000000000000007E-2</v>
      </c>
      <c r="D5" s="2">
        <v>7.0000000000000007E-2</v>
      </c>
      <c r="E5" s="2">
        <v>7.0000000000000007E-2</v>
      </c>
      <c r="F5" s="2">
        <v>5.5E-2</v>
      </c>
      <c r="G5" s="2">
        <v>7.0000000000000007E-2</v>
      </c>
    </row>
    <row r="6" spans="1:7" x14ac:dyDescent="0.2">
      <c r="A6">
        <v>4</v>
      </c>
      <c r="B6" s="2">
        <v>0.05</v>
      </c>
      <c r="C6" s="2">
        <v>0.06</v>
      </c>
      <c r="D6" s="2">
        <v>0.06</v>
      </c>
      <c r="E6" s="2">
        <v>0.06</v>
      </c>
      <c r="F6" s="2">
        <v>5.5E-2</v>
      </c>
      <c r="G6" s="2">
        <v>0.06</v>
      </c>
    </row>
    <row r="7" spans="1:7" x14ac:dyDescent="0.2">
      <c r="A7">
        <v>5</v>
      </c>
      <c r="B7" s="2">
        <v>0.04</v>
      </c>
      <c r="C7" s="2">
        <v>0.05</v>
      </c>
      <c r="D7" s="2">
        <v>0.05</v>
      </c>
      <c r="E7" s="2">
        <v>0.05</v>
      </c>
      <c r="F7" s="2">
        <v>0.04</v>
      </c>
      <c r="G7" s="2">
        <v>0.05</v>
      </c>
    </row>
    <row r="8" spans="1:7" x14ac:dyDescent="0.2">
      <c r="A8">
        <v>6</v>
      </c>
      <c r="B8" s="2">
        <v>0.04</v>
      </c>
      <c r="C8" s="2">
        <v>0.05</v>
      </c>
      <c r="D8" s="2">
        <v>0.05</v>
      </c>
      <c r="E8" s="2">
        <v>0.05</v>
      </c>
      <c r="F8" s="2">
        <v>0.04</v>
      </c>
      <c r="G8" s="2">
        <v>0.05</v>
      </c>
    </row>
    <row r="9" spans="1:7" x14ac:dyDescent="0.2">
      <c r="A9">
        <v>7</v>
      </c>
      <c r="B9" s="2">
        <v>0.04</v>
      </c>
      <c r="C9" s="2">
        <v>0.05</v>
      </c>
      <c r="D9" s="2">
        <v>0.04</v>
      </c>
      <c r="E9" s="2">
        <v>0.04</v>
      </c>
      <c r="F9" s="2">
        <v>3.5000000000000003E-2</v>
      </c>
      <c r="G9" s="2">
        <v>0.04</v>
      </c>
    </row>
    <row r="10" spans="1:7" x14ac:dyDescent="0.2">
      <c r="A10">
        <v>8</v>
      </c>
      <c r="B10" s="2">
        <v>3.5000000000000003E-2</v>
      </c>
      <c r="C10" s="2">
        <v>4.4999999999999998E-2</v>
      </c>
      <c r="D10" s="2">
        <v>3.5000000000000003E-2</v>
      </c>
      <c r="E10" s="2">
        <v>3.5000000000000003E-2</v>
      </c>
      <c r="F10" s="2">
        <v>0.03</v>
      </c>
      <c r="G10" s="2">
        <v>3.5000000000000003E-2</v>
      </c>
    </row>
    <row r="11" spans="1:7" x14ac:dyDescent="0.2">
      <c r="A11">
        <v>9</v>
      </c>
      <c r="B11" s="2">
        <v>0.03</v>
      </c>
      <c r="C11" s="2">
        <v>3.5000000000000003E-2</v>
      </c>
      <c r="D11" s="2">
        <v>0.03</v>
      </c>
      <c r="E11" s="2">
        <v>0.03</v>
      </c>
      <c r="F11" s="2">
        <v>0.03</v>
      </c>
      <c r="G11" s="2">
        <v>0.03</v>
      </c>
    </row>
    <row r="12" spans="1:7" x14ac:dyDescent="0.2">
      <c r="A12">
        <v>10</v>
      </c>
      <c r="B12" s="2">
        <v>2.5000000000000001E-2</v>
      </c>
      <c r="C12" s="2">
        <v>2.5000000000000001E-2</v>
      </c>
      <c r="D12" s="2">
        <v>2.5000000000000001E-2</v>
      </c>
      <c r="E12" s="2">
        <v>2.5000000000000001E-2</v>
      </c>
      <c r="F12" s="2">
        <v>2.5000000000000001E-2</v>
      </c>
      <c r="G12" s="2">
        <v>2.5000000000000001E-2</v>
      </c>
    </row>
    <row r="13" spans="1:7" x14ac:dyDescent="0.2">
      <c r="A13">
        <v>11</v>
      </c>
      <c r="B13" s="2">
        <v>0.02</v>
      </c>
      <c r="C13" s="2">
        <v>0.02</v>
      </c>
      <c r="D13" s="2">
        <v>0.02</v>
      </c>
      <c r="E13" s="2">
        <v>0.02</v>
      </c>
      <c r="F13" s="2">
        <v>0.02</v>
      </c>
      <c r="G13" s="2">
        <v>0.02</v>
      </c>
    </row>
    <row r="14" spans="1:7" x14ac:dyDescent="0.2">
      <c r="A14">
        <v>12</v>
      </c>
      <c r="B14" s="2">
        <v>0.02</v>
      </c>
      <c r="C14" s="2">
        <v>0.02</v>
      </c>
      <c r="D14" s="2">
        <v>0.02</v>
      </c>
      <c r="E14" s="2">
        <v>0.02</v>
      </c>
      <c r="F14" s="2">
        <v>0.02</v>
      </c>
      <c r="G14" s="2">
        <v>0.02</v>
      </c>
    </row>
    <row r="15" spans="1:7" x14ac:dyDescent="0.2">
      <c r="A15">
        <v>13</v>
      </c>
      <c r="B15" s="2">
        <v>0.02</v>
      </c>
      <c r="C15" s="2">
        <v>0.02</v>
      </c>
      <c r="D15" s="2">
        <v>0.02</v>
      </c>
      <c r="E15" s="2">
        <v>0.02</v>
      </c>
      <c r="F15" s="2">
        <v>0.02</v>
      </c>
      <c r="G15" s="2">
        <v>0.02</v>
      </c>
    </row>
    <row r="16" spans="1:7" x14ac:dyDescent="0.2">
      <c r="A16">
        <v>14</v>
      </c>
      <c r="B16" s="2">
        <v>1.4999999999999999E-2</v>
      </c>
      <c r="C16" s="2">
        <v>1.4999999999999999E-2</v>
      </c>
      <c r="D16" s="2">
        <v>1.4999999999999999E-2</v>
      </c>
      <c r="E16" s="2">
        <v>1.4999999999999999E-2</v>
      </c>
      <c r="F16" s="2">
        <v>1.4999999999999999E-2</v>
      </c>
      <c r="G16" s="2">
        <v>1.4999999999999999E-2</v>
      </c>
    </row>
    <row r="17" spans="1:7" x14ac:dyDescent="0.2">
      <c r="A17">
        <v>15</v>
      </c>
      <c r="B17" s="2">
        <v>1.4999999999999999E-2</v>
      </c>
      <c r="C17" s="2">
        <v>1.4999999999999999E-2</v>
      </c>
      <c r="D17" s="2">
        <v>1.4999999999999999E-2</v>
      </c>
      <c r="E17" s="2">
        <v>1.4999999999999999E-2</v>
      </c>
      <c r="F17" s="2">
        <v>1.4999999999999999E-2</v>
      </c>
      <c r="G17" s="2">
        <v>1.4999999999999999E-2</v>
      </c>
    </row>
    <row r="18" spans="1:7" x14ac:dyDescent="0.2">
      <c r="A18">
        <v>16</v>
      </c>
      <c r="B18" s="2">
        <v>0.01</v>
      </c>
      <c r="C18" s="2">
        <v>0.01</v>
      </c>
      <c r="D18" s="2">
        <v>0.01</v>
      </c>
      <c r="E18" s="2">
        <v>0.01</v>
      </c>
      <c r="F18" s="2">
        <v>1.4999999999999999E-2</v>
      </c>
      <c r="G18" s="2">
        <v>1.4999999999999999E-2</v>
      </c>
    </row>
    <row r="19" spans="1:7" x14ac:dyDescent="0.2">
      <c r="A19">
        <v>17</v>
      </c>
      <c r="B19" s="2">
        <v>0.01</v>
      </c>
      <c r="C19" s="2">
        <v>0.01</v>
      </c>
      <c r="D19" s="2">
        <v>0.01</v>
      </c>
      <c r="E19" s="2">
        <v>0.01</v>
      </c>
      <c r="F19" s="2">
        <v>1.4999999999999999E-2</v>
      </c>
      <c r="G19" s="2">
        <v>1.4999999999999999E-2</v>
      </c>
    </row>
    <row r="20" spans="1:7" x14ac:dyDescent="0.2">
      <c r="A20">
        <v>18</v>
      </c>
      <c r="B20" s="2">
        <v>0.01</v>
      </c>
      <c r="C20" s="2">
        <v>0.01</v>
      </c>
      <c r="D20" s="2">
        <v>0.01</v>
      </c>
      <c r="E20" s="2">
        <v>0.01</v>
      </c>
      <c r="F20" s="2">
        <v>1.4999999999999999E-2</v>
      </c>
      <c r="G20" s="2">
        <v>1.4999999999999999E-2</v>
      </c>
    </row>
    <row r="21" spans="1:7" x14ac:dyDescent="0.2">
      <c r="A21">
        <v>19</v>
      </c>
      <c r="B21" s="2">
        <v>0.01</v>
      </c>
      <c r="C21" s="2">
        <v>0.01</v>
      </c>
      <c r="D21" s="2">
        <v>0.01</v>
      </c>
      <c r="E21" s="2">
        <v>0.01</v>
      </c>
      <c r="F21" s="2">
        <v>1.4999999999999999E-2</v>
      </c>
      <c r="G21" s="2">
        <v>1.4999999999999999E-2</v>
      </c>
    </row>
    <row r="22" spans="1:7" x14ac:dyDescent="0.2">
      <c r="A22">
        <v>20</v>
      </c>
      <c r="B22" s="2">
        <v>0.01</v>
      </c>
      <c r="C22" s="2">
        <v>0.01</v>
      </c>
      <c r="D22" s="2">
        <v>0.01</v>
      </c>
      <c r="E22" s="2">
        <v>0.01</v>
      </c>
      <c r="F22" s="2">
        <v>1.4999999999999999E-2</v>
      </c>
      <c r="G22" s="2">
        <v>1.4999999999999999E-2</v>
      </c>
    </row>
    <row r="23" spans="1:7" x14ac:dyDescent="0.2">
      <c r="A23">
        <v>21</v>
      </c>
      <c r="B23" s="2">
        <v>0.01</v>
      </c>
      <c r="C23" s="2">
        <v>0.01</v>
      </c>
      <c r="D23" s="2">
        <v>0.01</v>
      </c>
      <c r="E23" s="2">
        <v>0.01</v>
      </c>
      <c r="F23" s="2">
        <v>1.4999999999999999E-2</v>
      </c>
      <c r="G23" s="2">
        <v>1.4999999999999999E-2</v>
      </c>
    </row>
    <row r="24" spans="1:7" x14ac:dyDescent="0.2">
      <c r="A24">
        <v>22</v>
      </c>
      <c r="B24" s="2">
        <v>8.0000000000000002E-3</v>
      </c>
      <c r="C24" s="2">
        <v>8.0000000000000002E-3</v>
      </c>
      <c r="D24" s="2">
        <v>8.0000000000000002E-3</v>
      </c>
      <c r="E24" s="2">
        <v>8.0000000000000002E-3</v>
      </c>
      <c r="F24" s="2">
        <v>0.01</v>
      </c>
      <c r="G24" s="2">
        <v>0.01</v>
      </c>
    </row>
    <row r="25" spans="1:7" x14ac:dyDescent="0.2">
      <c r="A25">
        <v>23</v>
      </c>
      <c r="B25" s="2">
        <v>5.0000000000000001E-3</v>
      </c>
      <c r="C25" s="2">
        <v>5.0000000000000001E-3</v>
      </c>
      <c r="D25" s="2">
        <v>5.0000000000000001E-3</v>
      </c>
      <c r="E25" s="2">
        <v>5.0000000000000001E-3</v>
      </c>
      <c r="F25" s="2">
        <v>0.01</v>
      </c>
      <c r="G25" s="2">
        <v>0.01</v>
      </c>
    </row>
    <row r="26" spans="1:7" x14ac:dyDescent="0.2">
      <c r="A26">
        <v>24</v>
      </c>
      <c r="B26" s="2">
        <v>5.0000000000000001E-3</v>
      </c>
      <c r="C26" s="2">
        <v>5.0000000000000001E-3</v>
      </c>
      <c r="D26" s="2">
        <v>5.0000000000000001E-3</v>
      </c>
      <c r="E26" s="2">
        <v>5.0000000000000001E-3</v>
      </c>
      <c r="F26" s="2">
        <v>0.01</v>
      </c>
      <c r="G26" s="2">
        <v>0.01</v>
      </c>
    </row>
    <row r="27" spans="1:7" x14ac:dyDescent="0.2">
      <c r="A27">
        <v>25</v>
      </c>
      <c r="B27" s="2">
        <v>5.0000000000000001E-3</v>
      </c>
      <c r="C27" s="2">
        <v>5.0000000000000001E-3</v>
      </c>
      <c r="D27" s="2">
        <v>5.0000000000000001E-3</v>
      </c>
      <c r="E27" s="2">
        <v>5.0000000000000001E-3</v>
      </c>
      <c r="F27" s="2">
        <v>0.01</v>
      </c>
      <c r="G27" s="2">
        <v>0.01</v>
      </c>
    </row>
    <row r="28" spans="1:7" x14ac:dyDescent="0.2">
      <c r="A28">
        <v>26</v>
      </c>
      <c r="B28" s="2">
        <v>5.0000000000000001E-3</v>
      </c>
      <c r="C28" s="2">
        <v>5.0000000000000001E-3</v>
      </c>
      <c r="D28" s="2">
        <v>5.0000000000000001E-3</v>
      </c>
      <c r="E28" s="2">
        <v>5.0000000000000001E-3</v>
      </c>
      <c r="F28" s="2">
        <v>0.01</v>
      </c>
      <c r="G28" s="2">
        <v>0.01</v>
      </c>
    </row>
    <row r="29" spans="1:7" x14ac:dyDescent="0.2">
      <c r="A29">
        <v>27</v>
      </c>
      <c r="B29" s="2">
        <v>5.0000000000000001E-3</v>
      </c>
      <c r="C29" s="2">
        <v>5.0000000000000001E-3</v>
      </c>
      <c r="D29" s="2">
        <v>5.0000000000000001E-3</v>
      </c>
      <c r="E29" s="2">
        <v>5.0000000000000001E-3</v>
      </c>
      <c r="F29" s="2">
        <v>0.01</v>
      </c>
      <c r="G29" s="2">
        <v>0.01</v>
      </c>
    </row>
    <row r="30" spans="1:7" x14ac:dyDescent="0.2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0.01</v>
      </c>
      <c r="G30" s="2">
        <v>0.01</v>
      </c>
    </row>
    <row r="31" spans="1:7" x14ac:dyDescent="0.2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0.01</v>
      </c>
      <c r="G31" s="2">
        <v>0.01</v>
      </c>
    </row>
    <row r="32" spans="1:7" x14ac:dyDescent="0.2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90A9-76BF-EB44-A632-3A2E279C56F7}">
  <sheetPr>
    <tabColor rgb="FFFFFF00"/>
  </sheetPr>
  <dimension ref="A1:G32"/>
  <sheetViews>
    <sheetView workbookViewId="0">
      <selection activeCell="V50" sqref="V50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0.24</v>
      </c>
      <c r="C2" s="2">
        <v>0.24</v>
      </c>
      <c r="D2" s="2">
        <v>0.24</v>
      </c>
      <c r="E2" s="2">
        <v>0.26</v>
      </c>
      <c r="F2" s="2">
        <v>0.3</v>
      </c>
      <c r="G2" s="2">
        <v>0.3</v>
      </c>
    </row>
    <row r="3" spans="1:7" x14ac:dyDescent="0.2">
      <c r="A3">
        <v>1</v>
      </c>
      <c r="B3" s="2">
        <v>0.13500000000000001</v>
      </c>
      <c r="C3" s="2">
        <v>0.13500000000000001</v>
      </c>
      <c r="D3" s="2">
        <v>0.13500000000000001</v>
      </c>
      <c r="E3" s="2">
        <v>0.13500000000000001</v>
      </c>
      <c r="F3" s="2">
        <v>0.13500000000000001</v>
      </c>
      <c r="G3" s="2">
        <v>0.13500000000000001</v>
      </c>
    </row>
    <row r="4" spans="1:7" x14ac:dyDescent="0.2">
      <c r="A4">
        <v>2</v>
      </c>
      <c r="B4" s="2">
        <v>0.11</v>
      </c>
      <c r="C4" s="2">
        <v>0.11</v>
      </c>
      <c r="D4" s="2">
        <v>0.09</v>
      </c>
      <c r="E4" s="2">
        <v>0.105</v>
      </c>
      <c r="F4" s="2">
        <v>0.105</v>
      </c>
      <c r="G4" s="2">
        <v>0.105</v>
      </c>
    </row>
    <row r="5" spans="1:7" x14ac:dyDescent="0.2">
      <c r="A5">
        <v>3</v>
      </c>
      <c r="B5" s="2">
        <v>0.08</v>
      </c>
      <c r="C5" s="2">
        <v>0.08</v>
      </c>
      <c r="D5" s="2">
        <v>8.5000000000000006E-2</v>
      </c>
      <c r="E5" s="2">
        <v>0.105</v>
      </c>
      <c r="F5" s="2">
        <v>0.1</v>
      </c>
      <c r="G5" s="2">
        <v>0.1</v>
      </c>
    </row>
    <row r="6" spans="1:7" x14ac:dyDescent="0.2">
      <c r="A6">
        <v>4</v>
      </c>
      <c r="B6" s="2">
        <v>0.08</v>
      </c>
      <c r="C6" s="2">
        <v>0.08</v>
      </c>
      <c r="D6" s="2">
        <v>7.0000000000000007E-2</v>
      </c>
      <c r="E6" s="2">
        <v>7.0000000000000007E-2</v>
      </c>
      <c r="F6" s="2">
        <v>0.1</v>
      </c>
      <c r="G6" s="2">
        <v>0.1</v>
      </c>
    </row>
    <row r="7" spans="1:7" x14ac:dyDescent="0.2">
      <c r="A7">
        <v>5</v>
      </c>
      <c r="B7" s="2">
        <v>6.5000000000000002E-2</v>
      </c>
      <c r="C7" s="2">
        <v>6.5000000000000002E-2</v>
      </c>
      <c r="D7" s="2">
        <v>6.5000000000000002E-2</v>
      </c>
      <c r="E7" s="2">
        <v>6.5000000000000002E-2</v>
      </c>
      <c r="F7" s="2">
        <v>6.5000000000000002E-2</v>
      </c>
      <c r="G7" s="2">
        <v>6.5000000000000002E-2</v>
      </c>
    </row>
    <row r="8" spans="1:7" x14ac:dyDescent="0.2">
      <c r="A8">
        <v>6</v>
      </c>
      <c r="B8" s="2">
        <v>6.5000000000000002E-2</v>
      </c>
      <c r="C8" s="2">
        <v>6.5000000000000002E-2</v>
      </c>
      <c r="D8" s="2">
        <v>6.5000000000000002E-2</v>
      </c>
      <c r="E8" s="2">
        <v>0.06</v>
      </c>
      <c r="F8" s="2">
        <v>0.06</v>
      </c>
      <c r="G8" s="2">
        <v>0.06</v>
      </c>
    </row>
    <row r="9" spans="1:7" x14ac:dyDescent="0.2">
      <c r="A9">
        <v>7</v>
      </c>
      <c r="B9" s="2">
        <v>0.06</v>
      </c>
      <c r="C9" s="2">
        <v>0.06</v>
      </c>
      <c r="D9" s="2">
        <v>0.06</v>
      </c>
      <c r="E9" s="2">
        <v>0.06</v>
      </c>
      <c r="F9" s="2">
        <v>0.06</v>
      </c>
      <c r="G9" s="2">
        <v>0.06</v>
      </c>
    </row>
    <row r="10" spans="1:7" x14ac:dyDescent="0.2">
      <c r="A10">
        <v>8</v>
      </c>
      <c r="B10" s="2">
        <v>0.05</v>
      </c>
      <c r="C10" s="2">
        <v>0.05</v>
      </c>
      <c r="D10" s="2">
        <v>4.4999999999999998E-2</v>
      </c>
      <c r="E10" s="2">
        <v>4.4999999999999998E-2</v>
      </c>
      <c r="F10" s="2">
        <v>0.06</v>
      </c>
      <c r="G10" s="2">
        <v>0.06</v>
      </c>
    </row>
    <row r="11" spans="1:7" x14ac:dyDescent="0.2">
      <c r="A11">
        <v>9</v>
      </c>
      <c r="B11" s="2">
        <v>3.5000000000000003E-2</v>
      </c>
      <c r="C11" s="2">
        <v>3.5000000000000003E-2</v>
      </c>
      <c r="D11" s="2">
        <v>3.5000000000000003E-2</v>
      </c>
      <c r="E11" s="2">
        <v>3.5000000000000003E-2</v>
      </c>
      <c r="F11" s="2">
        <v>0.06</v>
      </c>
      <c r="G11" s="2">
        <v>0.06</v>
      </c>
    </row>
    <row r="12" spans="1:7" x14ac:dyDescent="0.2">
      <c r="A12">
        <v>10</v>
      </c>
      <c r="B12" s="2">
        <v>3.5000000000000003E-2</v>
      </c>
      <c r="C12" s="2">
        <v>3.5000000000000003E-2</v>
      </c>
      <c r="D12" s="2">
        <v>3.5000000000000003E-2</v>
      </c>
      <c r="E12" s="2">
        <v>3.5000000000000003E-2</v>
      </c>
      <c r="F12" s="2">
        <v>0.05</v>
      </c>
      <c r="G12" s="2">
        <v>0.05</v>
      </c>
    </row>
    <row r="13" spans="1:7" x14ac:dyDescent="0.2">
      <c r="A13">
        <v>11</v>
      </c>
      <c r="B13" s="2">
        <v>0.03</v>
      </c>
      <c r="C13" s="2">
        <v>0.03</v>
      </c>
      <c r="D13" s="2">
        <v>0.03</v>
      </c>
      <c r="E13" s="2">
        <v>0.03</v>
      </c>
      <c r="F13" s="2">
        <v>0.03</v>
      </c>
      <c r="G13" s="2">
        <v>0.03</v>
      </c>
    </row>
    <row r="14" spans="1:7" x14ac:dyDescent="0.2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</row>
    <row r="15" spans="1:7" x14ac:dyDescent="0.2">
      <c r="A15">
        <v>13</v>
      </c>
      <c r="B15" s="2">
        <v>2.5000000000000001E-2</v>
      </c>
      <c r="C15" s="2">
        <v>2.5000000000000001E-2</v>
      </c>
      <c r="D15" s="2">
        <v>2.5000000000000001E-2</v>
      </c>
      <c r="E15" s="2">
        <v>2.5000000000000001E-2</v>
      </c>
      <c r="F15" s="2">
        <v>0.03</v>
      </c>
      <c r="G15" s="2">
        <v>0.03</v>
      </c>
    </row>
    <row r="16" spans="1:7" x14ac:dyDescent="0.2">
      <c r="A16">
        <v>14</v>
      </c>
      <c r="B16" s="2">
        <v>2.5000000000000001E-2</v>
      </c>
      <c r="C16" s="2">
        <v>2.5000000000000001E-2</v>
      </c>
      <c r="D16" s="2">
        <v>2.5000000000000001E-2</v>
      </c>
      <c r="E16" s="2">
        <v>2.5000000000000001E-2</v>
      </c>
      <c r="F16" s="2">
        <v>0.03</v>
      </c>
      <c r="G16" s="2">
        <v>0.03</v>
      </c>
    </row>
    <row r="17" spans="1:7" x14ac:dyDescent="0.2">
      <c r="A17">
        <v>15</v>
      </c>
      <c r="B17" s="2">
        <v>2.3E-2</v>
      </c>
      <c r="C17" s="2">
        <v>2.3E-2</v>
      </c>
      <c r="D17" s="2">
        <v>2.3E-2</v>
      </c>
      <c r="E17" s="2">
        <v>2.3E-2</v>
      </c>
      <c r="F17" s="2">
        <v>0.03</v>
      </c>
      <c r="G17" s="2">
        <v>0.03</v>
      </c>
    </row>
    <row r="18" spans="1:7" x14ac:dyDescent="0.2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0.03</v>
      </c>
      <c r="G18" s="2">
        <v>0.03</v>
      </c>
    </row>
    <row r="19" spans="1:7" x14ac:dyDescent="0.2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2">
      <c r="A20">
        <v>18</v>
      </c>
      <c r="B20" s="2">
        <v>1.4999999999999999E-2</v>
      </c>
      <c r="C20" s="2">
        <v>1.4999999999999999E-2</v>
      </c>
      <c r="D20" s="2">
        <v>1.4999999999999999E-2</v>
      </c>
      <c r="E20" s="2">
        <v>1.4999999999999999E-2</v>
      </c>
      <c r="F20" s="2">
        <v>0.02</v>
      </c>
      <c r="G20" s="2">
        <v>0.02</v>
      </c>
    </row>
    <row r="21" spans="1:7" x14ac:dyDescent="0.2">
      <c r="A21">
        <v>19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0.02</v>
      </c>
      <c r="G21" s="2">
        <v>0.02</v>
      </c>
    </row>
    <row r="22" spans="1:7" x14ac:dyDescent="0.2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0.02</v>
      </c>
      <c r="G22" s="2">
        <v>0.02</v>
      </c>
    </row>
    <row r="23" spans="1:7" x14ac:dyDescent="0.2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0.02</v>
      </c>
      <c r="G23" s="2">
        <v>0.02</v>
      </c>
    </row>
    <row r="24" spans="1:7" x14ac:dyDescent="0.2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2">
      <c r="A25">
        <v>23</v>
      </c>
      <c r="B25" s="2">
        <v>1.4999999999999999E-2</v>
      </c>
      <c r="C25" s="2">
        <v>1.4999999999999999E-2</v>
      </c>
      <c r="D25" s="2">
        <v>1.4999999999999999E-2</v>
      </c>
      <c r="E25" s="2">
        <v>1.4999999999999999E-2</v>
      </c>
      <c r="F25" s="2">
        <v>1.4999999999999999E-2</v>
      </c>
      <c r="G25" s="2">
        <v>1.4999999999999999E-2</v>
      </c>
    </row>
    <row r="26" spans="1:7" x14ac:dyDescent="0.2">
      <c r="A26">
        <v>24</v>
      </c>
      <c r="B26" s="2">
        <v>1.4999999999999999E-2</v>
      </c>
      <c r="C26" s="2">
        <v>1.4999999999999999E-2</v>
      </c>
      <c r="D26" s="2">
        <v>1.4999999999999999E-2</v>
      </c>
      <c r="E26" s="2">
        <v>1.4999999999999999E-2</v>
      </c>
      <c r="F26" s="2">
        <v>1.4999999999999999E-2</v>
      </c>
      <c r="G26" s="2">
        <v>1.4999999999999999E-2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2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2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2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1BD1-0671-0943-B42E-6AAA03445527}">
  <sheetPr>
    <tabColor rgb="FFFFFF00"/>
  </sheetPr>
  <dimension ref="A1:G32"/>
  <sheetViews>
    <sheetView workbookViewId="0">
      <selection sqref="A1:G32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3.4000000000000002E-2</v>
      </c>
      <c r="C2" s="2">
        <v>3.4000000000000002E-2</v>
      </c>
      <c r="D2" s="2">
        <v>3.4000000000000002E-2</v>
      </c>
      <c r="E2" s="2">
        <v>3.4000000000000002E-2</v>
      </c>
      <c r="F2" s="2">
        <v>3.4000000000000002E-2</v>
      </c>
      <c r="G2" s="2">
        <v>3.4000000000000002E-2</v>
      </c>
    </row>
    <row r="3" spans="1:7" x14ac:dyDescent="0.2">
      <c r="A3">
        <v>1</v>
      </c>
      <c r="B3" s="2">
        <v>3.4000000000000002E-2</v>
      </c>
      <c r="C3" s="2">
        <v>3.4000000000000002E-2</v>
      </c>
      <c r="D3" s="2">
        <v>3.4000000000000002E-2</v>
      </c>
      <c r="E3" s="2">
        <v>3.4000000000000002E-2</v>
      </c>
      <c r="F3" s="2">
        <v>3.4000000000000002E-2</v>
      </c>
      <c r="G3" s="2">
        <v>3.4000000000000002E-2</v>
      </c>
    </row>
    <row r="4" spans="1:7" x14ac:dyDescent="0.2">
      <c r="A4">
        <v>2</v>
      </c>
      <c r="B4" s="2">
        <v>3.4000000000000002E-2</v>
      </c>
      <c r="C4" s="2">
        <v>3.4000000000000002E-2</v>
      </c>
      <c r="D4" s="2">
        <v>3.4000000000000002E-2</v>
      </c>
      <c r="E4" s="2">
        <v>3.4000000000000002E-2</v>
      </c>
      <c r="F4" s="2">
        <v>3.4000000000000002E-2</v>
      </c>
      <c r="G4" s="2">
        <v>3.4000000000000002E-2</v>
      </c>
    </row>
    <row r="5" spans="1:7" x14ac:dyDescent="0.2">
      <c r="A5">
        <v>3</v>
      </c>
      <c r="B5" s="2">
        <v>3.4000000000000002E-2</v>
      </c>
      <c r="C5" s="2">
        <v>3.4000000000000002E-2</v>
      </c>
      <c r="D5" s="2">
        <v>3.4000000000000002E-2</v>
      </c>
      <c r="E5" s="2">
        <v>3.4000000000000002E-2</v>
      </c>
      <c r="F5" s="2">
        <v>3.4000000000000002E-2</v>
      </c>
      <c r="G5" s="2">
        <v>3.4000000000000002E-2</v>
      </c>
    </row>
    <row r="6" spans="1:7" x14ac:dyDescent="0.2">
      <c r="A6">
        <v>4</v>
      </c>
      <c r="B6" s="2">
        <v>0.14000000000000001</v>
      </c>
      <c r="C6" s="2">
        <v>0.14000000000000001</v>
      </c>
      <c r="D6" s="2">
        <v>0.14000000000000001</v>
      </c>
      <c r="E6" s="2">
        <v>0.14000000000000001</v>
      </c>
      <c r="F6" s="2">
        <v>0.14000000000000001</v>
      </c>
      <c r="G6" s="2">
        <v>0.14000000000000001</v>
      </c>
    </row>
    <row r="7" spans="1:7" x14ac:dyDescent="0.2">
      <c r="A7">
        <v>5</v>
      </c>
      <c r="B7" s="2">
        <v>3.4000000000000002E-2</v>
      </c>
      <c r="C7" s="2">
        <v>3.4000000000000002E-2</v>
      </c>
      <c r="D7" s="2">
        <v>3.4000000000000002E-2</v>
      </c>
      <c r="E7" s="2">
        <v>3.4000000000000002E-2</v>
      </c>
      <c r="F7" s="2">
        <v>3.4000000000000002E-2</v>
      </c>
      <c r="G7" s="2">
        <v>3.4000000000000002E-2</v>
      </c>
    </row>
    <row r="8" spans="1:7" x14ac:dyDescent="0.2">
      <c r="A8">
        <v>6</v>
      </c>
      <c r="B8" s="2">
        <v>3.4000000000000002E-2</v>
      </c>
      <c r="C8" s="2">
        <v>3.4000000000000002E-2</v>
      </c>
      <c r="D8" s="2">
        <v>3.4000000000000002E-2</v>
      </c>
      <c r="E8" s="2">
        <v>3.4000000000000002E-2</v>
      </c>
      <c r="F8" s="2">
        <v>3.4000000000000002E-2</v>
      </c>
      <c r="G8" s="2">
        <v>3.4000000000000002E-2</v>
      </c>
    </row>
    <row r="9" spans="1:7" x14ac:dyDescent="0.2">
      <c r="A9">
        <v>7</v>
      </c>
      <c r="B9" s="2">
        <v>3.4000000000000002E-2</v>
      </c>
      <c r="C9" s="2">
        <v>3.4000000000000002E-2</v>
      </c>
      <c r="D9" s="2">
        <v>3.4000000000000002E-2</v>
      </c>
      <c r="E9" s="2">
        <v>3.4000000000000002E-2</v>
      </c>
      <c r="F9" s="2">
        <v>3.4000000000000002E-2</v>
      </c>
      <c r="G9" s="2">
        <v>3.4000000000000002E-2</v>
      </c>
    </row>
    <row r="10" spans="1:7" x14ac:dyDescent="0.2">
      <c r="A10">
        <v>8</v>
      </c>
      <c r="B10" s="2">
        <v>0.09</v>
      </c>
      <c r="C10" s="2">
        <v>0.09</v>
      </c>
      <c r="D10" s="2">
        <v>0.09</v>
      </c>
      <c r="E10" s="2">
        <v>0.09</v>
      </c>
      <c r="F10" s="2">
        <v>0.09</v>
      </c>
      <c r="G10" s="2">
        <v>0.09</v>
      </c>
    </row>
    <row r="11" spans="1:7" x14ac:dyDescent="0.2">
      <c r="A11">
        <v>9</v>
      </c>
      <c r="B11" s="2">
        <v>3.4000000000000002E-2</v>
      </c>
      <c r="C11" s="2">
        <v>3.4000000000000002E-2</v>
      </c>
      <c r="D11" s="2">
        <v>3.4000000000000002E-2</v>
      </c>
      <c r="E11" s="2">
        <v>3.4000000000000002E-2</v>
      </c>
      <c r="F11" s="2">
        <v>3.4000000000000002E-2</v>
      </c>
      <c r="G11" s="2">
        <v>3.4000000000000002E-2</v>
      </c>
    </row>
    <row r="12" spans="1:7" x14ac:dyDescent="0.2">
      <c r="A12">
        <v>10</v>
      </c>
      <c r="B12" s="2">
        <v>3.4000000000000002E-2</v>
      </c>
      <c r="C12" s="2">
        <v>3.4000000000000002E-2</v>
      </c>
      <c r="D12" s="2">
        <v>3.4000000000000002E-2</v>
      </c>
      <c r="E12" s="2">
        <v>3.4000000000000002E-2</v>
      </c>
      <c r="F12" s="2">
        <v>3.4000000000000002E-2</v>
      </c>
      <c r="G12" s="2">
        <v>3.4000000000000002E-2</v>
      </c>
    </row>
    <row r="13" spans="1:7" x14ac:dyDescent="0.2">
      <c r="A13">
        <v>11</v>
      </c>
      <c r="B13" s="2">
        <v>3.4000000000000002E-2</v>
      </c>
      <c r="C13" s="2">
        <v>3.4000000000000002E-2</v>
      </c>
      <c r="D13" s="2">
        <v>3.4000000000000002E-2</v>
      </c>
      <c r="E13" s="2">
        <v>3.4000000000000002E-2</v>
      </c>
      <c r="F13" s="2">
        <v>3.4000000000000002E-2</v>
      </c>
      <c r="G13" s="2">
        <v>3.4000000000000002E-2</v>
      </c>
    </row>
    <row r="14" spans="1:7" x14ac:dyDescent="0.2">
      <c r="A14">
        <v>12</v>
      </c>
      <c r="B14" s="2">
        <v>3.4000000000000002E-2</v>
      </c>
      <c r="C14" s="2">
        <v>3.4000000000000002E-2</v>
      </c>
      <c r="D14" s="2">
        <v>3.4000000000000002E-2</v>
      </c>
      <c r="E14" s="2">
        <v>3.4000000000000002E-2</v>
      </c>
      <c r="F14" s="2">
        <v>3.4000000000000002E-2</v>
      </c>
      <c r="G14" s="2">
        <v>3.4000000000000002E-2</v>
      </c>
    </row>
    <row r="15" spans="1:7" x14ac:dyDescent="0.2">
      <c r="A15">
        <v>13</v>
      </c>
      <c r="B15" s="2">
        <v>3.4000000000000002E-2</v>
      </c>
      <c r="C15" s="2">
        <v>3.4000000000000002E-2</v>
      </c>
      <c r="D15" s="2">
        <v>3.4000000000000002E-2</v>
      </c>
      <c r="E15" s="2">
        <v>3.4000000000000002E-2</v>
      </c>
      <c r="F15" s="2">
        <v>3.4000000000000002E-2</v>
      </c>
      <c r="G15" s="2">
        <v>3.4000000000000002E-2</v>
      </c>
    </row>
    <row r="16" spans="1:7" x14ac:dyDescent="0.2">
      <c r="A16">
        <v>14</v>
      </c>
      <c r="B16" s="2">
        <v>3.4000000000000002E-2</v>
      </c>
      <c r="C16" s="2">
        <v>3.4000000000000002E-2</v>
      </c>
      <c r="D16" s="2">
        <v>3.4000000000000002E-2</v>
      </c>
      <c r="E16" s="2">
        <v>3.4000000000000002E-2</v>
      </c>
      <c r="F16" s="2">
        <v>3.4000000000000002E-2</v>
      </c>
      <c r="G16" s="2">
        <v>3.4000000000000002E-2</v>
      </c>
    </row>
    <row r="17" spans="1:7" x14ac:dyDescent="0.2">
      <c r="A17">
        <v>15</v>
      </c>
      <c r="B17" s="2">
        <v>3.4000000000000002E-2</v>
      </c>
      <c r="C17" s="2">
        <v>3.4000000000000002E-2</v>
      </c>
      <c r="D17" s="2">
        <v>3.4000000000000002E-2</v>
      </c>
      <c r="E17" s="2">
        <v>3.4000000000000002E-2</v>
      </c>
      <c r="F17" s="2">
        <v>3.4000000000000002E-2</v>
      </c>
      <c r="G17" s="2">
        <v>3.4000000000000002E-2</v>
      </c>
    </row>
    <row r="18" spans="1:7" x14ac:dyDescent="0.2">
      <c r="A18">
        <v>16</v>
      </c>
      <c r="B18" s="2">
        <v>3.4000000000000002E-2</v>
      </c>
      <c r="C18" s="2">
        <v>3.4000000000000002E-2</v>
      </c>
      <c r="D18" s="2">
        <v>3.4000000000000002E-2</v>
      </c>
      <c r="E18" s="2">
        <v>3.4000000000000002E-2</v>
      </c>
      <c r="F18" s="2">
        <v>3.4000000000000002E-2</v>
      </c>
      <c r="G18" s="2">
        <v>3.4000000000000002E-2</v>
      </c>
    </row>
    <row r="19" spans="1:7" x14ac:dyDescent="0.2">
      <c r="A19">
        <v>17</v>
      </c>
      <c r="B19" s="2">
        <v>3.4000000000000002E-2</v>
      </c>
      <c r="C19" s="2">
        <v>3.4000000000000002E-2</v>
      </c>
      <c r="D19" s="2">
        <v>3.4000000000000002E-2</v>
      </c>
      <c r="E19" s="2">
        <v>3.4000000000000002E-2</v>
      </c>
      <c r="F19" s="2">
        <v>3.4000000000000002E-2</v>
      </c>
      <c r="G19" s="2">
        <v>3.4000000000000002E-2</v>
      </c>
    </row>
    <row r="20" spans="1:7" x14ac:dyDescent="0.2">
      <c r="A20">
        <v>18</v>
      </c>
      <c r="B20" s="2">
        <v>3.4000000000000002E-2</v>
      </c>
      <c r="C20" s="2">
        <v>3.4000000000000002E-2</v>
      </c>
      <c r="D20" s="2">
        <v>3.4000000000000002E-2</v>
      </c>
      <c r="E20" s="2">
        <v>3.4000000000000002E-2</v>
      </c>
      <c r="F20" s="2">
        <v>3.4000000000000002E-2</v>
      </c>
      <c r="G20" s="2">
        <v>3.4000000000000002E-2</v>
      </c>
    </row>
    <row r="21" spans="1:7" x14ac:dyDescent="0.2">
      <c r="A21">
        <v>19</v>
      </c>
      <c r="B21" s="2">
        <v>3.4000000000000002E-2</v>
      </c>
      <c r="C21" s="2">
        <v>3.4000000000000002E-2</v>
      </c>
      <c r="D21" s="2">
        <v>3.4000000000000002E-2</v>
      </c>
      <c r="E21" s="2">
        <v>3.4000000000000002E-2</v>
      </c>
      <c r="F21" s="2">
        <v>3.4000000000000002E-2</v>
      </c>
      <c r="G21" s="2">
        <v>3.4000000000000002E-2</v>
      </c>
    </row>
    <row r="22" spans="1:7" x14ac:dyDescent="0.2">
      <c r="A22">
        <v>20</v>
      </c>
      <c r="B22" s="2">
        <v>3.4000000000000002E-2</v>
      </c>
      <c r="C22" s="2">
        <v>3.4000000000000002E-2</v>
      </c>
      <c r="D22" s="2">
        <v>3.4000000000000002E-2</v>
      </c>
      <c r="E22" s="2">
        <v>3.4000000000000002E-2</v>
      </c>
      <c r="F22" s="2">
        <v>3.4000000000000002E-2</v>
      </c>
      <c r="G22" s="2">
        <v>3.4000000000000002E-2</v>
      </c>
    </row>
    <row r="23" spans="1:7" x14ac:dyDescent="0.2">
      <c r="A23">
        <v>21</v>
      </c>
      <c r="B23" s="2">
        <v>3.4000000000000002E-2</v>
      </c>
      <c r="C23" s="2">
        <v>3.4000000000000002E-2</v>
      </c>
      <c r="D23" s="2">
        <v>3.4000000000000002E-2</v>
      </c>
      <c r="E23" s="2">
        <v>3.4000000000000002E-2</v>
      </c>
      <c r="F23" s="2">
        <v>3.4000000000000002E-2</v>
      </c>
      <c r="G23" s="2">
        <v>3.4000000000000002E-2</v>
      </c>
    </row>
    <row r="24" spans="1:7" x14ac:dyDescent="0.2">
      <c r="A24">
        <v>22</v>
      </c>
      <c r="B24" s="2">
        <v>3.4000000000000002E-2</v>
      </c>
      <c r="C24" s="2">
        <v>3.4000000000000002E-2</v>
      </c>
      <c r="D24" s="2">
        <v>3.4000000000000002E-2</v>
      </c>
      <c r="E24" s="2">
        <v>3.4000000000000002E-2</v>
      </c>
      <c r="F24" s="2">
        <v>3.4000000000000002E-2</v>
      </c>
      <c r="G24" s="2">
        <v>3.4000000000000002E-2</v>
      </c>
    </row>
    <row r="25" spans="1:7" x14ac:dyDescent="0.2">
      <c r="A25">
        <v>23</v>
      </c>
      <c r="B25" s="2">
        <v>3.4000000000000002E-2</v>
      </c>
      <c r="C25" s="2">
        <v>3.4000000000000002E-2</v>
      </c>
      <c r="D25" s="2">
        <v>3.4000000000000002E-2</v>
      </c>
      <c r="E25" s="2">
        <v>3.4000000000000002E-2</v>
      </c>
      <c r="F25" s="2">
        <v>3.4000000000000002E-2</v>
      </c>
      <c r="G25" s="2">
        <v>3.4000000000000002E-2</v>
      </c>
    </row>
    <row r="26" spans="1:7" x14ac:dyDescent="0.2">
      <c r="A26">
        <v>24</v>
      </c>
      <c r="B26" s="2">
        <v>3.4000000000000002E-2</v>
      </c>
      <c r="C26" s="2">
        <v>3.4000000000000002E-2</v>
      </c>
      <c r="D26" s="2">
        <v>3.4000000000000002E-2</v>
      </c>
      <c r="E26" s="2">
        <v>3.4000000000000002E-2</v>
      </c>
      <c r="F26" s="2">
        <v>3.4000000000000002E-2</v>
      </c>
      <c r="G26" s="2">
        <v>3.4000000000000002E-2</v>
      </c>
    </row>
    <row r="27" spans="1:7" x14ac:dyDescent="0.2">
      <c r="A27">
        <v>25</v>
      </c>
      <c r="B27" s="2">
        <v>3.4000000000000002E-2</v>
      </c>
      <c r="C27" s="2">
        <v>3.4000000000000002E-2</v>
      </c>
      <c r="D27" s="2">
        <v>3.4000000000000002E-2</v>
      </c>
      <c r="E27" s="2">
        <v>3.4000000000000002E-2</v>
      </c>
      <c r="F27" s="2">
        <v>3.4000000000000002E-2</v>
      </c>
      <c r="G27" s="2">
        <v>3.4000000000000002E-2</v>
      </c>
    </row>
    <row r="28" spans="1:7" x14ac:dyDescent="0.2">
      <c r="A28">
        <v>26</v>
      </c>
      <c r="B28" s="2">
        <v>3.4000000000000002E-2</v>
      </c>
      <c r="C28" s="2">
        <v>3.4000000000000002E-2</v>
      </c>
      <c r="D28" s="2">
        <v>3.4000000000000002E-2</v>
      </c>
      <c r="E28" s="2">
        <v>3.4000000000000002E-2</v>
      </c>
      <c r="F28" s="2">
        <v>3.4000000000000002E-2</v>
      </c>
      <c r="G28" s="2">
        <v>3.4000000000000002E-2</v>
      </c>
    </row>
    <row r="29" spans="1:7" x14ac:dyDescent="0.2">
      <c r="A29">
        <v>27</v>
      </c>
      <c r="B29" s="2">
        <v>3.4000000000000002E-2</v>
      </c>
      <c r="C29" s="2">
        <v>3.4000000000000002E-2</v>
      </c>
      <c r="D29" s="2">
        <v>3.4000000000000002E-2</v>
      </c>
      <c r="E29" s="2">
        <v>3.4000000000000002E-2</v>
      </c>
      <c r="F29" s="2">
        <v>3.4000000000000002E-2</v>
      </c>
      <c r="G29" s="2">
        <v>3.4000000000000002E-2</v>
      </c>
    </row>
    <row r="30" spans="1:7" x14ac:dyDescent="0.2">
      <c r="A30">
        <v>28</v>
      </c>
      <c r="B30" s="2">
        <v>3.4000000000000002E-2</v>
      </c>
      <c r="C30" s="2">
        <v>3.4000000000000002E-2</v>
      </c>
      <c r="D30" s="2">
        <v>3.4000000000000002E-2</v>
      </c>
      <c r="E30" s="2">
        <v>3.4000000000000002E-2</v>
      </c>
      <c r="F30" s="2">
        <v>3.4000000000000002E-2</v>
      </c>
      <c r="G30" s="2">
        <v>3.4000000000000002E-2</v>
      </c>
    </row>
    <row r="31" spans="1:7" x14ac:dyDescent="0.2">
      <c r="A31">
        <v>29</v>
      </c>
      <c r="B31" s="2">
        <v>3.4000000000000002E-2</v>
      </c>
      <c r="C31" s="2">
        <v>3.4000000000000002E-2</v>
      </c>
      <c r="D31" s="2">
        <v>3.4000000000000002E-2</v>
      </c>
      <c r="E31" s="2">
        <v>3.4000000000000002E-2</v>
      </c>
      <c r="F31" s="2">
        <v>3.4000000000000002E-2</v>
      </c>
      <c r="G31" s="2">
        <v>3.4000000000000002E-2</v>
      </c>
    </row>
    <row r="32" spans="1:7" x14ac:dyDescent="0.2">
      <c r="A32">
        <v>30</v>
      </c>
      <c r="B32" s="2">
        <v>3.4000000000000002E-2</v>
      </c>
      <c r="C32" s="2">
        <v>3.4000000000000002E-2</v>
      </c>
      <c r="D32" s="2">
        <v>3.4000000000000002E-2</v>
      </c>
      <c r="E32" s="2">
        <v>3.4000000000000002E-2</v>
      </c>
      <c r="F32" s="2">
        <v>3.4000000000000002E-2</v>
      </c>
      <c r="G32" s="2">
        <v>3.4000000000000002E-2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E765-AA61-5246-ADFF-249B9F7594F3}">
  <sheetPr>
    <tabColor rgb="FFFFFF00"/>
  </sheetPr>
  <dimension ref="A1:G32"/>
  <sheetViews>
    <sheetView workbookViewId="0">
      <selection activeCell="B1" sqref="B1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0.05</v>
      </c>
      <c r="C2" s="2">
        <v>0.05</v>
      </c>
      <c r="D2" s="2">
        <v>0.05</v>
      </c>
      <c r="E2" s="2">
        <v>0.05</v>
      </c>
      <c r="F2" s="2">
        <v>0.05</v>
      </c>
      <c r="G2" s="2">
        <v>0.05</v>
      </c>
    </row>
    <row r="3" spans="1:7" x14ac:dyDescent="0.2">
      <c r="A3">
        <v>1</v>
      </c>
      <c r="B3" s="2">
        <v>0.05</v>
      </c>
      <c r="C3" s="2">
        <v>0.05</v>
      </c>
      <c r="D3" s="2">
        <v>0.05</v>
      </c>
      <c r="E3" s="2">
        <v>0.05</v>
      </c>
      <c r="F3" s="2">
        <v>0.05</v>
      </c>
      <c r="G3" s="2">
        <v>0.05</v>
      </c>
    </row>
    <row r="4" spans="1:7" x14ac:dyDescent="0.2">
      <c r="A4">
        <v>2</v>
      </c>
      <c r="B4" s="2">
        <v>0.05</v>
      </c>
      <c r="C4" s="2">
        <v>0.05</v>
      </c>
      <c r="D4" s="2">
        <v>0.05</v>
      </c>
      <c r="E4" s="2">
        <v>0.05</v>
      </c>
      <c r="F4" s="2">
        <v>0.05</v>
      </c>
      <c r="G4" s="2">
        <v>0.05</v>
      </c>
    </row>
    <row r="5" spans="1:7" x14ac:dyDescent="0.2">
      <c r="A5">
        <v>3</v>
      </c>
      <c r="B5" s="2">
        <v>0.05</v>
      </c>
      <c r="C5" s="2">
        <v>0.05</v>
      </c>
      <c r="D5" s="2">
        <v>0.05</v>
      </c>
      <c r="E5" s="2">
        <v>0.05</v>
      </c>
      <c r="F5" s="2">
        <v>0.05</v>
      </c>
      <c r="G5" s="2">
        <v>0.05</v>
      </c>
    </row>
    <row r="6" spans="1:7" x14ac:dyDescent="0.2">
      <c r="A6">
        <v>4</v>
      </c>
      <c r="B6" s="2">
        <v>0.05</v>
      </c>
      <c r="C6" s="2">
        <v>0.05</v>
      </c>
      <c r="D6" s="2">
        <v>0.05</v>
      </c>
      <c r="E6" s="2">
        <v>0.05</v>
      </c>
      <c r="F6" s="2">
        <v>0.05</v>
      </c>
      <c r="G6" s="2">
        <v>0.05</v>
      </c>
    </row>
    <row r="7" spans="1:7" x14ac:dyDescent="0.2">
      <c r="A7">
        <v>5</v>
      </c>
      <c r="B7" s="2">
        <v>0.05</v>
      </c>
      <c r="C7" s="2">
        <v>0.05</v>
      </c>
      <c r="D7" s="2">
        <v>0.05</v>
      </c>
      <c r="E7" s="2">
        <v>0.05</v>
      </c>
      <c r="F7" s="2">
        <v>0.05</v>
      </c>
      <c r="G7" s="2">
        <v>0.05</v>
      </c>
    </row>
    <row r="8" spans="1:7" x14ac:dyDescent="0.2">
      <c r="A8">
        <v>6</v>
      </c>
      <c r="B8" s="2">
        <v>0.05</v>
      </c>
      <c r="C8" s="2">
        <v>0.05</v>
      </c>
      <c r="D8" s="2">
        <v>0.05</v>
      </c>
      <c r="E8" s="2">
        <v>0.05</v>
      </c>
      <c r="F8" s="2">
        <v>0.05</v>
      </c>
      <c r="G8" s="2">
        <v>0.05</v>
      </c>
    </row>
    <row r="9" spans="1:7" x14ac:dyDescent="0.2">
      <c r="A9">
        <v>7</v>
      </c>
      <c r="B9" s="2">
        <v>0.05</v>
      </c>
      <c r="C9" s="2">
        <v>0.05</v>
      </c>
      <c r="D9" s="2">
        <v>0.05</v>
      </c>
      <c r="E9" s="2">
        <v>0.05</v>
      </c>
      <c r="F9" s="2">
        <v>0.05</v>
      </c>
      <c r="G9" s="2">
        <v>0.05</v>
      </c>
    </row>
    <row r="10" spans="1:7" x14ac:dyDescent="0.2">
      <c r="A10">
        <v>8</v>
      </c>
      <c r="B10" s="2">
        <v>0.05</v>
      </c>
      <c r="C10" s="2">
        <v>0.05</v>
      </c>
      <c r="D10" s="2">
        <v>0.05</v>
      </c>
      <c r="E10" s="2">
        <v>0.05</v>
      </c>
      <c r="F10" s="2">
        <v>0.05</v>
      </c>
      <c r="G10" s="2">
        <v>0.05</v>
      </c>
    </row>
    <row r="11" spans="1:7" x14ac:dyDescent="0.2">
      <c r="A11">
        <v>9</v>
      </c>
      <c r="B11" s="2">
        <v>0.05</v>
      </c>
      <c r="C11" s="2">
        <v>0.05</v>
      </c>
      <c r="D11" s="2">
        <v>0.05</v>
      </c>
      <c r="E11" s="2">
        <v>0.05</v>
      </c>
      <c r="F11" s="2">
        <v>0.05</v>
      </c>
      <c r="G11" s="2">
        <v>0.05</v>
      </c>
    </row>
    <row r="12" spans="1:7" x14ac:dyDescent="0.2">
      <c r="A12">
        <v>10</v>
      </c>
      <c r="B12" s="2">
        <v>0.05</v>
      </c>
      <c r="C12" s="2">
        <v>0.05</v>
      </c>
      <c r="D12" s="2">
        <v>0.05</v>
      </c>
      <c r="E12" s="2">
        <v>0.05</v>
      </c>
      <c r="F12" s="2">
        <v>0.05</v>
      </c>
      <c r="G12" s="2">
        <v>0.05</v>
      </c>
    </row>
    <row r="13" spans="1:7" x14ac:dyDescent="0.2">
      <c r="A13">
        <v>11</v>
      </c>
      <c r="B13" s="2">
        <v>0.05</v>
      </c>
      <c r="C13" s="2">
        <v>0.05</v>
      </c>
      <c r="D13" s="2">
        <v>0.05</v>
      </c>
      <c r="E13" s="2">
        <v>0.05</v>
      </c>
      <c r="F13" s="2">
        <v>0.05</v>
      </c>
      <c r="G13" s="2">
        <v>0.05</v>
      </c>
    </row>
    <row r="14" spans="1:7" x14ac:dyDescent="0.2">
      <c r="A14">
        <v>12</v>
      </c>
      <c r="B14" s="2">
        <v>0.05</v>
      </c>
      <c r="C14" s="2">
        <v>0.05</v>
      </c>
      <c r="D14" s="2">
        <v>0.05</v>
      </c>
      <c r="E14" s="2">
        <v>0.05</v>
      </c>
      <c r="F14" s="2">
        <v>0.05</v>
      </c>
      <c r="G14" s="2">
        <v>0.05</v>
      </c>
    </row>
    <row r="15" spans="1:7" x14ac:dyDescent="0.2">
      <c r="A15">
        <v>13</v>
      </c>
      <c r="B15" s="2">
        <v>0.05</v>
      </c>
      <c r="C15" s="2">
        <v>0.05</v>
      </c>
      <c r="D15" s="2">
        <v>0.05</v>
      </c>
      <c r="E15" s="2">
        <v>0.05</v>
      </c>
      <c r="F15" s="2">
        <v>0.05</v>
      </c>
      <c r="G15" s="2">
        <v>0.05</v>
      </c>
    </row>
    <row r="16" spans="1:7" x14ac:dyDescent="0.2">
      <c r="A16">
        <v>14</v>
      </c>
      <c r="B16" s="2">
        <v>0.05</v>
      </c>
      <c r="C16" s="2">
        <v>0.05</v>
      </c>
      <c r="D16" s="2">
        <v>0.05</v>
      </c>
      <c r="E16" s="2">
        <v>0.05</v>
      </c>
      <c r="F16" s="2">
        <v>0.05</v>
      </c>
      <c r="G16" s="2">
        <v>0.05</v>
      </c>
    </row>
    <row r="17" spans="1:7" x14ac:dyDescent="0.2">
      <c r="A17">
        <v>15</v>
      </c>
      <c r="B17" s="2">
        <v>0.05</v>
      </c>
      <c r="C17" s="2">
        <v>0.05</v>
      </c>
      <c r="D17" s="2">
        <v>0.05</v>
      </c>
      <c r="E17" s="2">
        <v>0.05</v>
      </c>
      <c r="F17" s="2">
        <v>0.05</v>
      </c>
      <c r="G17" s="2">
        <v>0.05</v>
      </c>
    </row>
    <row r="18" spans="1:7" x14ac:dyDescent="0.2">
      <c r="A18">
        <v>16</v>
      </c>
      <c r="B18" s="2">
        <v>0.05</v>
      </c>
      <c r="C18" s="2">
        <v>0.05</v>
      </c>
      <c r="D18" s="2">
        <v>0.05</v>
      </c>
      <c r="E18" s="2">
        <v>0.05</v>
      </c>
      <c r="F18" s="2">
        <v>0.05</v>
      </c>
      <c r="G18" s="2">
        <v>0.05</v>
      </c>
    </row>
    <row r="19" spans="1:7" x14ac:dyDescent="0.2">
      <c r="A19">
        <v>17</v>
      </c>
      <c r="B19" s="2">
        <v>0.05</v>
      </c>
      <c r="C19" s="2">
        <v>0.05</v>
      </c>
      <c r="D19" s="2">
        <v>0.05</v>
      </c>
      <c r="E19" s="2">
        <v>0.05</v>
      </c>
      <c r="F19" s="2">
        <v>0.05</v>
      </c>
      <c r="G19" s="2">
        <v>0.05</v>
      </c>
    </row>
    <row r="20" spans="1:7" x14ac:dyDescent="0.2">
      <c r="A20">
        <v>18</v>
      </c>
      <c r="B20" s="2">
        <v>0.05</v>
      </c>
      <c r="C20" s="2">
        <v>0.05</v>
      </c>
      <c r="D20" s="2">
        <v>0.05</v>
      </c>
      <c r="E20" s="2">
        <v>0.05</v>
      </c>
      <c r="F20" s="2">
        <v>0.05</v>
      </c>
      <c r="G20" s="2">
        <v>0.05</v>
      </c>
    </row>
    <row r="21" spans="1:7" x14ac:dyDescent="0.2">
      <c r="A21">
        <v>19</v>
      </c>
      <c r="B21" s="2">
        <v>0.05</v>
      </c>
      <c r="C21" s="2">
        <v>0.05</v>
      </c>
      <c r="D21" s="2">
        <v>0.05</v>
      </c>
      <c r="E21" s="2">
        <v>0.05</v>
      </c>
      <c r="F21" s="2">
        <v>0.05</v>
      </c>
      <c r="G21" s="2">
        <v>0.05</v>
      </c>
    </row>
    <row r="22" spans="1:7" x14ac:dyDescent="0.2">
      <c r="A22">
        <v>20</v>
      </c>
      <c r="B22" s="2">
        <v>0.05</v>
      </c>
      <c r="C22" s="2">
        <v>0.05</v>
      </c>
      <c r="D22" s="2">
        <v>0.05</v>
      </c>
      <c r="E22" s="2">
        <v>0.05</v>
      </c>
      <c r="F22" s="2">
        <v>0.05</v>
      </c>
      <c r="G22" s="2">
        <v>0.05</v>
      </c>
    </row>
    <row r="23" spans="1:7" x14ac:dyDescent="0.2">
      <c r="A23">
        <v>21</v>
      </c>
      <c r="B23" s="2">
        <v>0.05</v>
      </c>
      <c r="C23" s="2">
        <v>0.05</v>
      </c>
      <c r="D23" s="2">
        <v>0.05</v>
      </c>
      <c r="E23" s="2">
        <v>0.05</v>
      </c>
      <c r="F23" s="2">
        <v>0.05</v>
      </c>
      <c r="G23" s="2">
        <v>0.05</v>
      </c>
    </row>
    <row r="24" spans="1:7" x14ac:dyDescent="0.2">
      <c r="A24">
        <v>22</v>
      </c>
      <c r="B24" s="2">
        <v>0.05</v>
      </c>
      <c r="C24" s="2">
        <v>0.05</v>
      </c>
      <c r="D24" s="2">
        <v>0.05</v>
      </c>
      <c r="E24" s="2">
        <v>0.05</v>
      </c>
      <c r="F24" s="2">
        <v>0.05</v>
      </c>
      <c r="G24" s="2">
        <v>0.05</v>
      </c>
    </row>
    <row r="25" spans="1:7" x14ac:dyDescent="0.2">
      <c r="A25">
        <v>23</v>
      </c>
      <c r="B25" s="2">
        <v>0.05</v>
      </c>
      <c r="C25" s="2">
        <v>0.05</v>
      </c>
      <c r="D25" s="2">
        <v>0.05</v>
      </c>
      <c r="E25" s="2">
        <v>0.05</v>
      </c>
      <c r="F25" s="2">
        <v>0.05</v>
      </c>
      <c r="G25" s="2">
        <v>0.05</v>
      </c>
    </row>
    <row r="26" spans="1:7" x14ac:dyDescent="0.2">
      <c r="A26">
        <v>24</v>
      </c>
      <c r="B26" s="2">
        <v>0.05</v>
      </c>
      <c r="C26" s="2">
        <v>0.05</v>
      </c>
      <c r="D26" s="2">
        <v>0.05</v>
      </c>
      <c r="E26" s="2">
        <v>0.05</v>
      </c>
      <c r="F26" s="2">
        <v>0.05</v>
      </c>
      <c r="G26" s="2">
        <v>0.05</v>
      </c>
    </row>
    <row r="27" spans="1:7" x14ac:dyDescent="0.2">
      <c r="A27">
        <v>25</v>
      </c>
      <c r="B27" s="2">
        <v>0.05</v>
      </c>
      <c r="C27" s="2">
        <v>0.05</v>
      </c>
      <c r="D27" s="2">
        <v>0.05</v>
      </c>
      <c r="E27" s="2">
        <v>0.05</v>
      </c>
      <c r="F27" s="2">
        <v>0.05</v>
      </c>
      <c r="G27" s="2">
        <v>0.05</v>
      </c>
    </row>
    <row r="28" spans="1:7" x14ac:dyDescent="0.2">
      <c r="A28">
        <v>26</v>
      </c>
      <c r="B28" s="2">
        <v>0.05</v>
      </c>
      <c r="C28" s="2">
        <v>0.05</v>
      </c>
      <c r="D28" s="2">
        <v>0.05</v>
      </c>
      <c r="E28" s="2">
        <v>0.05</v>
      </c>
      <c r="F28" s="2">
        <v>0.05</v>
      </c>
      <c r="G28" s="2">
        <v>0.05</v>
      </c>
    </row>
    <row r="29" spans="1:7" x14ac:dyDescent="0.2">
      <c r="A29">
        <v>27</v>
      </c>
      <c r="B29" s="2">
        <v>0.05</v>
      </c>
      <c r="C29" s="2">
        <v>0.05</v>
      </c>
      <c r="D29" s="2">
        <v>0.05</v>
      </c>
      <c r="E29" s="2">
        <v>0.05</v>
      </c>
      <c r="F29" s="2">
        <v>0.05</v>
      </c>
      <c r="G29" s="2">
        <v>0.05</v>
      </c>
    </row>
    <row r="30" spans="1:7" x14ac:dyDescent="0.2">
      <c r="A30">
        <v>28</v>
      </c>
      <c r="B30" s="2">
        <v>0.05</v>
      </c>
      <c r="C30" s="2">
        <v>0.05</v>
      </c>
      <c r="D30" s="2">
        <v>0.05</v>
      </c>
      <c r="E30" s="2">
        <v>0.05</v>
      </c>
      <c r="F30" s="2">
        <v>0.05</v>
      </c>
      <c r="G30" s="2">
        <v>0.05</v>
      </c>
    </row>
    <row r="31" spans="1:7" x14ac:dyDescent="0.2">
      <c r="A31">
        <v>29</v>
      </c>
      <c r="B31" s="2">
        <v>0.05</v>
      </c>
      <c r="C31" s="2">
        <v>0.05</v>
      </c>
      <c r="D31" s="2">
        <v>0.05</v>
      </c>
      <c r="E31" s="2">
        <v>0.05</v>
      </c>
      <c r="F31" s="2">
        <v>0.05</v>
      </c>
      <c r="G31" s="2">
        <v>0.05</v>
      </c>
    </row>
    <row r="32" spans="1:7" x14ac:dyDescent="0.2">
      <c r="A32">
        <v>30</v>
      </c>
      <c r="B32" s="2">
        <v>0.05</v>
      </c>
      <c r="C32" s="2">
        <v>0.05</v>
      </c>
      <c r="D32" s="2">
        <v>0.05</v>
      </c>
      <c r="E32" s="2">
        <v>0.05</v>
      </c>
      <c r="F32" s="2">
        <v>0.05</v>
      </c>
      <c r="G32" s="2">
        <v>0.05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7134-566B-B644-8DE0-2AB2E8619DF9}">
  <sheetPr>
    <tabColor rgb="FFFFFF00"/>
  </sheetPr>
  <dimension ref="A1:G32"/>
  <sheetViews>
    <sheetView workbookViewId="0">
      <selection sqref="A1:G32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0.01</v>
      </c>
      <c r="C2" s="2">
        <v>0.01</v>
      </c>
      <c r="D2" s="2">
        <v>0.01</v>
      </c>
      <c r="E2" s="2">
        <v>0.01</v>
      </c>
      <c r="F2" s="2">
        <v>0.01</v>
      </c>
      <c r="G2" s="2">
        <v>0.01</v>
      </c>
    </row>
    <row r="3" spans="1:7" x14ac:dyDescent="0.2">
      <c r="A3">
        <v>1</v>
      </c>
      <c r="B3" s="2">
        <v>0.01</v>
      </c>
      <c r="C3" s="2">
        <v>0.01</v>
      </c>
      <c r="D3" s="2">
        <v>0.01</v>
      </c>
      <c r="E3" s="2">
        <v>0.01</v>
      </c>
      <c r="F3" s="2">
        <v>0.01</v>
      </c>
      <c r="G3" s="2">
        <v>0.01</v>
      </c>
    </row>
    <row r="4" spans="1:7" x14ac:dyDescent="0.2">
      <c r="A4">
        <v>2</v>
      </c>
      <c r="B4" s="2">
        <v>0.01</v>
      </c>
      <c r="C4" s="2">
        <v>0.01</v>
      </c>
      <c r="D4" s="2">
        <v>0.01</v>
      </c>
      <c r="E4" s="2">
        <v>0.01</v>
      </c>
      <c r="F4" s="2">
        <v>0.01</v>
      </c>
      <c r="G4" s="2">
        <v>0.01</v>
      </c>
    </row>
    <row r="5" spans="1:7" x14ac:dyDescent="0.2">
      <c r="A5">
        <v>3</v>
      </c>
      <c r="B5" s="2">
        <v>0.01</v>
      </c>
      <c r="C5" s="2">
        <v>0.01</v>
      </c>
      <c r="D5" s="2">
        <v>0.01</v>
      </c>
      <c r="E5" s="2">
        <v>0.01</v>
      </c>
      <c r="F5" s="2">
        <v>0.01</v>
      </c>
      <c r="G5" s="2">
        <v>0.01</v>
      </c>
    </row>
    <row r="6" spans="1:7" x14ac:dyDescent="0.2">
      <c r="A6">
        <v>4</v>
      </c>
      <c r="B6" s="2">
        <v>0.01</v>
      </c>
      <c r="C6" s="2">
        <v>0.01</v>
      </c>
      <c r="D6" s="2">
        <v>0.01</v>
      </c>
      <c r="E6" s="2">
        <v>0.01</v>
      </c>
      <c r="F6" s="2">
        <v>0.01</v>
      </c>
      <c r="G6" s="2">
        <v>0.01</v>
      </c>
    </row>
    <row r="7" spans="1:7" x14ac:dyDescent="0.2">
      <c r="A7">
        <v>5</v>
      </c>
      <c r="B7" s="2">
        <v>0.01</v>
      </c>
      <c r="C7" s="2">
        <v>0.01</v>
      </c>
      <c r="D7" s="2">
        <v>0.01</v>
      </c>
      <c r="E7" s="2">
        <v>0.01</v>
      </c>
      <c r="F7" s="2">
        <v>0.01</v>
      </c>
      <c r="G7" s="2">
        <v>0.01</v>
      </c>
    </row>
    <row r="8" spans="1:7" x14ac:dyDescent="0.2">
      <c r="A8">
        <v>6</v>
      </c>
      <c r="B8" s="2">
        <v>0.01</v>
      </c>
      <c r="C8" s="2">
        <v>0.01</v>
      </c>
      <c r="D8" s="2">
        <v>0.01</v>
      </c>
      <c r="E8" s="2">
        <v>0.01</v>
      </c>
      <c r="F8" s="2">
        <v>0.01</v>
      </c>
      <c r="G8" s="2">
        <v>0.01</v>
      </c>
    </row>
    <row r="9" spans="1:7" x14ac:dyDescent="0.2">
      <c r="A9">
        <v>7</v>
      </c>
      <c r="B9" s="2">
        <v>0.01</v>
      </c>
      <c r="C9" s="2">
        <v>0.01</v>
      </c>
      <c r="D9" s="2">
        <v>0.01</v>
      </c>
      <c r="E9" s="2">
        <v>0.01</v>
      </c>
      <c r="F9" s="2">
        <v>0.01</v>
      </c>
      <c r="G9" s="2">
        <v>0.01</v>
      </c>
    </row>
    <row r="10" spans="1:7" x14ac:dyDescent="0.2">
      <c r="A10">
        <v>8</v>
      </c>
      <c r="B10" s="2">
        <v>0.01</v>
      </c>
      <c r="C10" s="2">
        <v>0.01</v>
      </c>
      <c r="D10" s="2">
        <v>0.01</v>
      </c>
      <c r="E10" s="2">
        <v>0.01</v>
      </c>
      <c r="F10" s="2">
        <v>0.01</v>
      </c>
      <c r="G10" s="2">
        <v>0.01</v>
      </c>
    </row>
    <row r="11" spans="1:7" x14ac:dyDescent="0.2">
      <c r="A11">
        <v>9</v>
      </c>
      <c r="B11" s="2">
        <v>0.01</v>
      </c>
      <c r="C11" s="2">
        <v>0.01</v>
      </c>
      <c r="D11" s="2">
        <v>0.01</v>
      </c>
      <c r="E11" s="2">
        <v>0.01</v>
      </c>
      <c r="F11" s="2">
        <v>0.01</v>
      </c>
      <c r="G11" s="2">
        <v>0.01</v>
      </c>
    </row>
    <row r="12" spans="1:7" x14ac:dyDescent="0.2">
      <c r="A12">
        <v>10</v>
      </c>
      <c r="B12" s="2">
        <v>0.01</v>
      </c>
      <c r="C12" s="2">
        <v>0.01</v>
      </c>
      <c r="D12" s="2">
        <v>0.01</v>
      </c>
      <c r="E12" s="2">
        <v>0.01</v>
      </c>
      <c r="F12" s="2">
        <v>0.01</v>
      </c>
      <c r="G12" s="2">
        <v>0.01</v>
      </c>
    </row>
    <row r="13" spans="1:7" x14ac:dyDescent="0.2">
      <c r="A13">
        <v>11</v>
      </c>
      <c r="B13" s="2">
        <v>0.01</v>
      </c>
      <c r="C13" s="2">
        <v>0.01</v>
      </c>
      <c r="D13" s="2">
        <v>0.01</v>
      </c>
      <c r="E13" s="2">
        <v>0.01</v>
      </c>
      <c r="F13" s="2">
        <v>0.01</v>
      </c>
      <c r="G13" s="2">
        <v>0.01</v>
      </c>
    </row>
    <row r="14" spans="1:7" x14ac:dyDescent="0.2">
      <c r="A14">
        <v>12</v>
      </c>
      <c r="B14" s="2">
        <v>0.01</v>
      </c>
      <c r="C14" s="2">
        <v>0.01</v>
      </c>
      <c r="D14" s="2">
        <v>0.01</v>
      </c>
      <c r="E14" s="2">
        <v>0.01</v>
      </c>
      <c r="F14" s="2">
        <v>0.01</v>
      </c>
      <c r="G14" s="2">
        <v>0.01</v>
      </c>
    </row>
    <row r="15" spans="1:7" x14ac:dyDescent="0.2">
      <c r="A15">
        <v>13</v>
      </c>
      <c r="B15" s="2">
        <v>0.01</v>
      </c>
      <c r="C15" s="2">
        <v>0.01</v>
      </c>
      <c r="D15" s="2">
        <v>0.01</v>
      </c>
      <c r="E15" s="2">
        <v>0.01</v>
      </c>
      <c r="F15" s="2">
        <v>0.01</v>
      </c>
      <c r="G15" s="2">
        <v>0.01</v>
      </c>
    </row>
    <row r="16" spans="1:7" x14ac:dyDescent="0.2">
      <c r="A16">
        <v>14</v>
      </c>
      <c r="B16" s="2">
        <v>0.01</v>
      </c>
      <c r="C16" s="2">
        <v>0.01</v>
      </c>
      <c r="D16" s="2">
        <v>0.01</v>
      </c>
      <c r="E16" s="2">
        <v>0.01</v>
      </c>
      <c r="F16" s="2">
        <v>0.01</v>
      </c>
      <c r="G16" s="2">
        <v>0.01</v>
      </c>
    </row>
    <row r="17" spans="1:7" x14ac:dyDescent="0.2">
      <c r="A17">
        <v>15</v>
      </c>
      <c r="B17" s="2">
        <v>0.01</v>
      </c>
      <c r="C17" s="2">
        <v>0.01</v>
      </c>
      <c r="D17" s="2">
        <v>0.01</v>
      </c>
      <c r="E17" s="2">
        <v>0.01</v>
      </c>
      <c r="F17" s="2">
        <v>0.01</v>
      </c>
      <c r="G17" s="2">
        <v>0.01</v>
      </c>
    </row>
    <row r="18" spans="1:7" x14ac:dyDescent="0.2">
      <c r="A18">
        <v>16</v>
      </c>
      <c r="B18" s="2">
        <v>0.01</v>
      </c>
      <c r="C18" s="2">
        <v>0.01</v>
      </c>
      <c r="D18" s="2">
        <v>0.01</v>
      </c>
      <c r="E18" s="2">
        <v>0.01</v>
      </c>
      <c r="F18" s="2">
        <v>0.01</v>
      </c>
      <c r="G18" s="2">
        <v>0.01</v>
      </c>
    </row>
    <row r="19" spans="1:7" x14ac:dyDescent="0.2">
      <c r="A19">
        <v>17</v>
      </c>
      <c r="B19" s="2">
        <v>0.01</v>
      </c>
      <c r="C19" s="2">
        <v>0.01</v>
      </c>
      <c r="D19" s="2">
        <v>0.01</v>
      </c>
      <c r="E19" s="2">
        <v>0.01</v>
      </c>
      <c r="F19" s="2">
        <v>0.01</v>
      </c>
      <c r="G19" s="2">
        <v>0.01</v>
      </c>
    </row>
    <row r="20" spans="1:7" x14ac:dyDescent="0.2">
      <c r="A20">
        <v>18</v>
      </c>
      <c r="B20" s="2">
        <v>0.01</v>
      </c>
      <c r="C20" s="2">
        <v>0.01</v>
      </c>
      <c r="D20" s="2">
        <v>0.01</v>
      </c>
      <c r="E20" s="2">
        <v>0.01</v>
      </c>
      <c r="F20" s="2">
        <v>0.01</v>
      </c>
      <c r="G20" s="2">
        <v>0.01</v>
      </c>
    </row>
    <row r="21" spans="1:7" x14ac:dyDescent="0.2">
      <c r="A21">
        <v>19</v>
      </c>
      <c r="B21" s="2">
        <v>0.01</v>
      </c>
      <c r="C21" s="2">
        <v>0.01</v>
      </c>
      <c r="D21" s="2">
        <v>0.01</v>
      </c>
      <c r="E21" s="2">
        <v>0.01</v>
      </c>
      <c r="F21" s="2">
        <v>0.01</v>
      </c>
      <c r="G21" s="2">
        <v>0.01</v>
      </c>
    </row>
    <row r="22" spans="1:7" x14ac:dyDescent="0.2">
      <c r="A22">
        <v>20</v>
      </c>
      <c r="B22" s="2">
        <v>0.01</v>
      </c>
      <c r="C22" s="2">
        <v>0.01</v>
      </c>
      <c r="D22" s="2">
        <v>0.01</v>
      </c>
      <c r="E22" s="2">
        <v>0.01</v>
      </c>
      <c r="F22" s="2">
        <v>0.01</v>
      </c>
      <c r="G22" s="2">
        <v>0.01</v>
      </c>
    </row>
    <row r="23" spans="1:7" x14ac:dyDescent="0.2">
      <c r="A23">
        <v>21</v>
      </c>
      <c r="B23" s="2">
        <v>0.01</v>
      </c>
      <c r="C23" s="2">
        <v>0.01</v>
      </c>
      <c r="D23" s="2">
        <v>0.01</v>
      </c>
      <c r="E23" s="2">
        <v>0.01</v>
      </c>
      <c r="F23" s="2">
        <v>0.01</v>
      </c>
      <c r="G23" s="2">
        <v>0.01</v>
      </c>
    </row>
    <row r="24" spans="1:7" x14ac:dyDescent="0.2">
      <c r="A24">
        <v>22</v>
      </c>
      <c r="B24" s="2">
        <v>0.01</v>
      </c>
      <c r="C24" s="2">
        <v>0.01</v>
      </c>
      <c r="D24" s="2">
        <v>0.01</v>
      </c>
      <c r="E24" s="2">
        <v>0.01</v>
      </c>
      <c r="F24" s="2">
        <v>0.01</v>
      </c>
      <c r="G24" s="2">
        <v>0.01</v>
      </c>
    </row>
    <row r="25" spans="1:7" x14ac:dyDescent="0.2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2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2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2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2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AF2B-038C-184C-B959-09308FE60EB8}">
  <sheetPr>
    <tabColor rgb="FFFFFF00"/>
  </sheetPr>
  <dimension ref="A1:G32"/>
  <sheetViews>
    <sheetView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0.09</v>
      </c>
      <c r="C2" s="2">
        <v>0.09</v>
      </c>
      <c r="D2" s="2">
        <v>0.09</v>
      </c>
      <c r="E2" s="2">
        <v>0.09</v>
      </c>
      <c r="F2" s="2">
        <v>0.09</v>
      </c>
      <c r="G2" s="2">
        <v>0.11</v>
      </c>
    </row>
    <row r="3" spans="1:7" x14ac:dyDescent="0.2">
      <c r="A3">
        <v>1</v>
      </c>
      <c r="B3" s="2">
        <v>0.105</v>
      </c>
      <c r="C3" s="2">
        <v>0.105</v>
      </c>
      <c r="D3" s="2">
        <v>0.105</v>
      </c>
      <c r="E3" s="2">
        <v>0.105</v>
      </c>
      <c r="F3" s="2">
        <v>0.105</v>
      </c>
      <c r="G3" s="2">
        <v>0.11</v>
      </c>
    </row>
    <row r="4" spans="1:7" x14ac:dyDescent="0.2">
      <c r="A4">
        <v>2</v>
      </c>
      <c r="B4" s="2">
        <v>0.17</v>
      </c>
      <c r="C4" s="2">
        <v>0.17</v>
      </c>
      <c r="D4" s="2">
        <v>0.17</v>
      </c>
      <c r="E4" s="2">
        <v>0.17</v>
      </c>
      <c r="F4" s="2">
        <v>0.17</v>
      </c>
      <c r="G4" s="2">
        <v>0.14499999999999999</v>
      </c>
    </row>
    <row r="5" spans="1:7" x14ac:dyDescent="0.2">
      <c r="A5">
        <v>3</v>
      </c>
      <c r="B5" s="2">
        <v>0.16</v>
      </c>
      <c r="C5" s="2">
        <v>0.16</v>
      </c>
      <c r="D5" s="2">
        <v>0.16</v>
      </c>
      <c r="E5" s="2">
        <v>0.16</v>
      </c>
      <c r="F5" s="2">
        <v>0.16</v>
      </c>
      <c r="G5" s="2">
        <v>0.105</v>
      </c>
    </row>
    <row r="6" spans="1:7" x14ac:dyDescent="0.2">
      <c r="A6">
        <v>4</v>
      </c>
      <c r="B6" s="2">
        <v>0.12</v>
      </c>
      <c r="C6" s="2">
        <v>0.12</v>
      </c>
      <c r="D6" s="2">
        <v>0.12</v>
      </c>
      <c r="E6" s="2">
        <v>0.12</v>
      </c>
      <c r="F6" s="2">
        <v>0.12</v>
      </c>
      <c r="G6" s="2">
        <v>7.0000000000000007E-2</v>
      </c>
    </row>
    <row r="7" spans="1:7" x14ac:dyDescent="0.2">
      <c r="A7">
        <v>5</v>
      </c>
      <c r="B7" s="2">
        <v>0.1</v>
      </c>
      <c r="C7" s="2">
        <v>0.1</v>
      </c>
      <c r="D7" s="2">
        <v>0.1</v>
      </c>
      <c r="E7" s="2">
        <v>0.1</v>
      </c>
      <c r="F7" s="2">
        <v>0.1</v>
      </c>
      <c r="G7" s="2">
        <v>0.05</v>
      </c>
    </row>
    <row r="8" spans="1:7" x14ac:dyDescent="0.2">
      <c r="A8">
        <v>6</v>
      </c>
      <c r="B8" s="2">
        <v>9.5000000000000001E-2</v>
      </c>
      <c r="C8" s="2">
        <v>9.5000000000000001E-2</v>
      </c>
      <c r="D8" s="2">
        <v>9.5000000000000001E-2</v>
      </c>
      <c r="E8" s="2">
        <v>9.5000000000000001E-2</v>
      </c>
      <c r="F8" s="2">
        <v>9.5000000000000001E-2</v>
      </c>
      <c r="G8" s="2">
        <v>0.05</v>
      </c>
    </row>
    <row r="9" spans="1:7" x14ac:dyDescent="0.2">
      <c r="A9">
        <v>7</v>
      </c>
      <c r="B9" s="2">
        <v>7.0000000000000007E-2</v>
      </c>
      <c r="C9" s="2">
        <v>7.0000000000000007E-2</v>
      </c>
      <c r="D9" s="2">
        <v>7.0000000000000007E-2</v>
      </c>
      <c r="E9" s="2">
        <v>7.0000000000000007E-2</v>
      </c>
      <c r="F9" s="2">
        <v>7.0000000000000007E-2</v>
      </c>
      <c r="G9" s="2">
        <v>0.05</v>
      </c>
    </row>
    <row r="10" spans="1:7" x14ac:dyDescent="0.2">
      <c r="A10">
        <v>8</v>
      </c>
      <c r="B10" s="2">
        <v>0.06</v>
      </c>
      <c r="C10" s="2">
        <v>0.06</v>
      </c>
      <c r="D10" s="2">
        <v>0.06</v>
      </c>
      <c r="E10" s="2">
        <v>0.06</v>
      </c>
      <c r="F10" s="2">
        <v>0.06</v>
      </c>
      <c r="G10" s="2">
        <v>0.04</v>
      </c>
    </row>
    <row r="11" spans="1:7" x14ac:dyDescent="0.2">
      <c r="A11">
        <v>9</v>
      </c>
      <c r="B11" s="2">
        <v>0.06</v>
      </c>
      <c r="C11" s="2">
        <v>0.06</v>
      </c>
      <c r="D11" s="2">
        <v>0.06</v>
      </c>
      <c r="E11" s="2">
        <v>0.06</v>
      </c>
      <c r="F11" s="2">
        <v>0.06</v>
      </c>
      <c r="G11" s="2">
        <v>0.04</v>
      </c>
    </row>
    <row r="12" spans="1:7" x14ac:dyDescent="0.2">
      <c r="A12">
        <v>10</v>
      </c>
      <c r="B12" s="2">
        <v>0.05</v>
      </c>
      <c r="C12" s="2">
        <v>0.05</v>
      </c>
      <c r="D12" s="2">
        <v>0.05</v>
      </c>
      <c r="E12" s="2">
        <v>0.05</v>
      </c>
      <c r="F12" s="2">
        <v>0.05</v>
      </c>
      <c r="G12" s="2">
        <v>0.04</v>
      </c>
    </row>
    <row r="13" spans="1:7" x14ac:dyDescent="0.2">
      <c r="A13">
        <v>11</v>
      </c>
      <c r="B13" s="2">
        <v>0.05</v>
      </c>
      <c r="C13" s="2">
        <v>0.05</v>
      </c>
      <c r="D13" s="2">
        <v>0.05</v>
      </c>
      <c r="E13" s="2">
        <v>0.05</v>
      </c>
      <c r="F13" s="2">
        <v>0.05</v>
      </c>
      <c r="G13" s="2">
        <v>0.04</v>
      </c>
    </row>
    <row r="14" spans="1:7" x14ac:dyDescent="0.2">
      <c r="A14">
        <v>12</v>
      </c>
      <c r="B14" s="2">
        <v>0.04</v>
      </c>
      <c r="C14" s="2">
        <v>0.04</v>
      </c>
      <c r="D14" s="2">
        <v>0.04</v>
      </c>
      <c r="E14" s="2">
        <v>0.04</v>
      </c>
      <c r="F14" s="2">
        <v>0.04</v>
      </c>
      <c r="G14" s="2">
        <v>0.04</v>
      </c>
    </row>
    <row r="15" spans="1:7" x14ac:dyDescent="0.2">
      <c r="A15">
        <v>13</v>
      </c>
      <c r="B15" s="2">
        <v>0.04</v>
      </c>
      <c r="C15" s="2">
        <v>0.04</v>
      </c>
      <c r="D15" s="2">
        <v>0.04</v>
      </c>
      <c r="E15" s="2">
        <v>0.04</v>
      </c>
      <c r="F15" s="2">
        <v>0.04</v>
      </c>
      <c r="G15" s="2">
        <v>3.5000000000000003E-2</v>
      </c>
    </row>
    <row r="16" spans="1:7" x14ac:dyDescent="0.2">
      <c r="A16">
        <v>14</v>
      </c>
      <c r="B16" s="2">
        <v>0.03</v>
      </c>
      <c r="C16" s="2">
        <v>0.03</v>
      </c>
      <c r="D16" s="2">
        <v>0.03</v>
      </c>
      <c r="E16" s="2">
        <v>0.03</v>
      </c>
      <c r="F16" s="2">
        <v>0.03</v>
      </c>
      <c r="G16" s="2">
        <v>0.03</v>
      </c>
    </row>
    <row r="17" spans="1:7" x14ac:dyDescent="0.2">
      <c r="A17">
        <v>15</v>
      </c>
      <c r="B17" s="2">
        <v>0.03</v>
      </c>
      <c r="C17" s="2">
        <v>0.03</v>
      </c>
      <c r="D17" s="2">
        <v>0.03</v>
      </c>
      <c r="E17" s="2">
        <v>0.03</v>
      </c>
      <c r="F17" s="2">
        <v>0.03</v>
      </c>
      <c r="G17" s="2">
        <v>0.03</v>
      </c>
    </row>
    <row r="18" spans="1:7" x14ac:dyDescent="0.2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0.02</v>
      </c>
      <c r="G18" s="2">
        <v>0.02</v>
      </c>
    </row>
    <row r="19" spans="1:7" x14ac:dyDescent="0.2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2">
      <c r="A20">
        <v>18</v>
      </c>
      <c r="B20" s="2">
        <v>0.02</v>
      </c>
      <c r="C20" s="2">
        <v>0.02</v>
      </c>
      <c r="D20" s="2">
        <v>0.02</v>
      </c>
      <c r="E20" s="2">
        <v>0.02</v>
      </c>
      <c r="F20" s="2">
        <v>0.02</v>
      </c>
      <c r="G20" s="2">
        <v>0.02</v>
      </c>
    </row>
    <row r="21" spans="1:7" x14ac:dyDescent="0.2">
      <c r="A21">
        <v>19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1.4999999999999999E-2</v>
      </c>
      <c r="G21" s="2">
        <v>1.4999999999999999E-2</v>
      </c>
    </row>
    <row r="22" spans="1:7" x14ac:dyDescent="0.2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1.4999999999999999E-2</v>
      </c>
      <c r="G22" s="2">
        <v>1.4999999999999999E-2</v>
      </c>
    </row>
    <row r="23" spans="1:7" x14ac:dyDescent="0.2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1.4999999999999999E-2</v>
      </c>
      <c r="G23" s="2">
        <v>1.4999999999999999E-2</v>
      </c>
    </row>
    <row r="24" spans="1:7" x14ac:dyDescent="0.2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2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2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2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2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2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7909-2651-4BBD-86F7-A7E4E190F967}">
  <dimension ref="A1:CP25"/>
  <sheetViews>
    <sheetView zoomScale="90" zoomScaleNormal="9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AE10" sqref="AE10"/>
    </sheetView>
  </sheetViews>
  <sheetFormatPr baseColWidth="10" defaultColWidth="8.83203125" defaultRowHeight="16" x14ac:dyDescent="0.2"/>
  <cols>
    <col min="1" max="1" width="17.83203125" bestFit="1" customWidth="1"/>
    <col min="2" max="2" width="5.6640625" bestFit="1" customWidth="1"/>
    <col min="3" max="4" width="19.1640625" bestFit="1" customWidth="1"/>
    <col min="5" max="5" width="15" bestFit="1" customWidth="1"/>
    <col min="6" max="6" width="16.5" bestFit="1" customWidth="1"/>
    <col min="7" max="7" width="15" customWidth="1"/>
    <col min="8" max="8" width="18.5" bestFit="1" customWidth="1"/>
    <col min="9" max="9" width="22.6640625" bestFit="1" customWidth="1"/>
    <col min="10" max="10" width="21" bestFit="1" customWidth="1"/>
    <col min="11" max="11" width="21.6640625" bestFit="1" customWidth="1"/>
    <col min="12" max="12" width="9.33203125" bestFit="1" customWidth="1"/>
    <col min="13" max="13" width="7.6640625" bestFit="1" customWidth="1"/>
    <col min="14" max="15" width="20.33203125" bestFit="1" customWidth="1"/>
    <col min="16" max="16" width="8.33203125" bestFit="1" customWidth="1"/>
    <col min="17" max="18" width="20.33203125" bestFit="1" customWidth="1"/>
    <col min="19" max="19" width="8.6640625" bestFit="1" customWidth="1"/>
    <col min="20" max="21" width="20.33203125" bestFit="1" customWidth="1"/>
    <col min="22" max="22" width="9.33203125" bestFit="1" customWidth="1"/>
    <col min="23" max="23" width="7.1640625" bestFit="1" customWidth="1"/>
    <col min="24" max="25" width="16.33203125" bestFit="1" customWidth="1"/>
    <col min="26" max="26" width="12" bestFit="1" customWidth="1"/>
    <col min="27" max="28" width="16.33203125" bestFit="1" customWidth="1"/>
    <col min="29" max="29" width="14" bestFit="1" customWidth="1"/>
    <col min="30" max="30" width="7.83203125" bestFit="1" customWidth="1"/>
    <col min="31" max="31" width="8.33203125" bestFit="1" customWidth="1"/>
    <col min="32" max="32" width="12.1640625" bestFit="1" customWidth="1"/>
    <col min="33" max="33" width="16.6640625" bestFit="1" customWidth="1"/>
    <col min="34" max="34" width="14.83203125" bestFit="1" customWidth="1"/>
    <col min="35" max="36" width="14.83203125" customWidth="1"/>
    <col min="37" max="37" width="16.6640625" bestFit="1" customWidth="1"/>
    <col min="38" max="38" width="14.83203125" bestFit="1" customWidth="1"/>
    <col min="39" max="39" width="16.33203125" bestFit="1" customWidth="1"/>
    <col min="40" max="40" width="14.5" bestFit="1" customWidth="1"/>
    <col min="41" max="41" width="11.33203125" bestFit="1" customWidth="1"/>
    <col min="42" max="42" width="15.6640625" bestFit="1" customWidth="1"/>
    <col min="43" max="43" width="13.6640625" bestFit="1" customWidth="1"/>
    <col min="44" max="44" width="14.5" bestFit="1" customWidth="1"/>
    <col min="45" max="45" width="16.83203125" bestFit="1" customWidth="1"/>
    <col min="46" max="46" width="15.1640625" bestFit="1" customWidth="1"/>
    <col min="47" max="47" width="19" bestFit="1" customWidth="1"/>
    <col min="48" max="48" width="15.1640625" customWidth="1"/>
    <col min="49" max="49" width="16.83203125" bestFit="1" customWidth="1"/>
    <col min="50" max="50" width="19.1640625" bestFit="1" customWidth="1"/>
    <col min="51" max="51" width="15" bestFit="1" customWidth="1"/>
    <col min="52" max="53" width="16.5" bestFit="1" customWidth="1"/>
    <col min="54" max="54" width="14.6640625" bestFit="1" customWidth="1"/>
    <col min="55" max="56" width="18.33203125" bestFit="1" customWidth="1"/>
    <col min="57" max="57" width="19.1640625" bestFit="1" customWidth="1"/>
    <col min="58" max="60" width="19.1640625" customWidth="1"/>
    <col min="61" max="62" width="16.6640625" customWidth="1"/>
    <col min="63" max="63" width="17.83203125" bestFit="1" customWidth="1"/>
    <col min="64" max="64" width="19" bestFit="1" customWidth="1"/>
    <col min="65" max="65" width="17.83203125" bestFit="1" customWidth="1"/>
    <col min="66" max="66" width="17.83203125" customWidth="1"/>
    <col min="67" max="67" width="16.33203125" bestFit="1" customWidth="1"/>
    <col min="68" max="68" width="11.6640625" bestFit="1" customWidth="1"/>
    <col min="69" max="69" width="18.33203125" bestFit="1" customWidth="1"/>
    <col min="70" max="70" width="16.5" bestFit="1" customWidth="1"/>
    <col min="71" max="71" width="16.33203125" bestFit="1" customWidth="1"/>
    <col min="72" max="72" width="14.5" bestFit="1" customWidth="1"/>
    <col min="73" max="73" width="15" bestFit="1" customWidth="1"/>
    <col min="74" max="74" width="13.33203125" bestFit="1" customWidth="1"/>
    <col min="75" max="75" width="17" bestFit="1" customWidth="1"/>
    <col min="76" max="77" width="16.6640625" customWidth="1"/>
    <col min="78" max="78" width="17.5" bestFit="1" customWidth="1"/>
    <col min="79" max="79" width="14.1640625" bestFit="1" customWidth="1"/>
    <col min="80" max="80" width="16.6640625" customWidth="1"/>
    <col min="81" max="81" width="25.83203125" bestFit="1" customWidth="1"/>
    <col min="82" max="82" width="27" bestFit="1" customWidth="1"/>
    <col min="83" max="83" width="17.33203125" bestFit="1" customWidth="1"/>
    <col min="84" max="84" width="21.5" bestFit="1" customWidth="1"/>
    <col min="85" max="86" width="21.5" customWidth="1"/>
    <col min="87" max="87" width="10.83203125" bestFit="1" customWidth="1"/>
    <col min="88" max="88" width="24.1640625" bestFit="1" customWidth="1"/>
    <col min="89" max="89" width="25.33203125" bestFit="1" customWidth="1"/>
    <col min="90" max="90" width="12.33203125" bestFit="1" customWidth="1"/>
    <col min="91" max="91" width="19.83203125" bestFit="1" customWidth="1"/>
    <col min="92" max="93" width="17.33203125" bestFit="1" customWidth="1"/>
    <col min="94" max="94" width="16.83203125" bestFit="1" customWidth="1"/>
    <col min="95" max="95" width="10.83203125" bestFit="1" customWidth="1"/>
    <col min="96" max="96" width="15.83203125" bestFit="1" customWidth="1"/>
    <col min="97" max="97" width="20.5" bestFit="1" customWidth="1"/>
    <col min="98" max="98" width="13.33203125" bestFit="1" customWidth="1"/>
    <col min="99" max="101" width="15.5" bestFit="1" customWidth="1"/>
    <col min="102" max="102" width="14.83203125" bestFit="1" customWidth="1"/>
  </cols>
  <sheetData>
    <row r="1" spans="1:94" s="18" customFormat="1" x14ac:dyDescent="0.2">
      <c r="A1" s="18" t="s">
        <v>147</v>
      </c>
      <c r="B1" s="18" t="s">
        <v>84</v>
      </c>
      <c r="C1" s="18" t="s">
        <v>102</v>
      </c>
      <c r="D1" s="18" t="s">
        <v>103</v>
      </c>
      <c r="E1" s="18" t="s">
        <v>104</v>
      </c>
      <c r="F1" s="18" t="s">
        <v>178</v>
      </c>
      <c r="G1" s="18" t="s">
        <v>179</v>
      </c>
      <c r="H1" s="18" t="s">
        <v>112</v>
      </c>
      <c r="I1" s="18" t="s">
        <v>57</v>
      </c>
      <c r="J1" s="18" t="s">
        <v>58</v>
      </c>
      <c r="K1" s="18" t="s">
        <v>111</v>
      </c>
      <c r="L1" s="18" t="s">
        <v>108</v>
      </c>
      <c r="M1" s="18" t="s">
        <v>109</v>
      </c>
      <c r="N1" s="18" t="s">
        <v>110</v>
      </c>
      <c r="O1" s="18" t="s">
        <v>113</v>
      </c>
      <c r="P1" s="18" t="s">
        <v>114</v>
      </c>
      <c r="Q1" s="18" t="s">
        <v>115</v>
      </c>
      <c r="R1" s="18" t="s">
        <v>116</v>
      </c>
      <c r="S1" s="18" t="s">
        <v>117</v>
      </c>
      <c r="T1" s="18" t="s">
        <v>118</v>
      </c>
      <c r="U1" s="18" t="s">
        <v>119</v>
      </c>
      <c r="V1" s="18" t="s">
        <v>120</v>
      </c>
      <c r="W1" s="18" t="s">
        <v>121</v>
      </c>
      <c r="X1" s="18" t="s">
        <v>122</v>
      </c>
      <c r="Y1" s="18" t="s">
        <v>134</v>
      </c>
      <c r="Z1" s="18" t="s">
        <v>123</v>
      </c>
      <c r="AA1" s="18" t="s">
        <v>124</v>
      </c>
      <c r="AB1" s="18" t="s">
        <v>125</v>
      </c>
      <c r="AC1" s="18" t="s">
        <v>126</v>
      </c>
      <c r="AD1" s="18" t="s">
        <v>127</v>
      </c>
      <c r="AE1" s="18" t="s">
        <v>128</v>
      </c>
      <c r="AF1" s="18" t="s">
        <v>105</v>
      </c>
      <c r="AG1" s="18" t="s">
        <v>106</v>
      </c>
      <c r="AH1" s="18" t="s">
        <v>107</v>
      </c>
      <c r="AI1" s="18" t="s">
        <v>187</v>
      </c>
      <c r="AJ1" s="18" t="s">
        <v>188</v>
      </c>
      <c r="AK1" s="18" t="s">
        <v>59</v>
      </c>
      <c r="AL1" s="18" t="s">
        <v>60</v>
      </c>
      <c r="AM1" s="18" t="s">
        <v>61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8" t="s">
        <v>181</v>
      </c>
      <c r="AT1" s="18" t="s">
        <v>180</v>
      </c>
      <c r="AU1" s="18" t="s">
        <v>184</v>
      </c>
      <c r="AV1" s="18" t="s">
        <v>185</v>
      </c>
      <c r="AW1" s="18" t="s">
        <v>130</v>
      </c>
      <c r="AX1" s="18" t="s">
        <v>67</v>
      </c>
      <c r="AY1" s="18" t="s">
        <v>68</v>
      </c>
      <c r="AZ1" s="18" t="s">
        <v>131</v>
      </c>
      <c r="BA1" s="18" t="s">
        <v>69</v>
      </c>
      <c r="BB1" s="18" t="s">
        <v>70</v>
      </c>
      <c r="BC1" s="18" t="s">
        <v>133</v>
      </c>
      <c r="BD1" s="18" t="s">
        <v>71</v>
      </c>
      <c r="BE1" s="18" t="s">
        <v>72</v>
      </c>
      <c r="BF1" s="18" t="s">
        <v>189</v>
      </c>
      <c r="BG1" s="18" t="s">
        <v>190</v>
      </c>
      <c r="BH1" s="18" t="s">
        <v>132</v>
      </c>
      <c r="BI1" s="18" t="s">
        <v>182</v>
      </c>
      <c r="BJ1" s="18" t="s">
        <v>183</v>
      </c>
      <c r="BK1" s="18" t="s">
        <v>129</v>
      </c>
      <c r="BL1" s="18" t="s">
        <v>73</v>
      </c>
      <c r="BM1" s="18" t="s">
        <v>74</v>
      </c>
      <c r="BN1" s="18" t="s">
        <v>186</v>
      </c>
      <c r="BO1" s="18" t="s">
        <v>75</v>
      </c>
      <c r="BP1" s="18" t="s">
        <v>76</v>
      </c>
      <c r="BQ1" s="18" t="s">
        <v>138</v>
      </c>
      <c r="BR1" s="18" t="s">
        <v>77</v>
      </c>
      <c r="BS1" s="18" t="s">
        <v>78</v>
      </c>
      <c r="BT1" s="18" t="s">
        <v>135</v>
      </c>
      <c r="BU1" s="18" t="s">
        <v>79</v>
      </c>
      <c r="BV1" s="18" t="s">
        <v>80</v>
      </c>
      <c r="BW1" s="18" t="s">
        <v>137</v>
      </c>
      <c r="BX1" s="18" t="s">
        <v>136</v>
      </c>
      <c r="BY1" s="18" t="s">
        <v>195</v>
      </c>
      <c r="BZ1" s="18" t="s">
        <v>196</v>
      </c>
      <c r="CA1" s="18" t="s">
        <v>81</v>
      </c>
      <c r="CB1" s="18" t="s">
        <v>82</v>
      </c>
      <c r="CC1" s="18" t="s">
        <v>139</v>
      </c>
      <c r="CD1" s="18" t="s">
        <v>141</v>
      </c>
      <c r="CE1" s="18" t="s">
        <v>140</v>
      </c>
      <c r="CF1" s="18" t="s">
        <v>142</v>
      </c>
      <c r="CG1" s="18" t="s">
        <v>191</v>
      </c>
      <c r="CH1" s="18" t="s">
        <v>193</v>
      </c>
      <c r="CI1" s="18" t="s">
        <v>83</v>
      </c>
      <c r="CJ1" s="18" t="s">
        <v>143</v>
      </c>
      <c r="CK1" s="18" t="s">
        <v>144</v>
      </c>
      <c r="CL1" s="18" t="s">
        <v>145</v>
      </c>
      <c r="CM1" s="18" t="s">
        <v>146</v>
      </c>
      <c r="CN1" s="18" t="s">
        <v>192</v>
      </c>
      <c r="CO1" s="18" t="s">
        <v>194</v>
      </c>
    </row>
    <row r="2" spans="1:94" x14ac:dyDescent="0.2">
      <c r="A2" t="s">
        <v>148</v>
      </c>
      <c r="B2">
        <v>2022</v>
      </c>
      <c r="C2" s="8">
        <v>29126383663</v>
      </c>
      <c r="D2" s="8">
        <f>18917045000</f>
        <v>18917045000</v>
      </c>
      <c r="E2">
        <v>0</v>
      </c>
      <c r="F2" s="8">
        <f t="shared" ref="F2:F9" si="0">C2-D2</f>
        <v>10209338663</v>
      </c>
      <c r="G2">
        <v>0</v>
      </c>
      <c r="I2" s="9">
        <v>0</v>
      </c>
      <c r="J2" s="9">
        <v>0</v>
      </c>
      <c r="K2" s="9">
        <v>0</v>
      </c>
      <c r="L2" s="14">
        <v>6.7000000000000004E-2</v>
      </c>
      <c r="M2" s="14">
        <v>6.7000000000000004E-2</v>
      </c>
      <c r="N2" s="9">
        <f>145585523000</f>
        <v>145585523000</v>
      </c>
      <c r="O2" s="9">
        <f>145585523000</f>
        <v>145585523000</v>
      </c>
      <c r="P2">
        <v>0</v>
      </c>
      <c r="Q2" s="9">
        <f>123245363000</f>
        <v>123245363000</v>
      </c>
      <c r="R2" s="9">
        <f>123245363000</f>
        <v>123245363000</v>
      </c>
      <c r="S2">
        <v>0</v>
      </c>
      <c r="T2" s="9">
        <f>123965876000</f>
        <v>123965876000</v>
      </c>
      <c r="U2" s="9">
        <f>123965876000</f>
        <v>123965876000</v>
      </c>
      <c r="V2">
        <v>0</v>
      </c>
      <c r="W2" s="10">
        <v>-7.1800000000000003E-2</v>
      </c>
      <c r="X2" s="13">
        <f t="shared" ref="X2:X9" si="1">N2-Q2</f>
        <v>22340160000</v>
      </c>
      <c r="Y2" s="13">
        <f t="shared" ref="Y2:Y9" si="2">X2</f>
        <v>22340160000</v>
      </c>
      <c r="Z2">
        <v>0</v>
      </c>
      <c r="AA2" s="13">
        <f t="shared" ref="AA2:AA9" si="3">N2-T2</f>
        <v>21619647000</v>
      </c>
      <c r="AB2" s="13">
        <f t="shared" ref="AB2:AB9" si="4">AA2</f>
        <v>21619647000</v>
      </c>
      <c r="AC2">
        <v>0</v>
      </c>
      <c r="AD2" s="15">
        <f t="shared" ref="AD2:AD10" si="5">Q2/N2</f>
        <v>0.84654957759776706</v>
      </c>
      <c r="AE2" s="15">
        <f t="shared" ref="AE2:AE10" si="6">T2/N2</f>
        <v>0.85149864798026653</v>
      </c>
      <c r="AF2" s="10">
        <v>8.9599999999999999E-2</v>
      </c>
      <c r="AG2" s="10">
        <f t="shared" ref="AG2:AG10" si="7">AF2</f>
        <v>8.9599999999999999E-2</v>
      </c>
      <c r="AH2">
        <v>0</v>
      </c>
      <c r="AI2" s="10">
        <f>AG2</f>
        <v>8.9599999999999999E-2</v>
      </c>
      <c r="AJ2">
        <f t="shared" ref="AJ2:AJ10" si="8">AH2</f>
        <v>0</v>
      </c>
      <c r="AK2" s="16">
        <v>0.03</v>
      </c>
      <c r="AL2">
        <v>0</v>
      </c>
      <c r="AM2" s="10">
        <f t="shared" ref="AM2:AM10" si="9">AG2-AK2</f>
        <v>5.96E-2</v>
      </c>
      <c r="AN2" s="10">
        <v>0</v>
      </c>
      <c r="AO2" s="10">
        <f t="shared" ref="AO2:AO10" si="10">AP2+AM2</f>
        <v>0.12230000000000001</v>
      </c>
      <c r="AP2" s="10">
        <v>6.2700000000000006E-2</v>
      </c>
      <c r="AQ2" s="10">
        <v>0</v>
      </c>
      <c r="AR2" s="10">
        <v>0</v>
      </c>
      <c r="AS2" s="10">
        <v>6.6000000000000003E-2</v>
      </c>
      <c r="AT2" s="10">
        <v>0</v>
      </c>
      <c r="AU2" s="6">
        <f>AG2*D2</f>
        <v>1694967232</v>
      </c>
      <c r="AV2" s="6">
        <f t="shared" ref="AV2:AV10" si="11">AH2*E2</f>
        <v>0</v>
      </c>
      <c r="AW2" s="13">
        <f t="shared" ref="AW2:AW9" si="12">AX2+AY2</f>
        <v>567511350</v>
      </c>
      <c r="AX2" s="9">
        <f t="shared" ref="AX2:AX9" si="13">AK2*D2</f>
        <v>567511350</v>
      </c>
      <c r="AY2" s="9">
        <v>0</v>
      </c>
      <c r="AZ2" s="9">
        <f t="shared" ref="AZ2:AZ9" si="14">BA2+BB2</f>
        <v>1127455882</v>
      </c>
      <c r="BA2" s="9">
        <f>AM2*D2</f>
        <v>1127455882</v>
      </c>
      <c r="BB2" s="9">
        <f>AN2*E2</f>
        <v>0</v>
      </c>
      <c r="BC2" s="9">
        <f t="shared" ref="BC2:BC9" si="15">BD2+BE2</f>
        <v>1285098768</v>
      </c>
      <c r="BD2" s="9">
        <f t="shared" ref="BD2:BD9" si="16">BI2-BA2</f>
        <v>1285098768</v>
      </c>
      <c r="BE2" s="9">
        <f t="shared" ref="BE2:BE9" si="17">AQ2*E2</f>
        <v>0</v>
      </c>
      <c r="BF2" s="9">
        <f t="shared" ref="BF2:BF10" si="18">AS2*F2+AT2*G2</f>
        <v>673816351.75800002</v>
      </c>
      <c r="BG2" s="9">
        <v>0</v>
      </c>
      <c r="BH2" s="9">
        <f t="shared" ref="BH2:BH10" si="19">BI2+BJ2</f>
        <v>3086371001.7579999</v>
      </c>
      <c r="BI2" s="9">
        <f>2980066000 - AW2</f>
        <v>2412554650</v>
      </c>
      <c r="BJ2" s="9">
        <f t="shared" ref="BJ2:BJ10" si="20">BF2+BG2</f>
        <v>673816351.75800002</v>
      </c>
      <c r="BK2" s="9">
        <f t="shared" ref="BK2:BK9" si="21">BL2+BM2</f>
        <v>8373165620.5995789</v>
      </c>
      <c r="BL2" s="9">
        <f>8967096000*BL$10/SUM($BL$10:$BR$10)</f>
        <v>8373165620.5995789</v>
      </c>
      <c r="BM2" s="9">
        <f>8967096000*BM$10/SUM($BL$10:$BR$10)</f>
        <v>0</v>
      </c>
      <c r="BN2" s="9">
        <f t="shared" ref="BN2:BN10" si="22">BO2+BP2</f>
        <v>19868332.576116256</v>
      </c>
      <c r="BO2" s="9">
        <f>8967096000*BO$10/SUM($BL$10:$BR$10)</f>
        <v>19868332.576116256</v>
      </c>
      <c r="BP2" s="9">
        <f>8967096000*BP$10/SUM($BL$10:$BR$10)</f>
        <v>0</v>
      </c>
      <c r="BQ2" s="9">
        <f>8967096000*BQ$10/SUM($BL$10:$BR$10)</f>
        <v>538425528.76081467</v>
      </c>
      <c r="BR2" s="9">
        <f>8967096000*BR$10/SUM($BL$10:$BR$10)</f>
        <v>15768185.487374172</v>
      </c>
      <c r="BS2">
        <v>0</v>
      </c>
      <c r="BT2">
        <v>0</v>
      </c>
      <c r="BU2">
        <v>0</v>
      </c>
      <c r="BV2">
        <v>0</v>
      </c>
      <c r="BW2" s="14">
        <f t="shared" ref="BW2:BW10" si="23">BH2/C2</f>
        <v>0.10596478565509995</v>
      </c>
      <c r="BX2" s="9">
        <f t="shared" ref="BX2:BX10" si="24">BH2</f>
        <v>3086371001.7579999</v>
      </c>
      <c r="BY2" s="9"/>
      <c r="BZ2" s="9">
        <f t="shared" ref="BZ2:BZ10" si="25">AA2</f>
        <v>21619647000</v>
      </c>
      <c r="CB2" s="9">
        <f>BI2+AW2-SUM(BK2,BO2,BQ2,BR2)</f>
        <v>-5967161667.4238834</v>
      </c>
      <c r="CC2" s="9"/>
      <c r="CD2" s="9">
        <v>8163242000</v>
      </c>
      <c r="CE2" s="9"/>
      <c r="CF2" s="9">
        <v>670660000</v>
      </c>
      <c r="CG2" s="9"/>
      <c r="CH2" s="9"/>
      <c r="CI2" s="9"/>
      <c r="CJ2" s="13"/>
      <c r="CK2" s="13"/>
      <c r="CL2" s="13"/>
      <c r="CM2" s="11"/>
      <c r="CN2" s="9"/>
      <c r="CO2" s="9"/>
      <c r="CP2" s="13"/>
    </row>
    <row r="3" spans="1:94" x14ac:dyDescent="0.2">
      <c r="A3" t="s">
        <v>149</v>
      </c>
      <c r="B3">
        <v>2022</v>
      </c>
      <c r="C3" s="8">
        <v>5451709307</v>
      </c>
      <c r="D3" s="8">
        <f>4601265000</f>
        <v>4601265000</v>
      </c>
      <c r="E3">
        <v>0</v>
      </c>
      <c r="F3" s="8">
        <f t="shared" si="0"/>
        <v>850444307</v>
      </c>
      <c r="G3">
        <v>0</v>
      </c>
      <c r="I3" s="9">
        <v>0</v>
      </c>
      <c r="J3" s="9">
        <v>0</v>
      </c>
      <c r="K3" s="9">
        <v>0</v>
      </c>
      <c r="L3" s="14">
        <v>6.7000000000000004E-2</v>
      </c>
      <c r="M3" s="14">
        <v>6.7000000000000004E-2</v>
      </c>
      <c r="N3" s="9">
        <f>45070773000</f>
        <v>45070773000</v>
      </c>
      <c r="O3" s="9">
        <f>45070773000</f>
        <v>45070773000</v>
      </c>
      <c r="P3">
        <v>0</v>
      </c>
      <c r="Q3" s="9">
        <f>36060861000</f>
        <v>36060861000</v>
      </c>
      <c r="R3" s="9">
        <f>36060861000</f>
        <v>36060861000</v>
      </c>
      <c r="S3">
        <v>0</v>
      </c>
      <c r="T3" s="9">
        <f>36271679000</f>
        <v>36271679000</v>
      </c>
      <c r="U3" s="9">
        <f>36271679000</f>
        <v>36271679000</v>
      </c>
      <c r="V3">
        <v>0</v>
      </c>
      <c r="W3" s="10">
        <v>-7.1800000000000003E-2</v>
      </c>
      <c r="X3" s="13">
        <f t="shared" si="1"/>
        <v>9009912000</v>
      </c>
      <c r="Y3" s="13">
        <f t="shared" si="2"/>
        <v>9009912000</v>
      </c>
      <c r="Z3">
        <v>0</v>
      </c>
      <c r="AA3" s="13">
        <f t="shared" si="3"/>
        <v>8799094000</v>
      </c>
      <c r="AB3" s="13">
        <f t="shared" si="4"/>
        <v>8799094000</v>
      </c>
      <c r="AC3">
        <v>0</v>
      </c>
      <c r="AD3" s="15">
        <f t="shared" si="5"/>
        <v>0.8000941319555358</v>
      </c>
      <c r="AE3" s="15">
        <f t="shared" si="6"/>
        <v>0.80477161995868141</v>
      </c>
      <c r="AF3" s="10">
        <v>0.20130000000000001</v>
      </c>
      <c r="AG3" s="10">
        <f t="shared" si="7"/>
        <v>0.20130000000000001</v>
      </c>
      <c r="AH3">
        <v>0</v>
      </c>
      <c r="AI3" s="10">
        <f>AG3</f>
        <v>0.20130000000000001</v>
      </c>
      <c r="AJ3">
        <f t="shared" si="8"/>
        <v>0</v>
      </c>
      <c r="AK3" s="16">
        <v>0.03</v>
      </c>
      <c r="AL3">
        <v>0</v>
      </c>
      <c r="AM3" s="10">
        <f t="shared" si="9"/>
        <v>0.17130000000000001</v>
      </c>
      <c r="AN3" s="10">
        <v>0</v>
      </c>
      <c r="AO3" s="10">
        <f t="shared" si="10"/>
        <v>0.29749999999999999</v>
      </c>
      <c r="AP3" s="10">
        <v>0.12620000000000001</v>
      </c>
      <c r="AQ3" s="10">
        <v>0</v>
      </c>
      <c r="AR3" s="10">
        <v>0</v>
      </c>
      <c r="AS3" s="10">
        <v>0.16539999999999999</v>
      </c>
      <c r="AT3" s="10">
        <v>0</v>
      </c>
      <c r="AU3" s="6">
        <f>AG3*D3</f>
        <v>926234644.5</v>
      </c>
      <c r="AV3" s="10">
        <f t="shared" si="11"/>
        <v>0</v>
      </c>
      <c r="AW3" s="13">
        <f t="shared" si="12"/>
        <v>138037950</v>
      </c>
      <c r="AX3" s="9">
        <f t="shared" si="13"/>
        <v>138037950</v>
      </c>
      <c r="AY3" s="9">
        <v>0</v>
      </c>
      <c r="AZ3" s="9">
        <f t="shared" si="14"/>
        <v>788196694.5</v>
      </c>
      <c r="BA3" s="9">
        <f>AM3*D3</f>
        <v>788196694.5</v>
      </c>
      <c r="BB3" s="9">
        <f>AN3*E3</f>
        <v>0</v>
      </c>
      <c r="BC3" s="9">
        <f t="shared" si="15"/>
        <v>428000355.5</v>
      </c>
      <c r="BD3" s="9">
        <f t="shared" si="16"/>
        <v>428000355.5</v>
      </c>
      <c r="BE3" s="9">
        <f t="shared" si="17"/>
        <v>0</v>
      </c>
      <c r="BF3" s="9">
        <f t="shared" si="18"/>
        <v>140663488.37779999</v>
      </c>
      <c r="BG3" s="9">
        <v>0</v>
      </c>
      <c r="BH3" s="9">
        <f t="shared" si="19"/>
        <v>1356860538.3778</v>
      </c>
      <c r="BI3" s="9">
        <f>1354235000-AW3</f>
        <v>1216197050</v>
      </c>
      <c r="BJ3" s="9">
        <f t="shared" si="20"/>
        <v>140663488.37779999</v>
      </c>
      <c r="BK3" s="9">
        <f t="shared" si="21"/>
        <v>2262952876.4445548</v>
      </c>
      <c r="BL3" s="9">
        <f>2423470000*BL$10/SUM($BL$10:$BR$10)</f>
        <v>2262952876.4445548</v>
      </c>
      <c r="BM3" s="9">
        <f>2423470000*BM$10/SUM($BL$10:$BR$10)</f>
        <v>0</v>
      </c>
      <c r="BN3" s="9">
        <f t="shared" si="22"/>
        <v>5369665.7143227272</v>
      </c>
      <c r="BO3" s="9">
        <f>2423470000*BO$10/SUM($BL$10:$BR$10)</f>
        <v>5369665.7143227272</v>
      </c>
      <c r="BP3" s="9">
        <f>2423470000*BP$10/SUM($BL$10:$BR$10)</f>
        <v>0</v>
      </c>
      <c r="BQ3" s="9">
        <f>2423470000*BQ$10/SUM($BL$10:$BR$10)</f>
        <v>145516242.51440731</v>
      </c>
      <c r="BR3" s="9">
        <f>2423470000*BR$10/SUM($BL$10:$BR$10)</f>
        <v>4261549.6123925382</v>
      </c>
      <c r="BS3">
        <v>0</v>
      </c>
      <c r="BT3">
        <v>0</v>
      </c>
      <c r="BU3">
        <v>0</v>
      </c>
      <c r="BV3">
        <v>0</v>
      </c>
      <c r="BW3" s="14">
        <f t="shared" si="23"/>
        <v>0.2488871768411404</v>
      </c>
      <c r="BX3" s="9">
        <f t="shared" si="24"/>
        <v>1356860538.3778</v>
      </c>
      <c r="BY3" s="9"/>
      <c r="BZ3" s="9">
        <f t="shared" si="25"/>
        <v>8799094000</v>
      </c>
      <c r="CB3" s="9">
        <f>BI3+AW3-SUM(BK3,BO3,BQ3,BR3)</f>
        <v>-1063865334.285677</v>
      </c>
      <c r="CC3" s="9"/>
      <c r="CD3" s="9">
        <f>2362271000</f>
        <v>2362271000</v>
      </c>
      <c r="CE3" s="9"/>
      <c r="CF3" s="9">
        <f>258680000</f>
        <v>258680000</v>
      </c>
      <c r="CG3" s="9"/>
      <c r="CH3" s="9"/>
      <c r="CI3" s="9"/>
      <c r="CJ3" s="13"/>
      <c r="CK3" s="13"/>
      <c r="CL3" s="13"/>
      <c r="CM3" s="11"/>
      <c r="CN3" s="9"/>
      <c r="CO3" s="9"/>
      <c r="CP3" s="13"/>
    </row>
    <row r="4" spans="1:94" x14ac:dyDescent="0.2">
      <c r="A4" t="s">
        <v>150</v>
      </c>
      <c r="B4">
        <v>2022</v>
      </c>
      <c r="C4" s="8">
        <v>5381322</v>
      </c>
      <c r="D4" s="8">
        <f>3749000</f>
        <v>3749000</v>
      </c>
      <c r="E4">
        <v>0</v>
      </c>
      <c r="F4" s="8">
        <f t="shared" si="0"/>
        <v>1632322</v>
      </c>
      <c r="G4">
        <v>0</v>
      </c>
      <c r="I4" s="9">
        <v>0</v>
      </c>
      <c r="J4" s="9">
        <v>0</v>
      </c>
      <c r="K4" s="9">
        <v>0</v>
      </c>
      <c r="L4" s="14">
        <v>6.7000000000000004E-2</v>
      </c>
      <c r="M4" s="14">
        <v>6.7000000000000004E-2</v>
      </c>
      <c r="N4" s="9">
        <f>90337000</f>
        <v>90337000</v>
      </c>
      <c r="O4" s="9">
        <f>90337000</f>
        <v>90337000</v>
      </c>
      <c r="P4">
        <v>0</v>
      </c>
      <c r="Q4" s="9">
        <f>74171000</f>
        <v>74171000</v>
      </c>
      <c r="R4" s="9">
        <f>74171000</f>
        <v>74171000</v>
      </c>
      <c r="S4">
        <v>0</v>
      </c>
      <c r="T4" s="9">
        <f>74605000</f>
        <v>74605000</v>
      </c>
      <c r="U4" s="9">
        <f>74605000</f>
        <v>74605000</v>
      </c>
      <c r="V4">
        <v>0</v>
      </c>
      <c r="W4" s="10">
        <v>-7.1800000000000003E-2</v>
      </c>
      <c r="X4" s="13">
        <f t="shared" si="1"/>
        <v>16166000</v>
      </c>
      <c r="Y4" s="13">
        <f t="shared" si="2"/>
        <v>16166000</v>
      </c>
      <c r="Z4">
        <v>0</v>
      </c>
      <c r="AA4" s="13">
        <f t="shared" si="3"/>
        <v>15732000</v>
      </c>
      <c r="AB4" s="13">
        <f t="shared" si="4"/>
        <v>15732000</v>
      </c>
      <c r="AC4">
        <v>0</v>
      </c>
      <c r="AD4" s="15">
        <f t="shared" si="5"/>
        <v>0.82104785414614168</v>
      </c>
      <c r="AE4" s="15">
        <f t="shared" si="6"/>
        <v>0.82585208718465297</v>
      </c>
      <c r="AF4" s="10">
        <v>0.1457</v>
      </c>
      <c r="AG4" s="10">
        <f t="shared" si="7"/>
        <v>0.1457</v>
      </c>
      <c r="AH4">
        <v>0</v>
      </c>
      <c r="AI4" s="10">
        <f>AG4</f>
        <v>0.1457</v>
      </c>
      <c r="AJ4">
        <f t="shared" si="8"/>
        <v>0</v>
      </c>
      <c r="AK4" s="16">
        <v>0.03</v>
      </c>
      <c r="AL4">
        <v>0</v>
      </c>
      <c r="AM4" s="10">
        <f t="shared" si="9"/>
        <v>0.1157</v>
      </c>
      <c r="AN4" s="10">
        <v>0</v>
      </c>
      <c r="AO4" s="10">
        <f t="shared" si="10"/>
        <v>0.45379999999999998</v>
      </c>
      <c r="AP4" s="10">
        <v>0.33810000000000001</v>
      </c>
      <c r="AQ4" s="10">
        <v>0</v>
      </c>
      <c r="AR4" s="10">
        <v>0</v>
      </c>
      <c r="AS4" s="10">
        <v>8.43E-2</v>
      </c>
      <c r="AT4" s="10">
        <v>0</v>
      </c>
      <c r="AU4" s="6">
        <f>AG4*D4</f>
        <v>546229.29999999993</v>
      </c>
      <c r="AV4" s="10">
        <f t="shared" si="11"/>
        <v>0</v>
      </c>
      <c r="AW4" s="13">
        <f t="shared" si="12"/>
        <v>112470</v>
      </c>
      <c r="AX4" s="9">
        <f t="shared" si="13"/>
        <v>112470</v>
      </c>
      <c r="AY4" s="9">
        <v>0</v>
      </c>
      <c r="AZ4" s="9">
        <f t="shared" si="14"/>
        <v>433759.3</v>
      </c>
      <c r="BA4" s="9">
        <f>AM4*D4</f>
        <v>433759.3</v>
      </c>
      <c r="BB4" s="9">
        <f>AN4*E4</f>
        <v>0</v>
      </c>
      <c r="BC4" s="9">
        <f t="shared" si="15"/>
        <v>4616770.7</v>
      </c>
      <c r="BD4" s="9">
        <f t="shared" si="16"/>
        <v>4616770.7</v>
      </c>
      <c r="BE4" s="9">
        <f t="shared" si="17"/>
        <v>0</v>
      </c>
      <c r="BF4" s="9">
        <f t="shared" si="18"/>
        <v>137604.74460000001</v>
      </c>
      <c r="BG4" s="9">
        <v>0</v>
      </c>
      <c r="BH4" s="9">
        <f t="shared" si="19"/>
        <v>5188134.7445999999</v>
      </c>
      <c r="BI4" s="9">
        <f>5163000-AW4</f>
        <v>5050530</v>
      </c>
      <c r="BJ4" s="9">
        <f t="shared" si="20"/>
        <v>137604.74460000001</v>
      </c>
      <c r="BK4" s="9">
        <f t="shared" si="21"/>
        <v>7554163.5631703502</v>
      </c>
      <c r="BL4" s="9">
        <f>8090000*BL$10/SUM($BL$10:$BR$10)</f>
        <v>7554163.5631703502</v>
      </c>
      <c r="BM4" s="9">
        <f>8090000*BM$10/SUM($BL$10:$BR$10)</f>
        <v>0</v>
      </c>
      <c r="BN4" s="9">
        <f t="shared" si="22"/>
        <v>17924.957036344935</v>
      </c>
      <c r="BO4" s="9">
        <f>8090000*BO$10/SUM($BL$10:$BR$10)</f>
        <v>17924.957036344935</v>
      </c>
      <c r="BP4" s="9">
        <f>8090000*BP$10/SUM($BL$10:$BR$10)</f>
        <v>0</v>
      </c>
      <c r="BQ4" s="9">
        <f>8090000*BQ$10/SUM($BL$10:$BR$10)</f>
        <v>485760.66629318916</v>
      </c>
      <c r="BR4" s="9">
        <f>8090000*BR$10/SUM($BL$10:$BR$10)</f>
        <v>14225.856463771219</v>
      </c>
      <c r="BS4">
        <v>0</v>
      </c>
      <c r="BT4">
        <v>0</v>
      </c>
      <c r="BU4">
        <v>0</v>
      </c>
      <c r="BV4">
        <v>0</v>
      </c>
      <c r="BW4" s="14">
        <f t="shared" si="23"/>
        <v>0.96410040963911836</v>
      </c>
      <c r="BX4" s="9">
        <f t="shared" si="24"/>
        <v>5188134.7445999999</v>
      </c>
      <c r="BY4" s="9"/>
      <c r="BZ4" s="9">
        <f t="shared" si="25"/>
        <v>15732000</v>
      </c>
      <c r="CB4" s="9">
        <f>BI4+AW4-SUM(BK4,BO4,BQ4,BR4)</f>
        <v>-2909075.0429636557</v>
      </c>
      <c r="CC4" s="9"/>
      <c r="CD4" s="9">
        <f>4899000</f>
        <v>4899000</v>
      </c>
      <c r="CE4" s="9"/>
      <c r="CF4" s="9">
        <f>276000</f>
        <v>276000</v>
      </c>
      <c r="CG4" s="9"/>
      <c r="CH4" s="9"/>
      <c r="CI4" s="9"/>
      <c r="CJ4" s="13"/>
      <c r="CK4" s="13"/>
      <c r="CL4" s="13"/>
      <c r="CM4" s="11"/>
      <c r="CN4" s="9"/>
      <c r="CO4" s="9"/>
      <c r="CP4" s="13"/>
    </row>
    <row r="5" spans="1:94" x14ac:dyDescent="0.2">
      <c r="A5" t="s">
        <v>151</v>
      </c>
      <c r="B5">
        <v>2022</v>
      </c>
      <c r="C5" s="8">
        <f>211724251*D5/SUM($D$5:$D$7)</f>
        <v>57226218.438756615</v>
      </c>
      <c r="D5" s="8">
        <f>42615000</f>
        <v>42615000</v>
      </c>
      <c r="E5">
        <v>0</v>
      </c>
      <c r="F5" s="8">
        <f t="shared" si="0"/>
        <v>14611218.438756615</v>
      </c>
      <c r="G5">
        <v>0</v>
      </c>
      <c r="I5" s="9">
        <v>0</v>
      </c>
      <c r="J5" s="9">
        <v>0</v>
      </c>
      <c r="K5" s="9">
        <v>0</v>
      </c>
      <c r="L5" s="14">
        <v>6.7000000000000004E-2</v>
      </c>
      <c r="M5" s="14">
        <v>6.7000000000000004E-2</v>
      </c>
      <c r="N5" s="9">
        <f>751363000</f>
        <v>751363000</v>
      </c>
      <c r="O5" s="9">
        <f>751363000</f>
        <v>751363000</v>
      </c>
      <c r="P5">
        <v>0</v>
      </c>
      <c r="Q5" s="9">
        <f>316423000</f>
        <v>316423000</v>
      </c>
      <c r="R5" s="9">
        <f>316423000</f>
        <v>316423000</v>
      </c>
      <c r="S5">
        <v>0</v>
      </c>
      <c r="T5" s="9">
        <f>318273000</f>
        <v>318273000</v>
      </c>
      <c r="U5" s="9">
        <f>318273000</f>
        <v>318273000</v>
      </c>
      <c r="V5">
        <v>0</v>
      </c>
      <c r="W5" s="10">
        <v>-7.1800000000000003E-2</v>
      </c>
      <c r="X5" s="13">
        <f t="shared" si="1"/>
        <v>434940000</v>
      </c>
      <c r="Y5" s="13">
        <f t="shared" si="2"/>
        <v>434940000</v>
      </c>
      <c r="Z5">
        <v>0</v>
      </c>
      <c r="AA5" s="13">
        <f t="shared" si="3"/>
        <v>433090000</v>
      </c>
      <c r="AB5" s="13">
        <f t="shared" si="4"/>
        <v>433090000</v>
      </c>
      <c r="AC5">
        <v>0</v>
      </c>
      <c r="AD5" s="15">
        <f t="shared" si="5"/>
        <v>0.421131996119053</v>
      </c>
      <c r="AE5" s="15">
        <f t="shared" si="6"/>
        <v>0.42359418816204686</v>
      </c>
      <c r="AF5" s="10">
        <v>0.14630000000000001</v>
      </c>
      <c r="AG5" s="10">
        <f t="shared" si="7"/>
        <v>0.14630000000000001</v>
      </c>
      <c r="AH5">
        <v>0</v>
      </c>
      <c r="AI5" s="10">
        <f>AG5</f>
        <v>0.14630000000000001</v>
      </c>
      <c r="AJ5">
        <f t="shared" si="8"/>
        <v>0</v>
      </c>
      <c r="AK5" s="16">
        <v>0.03</v>
      </c>
      <c r="AL5">
        <v>0</v>
      </c>
      <c r="AM5" s="10">
        <f t="shared" si="9"/>
        <v>0.11630000000000001</v>
      </c>
      <c r="AN5" s="10">
        <v>0</v>
      </c>
      <c r="AO5" s="10">
        <f t="shared" si="10"/>
        <v>0.76500000000000012</v>
      </c>
      <c r="AP5" s="10">
        <v>0.64870000000000005</v>
      </c>
      <c r="AQ5" s="10">
        <v>0</v>
      </c>
      <c r="AR5" s="10">
        <v>0</v>
      </c>
      <c r="AS5" s="10">
        <v>0.1195</v>
      </c>
      <c r="AT5" s="10">
        <v>0</v>
      </c>
      <c r="AU5" s="6">
        <f>AG5*D5</f>
        <v>6234574.5000000009</v>
      </c>
      <c r="AV5" s="10">
        <f t="shared" si="11"/>
        <v>0</v>
      </c>
      <c r="AW5" s="13">
        <f t="shared" si="12"/>
        <v>1278450</v>
      </c>
      <c r="AX5" s="9">
        <f t="shared" si="13"/>
        <v>1278450</v>
      </c>
      <c r="AY5" s="9">
        <v>0</v>
      </c>
      <c r="AZ5" s="9">
        <f t="shared" si="14"/>
        <v>4956124.5000000009</v>
      </c>
      <c r="BA5" s="9">
        <f>AM5*D5</f>
        <v>4956124.5000000009</v>
      </c>
      <c r="BB5" s="9">
        <f>AN5*E5</f>
        <v>0</v>
      </c>
      <c r="BC5" s="9">
        <f t="shared" si="15"/>
        <v>29915425.5</v>
      </c>
      <c r="BD5" s="9">
        <f t="shared" si="16"/>
        <v>29915425.5</v>
      </c>
      <c r="BE5" s="9">
        <f t="shared" si="17"/>
        <v>0</v>
      </c>
      <c r="BF5" s="9">
        <f t="shared" si="18"/>
        <v>1746040.6034314155</v>
      </c>
      <c r="BG5" s="9">
        <v>0</v>
      </c>
      <c r="BH5" s="9">
        <f t="shared" si="19"/>
        <v>36617590.603431419</v>
      </c>
      <c r="BI5" s="9">
        <f>36150000-AW5</f>
        <v>34871550</v>
      </c>
      <c r="BJ5" s="9">
        <f t="shared" si="20"/>
        <v>1746040.6034314155</v>
      </c>
      <c r="BK5" s="9">
        <f t="shared" si="21"/>
        <v>49980736.573826469</v>
      </c>
      <c r="BL5" s="9">
        <f>53526000*BL$10/SUM($BL$10:$BR$10)</f>
        <v>49980736.573826469</v>
      </c>
      <c r="BM5" s="9">
        <f>53526000*BM$10/SUM($BL$10:$BR$10)</f>
        <v>0</v>
      </c>
      <c r="BN5" s="9">
        <f t="shared" si="22"/>
        <v>118597.18792674896</v>
      </c>
      <c r="BO5" s="9">
        <f>53526000*BO$10/SUM($BL$10:$BR$10)</f>
        <v>118597.18792674896</v>
      </c>
      <c r="BP5" s="9">
        <f>53526000*BP$10/SUM($BL$10:$BR$10)</f>
        <v>0</v>
      </c>
      <c r="BQ5" s="9">
        <f>53526000*BQ$10/SUM($BL$10:$BR$10)</f>
        <v>3213946.2823249991</v>
      </c>
      <c r="BR5" s="9">
        <f>53526000*BR$10/SUM($BL$10:$BR$10)</f>
        <v>94122.767995033166</v>
      </c>
      <c r="BS5">
        <v>0</v>
      </c>
      <c r="BT5">
        <v>0</v>
      </c>
      <c r="BU5">
        <v>0</v>
      </c>
      <c r="BV5">
        <v>0</v>
      </c>
      <c r="BW5" s="14">
        <f t="shared" si="23"/>
        <v>0.6398743723144924</v>
      </c>
      <c r="BX5" s="9">
        <f t="shared" si="24"/>
        <v>36617590.603431419</v>
      </c>
      <c r="BY5" s="9"/>
      <c r="BZ5" s="9">
        <f t="shared" si="25"/>
        <v>433090000</v>
      </c>
      <c r="CB5" s="9">
        <f>BI5+AW5-SUM(BK5,BO5,BQ5,BR5)</f>
        <v>-17257402.812073246</v>
      </c>
      <c r="CC5" s="9"/>
      <c r="CD5" s="9">
        <f>20927000</f>
        <v>20927000</v>
      </c>
      <c r="CE5" s="9"/>
      <c r="CF5" s="9">
        <f>3206000</f>
        <v>3206000</v>
      </c>
      <c r="CG5" s="9"/>
      <c r="CH5" s="9"/>
      <c r="CI5" s="9"/>
      <c r="CJ5" s="13"/>
      <c r="CK5" s="13"/>
      <c r="CL5" s="13"/>
      <c r="CM5" s="11"/>
      <c r="CN5" s="9"/>
      <c r="CO5" s="9"/>
      <c r="CP5" s="13"/>
    </row>
    <row r="6" spans="1:94" x14ac:dyDescent="0.2">
      <c r="A6" t="s">
        <v>152</v>
      </c>
      <c r="B6">
        <v>2022</v>
      </c>
      <c r="C6" s="8">
        <f>211724251*D6/SUM($D$5:$D$7)</f>
        <v>7973936.0574759301</v>
      </c>
      <c r="D6" s="8">
        <f>5938000</f>
        <v>5938000</v>
      </c>
      <c r="E6">
        <v>0</v>
      </c>
      <c r="F6" s="8">
        <f t="shared" si="0"/>
        <v>2035936.0574759301</v>
      </c>
      <c r="G6">
        <v>0</v>
      </c>
      <c r="I6" s="9">
        <v>0</v>
      </c>
      <c r="J6" s="9">
        <v>0</v>
      </c>
      <c r="K6" s="9">
        <v>0</v>
      </c>
      <c r="L6" s="14">
        <v>6.7000000000000004E-2</v>
      </c>
      <c r="M6" s="14">
        <v>6.7000000000000004E-2</v>
      </c>
      <c r="N6" s="9">
        <f>138008000</f>
        <v>138008000</v>
      </c>
      <c r="O6" s="9">
        <f>138008000</f>
        <v>138008000</v>
      </c>
      <c r="P6">
        <v>0</v>
      </c>
      <c r="Q6" s="9">
        <f>63028000</f>
        <v>63028000</v>
      </c>
      <c r="R6" s="9">
        <f>63028000</f>
        <v>63028000</v>
      </c>
      <c r="S6">
        <v>0</v>
      </c>
      <c r="T6" s="9">
        <f>63396000</f>
        <v>63396000</v>
      </c>
      <c r="U6" s="9">
        <f>63396000</f>
        <v>63396000</v>
      </c>
      <c r="V6">
        <v>0</v>
      </c>
      <c r="W6" s="10">
        <v>-7.1800000000000003E-2</v>
      </c>
      <c r="X6" s="13">
        <f t="shared" si="1"/>
        <v>74980000</v>
      </c>
      <c r="Y6" s="13">
        <f t="shared" si="2"/>
        <v>74980000</v>
      </c>
      <c r="Z6">
        <v>0</v>
      </c>
      <c r="AA6" s="13">
        <f t="shared" si="3"/>
        <v>74612000</v>
      </c>
      <c r="AB6" s="13">
        <f t="shared" si="4"/>
        <v>74612000</v>
      </c>
      <c r="AC6">
        <v>0</v>
      </c>
      <c r="AD6" s="15">
        <f t="shared" si="5"/>
        <v>0.45669816242536665</v>
      </c>
      <c r="AE6" s="15">
        <f t="shared" si="6"/>
        <v>0.45936467451162249</v>
      </c>
      <c r="AF6" s="10">
        <v>0.12540000000000001</v>
      </c>
      <c r="AG6" s="10">
        <f t="shared" si="7"/>
        <v>0.12540000000000001</v>
      </c>
      <c r="AH6">
        <v>0</v>
      </c>
      <c r="AI6" s="10">
        <f>AG6</f>
        <v>0.12540000000000001</v>
      </c>
      <c r="AJ6">
        <f t="shared" si="8"/>
        <v>0</v>
      </c>
      <c r="AK6" s="16">
        <v>0.03</v>
      </c>
      <c r="AL6">
        <v>0</v>
      </c>
      <c r="AM6" s="10">
        <f t="shared" si="9"/>
        <v>9.5400000000000013E-2</v>
      </c>
      <c r="AN6" s="10">
        <v>0</v>
      </c>
      <c r="AO6" s="10">
        <f t="shared" si="10"/>
        <v>0.86020000000000008</v>
      </c>
      <c r="AP6" s="10">
        <v>0.76480000000000004</v>
      </c>
      <c r="AQ6" s="10">
        <v>0</v>
      </c>
      <c r="AR6" s="10">
        <v>0</v>
      </c>
      <c r="AS6" s="10">
        <v>9.9400000000000002E-2</v>
      </c>
      <c r="AT6" s="10">
        <v>0</v>
      </c>
      <c r="AU6" s="6">
        <f>AG6*D6</f>
        <v>744625.20000000007</v>
      </c>
      <c r="AV6" s="10">
        <f t="shared" si="11"/>
        <v>0</v>
      </c>
      <c r="AW6" s="13">
        <f t="shared" si="12"/>
        <v>178140</v>
      </c>
      <c r="AX6" s="17">
        <f t="shared" si="13"/>
        <v>178140</v>
      </c>
      <c r="AY6" s="17">
        <v>0</v>
      </c>
      <c r="AZ6" s="9">
        <f t="shared" si="14"/>
        <v>566485.20000000007</v>
      </c>
      <c r="BA6" s="9">
        <f>AM6*D6</f>
        <v>566485.20000000007</v>
      </c>
      <c r="BB6" s="9">
        <f>AN6*E6</f>
        <v>0</v>
      </c>
      <c r="BC6" s="9">
        <f t="shared" si="15"/>
        <v>5862374.7999999998</v>
      </c>
      <c r="BD6" s="9">
        <f t="shared" si="16"/>
        <v>5862374.7999999998</v>
      </c>
      <c r="BE6" s="9">
        <f t="shared" si="17"/>
        <v>0</v>
      </c>
      <c r="BF6" s="9">
        <f t="shared" si="18"/>
        <v>202372.04411310746</v>
      </c>
      <c r="BG6" s="9">
        <v>0</v>
      </c>
      <c r="BH6" s="9">
        <f t="shared" si="19"/>
        <v>6631232.044113107</v>
      </c>
      <c r="BI6" s="9">
        <f>6607000-AW6</f>
        <v>6428860</v>
      </c>
      <c r="BJ6" s="9">
        <f t="shared" si="20"/>
        <v>202372.04411310746</v>
      </c>
      <c r="BK6" s="9">
        <f t="shared" si="21"/>
        <v>8816614.6308349129</v>
      </c>
      <c r="BL6" s="9">
        <f>9442000*BL$10/SUM($BL$10:$BR$10)</f>
        <v>8816614.6308349129</v>
      </c>
      <c r="BM6" s="9">
        <f>9442000*BM$10/SUM($BL$10:$BR$10)</f>
        <v>0</v>
      </c>
      <c r="BN6" s="9">
        <f t="shared" si="22"/>
        <v>20920.574083704436</v>
      </c>
      <c r="BO6" s="9">
        <f>9442000*BO$10/SUM($BL$10:$BR$10)</f>
        <v>20920.574083704436</v>
      </c>
      <c r="BP6" s="9">
        <f>9442000*BP$10/SUM($BL$10:$BR$10)</f>
        <v>0</v>
      </c>
      <c r="BQ6" s="9">
        <f>9442000*BQ$10/SUM($BL$10:$BR$10)</f>
        <v>566940.94080844149</v>
      </c>
      <c r="BR6" s="9">
        <f>9442000*BR$10/SUM($BL$10:$BR$10)</f>
        <v>16603.280189237066</v>
      </c>
      <c r="BS6">
        <v>0</v>
      </c>
      <c r="BT6">
        <v>0</v>
      </c>
      <c r="BU6">
        <v>0</v>
      </c>
      <c r="BV6">
        <v>0</v>
      </c>
      <c r="BW6" s="14">
        <f t="shared" si="23"/>
        <v>0.83161339598353357</v>
      </c>
      <c r="BX6" s="9">
        <f t="shared" si="24"/>
        <v>6631232.044113107</v>
      </c>
      <c r="BY6" s="9"/>
      <c r="BZ6" s="9">
        <f t="shared" si="25"/>
        <v>74612000</v>
      </c>
      <c r="CB6" s="9">
        <f>BI6+AW6-SUM(BK6,BO6,BQ6,BR6)</f>
        <v>-2814079.4259162955</v>
      </c>
      <c r="CC6" s="9"/>
      <c r="CD6" s="9">
        <f>4152000</f>
        <v>4152000</v>
      </c>
      <c r="CE6" s="9"/>
      <c r="CF6" s="9">
        <f>585000</f>
        <v>585000</v>
      </c>
      <c r="CG6" s="9"/>
      <c r="CH6" s="9"/>
      <c r="CI6" s="9"/>
      <c r="CJ6" s="13"/>
      <c r="CK6" s="13"/>
      <c r="CL6" s="13"/>
      <c r="CM6" s="11"/>
      <c r="CN6" s="9"/>
      <c r="CO6" s="9"/>
      <c r="CP6" s="13"/>
    </row>
    <row r="7" spans="1:94" x14ac:dyDescent="0.2">
      <c r="A7" t="s">
        <v>153</v>
      </c>
      <c r="B7">
        <v>2022</v>
      </c>
      <c r="C7" s="8">
        <f>211724251*D7/SUM($D$5:$D$7)</f>
        <v>146524096.50376746</v>
      </c>
      <c r="D7" s="8">
        <f>109113000</f>
        <v>109113000</v>
      </c>
      <c r="E7">
        <v>0</v>
      </c>
      <c r="F7" s="8">
        <f t="shared" si="0"/>
        <v>37411096.503767461</v>
      </c>
      <c r="G7">
        <v>0</v>
      </c>
      <c r="I7" s="9">
        <v>0</v>
      </c>
      <c r="J7" s="9">
        <v>0</v>
      </c>
      <c r="K7" s="9">
        <v>0</v>
      </c>
      <c r="L7" s="14">
        <v>6.7000000000000004E-2</v>
      </c>
      <c r="M7" s="14">
        <v>6.7000000000000004E-2</v>
      </c>
      <c r="N7" s="9">
        <f>1545348000</f>
        <v>1545348000</v>
      </c>
      <c r="O7" s="9">
        <f>1545348000</f>
        <v>1545348000</v>
      </c>
      <c r="P7">
        <v>0</v>
      </c>
      <c r="Q7" s="9">
        <f>1018077000</f>
        <v>1018077000</v>
      </c>
      <c r="R7" s="9">
        <f>1018077000</f>
        <v>1018077000</v>
      </c>
      <c r="S7">
        <v>0</v>
      </c>
      <c r="T7" s="9">
        <f>1024029000</f>
        <v>1024029000</v>
      </c>
      <c r="U7" s="9">
        <f>1024029000</f>
        <v>1024029000</v>
      </c>
      <c r="V7">
        <v>0</v>
      </c>
      <c r="W7" s="10">
        <v>-7.1800000000000003E-2</v>
      </c>
      <c r="X7" s="13">
        <f t="shared" si="1"/>
        <v>527271000</v>
      </c>
      <c r="Y7" s="13">
        <f t="shared" si="2"/>
        <v>527271000</v>
      </c>
      <c r="Z7">
        <v>0</v>
      </c>
      <c r="AA7" s="13">
        <f t="shared" si="3"/>
        <v>521319000</v>
      </c>
      <c r="AB7" s="13">
        <f t="shared" si="4"/>
        <v>521319000</v>
      </c>
      <c r="AC7">
        <v>0</v>
      </c>
      <c r="AD7" s="15">
        <f t="shared" si="5"/>
        <v>0.65880112440692973</v>
      </c>
      <c r="AE7" s="15">
        <f t="shared" si="6"/>
        <v>0.66265268405563016</v>
      </c>
      <c r="AF7" s="10">
        <v>0.1777</v>
      </c>
      <c r="AG7" s="10">
        <f t="shared" si="7"/>
        <v>0.1777</v>
      </c>
      <c r="AH7">
        <v>0</v>
      </c>
      <c r="AI7" s="10">
        <f>AG7</f>
        <v>0.1777</v>
      </c>
      <c r="AJ7">
        <f t="shared" si="8"/>
        <v>0</v>
      </c>
      <c r="AK7" s="16">
        <v>0.03</v>
      </c>
      <c r="AL7">
        <v>0</v>
      </c>
      <c r="AM7" s="10">
        <f t="shared" si="9"/>
        <v>0.1477</v>
      </c>
      <c r="AN7" s="10">
        <v>0</v>
      </c>
      <c r="AO7" s="10">
        <f t="shared" si="10"/>
        <v>0.4829</v>
      </c>
      <c r="AP7" s="10">
        <v>0.3352</v>
      </c>
      <c r="AQ7" s="10">
        <v>0</v>
      </c>
      <c r="AR7" s="10">
        <v>0</v>
      </c>
      <c r="AS7" s="10">
        <v>0.14050000000000001</v>
      </c>
      <c r="AT7" s="10">
        <v>0</v>
      </c>
      <c r="AU7" s="6">
        <f>AG7*D7</f>
        <v>19389380.100000001</v>
      </c>
      <c r="AV7" s="10">
        <f t="shared" si="11"/>
        <v>0</v>
      </c>
      <c r="AW7" s="13">
        <f t="shared" si="12"/>
        <v>3273390</v>
      </c>
      <c r="AX7" s="9">
        <f t="shared" si="13"/>
        <v>3273390</v>
      </c>
      <c r="AY7" s="9">
        <v>0</v>
      </c>
      <c r="AZ7" s="9">
        <f t="shared" si="14"/>
        <v>16115990.1</v>
      </c>
      <c r="BA7" s="9">
        <f>AM7*D7</f>
        <v>16115990.1</v>
      </c>
      <c r="BB7" s="9">
        <f>AN7*E7</f>
        <v>0</v>
      </c>
      <c r="BC7" s="9">
        <f t="shared" si="15"/>
        <v>38467619.899999999</v>
      </c>
      <c r="BD7" s="9">
        <f t="shared" si="16"/>
        <v>38467619.899999999</v>
      </c>
      <c r="BE7" s="9">
        <f t="shared" si="17"/>
        <v>0</v>
      </c>
      <c r="BF7" s="9">
        <f t="shared" si="18"/>
        <v>5256259.0587793291</v>
      </c>
      <c r="BG7" s="9">
        <v>0</v>
      </c>
      <c r="BH7" s="9">
        <f t="shared" si="19"/>
        <v>59839869.058779329</v>
      </c>
      <c r="BI7" s="9">
        <f>57857000-AW7</f>
        <v>54583610</v>
      </c>
      <c r="BJ7" s="9">
        <f t="shared" si="20"/>
        <v>5256259.0587793291</v>
      </c>
      <c r="BK7" s="9">
        <f t="shared" si="21"/>
        <v>98833484.323881641</v>
      </c>
      <c r="BL7" s="9">
        <f>105844000*BL$10/SUM($BL$10:$BR$10)</f>
        <v>98833484.323881641</v>
      </c>
      <c r="BM7" s="9">
        <f>105844000*BM$10/SUM($BL$10:$BR$10)</f>
        <v>0</v>
      </c>
      <c r="BN7" s="9">
        <f t="shared" si="22"/>
        <v>234517.81860999917</v>
      </c>
      <c r="BO7" s="9">
        <f>105844000*BO$10/SUM($BL$10:$BR$10)</f>
        <v>234517.81860999917</v>
      </c>
      <c r="BP7" s="9">
        <f>105844000*BP$10/SUM($BL$10:$BR$10)</f>
        <v>0</v>
      </c>
      <c r="BQ7" s="9">
        <f>105844000*BQ$10/SUM($BL$10:$BR$10)</f>
        <v>6355358.7099056011</v>
      </c>
      <c r="BR7" s="9">
        <f>105844000*BR$10/SUM($BL$10:$BR$10)</f>
        <v>186121.32899275661</v>
      </c>
      <c r="BS7">
        <v>0</v>
      </c>
      <c r="BT7">
        <v>0</v>
      </c>
      <c r="BU7">
        <v>0</v>
      </c>
      <c r="BV7">
        <v>0</v>
      </c>
      <c r="BW7" s="14">
        <f t="shared" si="23"/>
        <v>0.40839609652355519</v>
      </c>
      <c r="BX7" s="9">
        <f t="shared" si="24"/>
        <v>59839869.058779329</v>
      </c>
      <c r="BY7" s="9"/>
      <c r="BZ7" s="9">
        <f t="shared" si="25"/>
        <v>521319000</v>
      </c>
      <c r="CB7" s="9">
        <f>BI7+AW7-SUM(BK7,BO7,BQ7,BR7)</f>
        <v>-47752482.181389987</v>
      </c>
      <c r="CC7" s="9"/>
      <c r="CD7" s="9">
        <f>67018000</f>
        <v>67018000</v>
      </c>
      <c r="CE7" s="9"/>
      <c r="CF7" s="9">
        <f>11191000</f>
        <v>11191000</v>
      </c>
      <c r="CG7" s="9"/>
      <c r="CH7" s="9"/>
      <c r="CI7" s="9"/>
      <c r="CJ7" s="13"/>
      <c r="CK7" s="13"/>
      <c r="CL7" s="13"/>
      <c r="CM7" s="11"/>
      <c r="CN7" s="9"/>
      <c r="CO7" s="9"/>
      <c r="CP7" s="13"/>
    </row>
    <row r="8" spans="1:94" x14ac:dyDescent="0.2">
      <c r="A8" t="s">
        <v>154</v>
      </c>
      <c r="B8">
        <v>2022</v>
      </c>
      <c r="C8" s="8">
        <v>824335420</v>
      </c>
      <c r="D8" s="8">
        <f>542652000</f>
        <v>542652000</v>
      </c>
      <c r="E8">
        <v>0</v>
      </c>
      <c r="F8" s="8">
        <f t="shared" si="0"/>
        <v>281683420</v>
      </c>
      <c r="G8">
        <v>0</v>
      </c>
      <c r="I8" s="9">
        <v>0</v>
      </c>
      <c r="J8" s="9">
        <v>0</v>
      </c>
      <c r="K8" s="9">
        <v>0</v>
      </c>
      <c r="L8" s="14">
        <v>6.7000000000000004E-2</v>
      </c>
      <c r="M8" s="14">
        <v>6.7000000000000004E-2</v>
      </c>
      <c r="N8" s="9">
        <f>6039701000</f>
        <v>6039701000</v>
      </c>
      <c r="O8" s="9">
        <f>6039701000</f>
        <v>6039701000</v>
      </c>
      <c r="P8">
        <v>0</v>
      </c>
      <c r="Q8" s="9">
        <f>3391319000</f>
        <v>3391319000</v>
      </c>
      <c r="R8" s="9">
        <f>3391319000</f>
        <v>3391319000</v>
      </c>
      <c r="S8">
        <v>0</v>
      </c>
      <c r="T8" s="9">
        <f>3411145000</f>
        <v>3411145000</v>
      </c>
      <c r="U8" s="9">
        <f>3411145000</f>
        <v>3411145000</v>
      </c>
      <c r="V8">
        <v>0</v>
      </c>
      <c r="W8" s="10">
        <v>-7.1800000000000003E-2</v>
      </c>
      <c r="X8" s="13">
        <f t="shared" si="1"/>
        <v>2648382000</v>
      </c>
      <c r="Y8" s="13">
        <f t="shared" si="2"/>
        <v>2648382000</v>
      </c>
      <c r="Z8">
        <v>0</v>
      </c>
      <c r="AA8" s="13">
        <f t="shared" si="3"/>
        <v>2628556000</v>
      </c>
      <c r="AB8" s="13">
        <f t="shared" si="4"/>
        <v>2628556000</v>
      </c>
      <c r="AC8">
        <v>0</v>
      </c>
      <c r="AD8" s="15">
        <f t="shared" si="5"/>
        <v>0.56150445195879728</v>
      </c>
      <c r="AE8" s="15">
        <f t="shared" si="6"/>
        <v>0.56478706479012786</v>
      </c>
      <c r="AF8" s="10">
        <v>0.1086</v>
      </c>
      <c r="AG8" s="10">
        <f t="shared" si="7"/>
        <v>0.1086</v>
      </c>
      <c r="AH8">
        <v>0</v>
      </c>
      <c r="AI8" s="10">
        <f>AG8</f>
        <v>0.1086</v>
      </c>
      <c r="AJ8">
        <f t="shared" si="8"/>
        <v>0</v>
      </c>
      <c r="AK8" s="16">
        <v>0.03</v>
      </c>
      <c r="AL8">
        <v>0</v>
      </c>
      <c r="AM8" s="10">
        <f t="shared" si="9"/>
        <v>7.8600000000000003E-2</v>
      </c>
      <c r="AN8" s="10">
        <v>0</v>
      </c>
      <c r="AO8" s="10">
        <f t="shared" si="10"/>
        <v>0.41389999999999999</v>
      </c>
      <c r="AP8" s="10">
        <v>0.33529999999999999</v>
      </c>
      <c r="AQ8" s="10">
        <v>0</v>
      </c>
      <c r="AR8" s="10">
        <v>0</v>
      </c>
      <c r="AS8" s="10">
        <v>7.9799999999999996E-2</v>
      </c>
      <c r="AT8" s="10">
        <v>0</v>
      </c>
      <c r="AU8" s="6">
        <f>AG8*D8</f>
        <v>58932007.200000003</v>
      </c>
      <c r="AV8" s="10">
        <f t="shared" si="11"/>
        <v>0</v>
      </c>
      <c r="AW8" s="13">
        <f t="shared" si="12"/>
        <v>16279560</v>
      </c>
      <c r="AX8" s="9">
        <f t="shared" si="13"/>
        <v>16279560</v>
      </c>
      <c r="AY8" s="9">
        <v>0</v>
      </c>
      <c r="AZ8" s="9">
        <f t="shared" si="14"/>
        <v>42652447.200000003</v>
      </c>
      <c r="BA8" s="9">
        <f>AM8*D8</f>
        <v>42652447.200000003</v>
      </c>
      <c r="BB8" s="9">
        <f>AN8*E8</f>
        <v>0</v>
      </c>
      <c r="BC8" s="9">
        <f t="shared" si="15"/>
        <v>231473992.80000001</v>
      </c>
      <c r="BD8" s="9">
        <f t="shared" si="16"/>
        <v>231473992.80000001</v>
      </c>
      <c r="BE8" s="9">
        <f t="shared" si="17"/>
        <v>0</v>
      </c>
      <c r="BF8" s="9">
        <f t="shared" si="18"/>
        <v>22478336.915999997</v>
      </c>
      <c r="BG8" s="9">
        <v>0</v>
      </c>
      <c r="BH8" s="9">
        <f t="shared" si="19"/>
        <v>296604776.91600001</v>
      </c>
      <c r="BI8" s="9">
        <f>290406000-AW8</f>
        <v>274126440</v>
      </c>
      <c r="BJ8" s="9">
        <f t="shared" si="20"/>
        <v>22478336.915999997</v>
      </c>
      <c r="BK8" s="9">
        <f t="shared" si="21"/>
        <v>316419540.37950033</v>
      </c>
      <c r="BL8" s="9">
        <f>338864000*BL$10/SUM($BL$10:$BR$10)</f>
        <v>316419540.37950033</v>
      </c>
      <c r="BM8" s="9">
        <f>338864000*BM$10/SUM($BL$10:$BR$10)</f>
        <v>0</v>
      </c>
      <c r="BN8" s="9">
        <f t="shared" si="22"/>
        <v>750818.62066303962</v>
      </c>
      <c r="BO8" s="9">
        <f>338864000*BO$10/SUM($BL$10:$BR$10)</f>
        <v>750818.62066303962</v>
      </c>
      <c r="BP8" s="9">
        <f>338864000*BP$10/SUM($BL$10:$BR$10)</f>
        <v>0</v>
      </c>
      <c r="BQ8" s="9">
        <f>338864000*BQ$10/SUM($BL$10:$BR$10)</f>
        <v>20346947.147438224</v>
      </c>
      <c r="BR8" s="9">
        <f>338864000*BR$10/SUM($BL$10:$BR$10)</f>
        <v>595875.23173539806</v>
      </c>
      <c r="BS8">
        <v>0</v>
      </c>
      <c r="BT8">
        <v>0</v>
      </c>
      <c r="BU8">
        <v>0</v>
      </c>
      <c r="BV8">
        <v>0</v>
      </c>
      <c r="BW8" s="14">
        <f t="shared" si="23"/>
        <v>0.35981078784167736</v>
      </c>
      <c r="BX8" s="9">
        <f t="shared" si="24"/>
        <v>296604776.91600001</v>
      </c>
      <c r="BY8" s="9"/>
      <c r="BZ8" s="9">
        <f t="shared" si="25"/>
        <v>2628556000</v>
      </c>
      <c r="CB8" s="9">
        <f>BI8+AW8-SUM(BK8,BO8,BQ8,BR8)</f>
        <v>-47707181.379337013</v>
      </c>
      <c r="CC8" s="9"/>
      <c r="CD8" s="9">
        <f>219973000</f>
        <v>219973000</v>
      </c>
      <c r="CE8" s="9"/>
      <c r="CF8" s="9">
        <f>31897000</f>
        <v>31897000</v>
      </c>
      <c r="CG8" s="9"/>
      <c r="CH8" s="9"/>
      <c r="CI8" s="9"/>
      <c r="CJ8" s="13"/>
      <c r="CK8" s="13"/>
      <c r="CL8" s="13"/>
      <c r="CM8" s="11"/>
      <c r="CN8" s="9"/>
      <c r="CO8" s="9"/>
      <c r="CP8" s="13"/>
    </row>
    <row r="9" spans="1:94" x14ac:dyDescent="0.2">
      <c r="A9" t="s">
        <v>155</v>
      </c>
      <c r="B9">
        <v>2022</v>
      </c>
      <c r="C9" s="8">
        <f>2396438000</f>
        <v>2396438000</v>
      </c>
      <c r="D9" s="8">
        <f>2396438000</f>
        <v>2396438000</v>
      </c>
      <c r="E9">
        <v>0</v>
      </c>
      <c r="F9" s="8">
        <f t="shared" si="0"/>
        <v>0</v>
      </c>
      <c r="G9">
        <v>0</v>
      </c>
      <c r="I9" s="9">
        <v>0</v>
      </c>
      <c r="J9" s="9">
        <v>0</v>
      </c>
      <c r="K9" s="9">
        <v>0</v>
      </c>
      <c r="L9" s="14">
        <v>6.7000000000000004E-2</v>
      </c>
      <c r="M9" s="14">
        <v>6.7000000000000004E-2</v>
      </c>
      <c r="N9" s="9">
        <f>18213388000</f>
        <v>18213388000</v>
      </c>
      <c r="O9" s="9">
        <f>18213388000</f>
        <v>18213388000</v>
      </c>
      <c r="P9">
        <v>0</v>
      </c>
      <c r="Q9" s="9">
        <f>15009653000</f>
        <v>15009653000</v>
      </c>
      <c r="R9" s="9">
        <f>15009653000</f>
        <v>15009653000</v>
      </c>
      <c r="S9">
        <v>0</v>
      </c>
      <c r="T9" s="9">
        <f>15097402000</f>
        <v>15097402000</v>
      </c>
      <c r="U9" s="9">
        <f>15097402000</f>
        <v>15097402000</v>
      </c>
      <c r="V9">
        <v>0</v>
      </c>
      <c r="W9" s="10">
        <v>-7.1800000000000003E-2</v>
      </c>
      <c r="X9" s="13">
        <f t="shared" si="1"/>
        <v>3203735000</v>
      </c>
      <c r="Y9" s="13">
        <f t="shared" si="2"/>
        <v>3203735000</v>
      </c>
      <c r="Z9">
        <v>0</v>
      </c>
      <c r="AA9" s="13">
        <f t="shared" si="3"/>
        <v>3115986000</v>
      </c>
      <c r="AB9" s="13">
        <f t="shared" si="4"/>
        <v>3115986000</v>
      </c>
      <c r="AC9">
        <v>0</v>
      </c>
      <c r="AD9" s="15">
        <f t="shared" si="5"/>
        <v>0.82409999721084293</v>
      </c>
      <c r="AE9" s="15">
        <f t="shared" si="6"/>
        <v>0.82891782682057835</v>
      </c>
      <c r="AF9" s="10">
        <f>AF10</f>
        <v>0.11175817686265885</v>
      </c>
      <c r="AG9" s="10">
        <f t="shared" si="7"/>
        <v>0.11175817686265885</v>
      </c>
      <c r="AH9">
        <v>0</v>
      </c>
      <c r="AI9" s="10">
        <f>AG9</f>
        <v>0.11175817686265885</v>
      </c>
      <c r="AJ9">
        <f t="shared" si="8"/>
        <v>0</v>
      </c>
      <c r="AK9" s="16">
        <v>0.03</v>
      </c>
      <c r="AL9">
        <v>0</v>
      </c>
      <c r="AM9" s="10">
        <f t="shared" si="9"/>
        <v>8.1758176862658849E-2</v>
      </c>
      <c r="AN9" s="10">
        <v>0</v>
      </c>
      <c r="AO9" s="10">
        <f t="shared" si="10"/>
        <v>0.18185817686265884</v>
      </c>
      <c r="AP9" s="10">
        <v>0.10009999999999999</v>
      </c>
      <c r="AQ9" s="10">
        <v>0</v>
      </c>
      <c r="AR9" s="10">
        <v>0</v>
      </c>
      <c r="AS9" s="10">
        <v>0</v>
      </c>
      <c r="AT9" s="10">
        <v>0</v>
      </c>
      <c r="AU9" s="6">
        <f>AG9*D9</f>
        <v>267821541.84439644</v>
      </c>
      <c r="AV9" s="10">
        <f t="shared" si="11"/>
        <v>0</v>
      </c>
      <c r="AW9" s="13">
        <f t="shared" si="12"/>
        <v>71893140</v>
      </c>
      <c r="AX9" s="9">
        <f t="shared" si="13"/>
        <v>71893140</v>
      </c>
      <c r="AY9" s="9">
        <v>0</v>
      </c>
      <c r="AZ9" s="9">
        <f t="shared" si="14"/>
        <v>195928401.84439644</v>
      </c>
      <c r="BA9" s="9">
        <f>AM9*D9</f>
        <v>195928401.84439644</v>
      </c>
      <c r="BB9" s="9">
        <f>AN9*E9</f>
        <v>0</v>
      </c>
      <c r="BC9" s="9">
        <f t="shared" si="15"/>
        <v>150027458.15560356</v>
      </c>
      <c r="BD9" s="9">
        <f t="shared" si="16"/>
        <v>150027458.15560356</v>
      </c>
      <c r="BE9" s="9">
        <f t="shared" si="17"/>
        <v>0</v>
      </c>
      <c r="BF9" s="9">
        <f t="shared" si="18"/>
        <v>0</v>
      </c>
      <c r="BG9" s="9">
        <v>0</v>
      </c>
      <c r="BH9" s="9">
        <f t="shared" si="19"/>
        <v>345955860</v>
      </c>
      <c r="BI9" s="9">
        <f>417849000-AW9</f>
        <v>345955860</v>
      </c>
      <c r="BJ9" s="9">
        <f t="shared" si="20"/>
        <v>0</v>
      </c>
      <c r="BK9" s="9">
        <f t="shared" si="21"/>
        <v>800797363.63101256</v>
      </c>
      <c r="BL9" s="9">
        <f>857600000*BL$10/SUM($BL$10:$BR$10)</f>
        <v>800797363.63101256</v>
      </c>
      <c r="BM9" s="9">
        <f>857600000*BM$10/SUM($BL$10:$BR$10)</f>
        <v>0</v>
      </c>
      <c r="BN9" s="9">
        <f t="shared" si="22"/>
        <v>1900178.3874375052</v>
      </c>
      <c r="BO9" s="9">
        <f>857600000*BO$10/SUM($BL$10:$BR$10)</f>
        <v>1900178.3874375052</v>
      </c>
      <c r="BP9" s="9">
        <f>857600000*BP$10/SUM($BL$10:$BR$10)</f>
        <v>0</v>
      </c>
      <c r="BQ9" s="9">
        <f>857600000*BQ$10/SUM($BL$10:$BR$10)</f>
        <v>51494233.301982574</v>
      </c>
      <c r="BR9" s="9">
        <f>857600000*BR$10/SUM($BL$10:$BR$10)</f>
        <v>1508046.2921298144</v>
      </c>
      <c r="BS9">
        <v>0</v>
      </c>
      <c r="BT9">
        <v>0</v>
      </c>
      <c r="BU9">
        <v>0</v>
      </c>
      <c r="BV9">
        <v>0</v>
      </c>
      <c r="BW9" s="14">
        <f t="shared" si="23"/>
        <v>0.14436253305948246</v>
      </c>
      <c r="BX9" s="9">
        <f t="shared" si="24"/>
        <v>345955860</v>
      </c>
      <c r="BY9" s="9"/>
      <c r="BZ9" s="9">
        <f t="shared" si="25"/>
        <v>3115986000</v>
      </c>
      <c r="CB9" s="9">
        <f>BI9+AW9-SUM(BK9,BO9,BQ9,BR9)</f>
        <v>-437850821.6125623</v>
      </c>
      <c r="CC9" s="9"/>
      <c r="CD9" s="9">
        <f>1053560000</f>
        <v>1053560000</v>
      </c>
      <c r="CE9" s="9"/>
      <c r="CF9" s="9">
        <f>-(CF8+CF7+CF6+CF5+CF4+CF3+CF2)</f>
        <v>-976495000</v>
      </c>
      <c r="CG9" s="9"/>
      <c r="CH9" s="9"/>
      <c r="CI9" s="9"/>
      <c r="CJ9" s="13"/>
      <c r="CK9" s="13"/>
      <c r="CL9" s="13"/>
      <c r="CM9" s="11"/>
      <c r="CN9" s="9"/>
      <c r="CO9" s="9"/>
      <c r="CP9" s="13"/>
    </row>
    <row r="10" spans="1:94" x14ac:dyDescent="0.2">
      <c r="A10" t="s">
        <v>156</v>
      </c>
      <c r="B10">
        <v>2022</v>
      </c>
      <c r="C10" s="9">
        <f t="shared" ref="C10:K10" si="26">C8+C7+C6+C5+C4+C3+C2+C9</f>
        <v>38015971963</v>
      </c>
      <c r="D10" s="9">
        <f t="shared" si="26"/>
        <v>26618815000</v>
      </c>
      <c r="E10" s="9">
        <f t="shared" si="26"/>
        <v>0</v>
      </c>
      <c r="F10" s="9">
        <f t="shared" si="26"/>
        <v>11397156963</v>
      </c>
      <c r="G10" s="9">
        <f t="shared" si="26"/>
        <v>0</v>
      </c>
      <c r="H10" s="9">
        <f t="shared" si="26"/>
        <v>0</v>
      </c>
      <c r="I10" s="9">
        <f t="shared" si="26"/>
        <v>0</v>
      </c>
      <c r="J10" s="9">
        <f t="shared" si="26"/>
        <v>0</v>
      </c>
      <c r="K10" s="9">
        <f t="shared" si="26"/>
        <v>0</v>
      </c>
      <c r="L10" s="14">
        <v>6.7000000000000004E-2</v>
      </c>
      <c r="M10" s="14">
        <v>6.7000000000000004E-2</v>
      </c>
      <c r="N10" s="9">
        <f t="shared" ref="N10:V10" si="27">N8+N7+N6+N5+N4+N3+N2+N9</f>
        <v>217434441000</v>
      </c>
      <c r="O10" s="9">
        <f t="shared" si="27"/>
        <v>217434441000</v>
      </c>
      <c r="P10" s="9">
        <f t="shared" si="27"/>
        <v>0</v>
      </c>
      <c r="Q10" s="9">
        <f t="shared" si="27"/>
        <v>179178895000</v>
      </c>
      <c r="R10" s="9">
        <f t="shared" si="27"/>
        <v>179178895000</v>
      </c>
      <c r="S10" s="9">
        <f t="shared" si="27"/>
        <v>0</v>
      </c>
      <c r="T10" s="9">
        <f t="shared" si="27"/>
        <v>180226405000</v>
      </c>
      <c r="U10" s="9">
        <f t="shared" si="27"/>
        <v>180226405000</v>
      </c>
      <c r="V10" s="9">
        <f t="shared" si="27"/>
        <v>0</v>
      </c>
      <c r="W10" s="10">
        <f>W2</f>
        <v>-7.1800000000000003E-2</v>
      </c>
      <c r="X10" s="9">
        <f t="shared" ref="X10:AC10" si="28">X8+X7+X6+X5+X4+X3+X2+X9</f>
        <v>38255546000</v>
      </c>
      <c r="Y10" s="9">
        <f t="shared" si="28"/>
        <v>38255546000</v>
      </c>
      <c r="Z10" s="9">
        <f t="shared" si="28"/>
        <v>0</v>
      </c>
      <c r="AA10" s="9">
        <f t="shared" si="28"/>
        <v>37208036000</v>
      </c>
      <c r="AB10" s="9">
        <f t="shared" si="28"/>
        <v>37208036000</v>
      </c>
      <c r="AC10" s="9">
        <f t="shared" si="28"/>
        <v>0</v>
      </c>
      <c r="AD10" s="15">
        <f t="shared" si="5"/>
        <v>0.8240594000469319</v>
      </c>
      <c r="AE10" s="15">
        <f t="shared" si="6"/>
        <v>0.8288769900992824</v>
      </c>
      <c r="AF10" s="14">
        <f>SUMPRODUCT(AF2:AF8,D2:D8)/SUM(D2:D8)</f>
        <v>0.11175817686265885</v>
      </c>
      <c r="AG10" s="10">
        <f t="shared" si="7"/>
        <v>0.11175817686265885</v>
      </c>
      <c r="AH10">
        <v>0</v>
      </c>
      <c r="AI10" s="10">
        <f>AG10</f>
        <v>0.11175817686265885</v>
      </c>
      <c r="AJ10">
        <f t="shared" si="8"/>
        <v>0</v>
      </c>
      <c r="AK10" s="16">
        <v>0.03</v>
      </c>
      <c r="AL10">
        <v>0</v>
      </c>
      <c r="AM10" s="10">
        <f t="shared" si="9"/>
        <v>8.1758176862658849E-2</v>
      </c>
      <c r="AN10" s="10">
        <v>0</v>
      </c>
      <c r="AO10" s="10">
        <f t="shared" si="10"/>
        <v>0.16405817686265883</v>
      </c>
      <c r="AP10" s="14">
        <v>8.2299999999999998E-2</v>
      </c>
      <c r="AQ10" s="16">
        <v>0</v>
      </c>
      <c r="AR10" s="16">
        <v>0</v>
      </c>
      <c r="AS10" s="10">
        <f>SUMPRODUCT(AS2:AS9,F2:F9)/SUM(F2:F9)</f>
        <v>7.4079918021983993E-2</v>
      </c>
      <c r="AT10" s="10">
        <v>0</v>
      </c>
      <c r="AU10" s="6">
        <f>AG10*D10</f>
        <v>2974870234.6443963</v>
      </c>
      <c r="AV10" s="10">
        <f t="shared" si="11"/>
        <v>0</v>
      </c>
      <c r="AW10" s="9">
        <v>763674943</v>
      </c>
      <c r="AX10" s="9">
        <f t="shared" ref="AW10:BK10" si="29">AX8+AX7+AX6+AX5+AX4+AX3+AX2+AX9</f>
        <v>798564450</v>
      </c>
      <c r="AY10" s="9">
        <f t="shared" si="29"/>
        <v>0</v>
      </c>
      <c r="AZ10" s="9">
        <f t="shared" si="29"/>
        <v>2176305784.6443963</v>
      </c>
      <c r="BA10" s="9">
        <f t="shared" si="29"/>
        <v>2176305784.6443963</v>
      </c>
      <c r="BB10" s="9">
        <f t="shared" si="29"/>
        <v>0</v>
      </c>
      <c r="BC10" s="9">
        <f t="shared" si="29"/>
        <v>2173462765.3556037</v>
      </c>
      <c r="BD10" s="9">
        <f t="shared" si="29"/>
        <v>2173462765.3556037</v>
      </c>
      <c r="BE10" s="9">
        <f t="shared" si="29"/>
        <v>0</v>
      </c>
      <c r="BF10" s="9">
        <f t="shared" si="18"/>
        <v>844300453.50272405</v>
      </c>
      <c r="BG10" s="9">
        <v>0</v>
      </c>
      <c r="BH10" s="9">
        <f t="shared" si="19"/>
        <v>5194069003.5027237</v>
      </c>
      <c r="BI10" s="9">
        <f t="shared" si="29"/>
        <v>4349768550</v>
      </c>
      <c r="BJ10" s="9">
        <f t="shared" si="20"/>
        <v>844300453.50272405</v>
      </c>
      <c r="BK10" s="9">
        <f>BL10</f>
        <v>11944986866</v>
      </c>
      <c r="BL10" s="9">
        <f>11944986866</f>
        <v>11944986866</v>
      </c>
      <c r="BM10" s="9">
        <v>0</v>
      </c>
      <c r="BN10" s="9">
        <f t="shared" si="22"/>
        <v>28343757</v>
      </c>
      <c r="BO10" s="9">
        <f>28343757</f>
        <v>28343757</v>
      </c>
      <c r="BP10" s="9">
        <v>0</v>
      </c>
      <c r="BQ10" s="9">
        <f>768106850</f>
        <v>768106850</v>
      </c>
      <c r="BR10" s="9">
        <f>22494571</f>
        <v>22494571</v>
      </c>
      <c r="BS10">
        <v>0</v>
      </c>
      <c r="BT10">
        <v>0</v>
      </c>
      <c r="BU10">
        <v>0</v>
      </c>
      <c r="BV10">
        <v>0</v>
      </c>
      <c r="BW10" s="14">
        <f t="shared" si="23"/>
        <v>0.13662859938338501</v>
      </c>
      <c r="BX10" s="9">
        <f t="shared" si="24"/>
        <v>5194069003.5027237</v>
      </c>
      <c r="BY10" s="9"/>
      <c r="BZ10" s="9">
        <f t="shared" si="25"/>
        <v>37208036000</v>
      </c>
      <c r="CB10" s="9">
        <f>BI10+AW10-SUM(BK10,BO10,BQ10,BR10)</f>
        <v>-7650488551</v>
      </c>
      <c r="CC10" s="9">
        <f>174898452216*6.8%+CB10*6.8%/2</f>
        <v>11632978139.954002</v>
      </c>
      <c r="CD10" s="9">
        <f>CD8+CD7+CD6+CD5+CD4+CD3+CD2+CD9</f>
        <v>11896042000</v>
      </c>
      <c r="CE10" s="9">
        <f>174898452216+CB10+CC10</f>
        <v>178880941804.95401</v>
      </c>
      <c r="CF10" s="9">
        <f>0</f>
        <v>0</v>
      </c>
      <c r="CG10" s="9"/>
      <c r="CH10" s="9"/>
      <c r="CI10" s="9"/>
    </row>
    <row r="11" spans="1:94" x14ac:dyDescent="0.2">
      <c r="C11" s="8"/>
    </row>
    <row r="12" spans="1:94" x14ac:dyDescent="0.2">
      <c r="AF12" s="2"/>
      <c r="AU12" s="13"/>
      <c r="BL12" s="13"/>
      <c r="BO12" s="28"/>
      <c r="BQ12" s="13"/>
      <c r="BR12" s="13"/>
      <c r="BS12" s="13"/>
    </row>
    <row r="13" spans="1:94" x14ac:dyDescent="0.2">
      <c r="C13" s="8"/>
      <c r="D13" s="8"/>
      <c r="BJ13" s="13"/>
      <c r="BO13" s="13"/>
      <c r="BR13" s="13"/>
      <c r="CB13" s="13"/>
      <c r="CD13" s="13"/>
    </row>
    <row r="14" spans="1:94" x14ac:dyDescent="0.2">
      <c r="BE14" s="8"/>
      <c r="BF14" s="8"/>
      <c r="BG14" s="8"/>
      <c r="BH14" s="8"/>
      <c r="CD14" s="13"/>
    </row>
    <row r="15" spans="1:94" x14ac:dyDescent="0.2">
      <c r="C15" s="8"/>
      <c r="F15" s="8"/>
      <c r="AX15" s="9"/>
    </row>
    <row r="16" spans="1:94" x14ac:dyDescent="0.2">
      <c r="C16" s="8"/>
      <c r="BI16" s="14"/>
      <c r="BJ16" s="14"/>
      <c r="BX16" s="14"/>
      <c r="BY16" s="14"/>
      <c r="BZ16" s="14"/>
      <c r="CB16" s="14"/>
      <c r="CC16" s="14"/>
      <c r="CD16" s="14"/>
      <c r="CE16" s="14"/>
      <c r="CF16" s="14"/>
      <c r="CG16" s="14"/>
      <c r="CH16" s="14"/>
      <c r="CI16" s="14"/>
    </row>
    <row r="17" spans="3:79" x14ac:dyDescent="0.2">
      <c r="C17" s="8"/>
      <c r="BE17" s="8"/>
      <c r="BF17" s="8"/>
      <c r="BG17" s="8"/>
      <c r="BH17" s="8"/>
    </row>
    <row r="18" spans="3:79" x14ac:dyDescent="0.2">
      <c r="C18" s="8"/>
      <c r="CA18" s="8"/>
    </row>
    <row r="19" spans="3:79" x14ac:dyDescent="0.2">
      <c r="C19" s="8"/>
      <c r="CA19" s="8"/>
    </row>
    <row r="20" spans="3:79" x14ac:dyDescent="0.2">
      <c r="C20" s="8"/>
      <c r="BE20" s="9"/>
      <c r="BF20" s="9"/>
      <c r="BG20" s="9"/>
      <c r="BH20" s="9"/>
      <c r="CA20" s="8"/>
    </row>
    <row r="23" spans="3:79" x14ac:dyDescent="0.2">
      <c r="BE23" s="14"/>
      <c r="BF23" s="14"/>
      <c r="BG23" s="14"/>
      <c r="BH23" s="14"/>
    </row>
    <row r="25" spans="3:79" x14ac:dyDescent="0.2">
      <c r="BE25" s="13"/>
      <c r="BF25" s="13"/>
      <c r="BG25" s="13"/>
      <c r="BH25" s="1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8719-2F9A-FA4B-94DB-C5281945437C}">
  <sheetPr>
    <tabColor rgb="FFFFFF00"/>
  </sheetPr>
  <dimension ref="A1:G32"/>
  <sheetViews>
    <sheetView workbookViewId="0">
      <selection sqref="A1:G32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0.06</v>
      </c>
      <c r="C2" s="2">
        <v>0.06</v>
      </c>
      <c r="D2" s="2">
        <v>0.06</v>
      </c>
      <c r="E2" s="2">
        <v>0.06</v>
      </c>
      <c r="F2" s="2">
        <v>0.06</v>
      </c>
      <c r="G2" s="2">
        <v>0.06</v>
      </c>
    </row>
    <row r="3" spans="1:7" x14ac:dyDescent="0.2">
      <c r="A3">
        <v>1</v>
      </c>
      <c r="B3" s="2">
        <v>7.0000000000000007E-2</v>
      </c>
      <c r="C3" s="2">
        <v>7.0000000000000007E-2</v>
      </c>
      <c r="D3" s="2">
        <v>7.0000000000000007E-2</v>
      </c>
      <c r="E3" s="2">
        <v>7.0000000000000007E-2</v>
      </c>
      <c r="F3" s="2">
        <v>7.0000000000000007E-2</v>
      </c>
      <c r="G3" s="2">
        <v>7.0000000000000007E-2</v>
      </c>
    </row>
    <row r="4" spans="1:7" x14ac:dyDescent="0.2">
      <c r="A4">
        <v>2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</row>
    <row r="5" spans="1:7" x14ac:dyDescent="0.2">
      <c r="A5">
        <v>3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</row>
    <row r="6" spans="1:7" x14ac:dyDescent="0.2">
      <c r="A6">
        <v>4</v>
      </c>
      <c r="B6" s="2">
        <v>0.1</v>
      </c>
      <c r="C6" s="2">
        <v>0.1</v>
      </c>
      <c r="D6" s="2">
        <v>0.1</v>
      </c>
      <c r="E6" s="2">
        <v>0.1</v>
      </c>
      <c r="F6" s="2">
        <v>0.1</v>
      </c>
      <c r="G6" s="2">
        <v>0.1</v>
      </c>
    </row>
    <row r="7" spans="1:7" x14ac:dyDescent="0.2">
      <c r="A7">
        <v>5</v>
      </c>
      <c r="B7" s="2">
        <v>0.09</v>
      </c>
      <c r="C7" s="2">
        <v>0.09</v>
      </c>
      <c r="D7" s="2">
        <v>0.09</v>
      </c>
      <c r="E7" s="2">
        <v>0.09</v>
      </c>
      <c r="F7" s="2">
        <v>0.09</v>
      </c>
      <c r="G7" s="2">
        <v>0.09</v>
      </c>
    </row>
    <row r="8" spans="1:7" x14ac:dyDescent="0.2">
      <c r="A8">
        <v>6</v>
      </c>
      <c r="B8" s="2">
        <v>0.09</v>
      </c>
      <c r="C8" s="2">
        <v>0.09</v>
      </c>
      <c r="D8" s="2">
        <v>0.09</v>
      </c>
      <c r="E8" s="2">
        <v>0.09</v>
      </c>
      <c r="F8" s="2">
        <v>0.09</v>
      </c>
      <c r="G8" s="2">
        <v>0.09</v>
      </c>
    </row>
    <row r="9" spans="1:7" x14ac:dyDescent="0.2">
      <c r="A9">
        <v>7</v>
      </c>
      <c r="B9" s="2">
        <v>7.0000000000000007E-2</v>
      </c>
      <c r="C9" s="2">
        <v>7.0000000000000007E-2</v>
      </c>
      <c r="D9" s="2">
        <v>7.0000000000000007E-2</v>
      </c>
      <c r="E9" s="2">
        <v>7.0000000000000007E-2</v>
      </c>
      <c r="F9" s="2">
        <v>7.0000000000000007E-2</v>
      </c>
      <c r="G9" s="2">
        <v>7.0000000000000007E-2</v>
      </c>
    </row>
    <row r="10" spans="1:7" x14ac:dyDescent="0.2">
      <c r="A10">
        <v>8</v>
      </c>
      <c r="B10" s="2">
        <v>0.06</v>
      </c>
      <c r="C10" s="2">
        <v>0.06</v>
      </c>
      <c r="D10" s="2">
        <v>0.06</v>
      </c>
      <c r="E10" s="2">
        <v>0.06</v>
      </c>
      <c r="F10" s="2">
        <v>0.06</v>
      </c>
      <c r="G10" s="2">
        <v>0.06</v>
      </c>
    </row>
    <row r="11" spans="1:7" x14ac:dyDescent="0.2">
      <c r="A11">
        <v>9</v>
      </c>
      <c r="B11" s="2">
        <v>0.06</v>
      </c>
      <c r="C11" s="2">
        <v>0.06</v>
      </c>
      <c r="D11" s="2">
        <v>0.06</v>
      </c>
      <c r="E11" s="2">
        <v>0.06</v>
      </c>
      <c r="F11" s="2">
        <v>0.06</v>
      </c>
      <c r="G11" s="2">
        <v>0.06</v>
      </c>
    </row>
    <row r="12" spans="1:7" x14ac:dyDescent="0.2">
      <c r="A12">
        <v>10</v>
      </c>
      <c r="B12" s="2">
        <v>0.06</v>
      </c>
      <c r="C12" s="2">
        <v>0.06</v>
      </c>
      <c r="D12" s="2">
        <v>0.06</v>
      </c>
      <c r="E12" s="2">
        <v>0.06</v>
      </c>
      <c r="F12" s="2">
        <v>0.06</v>
      </c>
      <c r="G12" s="2">
        <v>0.06</v>
      </c>
    </row>
    <row r="13" spans="1:7" x14ac:dyDescent="0.2">
      <c r="A13">
        <v>11</v>
      </c>
      <c r="B13" s="2">
        <v>0.04</v>
      </c>
      <c r="C13" s="2">
        <v>0.04</v>
      </c>
      <c r="D13" s="2">
        <v>0.04</v>
      </c>
      <c r="E13" s="2">
        <v>0.04</v>
      </c>
      <c r="F13" s="2">
        <v>0.04</v>
      </c>
      <c r="G13" s="2">
        <v>0.04</v>
      </c>
    </row>
    <row r="14" spans="1:7" x14ac:dyDescent="0.2">
      <c r="A14">
        <v>12</v>
      </c>
      <c r="B14" s="2">
        <v>0.04</v>
      </c>
      <c r="C14" s="2">
        <v>0.04</v>
      </c>
      <c r="D14" s="2">
        <v>0.04</v>
      </c>
      <c r="E14" s="2">
        <v>0.04</v>
      </c>
      <c r="F14" s="2">
        <v>0.04</v>
      </c>
      <c r="G14" s="2">
        <v>0.04</v>
      </c>
    </row>
    <row r="15" spans="1:7" x14ac:dyDescent="0.2">
      <c r="A15">
        <v>13</v>
      </c>
      <c r="B15" s="2">
        <v>0.03</v>
      </c>
      <c r="C15" s="2">
        <v>0.03</v>
      </c>
      <c r="D15" s="2">
        <v>0.03</v>
      </c>
      <c r="E15" s="2">
        <v>0.03</v>
      </c>
      <c r="F15" s="2">
        <v>0.03</v>
      </c>
      <c r="G15" s="2">
        <v>0.03</v>
      </c>
    </row>
    <row r="16" spans="1:7" x14ac:dyDescent="0.2">
      <c r="A16">
        <v>14</v>
      </c>
      <c r="B16" s="2">
        <v>0.03</v>
      </c>
      <c r="C16" s="2">
        <v>0.03</v>
      </c>
      <c r="D16" s="2">
        <v>0.03</v>
      </c>
      <c r="E16" s="2">
        <v>0.03</v>
      </c>
      <c r="F16" s="2">
        <v>0.03</v>
      </c>
      <c r="G16" s="2">
        <v>0.03</v>
      </c>
    </row>
    <row r="17" spans="1:7" x14ac:dyDescent="0.2">
      <c r="A17">
        <v>15</v>
      </c>
      <c r="B17" s="2">
        <v>0.02</v>
      </c>
      <c r="C17" s="2">
        <v>0.02</v>
      </c>
      <c r="D17" s="2">
        <v>0.02</v>
      </c>
      <c r="E17" s="2">
        <v>0.02</v>
      </c>
      <c r="F17" s="2">
        <v>0.02</v>
      </c>
      <c r="G17" s="2">
        <v>0.02</v>
      </c>
    </row>
    <row r="18" spans="1:7" x14ac:dyDescent="0.2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0.02</v>
      </c>
      <c r="G18" s="2">
        <v>0.02</v>
      </c>
    </row>
    <row r="19" spans="1:7" x14ac:dyDescent="0.2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2">
      <c r="A20">
        <v>18</v>
      </c>
      <c r="B20" s="2">
        <v>0.02</v>
      </c>
      <c r="C20" s="2">
        <v>0.02</v>
      </c>
      <c r="D20" s="2">
        <v>0.02</v>
      </c>
      <c r="E20" s="2">
        <v>0.02</v>
      </c>
      <c r="F20" s="2">
        <v>0.02</v>
      </c>
      <c r="G20" s="2">
        <v>0.02</v>
      </c>
    </row>
    <row r="21" spans="1:7" x14ac:dyDescent="0.2">
      <c r="A21">
        <v>19</v>
      </c>
      <c r="B21" s="2">
        <v>0.02</v>
      </c>
      <c r="C21" s="2">
        <v>0.02</v>
      </c>
      <c r="D21" s="2">
        <v>0.02</v>
      </c>
      <c r="E21" s="2">
        <v>0.02</v>
      </c>
      <c r="F21" s="2">
        <v>0.02</v>
      </c>
      <c r="G21" s="2">
        <v>0.02</v>
      </c>
    </row>
    <row r="22" spans="1:7" x14ac:dyDescent="0.2">
      <c r="A22">
        <v>20</v>
      </c>
      <c r="B22" s="2">
        <v>0.02</v>
      </c>
      <c r="C22" s="2">
        <v>0.02</v>
      </c>
      <c r="D22" s="2">
        <v>0.02</v>
      </c>
      <c r="E22" s="2">
        <v>0.02</v>
      </c>
      <c r="F22" s="2">
        <v>0.02</v>
      </c>
      <c r="G22" s="2">
        <v>0.02</v>
      </c>
    </row>
    <row r="23" spans="1:7" x14ac:dyDescent="0.2">
      <c r="A23">
        <v>21</v>
      </c>
      <c r="B23" s="2">
        <v>0.02</v>
      </c>
      <c r="C23" s="2">
        <v>0.02</v>
      </c>
      <c r="D23" s="2">
        <v>0.02</v>
      </c>
      <c r="E23" s="2">
        <v>0.02</v>
      </c>
      <c r="F23" s="2">
        <v>0.02</v>
      </c>
      <c r="G23" s="2">
        <v>0.02</v>
      </c>
    </row>
    <row r="24" spans="1:7" x14ac:dyDescent="0.2">
      <c r="A24">
        <v>22</v>
      </c>
      <c r="B24" s="2">
        <v>0.02</v>
      </c>
      <c r="C24" s="2">
        <v>0.02</v>
      </c>
      <c r="D24" s="2">
        <v>0.02</v>
      </c>
      <c r="E24" s="2">
        <v>0.02</v>
      </c>
      <c r="F24" s="2">
        <v>0.02</v>
      </c>
      <c r="G24" s="2">
        <v>0.02</v>
      </c>
    </row>
    <row r="25" spans="1:7" x14ac:dyDescent="0.2">
      <c r="A25">
        <v>23</v>
      </c>
      <c r="B25" s="2">
        <v>0.01</v>
      </c>
      <c r="C25" s="2">
        <v>0.01</v>
      </c>
      <c r="D25" s="2">
        <v>0.01</v>
      </c>
      <c r="E25" s="2">
        <v>0.01</v>
      </c>
      <c r="F25" s="2">
        <v>0.01</v>
      </c>
      <c r="G25" s="2">
        <v>0.01</v>
      </c>
    </row>
    <row r="26" spans="1:7" x14ac:dyDescent="0.2">
      <c r="A26">
        <v>24</v>
      </c>
      <c r="B26" s="2">
        <v>0.01</v>
      </c>
      <c r="C26" s="2">
        <v>0.01</v>
      </c>
      <c r="D26" s="2">
        <v>0.01</v>
      </c>
      <c r="E26" s="2">
        <v>0.01</v>
      </c>
      <c r="F26" s="2">
        <v>0.01</v>
      </c>
      <c r="G26" s="2">
        <v>0.01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2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2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2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5E31-67A3-FC4B-AC1C-833E992150B5}">
  <dimension ref="A1:G32"/>
  <sheetViews>
    <sheetView workbookViewId="0">
      <selection activeCell="C49" sqref="C49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0.24</v>
      </c>
      <c r="C2" s="2">
        <v>0.24</v>
      </c>
      <c r="D2" s="2">
        <v>0.24</v>
      </c>
      <c r="E2" s="2">
        <v>0.26</v>
      </c>
      <c r="F2" s="2">
        <v>0.3</v>
      </c>
      <c r="G2" s="2">
        <v>0.3</v>
      </c>
    </row>
    <row r="3" spans="1:7" x14ac:dyDescent="0.2">
      <c r="A3">
        <v>1</v>
      </c>
      <c r="B3" s="2">
        <v>0.13500000000000001</v>
      </c>
      <c r="C3" s="2">
        <v>0.13500000000000001</v>
      </c>
      <c r="D3" s="2">
        <v>0.13500000000000001</v>
      </c>
      <c r="E3" s="2">
        <v>0.13500000000000001</v>
      </c>
      <c r="F3" s="2">
        <v>0.13500000000000001</v>
      </c>
      <c r="G3" s="2">
        <v>0.13500000000000001</v>
      </c>
    </row>
    <row r="4" spans="1:7" x14ac:dyDescent="0.2">
      <c r="A4">
        <v>2</v>
      </c>
      <c r="B4" s="2">
        <v>0.11</v>
      </c>
      <c r="C4" s="2">
        <v>0.11</v>
      </c>
      <c r="D4" s="2">
        <v>0.09</v>
      </c>
      <c r="E4" s="2">
        <v>0.105</v>
      </c>
      <c r="F4" s="2">
        <v>0.105</v>
      </c>
      <c r="G4" s="2">
        <v>0.105</v>
      </c>
    </row>
    <row r="5" spans="1:7" x14ac:dyDescent="0.2">
      <c r="A5">
        <v>3</v>
      </c>
      <c r="B5" s="2">
        <v>0.08</v>
      </c>
      <c r="C5" s="2">
        <v>0.08</v>
      </c>
      <c r="D5" s="2">
        <v>8.5000000000000006E-2</v>
      </c>
      <c r="E5" s="2">
        <v>0.105</v>
      </c>
      <c r="F5" s="2">
        <v>0.1</v>
      </c>
      <c r="G5" s="2">
        <v>0.1</v>
      </c>
    </row>
    <row r="6" spans="1:7" x14ac:dyDescent="0.2">
      <c r="A6">
        <v>4</v>
      </c>
      <c r="B6" s="2">
        <v>0.08</v>
      </c>
      <c r="C6" s="2">
        <v>0.08</v>
      </c>
      <c r="D6" s="2">
        <v>7.0000000000000007E-2</v>
      </c>
      <c r="E6" s="2">
        <v>7.0000000000000007E-2</v>
      </c>
      <c r="F6" s="2">
        <v>0.1</v>
      </c>
      <c r="G6" s="2">
        <v>0.1</v>
      </c>
    </row>
    <row r="7" spans="1:7" x14ac:dyDescent="0.2">
      <c r="A7">
        <v>5</v>
      </c>
      <c r="B7" s="2">
        <v>6.5000000000000002E-2</v>
      </c>
      <c r="C7" s="2">
        <v>6.5000000000000002E-2</v>
      </c>
      <c r="D7" s="2">
        <v>6.5000000000000002E-2</v>
      </c>
      <c r="E7" s="2">
        <v>6.5000000000000002E-2</v>
      </c>
      <c r="F7" s="2">
        <v>6.5000000000000002E-2</v>
      </c>
      <c r="G7" s="2">
        <v>6.5000000000000002E-2</v>
      </c>
    </row>
    <row r="8" spans="1:7" x14ac:dyDescent="0.2">
      <c r="A8">
        <v>6</v>
      </c>
      <c r="B8" s="2">
        <v>6.5000000000000002E-2</v>
      </c>
      <c r="C8" s="2">
        <v>6.5000000000000002E-2</v>
      </c>
      <c r="D8" s="2">
        <v>6.5000000000000002E-2</v>
      </c>
      <c r="E8" s="2">
        <v>0.06</v>
      </c>
      <c r="F8" s="2">
        <v>0.06</v>
      </c>
      <c r="G8" s="2">
        <v>0.06</v>
      </c>
    </row>
    <row r="9" spans="1:7" x14ac:dyDescent="0.2">
      <c r="A9">
        <v>7</v>
      </c>
      <c r="B9" s="2">
        <v>0.06</v>
      </c>
      <c r="C9" s="2">
        <v>0.06</v>
      </c>
      <c r="D9" s="2">
        <v>0.06</v>
      </c>
      <c r="E9" s="2">
        <v>0.06</v>
      </c>
      <c r="F9" s="2">
        <v>0.06</v>
      </c>
      <c r="G9" s="2">
        <v>0.06</v>
      </c>
    </row>
    <row r="10" spans="1:7" x14ac:dyDescent="0.2">
      <c r="A10">
        <v>8</v>
      </c>
      <c r="B10" s="2">
        <v>0.05</v>
      </c>
      <c r="C10" s="2">
        <v>0.05</v>
      </c>
      <c r="D10" s="2">
        <v>4.4999999999999998E-2</v>
      </c>
      <c r="E10" s="2">
        <v>4.4999999999999998E-2</v>
      </c>
      <c r="F10" s="2">
        <v>0.06</v>
      </c>
      <c r="G10" s="2">
        <v>0.06</v>
      </c>
    </row>
    <row r="11" spans="1:7" x14ac:dyDescent="0.2">
      <c r="A11">
        <v>9</v>
      </c>
      <c r="B11" s="2">
        <v>3.5000000000000003E-2</v>
      </c>
      <c r="C11" s="2">
        <v>3.5000000000000003E-2</v>
      </c>
      <c r="D11" s="2">
        <v>3.5000000000000003E-2</v>
      </c>
      <c r="E11" s="2">
        <v>3.5000000000000003E-2</v>
      </c>
      <c r="F11" s="2">
        <v>0.06</v>
      </c>
      <c r="G11" s="2">
        <v>0.06</v>
      </c>
    </row>
    <row r="12" spans="1:7" x14ac:dyDescent="0.2">
      <c r="A12">
        <v>10</v>
      </c>
      <c r="B12" s="2">
        <v>3.5000000000000003E-2</v>
      </c>
      <c r="C12" s="2">
        <v>3.5000000000000003E-2</v>
      </c>
      <c r="D12" s="2">
        <v>3.5000000000000003E-2</v>
      </c>
      <c r="E12" s="2">
        <v>3.5000000000000003E-2</v>
      </c>
      <c r="F12" s="2">
        <v>0.05</v>
      </c>
      <c r="G12" s="2">
        <v>0.05</v>
      </c>
    </row>
    <row r="13" spans="1:7" x14ac:dyDescent="0.2">
      <c r="A13">
        <v>11</v>
      </c>
      <c r="B13" s="2">
        <v>0.03</v>
      </c>
      <c r="C13" s="2">
        <v>0.03</v>
      </c>
      <c r="D13" s="2">
        <v>0.03</v>
      </c>
      <c r="E13" s="2">
        <v>0.03</v>
      </c>
      <c r="F13" s="2">
        <v>0.03</v>
      </c>
      <c r="G13" s="2">
        <v>0.03</v>
      </c>
    </row>
    <row r="14" spans="1:7" x14ac:dyDescent="0.2">
      <c r="A14">
        <v>12</v>
      </c>
      <c r="B14" s="2">
        <v>0.03</v>
      </c>
      <c r="C14" s="2">
        <v>0.03</v>
      </c>
      <c r="D14" s="2">
        <v>0.03</v>
      </c>
      <c r="E14" s="2">
        <v>0.03</v>
      </c>
      <c r="F14" s="2">
        <v>0.03</v>
      </c>
      <c r="G14" s="2">
        <v>0.03</v>
      </c>
    </row>
    <row r="15" spans="1:7" x14ac:dyDescent="0.2">
      <c r="A15">
        <v>13</v>
      </c>
      <c r="B15" s="2">
        <v>2.5000000000000001E-2</v>
      </c>
      <c r="C15" s="2">
        <v>2.5000000000000001E-2</v>
      </c>
      <c r="D15" s="2">
        <v>2.5000000000000001E-2</v>
      </c>
      <c r="E15" s="2">
        <v>2.5000000000000001E-2</v>
      </c>
      <c r="F15" s="2">
        <v>0.03</v>
      </c>
      <c r="G15" s="2">
        <v>0.03</v>
      </c>
    </row>
    <row r="16" spans="1:7" x14ac:dyDescent="0.2">
      <c r="A16">
        <v>14</v>
      </c>
      <c r="B16" s="2">
        <v>2.5000000000000001E-2</v>
      </c>
      <c r="C16" s="2">
        <v>2.5000000000000001E-2</v>
      </c>
      <c r="D16" s="2">
        <v>2.5000000000000001E-2</v>
      </c>
      <c r="E16" s="2">
        <v>2.5000000000000001E-2</v>
      </c>
      <c r="F16" s="2">
        <v>0.03</v>
      </c>
      <c r="G16" s="2">
        <v>0.03</v>
      </c>
    </row>
    <row r="17" spans="1:7" x14ac:dyDescent="0.2">
      <c r="A17">
        <v>15</v>
      </c>
      <c r="B17" s="2">
        <v>2.3E-2</v>
      </c>
      <c r="C17" s="2">
        <v>2.3E-2</v>
      </c>
      <c r="D17" s="2">
        <v>2.3E-2</v>
      </c>
      <c r="E17" s="2">
        <v>2.3E-2</v>
      </c>
      <c r="F17" s="2">
        <v>0.03</v>
      </c>
      <c r="G17" s="2">
        <v>0.03</v>
      </c>
    </row>
    <row r="18" spans="1:7" x14ac:dyDescent="0.2">
      <c r="A18">
        <v>16</v>
      </c>
      <c r="B18" s="2">
        <v>0.02</v>
      </c>
      <c r="C18" s="2">
        <v>0.02</v>
      </c>
      <c r="D18" s="2">
        <v>0.02</v>
      </c>
      <c r="E18" s="2">
        <v>0.02</v>
      </c>
      <c r="F18" s="2">
        <v>0.03</v>
      </c>
      <c r="G18" s="2">
        <v>0.03</v>
      </c>
    </row>
    <row r="19" spans="1:7" x14ac:dyDescent="0.2">
      <c r="A19">
        <v>17</v>
      </c>
      <c r="B19" s="2">
        <v>0.02</v>
      </c>
      <c r="C19" s="2">
        <v>0.02</v>
      </c>
      <c r="D19" s="2">
        <v>0.02</v>
      </c>
      <c r="E19" s="2">
        <v>0.02</v>
      </c>
      <c r="F19" s="2">
        <v>0.02</v>
      </c>
      <c r="G19" s="2">
        <v>0.02</v>
      </c>
    </row>
    <row r="20" spans="1:7" x14ac:dyDescent="0.2">
      <c r="A20">
        <v>18</v>
      </c>
      <c r="B20" s="2">
        <v>1.4999999999999999E-2</v>
      </c>
      <c r="C20" s="2">
        <v>1.4999999999999999E-2</v>
      </c>
      <c r="D20" s="2">
        <v>1.4999999999999999E-2</v>
      </c>
      <c r="E20" s="2">
        <v>1.4999999999999999E-2</v>
      </c>
      <c r="F20" s="2">
        <v>0.02</v>
      </c>
      <c r="G20" s="2">
        <v>0.02</v>
      </c>
    </row>
    <row r="21" spans="1:7" x14ac:dyDescent="0.2">
      <c r="A21">
        <v>19</v>
      </c>
      <c r="B21" s="2">
        <v>1.4999999999999999E-2</v>
      </c>
      <c r="C21" s="2">
        <v>1.4999999999999999E-2</v>
      </c>
      <c r="D21" s="2">
        <v>1.4999999999999999E-2</v>
      </c>
      <c r="E21" s="2">
        <v>1.4999999999999999E-2</v>
      </c>
      <c r="F21" s="2">
        <v>0.02</v>
      </c>
      <c r="G21" s="2">
        <v>0.02</v>
      </c>
    </row>
    <row r="22" spans="1:7" x14ac:dyDescent="0.2">
      <c r="A22">
        <v>20</v>
      </c>
      <c r="B22" s="2">
        <v>1.4999999999999999E-2</v>
      </c>
      <c r="C22" s="2">
        <v>1.4999999999999999E-2</v>
      </c>
      <c r="D22" s="2">
        <v>1.4999999999999999E-2</v>
      </c>
      <c r="E22" s="2">
        <v>1.4999999999999999E-2</v>
      </c>
      <c r="F22" s="2">
        <v>0.02</v>
      </c>
      <c r="G22" s="2">
        <v>0.02</v>
      </c>
    </row>
    <row r="23" spans="1:7" x14ac:dyDescent="0.2">
      <c r="A23">
        <v>21</v>
      </c>
      <c r="B23" s="2">
        <v>1.4999999999999999E-2</v>
      </c>
      <c r="C23" s="2">
        <v>1.4999999999999999E-2</v>
      </c>
      <c r="D23" s="2">
        <v>1.4999999999999999E-2</v>
      </c>
      <c r="E23" s="2">
        <v>1.4999999999999999E-2</v>
      </c>
      <c r="F23" s="2">
        <v>0.02</v>
      </c>
      <c r="G23" s="2">
        <v>0.02</v>
      </c>
    </row>
    <row r="24" spans="1:7" x14ac:dyDescent="0.2">
      <c r="A24">
        <v>22</v>
      </c>
      <c r="B24" s="2">
        <v>1.4999999999999999E-2</v>
      </c>
      <c r="C24" s="2">
        <v>1.4999999999999999E-2</v>
      </c>
      <c r="D24" s="2">
        <v>1.4999999999999999E-2</v>
      </c>
      <c r="E24" s="2">
        <v>1.4999999999999999E-2</v>
      </c>
      <c r="F24" s="2">
        <v>1.4999999999999999E-2</v>
      </c>
      <c r="G24" s="2">
        <v>1.4999999999999999E-2</v>
      </c>
    </row>
    <row r="25" spans="1:7" x14ac:dyDescent="0.2">
      <c r="A25">
        <v>23</v>
      </c>
      <c r="B25" s="2">
        <v>1.4999999999999999E-2</v>
      </c>
      <c r="C25" s="2">
        <v>1.4999999999999999E-2</v>
      </c>
      <c r="D25" s="2">
        <v>1.4999999999999999E-2</v>
      </c>
      <c r="E25" s="2">
        <v>1.4999999999999999E-2</v>
      </c>
      <c r="F25" s="2">
        <v>1.4999999999999999E-2</v>
      </c>
      <c r="G25" s="2">
        <v>1.4999999999999999E-2</v>
      </c>
    </row>
    <row r="26" spans="1:7" x14ac:dyDescent="0.2">
      <c r="A26">
        <v>24</v>
      </c>
      <c r="B26" s="2">
        <v>1.4999999999999999E-2</v>
      </c>
      <c r="C26" s="2">
        <v>1.4999999999999999E-2</v>
      </c>
      <c r="D26" s="2">
        <v>1.4999999999999999E-2</v>
      </c>
      <c r="E26" s="2">
        <v>1.4999999999999999E-2</v>
      </c>
      <c r="F26" s="2">
        <v>1.4999999999999999E-2</v>
      </c>
      <c r="G26" s="2">
        <v>1.4999999999999999E-2</v>
      </c>
    </row>
    <row r="27" spans="1:7" x14ac:dyDescent="0.2">
      <c r="A27">
        <v>25</v>
      </c>
      <c r="B27" s="2">
        <v>0.01</v>
      </c>
      <c r="C27" s="2">
        <v>0.01</v>
      </c>
      <c r="D27" s="2">
        <v>0.01</v>
      </c>
      <c r="E27" s="2">
        <v>0.01</v>
      </c>
      <c r="F27" s="2">
        <v>0.01</v>
      </c>
      <c r="G27" s="2">
        <v>0.01</v>
      </c>
    </row>
    <row r="28" spans="1:7" x14ac:dyDescent="0.2">
      <c r="A28">
        <v>26</v>
      </c>
      <c r="B28" s="2">
        <v>0.01</v>
      </c>
      <c r="C28" s="2">
        <v>0.01</v>
      </c>
      <c r="D28" s="2">
        <v>0.01</v>
      </c>
      <c r="E28" s="2">
        <v>0.01</v>
      </c>
      <c r="F28" s="2">
        <v>0.01</v>
      </c>
      <c r="G28" s="2">
        <v>0.01</v>
      </c>
    </row>
    <row r="29" spans="1:7" x14ac:dyDescent="0.2">
      <c r="A29">
        <v>27</v>
      </c>
      <c r="B29" s="2">
        <v>0.01</v>
      </c>
      <c r="C29" s="2">
        <v>0.01</v>
      </c>
      <c r="D29" s="2">
        <v>0.01</v>
      </c>
      <c r="E29" s="2">
        <v>0.01</v>
      </c>
      <c r="F29" s="2">
        <v>0.01</v>
      </c>
      <c r="G29" s="2">
        <v>0.01</v>
      </c>
    </row>
    <row r="30" spans="1:7" x14ac:dyDescent="0.2">
      <c r="A30">
        <v>28</v>
      </c>
      <c r="B30" s="2">
        <v>0.01</v>
      </c>
      <c r="C30" s="2">
        <v>0.01</v>
      </c>
      <c r="D30" s="2">
        <v>0.01</v>
      </c>
      <c r="E30" s="2">
        <v>0.01</v>
      </c>
      <c r="F30" s="2">
        <v>0.01</v>
      </c>
      <c r="G30" s="2">
        <v>0.01</v>
      </c>
    </row>
    <row r="31" spans="1:7" x14ac:dyDescent="0.2">
      <c r="A31">
        <v>29</v>
      </c>
      <c r="B31" s="2">
        <v>0.01</v>
      </c>
      <c r="C31" s="2">
        <v>0.01</v>
      </c>
      <c r="D31" s="2">
        <v>0.01</v>
      </c>
      <c r="E31" s="2">
        <v>0.01</v>
      </c>
      <c r="F31" s="2">
        <v>0.01</v>
      </c>
      <c r="G31" s="2">
        <v>0.01</v>
      </c>
    </row>
    <row r="32" spans="1:7" x14ac:dyDescent="0.2">
      <c r="A32">
        <v>30</v>
      </c>
      <c r="B32" s="2">
        <v>0.01</v>
      </c>
      <c r="C32" s="2">
        <v>0.01</v>
      </c>
      <c r="D32" s="2">
        <v>0.01</v>
      </c>
      <c r="E32" s="2">
        <v>0.01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A5CE-F898-4443-BE33-A475E9D0F66F}">
  <dimension ref="A1:G32"/>
  <sheetViews>
    <sheetView workbookViewId="0">
      <selection sqref="A1:G32"/>
    </sheetView>
  </sheetViews>
  <sheetFormatPr baseColWidth="10" defaultRowHeight="16" x14ac:dyDescent="0.2"/>
  <sheetData>
    <row r="1" spans="1:7" x14ac:dyDescent="0.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  <row r="2" spans="1:7" x14ac:dyDescent="0.2">
      <c r="A2">
        <v>0</v>
      </c>
      <c r="B2" s="2">
        <v>0.17499999999999999</v>
      </c>
      <c r="C2" s="2">
        <v>0.155</v>
      </c>
      <c r="D2" s="2">
        <v>0.155</v>
      </c>
      <c r="E2" s="2">
        <v>0.17499999999999999</v>
      </c>
      <c r="F2" s="2">
        <v>0.17499999999999999</v>
      </c>
      <c r="G2" s="2">
        <v>0.17499999999999999</v>
      </c>
    </row>
    <row r="3" spans="1:7" x14ac:dyDescent="0.2">
      <c r="A3">
        <v>1</v>
      </c>
      <c r="B3" s="2">
        <v>0.1</v>
      </c>
      <c r="C3" s="2">
        <v>0.09</v>
      </c>
      <c r="D3" s="2">
        <v>0.09</v>
      </c>
      <c r="E3" s="2">
        <v>0.1</v>
      </c>
      <c r="F3" s="2">
        <v>0.09</v>
      </c>
      <c r="G3" s="2">
        <v>0.09</v>
      </c>
    </row>
    <row r="4" spans="1:7" x14ac:dyDescent="0.2">
      <c r="A4">
        <v>2</v>
      </c>
      <c r="B4" s="2">
        <v>0.08</v>
      </c>
      <c r="C4" s="2">
        <v>0.08</v>
      </c>
      <c r="D4" s="2">
        <v>0.08</v>
      </c>
      <c r="E4" s="2">
        <v>0.08</v>
      </c>
      <c r="F4" s="2">
        <v>7.0000000000000007E-2</v>
      </c>
      <c r="G4" s="2">
        <v>0.08</v>
      </c>
    </row>
    <row r="5" spans="1:7" x14ac:dyDescent="0.2">
      <c r="A5">
        <v>3</v>
      </c>
      <c r="B5" s="2">
        <v>7.0000000000000007E-2</v>
      </c>
      <c r="C5" s="2">
        <v>7.0000000000000007E-2</v>
      </c>
      <c r="D5" s="2">
        <v>7.0000000000000007E-2</v>
      </c>
      <c r="E5" s="2">
        <v>7.0000000000000007E-2</v>
      </c>
      <c r="F5" s="2">
        <v>5.5E-2</v>
      </c>
      <c r="G5" s="2">
        <v>7.0000000000000007E-2</v>
      </c>
    </row>
    <row r="6" spans="1:7" x14ac:dyDescent="0.2">
      <c r="A6">
        <v>4</v>
      </c>
      <c r="B6" s="2">
        <v>0.05</v>
      </c>
      <c r="C6" s="2">
        <v>0.06</v>
      </c>
      <c r="D6" s="2">
        <v>0.06</v>
      </c>
      <c r="E6" s="2">
        <v>0.06</v>
      </c>
      <c r="F6" s="2">
        <v>5.5E-2</v>
      </c>
      <c r="G6" s="2">
        <v>0.06</v>
      </c>
    </row>
    <row r="7" spans="1:7" x14ac:dyDescent="0.2">
      <c r="A7">
        <v>5</v>
      </c>
      <c r="B7" s="2">
        <v>0.04</v>
      </c>
      <c r="C7" s="2">
        <v>0.05</v>
      </c>
      <c r="D7" s="2">
        <v>0.05</v>
      </c>
      <c r="E7" s="2">
        <v>0.05</v>
      </c>
      <c r="F7" s="2">
        <v>0.04</v>
      </c>
      <c r="G7" s="2">
        <v>0.05</v>
      </c>
    </row>
    <row r="8" spans="1:7" x14ac:dyDescent="0.2">
      <c r="A8">
        <v>6</v>
      </c>
      <c r="B8" s="2">
        <v>0.04</v>
      </c>
      <c r="C8" s="2">
        <v>0.05</v>
      </c>
      <c r="D8" s="2">
        <v>0.05</v>
      </c>
      <c r="E8" s="2">
        <v>0.05</v>
      </c>
      <c r="F8" s="2">
        <v>0.04</v>
      </c>
      <c r="G8" s="2">
        <v>0.05</v>
      </c>
    </row>
    <row r="9" spans="1:7" x14ac:dyDescent="0.2">
      <c r="A9">
        <v>7</v>
      </c>
      <c r="B9" s="2">
        <v>0.04</v>
      </c>
      <c r="C9" s="2">
        <v>0.05</v>
      </c>
      <c r="D9" s="2">
        <v>0.04</v>
      </c>
      <c r="E9" s="2">
        <v>0.04</v>
      </c>
      <c r="F9" s="2">
        <v>3.5000000000000003E-2</v>
      </c>
      <c r="G9" s="2">
        <v>0.04</v>
      </c>
    </row>
    <row r="10" spans="1:7" x14ac:dyDescent="0.2">
      <c r="A10">
        <v>8</v>
      </c>
      <c r="B10" s="2">
        <v>3.5000000000000003E-2</v>
      </c>
      <c r="C10" s="2">
        <v>4.4999999999999998E-2</v>
      </c>
      <c r="D10" s="2">
        <v>3.5000000000000003E-2</v>
      </c>
      <c r="E10" s="2">
        <v>3.5000000000000003E-2</v>
      </c>
      <c r="F10" s="2">
        <v>0.03</v>
      </c>
      <c r="G10" s="2">
        <v>3.5000000000000003E-2</v>
      </c>
    </row>
    <row r="11" spans="1:7" x14ac:dyDescent="0.2">
      <c r="A11">
        <v>9</v>
      </c>
      <c r="B11" s="2">
        <v>0.03</v>
      </c>
      <c r="C11" s="2">
        <v>3.5000000000000003E-2</v>
      </c>
      <c r="D11" s="2">
        <v>0.03</v>
      </c>
      <c r="E11" s="2">
        <v>0.03</v>
      </c>
      <c r="F11" s="2">
        <v>0.03</v>
      </c>
      <c r="G11" s="2">
        <v>0.03</v>
      </c>
    </row>
    <row r="12" spans="1:7" x14ac:dyDescent="0.2">
      <c r="A12">
        <v>10</v>
      </c>
      <c r="B12" s="2">
        <v>2.5000000000000001E-2</v>
      </c>
      <c r="C12" s="2">
        <v>2.5000000000000001E-2</v>
      </c>
      <c r="D12" s="2">
        <v>2.5000000000000001E-2</v>
      </c>
      <c r="E12" s="2">
        <v>2.5000000000000001E-2</v>
      </c>
      <c r="F12" s="2">
        <v>2.5000000000000001E-2</v>
      </c>
      <c r="G12" s="2">
        <v>2.5000000000000001E-2</v>
      </c>
    </row>
    <row r="13" spans="1:7" x14ac:dyDescent="0.2">
      <c r="A13">
        <v>11</v>
      </c>
      <c r="B13" s="2">
        <v>0.02</v>
      </c>
      <c r="C13" s="2">
        <v>0.02</v>
      </c>
      <c r="D13" s="2">
        <v>0.02</v>
      </c>
      <c r="E13" s="2">
        <v>0.02</v>
      </c>
      <c r="F13" s="2">
        <v>0.02</v>
      </c>
      <c r="G13" s="2">
        <v>0.02</v>
      </c>
    </row>
    <row r="14" spans="1:7" x14ac:dyDescent="0.2">
      <c r="A14">
        <v>12</v>
      </c>
      <c r="B14" s="2">
        <v>0.02</v>
      </c>
      <c r="C14" s="2">
        <v>0.02</v>
      </c>
      <c r="D14" s="2">
        <v>0.02</v>
      </c>
      <c r="E14" s="2">
        <v>0.02</v>
      </c>
      <c r="F14" s="2">
        <v>0.02</v>
      </c>
      <c r="G14" s="2">
        <v>0.02</v>
      </c>
    </row>
    <row r="15" spans="1:7" x14ac:dyDescent="0.2">
      <c r="A15">
        <v>13</v>
      </c>
      <c r="B15" s="2">
        <v>0.02</v>
      </c>
      <c r="C15" s="2">
        <v>0.02</v>
      </c>
      <c r="D15" s="2">
        <v>0.02</v>
      </c>
      <c r="E15" s="2">
        <v>0.02</v>
      </c>
      <c r="F15" s="2">
        <v>0.02</v>
      </c>
      <c r="G15" s="2">
        <v>0.02</v>
      </c>
    </row>
    <row r="16" spans="1:7" x14ac:dyDescent="0.2">
      <c r="A16">
        <v>14</v>
      </c>
      <c r="B16" s="2">
        <v>1.4999999999999999E-2</v>
      </c>
      <c r="C16" s="2">
        <v>1.4999999999999999E-2</v>
      </c>
      <c r="D16" s="2">
        <v>1.4999999999999999E-2</v>
      </c>
      <c r="E16" s="2">
        <v>1.4999999999999999E-2</v>
      </c>
      <c r="F16" s="2">
        <v>1.4999999999999999E-2</v>
      </c>
      <c r="G16" s="2">
        <v>1.4999999999999999E-2</v>
      </c>
    </row>
    <row r="17" spans="1:7" x14ac:dyDescent="0.2">
      <c r="A17">
        <v>15</v>
      </c>
      <c r="B17" s="2">
        <v>1.4999999999999999E-2</v>
      </c>
      <c r="C17" s="2">
        <v>1.4999999999999999E-2</v>
      </c>
      <c r="D17" s="2">
        <v>1.4999999999999999E-2</v>
      </c>
      <c r="E17" s="2">
        <v>1.4999999999999999E-2</v>
      </c>
      <c r="F17" s="2">
        <v>1.4999999999999999E-2</v>
      </c>
      <c r="G17" s="2">
        <v>1.4999999999999999E-2</v>
      </c>
    </row>
    <row r="18" spans="1:7" x14ac:dyDescent="0.2">
      <c r="A18">
        <v>16</v>
      </c>
      <c r="B18" s="2">
        <v>0.01</v>
      </c>
      <c r="C18" s="2">
        <v>0.01</v>
      </c>
      <c r="D18" s="2">
        <v>0.01</v>
      </c>
      <c r="E18" s="2">
        <v>0.01</v>
      </c>
      <c r="F18" s="2">
        <v>1.4999999999999999E-2</v>
      </c>
      <c r="G18" s="2">
        <v>1.4999999999999999E-2</v>
      </c>
    </row>
    <row r="19" spans="1:7" x14ac:dyDescent="0.2">
      <c r="A19">
        <v>17</v>
      </c>
      <c r="B19" s="2">
        <v>0.01</v>
      </c>
      <c r="C19" s="2">
        <v>0.01</v>
      </c>
      <c r="D19" s="2">
        <v>0.01</v>
      </c>
      <c r="E19" s="2">
        <v>0.01</v>
      </c>
      <c r="F19" s="2">
        <v>1.4999999999999999E-2</v>
      </c>
      <c r="G19" s="2">
        <v>1.4999999999999999E-2</v>
      </c>
    </row>
    <row r="20" spans="1:7" x14ac:dyDescent="0.2">
      <c r="A20">
        <v>18</v>
      </c>
      <c r="B20" s="2">
        <v>0.01</v>
      </c>
      <c r="C20" s="2">
        <v>0.01</v>
      </c>
      <c r="D20" s="2">
        <v>0.01</v>
      </c>
      <c r="E20" s="2">
        <v>0.01</v>
      </c>
      <c r="F20" s="2">
        <v>1.4999999999999999E-2</v>
      </c>
      <c r="G20" s="2">
        <v>1.4999999999999999E-2</v>
      </c>
    </row>
    <row r="21" spans="1:7" x14ac:dyDescent="0.2">
      <c r="A21">
        <v>19</v>
      </c>
      <c r="B21" s="2">
        <v>0.01</v>
      </c>
      <c r="C21" s="2">
        <v>0.01</v>
      </c>
      <c r="D21" s="2">
        <v>0.01</v>
      </c>
      <c r="E21" s="2">
        <v>0.01</v>
      </c>
      <c r="F21" s="2">
        <v>1.4999999999999999E-2</v>
      </c>
      <c r="G21" s="2">
        <v>1.4999999999999999E-2</v>
      </c>
    </row>
    <row r="22" spans="1:7" x14ac:dyDescent="0.2">
      <c r="A22">
        <v>20</v>
      </c>
      <c r="B22" s="2">
        <v>0.01</v>
      </c>
      <c r="C22" s="2">
        <v>0.01</v>
      </c>
      <c r="D22" s="2">
        <v>0.01</v>
      </c>
      <c r="E22" s="2">
        <v>0.01</v>
      </c>
      <c r="F22" s="2">
        <v>1.4999999999999999E-2</v>
      </c>
      <c r="G22" s="2">
        <v>1.4999999999999999E-2</v>
      </c>
    </row>
    <row r="23" spans="1:7" x14ac:dyDescent="0.2">
      <c r="A23">
        <v>21</v>
      </c>
      <c r="B23" s="2">
        <v>0.01</v>
      </c>
      <c r="C23" s="2">
        <v>0.01</v>
      </c>
      <c r="D23" s="2">
        <v>0.01</v>
      </c>
      <c r="E23" s="2">
        <v>0.01</v>
      </c>
      <c r="F23" s="2">
        <v>1.4999999999999999E-2</v>
      </c>
      <c r="G23" s="2">
        <v>1.4999999999999999E-2</v>
      </c>
    </row>
    <row r="24" spans="1:7" x14ac:dyDescent="0.2">
      <c r="A24">
        <v>22</v>
      </c>
      <c r="B24" s="2">
        <v>8.0000000000000002E-3</v>
      </c>
      <c r="C24" s="2">
        <v>8.0000000000000002E-3</v>
      </c>
      <c r="D24" s="2">
        <v>8.0000000000000002E-3</v>
      </c>
      <c r="E24" s="2">
        <v>8.0000000000000002E-3</v>
      </c>
      <c r="F24" s="2">
        <v>0.01</v>
      </c>
      <c r="G24" s="2">
        <v>0.01</v>
      </c>
    </row>
    <row r="25" spans="1:7" x14ac:dyDescent="0.2">
      <c r="A25">
        <v>23</v>
      </c>
      <c r="B25" s="2">
        <v>5.0000000000000001E-3</v>
      </c>
      <c r="C25" s="2">
        <v>5.0000000000000001E-3</v>
      </c>
      <c r="D25" s="2">
        <v>5.0000000000000001E-3</v>
      </c>
      <c r="E25" s="2">
        <v>5.0000000000000001E-3</v>
      </c>
      <c r="F25" s="2">
        <v>0.01</v>
      </c>
      <c r="G25" s="2">
        <v>0.01</v>
      </c>
    </row>
    <row r="26" spans="1:7" x14ac:dyDescent="0.2">
      <c r="A26">
        <v>24</v>
      </c>
      <c r="B26" s="2">
        <v>5.0000000000000001E-3</v>
      </c>
      <c r="C26" s="2">
        <v>5.0000000000000001E-3</v>
      </c>
      <c r="D26" s="2">
        <v>5.0000000000000001E-3</v>
      </c>
      <c r="E26" s="2">
        <v>5.0000000000000001E-3</v>
      </c>
      <c r="F26" s="2">
        <v>0.01</v>
      </c>
      <c r="G26" s="2">
        <v>0.01</v>
      </c>
    </row>
    <row r="27" spans="1:7" x14ac:dyDescent="0.2">
      <c r="A27">
        <v>25</v>
      </c>
      <c r="B27" s="2">
        <v>5.0000000000000001E-3</v>
      </c>
      <c r="C27" s="2">
        <v>5.0000000000000001E-3</v>
      </c>
      <c r="D27" s="2">
        <v>5.0000000000000001E-3</v>
      </c>
      <c r="E27" s="2">
        <v>5.0000000000000001E-3</v>
      </c>
      <c r="F27" s="2">
        <v>0.01</v>
      </c>
      <c r="G27" s="2">
        <v>0.01</v>
      </c>
    </row>
    <row r="28" spans="1:7" x14ac:dyDescent="0.2">
      <c r="A28">
        <v>26</v>
      </c>
      <c r="B28" s="2">
        <v>5.0000000000000001E-3</v>
      </c>
      <c r="C28" s="2">
        <v>5.0000000000000001E-3</v>
      </c>
      <c r="D28" s="2">
        <v>5.0000000000000001E-3</v>
      </c>
      <c r="E28" s="2">
        <v>5.0000000000000001E-3</v>
      </c>
      <c r="F28" s="2">
        <v>0.01</v>
      </c>
      <c r="G28" s="2">
        <v>0.01</v>
      </c>
    </row>
    <row r="29" spans="1:7" x14ac:dyDescent="0.2">
      <c r="A29">
        <v>27</v>
      </c>
      <c r="B29" s="2">
        <v>5.0000000000000001E-3</v>
      </c>
      <c r="C29" s="2">
        <v>5.0000000000000001E-3</v>
      </c>
      <c r="D29" s="2">
        <v>5.0000000000000001E-3</v>
      </c>
      <c r="E29" s="2">
        <v>5.0000000000000001E-3</v>
      </c>
      <c r="F29" s="2">
        <v>0.01</v>
      </c>
      <c r="G29" s="2">
        <v>0.01</v>
      </c>
    </row>
    <row r="30" spans="1:7" x14ac:dyDescent="0.2">
      <c r="A30">
        <v>28</v>
      </c>
      <c r="B30" s="2">
        <v>5.0000000000000001E-3</v>
      </c>
      <c r="C30" s="2">
        <v>5.0000000000000001E-3</v>
      </c>
      <c r="D30" s="2">
        <v>5.0000000000000001E-3</v>
      </c>
      <c r="E30" s="2">
        <v>5.0000000000000001E-3</v>
      </c>
      <c r="F30" s="2">
        <v>0.01</v>
      </c>
      <c r="G30" s="2">
        <v>0.01</v>
      </c>
    </row>
    <row r="31" spans="1:7" x14ac:dyDescent="0.2">
      <c r="A31">
        <v>29</v>
      </c>
      <c r="B31" s="2">
        <v>5.0000000000000001E-3</v>
      </c>
      <c r="C31" s="2">
        <v>5.0000000000000001E-3</v>
      </c>
      <c r="D31" s="2">
        <v>5.0000000000000001E-3</v>
      </c>
      <c r="E31" s="2">
        <v>5.0000000000000001E-3</v>
      </c>
      <c r="F31" s="2">
        <v>0.01</v>
      </c>
      <c r="G31" s="2">
        <v>0.01</v>
      </c>
    </row>
    <row r="32" spans="1:7" x14ac:dyDescent="0.2">
      <c r="A32">
        <v>30</v>
      </c>
      <c r="B32" s="2">
        <v>5.0000000000000001E-3</v>
      </c>
      <c r="C32" s="2">
        <v>5.0000000000000001E-3</v>
      </c>
      <c r="D32" s="2">
        <v>5.0000000000000001E-3</v>
      </c>
      <c r="E32" s="2">
        <v>5.0000000000000001E-3</v>
      </c>
      <c r="F32" s="2">
        <v>0.01</v>
      </c>
      <c r="G32" s="2">
        <v>0.01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72"/>
  <sheetViews>
    <sheetView zoomScaleNormal="100" workbookViewId="0">
      <selection activeCell="H1" sqref="H1"/>
    </sheetView>
  </sheetViews>
  <sheetFormatPr baseColWidth="10" defaultColWidth="8.83203125" defaultRowHeight="16" x14ac:dyDescent="0.2"/>
  <cols>
    <col min="1" max="1" width="14.6640625" customWidth="1"/>
    <col min="2" max="2" width="30.1640625" customWidth="1"/>
    <col min="3" max="3" width="28.33203125" customWidth="1"/>
    <col min="4" max="4" width="33.83203125" customWidth="1"/>
    <col min="5" max="7" width="31.6640625" customWidth="1"/>
    <col min="8" max="8" width="33.83203125" customWidth="1"/>
    <col min="9" max="9" width="31.6640625" customWidth="1"/>
    <col min="10" max="10" width="37.5" customWidth="1"/>
    <col min="11" max="11" width="35.1640625" customWidth="1"/>
    <col min="12" max="12" width="30.1640625" customWidth="1"/>
    <col min="13" max="13" width="28.33203125" customWidth="1"/>
    <col min="14" max="14" width="33.83203125" customWidth="1"/>
    <col min="15" max="15" width="31.6640625" customWidth="1"/>
    <col min="16" max="16" width="29.1640625" customWidth="1"/>
    <col min="17" max="17" width="27" customWidth="1"/>
    <col min="18" max="18" width="37.5" bestFit="1" customWidth="1"/>
    <col min="19" max="19" width="35.1640625" bestFit="1" customWidth="1"/>
    <col min="20" max="20" width="32.6640625" bestFit="1" customWidth="1"/>
    <col min="21" max="21" width="30.5" bestFit="1" customWidth="1"/>
    <col min="23" max="23" width="8.83203125" customWidth="1"/>
  </cols>
  <sheetData>
    <row r="1" spans="1:32" x14ac:dyDescent="0.2">
      <c r="A1" t="s">
        <v>0</v>
      </c>
      <c r="B1" t="s">
        <v>6</v>
      </c>
      <c r="C1" t="s">
        <v>7</v>
      </c>
      <c r="D1" t="s">
        <v>4</v>
      </c>
      <c r="E1" t="s">
        <v>5</v>
      </c>
      <c r="F1" t="s">
        <v>10</v>
      </c>
      <c r="G1" t="s">
        <v>11</v>
      </c>
      <c r="H1" t="s">
        <v>8</v>
      </c>
      <c r="I1" t="s">
        <v>9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32" x14ac:dyDescent="0.2">
      <c r="A2">
        <v>45</v>
      </c>
      <c r="B2" s="1">
        <v>0</v>
      </c>
      <c r="C2" s="1">
        <v>0</v>
      </c>
      <c r="D2" s="1">
        <v>0</v>
      </c>
      <c r="E2" s="1">
        <v>0</v>
      </c>
      <c r="F2" s="1">
        <v>0.04</v>
      </c>
      <c r="G2" s="1">
        <v>0.05</v>
      </c>
      <c r="H2" s="1"/>
      <c r="I2" s="1"/>
      <c r="J2" s="1"/>
      <c r="K2" s="1"/>
      <c r="L2" s="1">
        <v>0</v>
      </c>
      <c r="M2" s="1">
        <v>0</v>
      </c>
      <c r="N2" s="1">
        <v>0</v>
      </c>
      <c r="O2" s="1">
        <v>0</v>
      </c>
      <c r="P2" s="1">
        <v>0.08</v>
      </c>
      <c r="Q2" s="1">
        <v>0.13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>
        <v>46</v>
      </c>
      <c r="B3" s="1">
        <v>0</v>
      </c>
      <c r="C3" s="1">
        <v>0</v>
      </c>
      <c r="D3" s="1">
        <v>0</v>
      </c>
      <c r="E3" s="1">
        <v>0</v>
      </c>
      <c r="F3" s="1">
        <v>0.04</v>
      </c>
      <c r="G3" s="1">
        <v>0.05</v>
      </c>
      <c r="H3" s="1"/>
      <c r="I3" s="1"/>
      <c r="J3" s="1"/>
      <c r="K3" s="1"/>
      <c r="L3" s="1">
        <v>0</v>
      </c>
      <c r="M3" s="1">
        <v>0</v>
      </c>
      <c r="N3" s="1">
        <v>0</v>
      </c>
      <c r="O3" s="1">
        <v>0</v>
      </c>
      <c r="P3" s="1">
        <v>0.08</v>
      </c>
      <c r="Q3" s="1">
        <v>0.13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>
        <v>47</v>
      </c>
      <c r="B4" s="1">
        <v>0</v>
      </c>
      <c r="C4" s="1">
        <v>0</v>
      </c>
      <c r="D4" s="1">
        <v>0</v>
      </c>
      <c r="E4" s="1">
        <v>0</v>
      </c>
      <c r="F4" s="1">
        <v>0.04</v>
      </c>
      <c r="G4" s="1">
        <v>0.05</v>
      </c>
      <c r="H4" s="1"/>
      <c r="I4" s="1"/>
      <c r="J4" s="1"/>
      <c r="K4" s="1"/>
      <c r="L4" s="1">
        <v>0</v>
      </c>
      <c r="M4" s="1">
        <v>0</v>
      </c>
      <c r="N4" s="1">
        <v>0</v>
      </c>
      <c r="O4" s="1">
        <v>0</v>
      </c>
      <c r="P4" s="1">
        <v>0.08</v>
      </c>
      <c r="Q4" s="1">
        <v>0.13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>
        <v>48</v>
      </c>
      <c r="B5" s="1">
        <v>0.04</v>
      </c>
      <c r="C5" s="1">
        <v>0.04</v>
      </c>
      <c r="D5" s="1">
        <v>0.05</v>
      </c>
      <c r="E5" s="1">
        <v>0.05</v>
      </c>
      <c r="F5" s="1">
        <v>0.04</v>
      </c>
      <c r="G5" s="1">
        <v>0.05</v>
      </c>
      <c r="H5" s="1"/>
      <c r="I5" s="1"/>
      <c r="J5" s="1"/>
      <c r="K5" s="1"/>
      <c r="L5" s="1">
        <v>0.04</v>
      </c>
      <c r="M5" s="1">
        <v>0.04</v>
      </c>
      <c r="N5" s="1">
        <v>0.05</v>
      </c>
      <c r="O5" s="1">
        <v>0.05</v>
      </c>
      <c r="P5" s="1">
        <v>0.11</v>
      </c>
      <c r="Q5" s="1">
        <v>0.15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>
        <v>49</v>
      </c>
      <c r="B6" s="1">
        <v>0.04</v>
      </c>
      <c r="C6" s="1">
        <v>0.04</v>
      </c>
      <c r="D6" s="1">
        <v>0.1</v>
      </c>
      <c r="E6" s="1">
        <v>0.09</v>
      </c>
      <c r="F6" s="1">
        <v>0.04</v>
      </c>
      <c r="G6" s="1">
        <v>0.05</v>
      </c>
      <c r="H6" s="1"/>
      <c r="I6" s="1"/>
      <c r="J6" s="1"/>
      <c r="K6" s="1"/>
      <c r="L6" s="1">
        <v>0.04</v>
      </c>
      <c r="M6" s="1">
        <v>0.04</v>
      </c>
      <c r="N6" s="1">
        <v>0.1</v>
      </c>
      <c r="O6" s="1">
        <v>0.09</v>
      </c>
      <c r="P6" s="1">
        <v>0.11</v>
      </c>
      <c r="Q6" s="1">
        <v>0.15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>
        <v>50</v>
      </c>
      <c r="B7" s="1">
        <v>0.04</v>
      </c>
      <c r="C7" s="1">
        <v>0.04</v>
      </c>
      <c r="D7" s="1">
        <v>0.1</v>
      </c>
      <c r="E7" s="1">
        <v>0.09</v>
      </c>
      <c r="F7" s="1">
        <v>0.04</v>
      </c>
      <c r="G7" s="1">
        <v>0.05</v>
      </c>
      <c r="H7" s="1"/>
      <c r="I7" s="1"/>
      <c r="J7" s="1"/>
      <c r="K7" s="1"/>
      <c r="L7" s="1">
        <v>0.04</v>
      </c>
      <c r="M7" s="1">
        <v>0.04</v>
      </c>
      <c r="N7" s="1">
        <v>0.1</v>
      </c>
      <c r="O7" s="1">
        <v>0.09</v>
      </c>
      <c r="P7" s="1">
        <v>0.11</v>
      </c>
      <c r="Q7" s="1">
        <v>0.15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>
        <v>51</v>
      </c>
      <c r="B8" s="1">
        <v>0.04</v>
      </c>
      <c r="C8" s="1">
        <v>0.04</v>
      </c>
      <c r="D8" s="1">
        <v>0.12</v>
      </c>
      <c r="E8" s="1">
        <v>0.09</v>
      </c>
      <c r="F8" s="1">
        <v>0.05</v>
      </c>
      <c r="G8" s="1">
        <v>0.05</v>
      </c>
      <c r="H8" s="1"/>
      <c r="I8" s="1"/>
      <c r="J8" s="1"/>
      <c r="K8" s="1"/>
      <c r="L8" s="1">
        <v>0.04</v>
      </c>
      <c r="M8" s="1">
        <v>0.04</v>
      </c>
      <c r="N8" s="1">
        <v>0.12</v>
      </c>
      <c r="O8" s="1">
        <v>0.09</v>
      </c>
      <c r="P8" s="1">
        <v>0.11</v>
      </c>
      <c r="Q8" s="1">
        <v>0.15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>
        <v>52</v>
      </c>
      <c r="B9" s="1">
        <v>0.04</v>
      </c>
      <c r="C9" s="1">
        <v>0.04</v>
      </c>
      <c r="D9" s="1">
        <v>0.14000000000000001</v>
      </c>
      <c r="E9" s="1">
        <v>0.09</v>
      </c>
      <c r="F9" s="1">
        <v>0.05</v>
      </c>
      <c r="G9" s="1">
        <v>0.05</v>
      </c>
      <c r="H9" s="1">
        <v>0</v>
      </c>
      <c r="I9" s="1">
        <v>0</v>
      </c>
      <c r="J9" s="1">
        <v>0</v>
      </c>
      <c r="K9" s="1">
        <v>0</v>
      </c>
      <c r="L9" s="1">
        <v>0.04</v>
      </c>
      <c r="M9" s="1">
        <v>0.04</v>
      </c>
      <c r="N9" s="1">
        <v>0.14000000000000001</v>
      </c>
      <c r="O9" s="1">
        <v>0.09</v>
      </c>
      <c r="P9" s="1">
        <v>0.11</v>
      </c>
      <c r="Q9" s="1">
        <v>0.15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>
        <v>53</v>
      </c>
      <c r="B10" s="1">
        <v>0.05</v>
      </c>
      <c r="C10" s="1">
        <v>0.04</v>
      </c>
      <c r="D10" s="1">
        <v>0.15</v>
      </c>
      <c r="E10" s="1">
        <v>0.11</v>
      </c>
      <c r="F10" s="1">
        <v>7.0000000000000007E-2</v>
      </c>
      <c r="G10" s="1">
        <v>7.0000000000000007E-2</v>
      </c>
      <c r="H10" s="1">
        <v>0</v>
      </c>
      <c r="I10" s="1">
        <v>0</v>
      </c>
      <c r="J10" s="1">
        <v>0.05</v>
      </c>
      <c r="K10" s="1">
        <v>0.05</v>
      </c>
      <c r="L10" s="1">
        <v>0.05</v>
      </c>
      <c r="M10" s="1">
        <v>0.04</v>
      </c>
      <c r="N10" s="1">
        <v>0.15</v>
      </c>
      <c r="O10" s="1">
        <v>0.11</v>
      </c>
      <c r="P10" s="1">
        <v>0.11</v>
      </c>
      <c r="Q10" s="1">
        <v>0.15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>
        <v>54</v>
      </c>
      <c r="B11" s="1">
        <v>0.05</v>
      </c>
      <c r="C11" s="1">
        <v>0.04</v>
      </c>
      <c r="D11" s="1">
        <v>0.16</v>
      </c>
      <c r="E11" s="1">
        <v>0.12</v>
      </c>
      <c r="F11" s="1">
        <v>7.0000000000000007E-2</v>
      </c>
      <c r="G11" s="1">
        <v>7.0000000000000007E-2</v>
      </c>
      <c r="H11" s="1">
        <v>0</v>
      </c>
      <c r="I11" s="1">
        <v>0</v>
      </c>
      <c r="J11" s="1">
        <v>0.05</v>
      </c>
      <c r="K11" s="1">
        <v>0.05</v>
      </c>
      <c r="L11" s="1">
        <v>0.05</v>
      </c>
      <c r="M11" s="1">
        <v>0.04</v>
      </c>
      <c r="N11" s="1">
        <v>0.16</v>
      </c>
      <c r="O11" s="1">
        <v>0.12</v>
      </c>
      <c r="P11" s="1">
        <v>0.11</v>
      </c>
      <c r="Q11" s="1">
        <v>0.15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>
        <v>55</v>
      </c>
      <c r="B12" s="1">
        <v>0.06</v>
      </c>
      <c r="C12" s="1">
        <v>0.04</v>
      </c>
      <c r="D12" s="1">
        <v>0.18</v>
      </c>
      <c r="E12" s="1">
        <v>0.12</v>
      </c>
      <c r="F12" s="1">
        <v>7.0000000000000007E-2</v>
      </c>
      <c r="G12" s="1">
        <v>7.0000000000000007E-2</v>
      </c>
      <c r="H12" s="1">
        <v>0</v>
      </c>
      <c r="I12" s="1">
        <v>0</v>
      </c>
      <c r="J12" s="1">
        <v>0.05</v>
      </c>
      <c r="K12" s="1">
        <v>0.05</v>
      </c>
      <c r="L12" s="1">
        <v>0.06</v>
      </c>
      <c r="M12" s="1">
        <v>0.04</v>
      </c>
      <c r="N12" s="1">
        <v>0.18</v>
      </c>
      <c r="O12" s="1">
        <v>0.12</v>
      </c>
      <c r="P12" s="1">
        <v>0.11</v>
      </c>
      <c r="Q12" s="1">
        <v>0.36</v>
      </c>
      <c r="R12" s="1">
        <v>0</v>
      </c>
      <c r="S12" s="1">
        <v>0</v>
      </c>
      <c r="T12" s="1">
        <v>0</v>
      </c>
      <c r="U12" s="1">
        <v>0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>
        <v>56</v>
      </c>
      <c r="B13" s="1">
        <v>0.06</v>
      </c>
      <c r="C13" s="1">
        <v>0.05</v>
      </c>
      <c r="D13" s="1">
        <v>0.2</v>
      </c>
      <c r="E13" s="1">
        <v>0.15</v>
      </c>
      <c r="F13" s="1">
        <v>7.0000000000000007E-2</v>
      </c>
      <c r="G13" s="1">
        <v>7.0000000000000007E-2</v>
      </c>
      <c r="H13" s="1">
        <v>0</v>
      </c>
      <c r="I13" s="1">
        <v>0</v>
      </c>
      <c r="J13" s="1">
        <v>0.05</v>
      </c>
      <c r="K13" s="1">
        <v>0.05</v>
      </c>
      <c r="L13" s="1">
        <v>0.06</v>
      </c>
      <c r="M13" s="1">
        <v>0.05</v>
      </c>
      <c r="N13" s="1">
        <v>0.2</v>
      </c>
      <c r="O13" s="1">
        <v>0.15</v>
      </c>
      <c r="P13" s="1">
        <v>0.11</v>
      </c>
      <c r="Q13" s="1">
        <v>0.05</v>
      </c>
      <c r="R13" s="1">
        <v>0</v>
      </c>
      <c r="S13" s="1">
        <v>0</v>
      </c>
      <c r="T13" s="1">
        <v>0.05</v>
      </c>
      <c r="U13" s="1">
        <v>0.05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>
        <v>57</v>
      </c>
      <c r="B14" s="1">
        <v>0.1</v>
      </c>
      <c r="C14" s="1">
        <v>0.08</v>
      </c>
      <c r="D14" s="1">
        <v>0.55000000000000004</v>
      </c>
      <c r="E14" s="1">
        <v>0.55000000000000004</v>
      </c>
      <c r="F14" s="1">
        <v>7.0000000000000007E-2</v>
      </c>
      <c r="G14" s="1">
        <v>7.0000000000000007E-2</v>
      </c>
      <c r="H14" s="1">
        <v>0</v>
      </c>
      <c r="I14" s="1">
        <v>0</v>
      </c>
      <c r="J14" s="1">
        <v>0.05</v>
      </c>
      <c r="K14" s="1">
        <v>0.05</v>
      </c>
      <c r="L14" s="1">
        <v>0.1</v>
      </c>
      <c r="M14" s="1">
        <v>0.08</v>
      </c>
      <c r="N14" s="1">
        <v>0.2</v>
      </c>
      <c r="O14" s="1">
        <v>0.15</v>
      </c>
      <c r="P14" s="1">
        <v>0.11</v>
      </c>
      <c r="Q14" s="1">
        <v>0.05</v>
      </c>
      <c r="R14" s="1">
        <v>0</v>
      </c>
      <c r="S14" s="1">
        <v>0</v>
      </c>
      <c r="T14" s="1">
        <v>0.05</v>
      </c>
      <c r="U14" s="1">
        <v>0.05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>
        <v>58</v>
      </c>
      <c r="B15" s="1">
        <v>0.1</v>
      </c>
      <c r="C15" s="1">
        <v>0.08</v>
      </c>
      <c r="D15" s="1">
        <v>0.55000000000000004</v>
      </c>
      <c r="E15" s="1">
        <v>0.5</v>
      </c>
      <c r="F15" s="1">
        <v>7.0000000000000007E-2</v>
      </c>
      <c r="G15" s="1">
        <v>7.0000000000000007E-2</v>
      </c>
      <c r="H15" s="1">
        <v>0.02</v>
      </c>
      <c r="I15" s="1">
        <v>0.02</v>
      </c>
      <c r="J15" s="1">
        <v>0.05</v>
      </c>
      <c r="K15" s="1">
        <v>0.05</v>
      </c>
      <c r="L15" s="1">
        <v>0.1</v>
      </c>
      <c r="M15" s="1">
        <v>0.08</v>
      </c>
      <c r="N15" s="1">
        <v>0.2</v>
      </c>
      <c r="O15" s="1">
        <v>0.15</v>
      </c>
      <c r="P15" s="1">
        <v>0.11</v>
      </c>
      <c r="Q15" s="1">
        <v>0.05</v>
      </c>
      <c r="R15" s="1">
        <v>0</v>
      </c>
      <c r="S15" s="1">
        <v>0</v>
      </c>
      <c r="T15" s="1">
        <v>0.05</v>
      </c>
      <c r="U15" s="1">
        <v>0.05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>
        <v>59</v>
      </c>
      <c r="B16" s="1">
        <v>0.1</v>
      </c>
      <c r="C16" s="1">
        <v>0.09</v>
      </c>
      <c r="D16" s="1">
        <v>0.55000000000000004</v>
      </c>
      <c r="E16" s="1">
        <v>0.5</v>
      </c>
      <c r="F16" s="1">
        <v>7.0000000000000007E-2</v>
      </c>
      <c r="G16" s="1">
        <v>7.0000000000000007E-2</v>
      </c>
      <c r="H16" s="1">
        <v>0.05</v>
      </c>
      <c r="I16" s="1">
        <v>0.02</v>
      </c>
      <c r="J16" s="1">
        <v>0.05</v>
      </c>
      <c r="K16" s="1">
        <v>0.05</v>
      </c>
      <c r="L16" s="1">
        <v>0.1</v>
      </c>
      <c r="M16" s="1">
        <v>0.09</v>
      </c>
      <c r="N16" s="1">
        <v>0.2</v>
      </c>
      <c r="O16" s="1">
        <v>0.15</v>
      </c>
      <c r="P16" s="1">
        <v>0.11</v>
      </c>
      <c r="Q16" s="1">
        <v>0.05</v>
      </c>
      <c r="R16" s="1">
        <v>0</v>
      </c>
      <c r="S16" s="1">
        <v>0</v>
      </c>
      <c r="T16" s="1">
        <v>0.05</v>
      </c>
      <c r="U16" s="1">
        <v>0.05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>
        <v>60</v>
      </c>
      <c r="B17" s="1">
        <v>0.13</v>
      </c>
      <c r="C17" s="1">
        <v>0.09</v>
      </c>
      <c r="D17" s="1">
        <v>0.55000000000000004</v>
      </c>
      <c r="E17" s="1">
        <v>0.5</v>
      </c>
      <c r="F17" s="1">
        <v>7.0000000000000007E-2</v>
      </c>
      <c r="G17" s="1">
        <v>7.0000000000000007E-2</v>
      </c>
      <c r="H17" s="1">
        <v>0.05</v>
      </c>
      <c r="I17" s="1">
        <v>0.05</v>
      </c>
      <c r="J17" s="1">
        <v>7.0000000000000007E-2</v>
      </c>
      <c r="K17" s="1">
        <v>7.0000000000000007E-2</v>
      </c>
      <c r="L17" s="1">
        <v>0.13</v>
      </c>
      <c r="M17" s="1">
        <v>0.09</v>
      </c>
      <c r="N17" s="1">
        <v>0.55000000000000004</v>
      </c>
      <c r="O17" s="1">
        <v>0.55000000000000004</v>
      </c>
      <c r="P17" s="1">
        <v>0.2</v>
      </c>
      <c r="Q17" s="1">
        <v>0.05</v>
      </c>
      <c r="R17" s="1">
        <v>0</v>
      </c>
      <c r="S17" s="1">
        <v>0</v>
      </c>
      <c r="T17" s="1">
        <v>7.0000000000000007E-2</v>
      </c>
      <c r="U17" s="1">
        <v>7.0000000000000007E-2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>
        <v>61</v>
      </c>
      <c r="B18" s="1">
        <v>0.16</v>
      </c>
      <c r="C18" s="1">
        <v>0.14000000000000001</v>
      </c>
      <c r="D18" s="1">
        <v>0.55000000000000004</v>
      </c>
      <c r="E18" s="1">
        <v>0.5</v>
      </c>
      <c r="F18" s="1">
        <v>7.0000000000000007E-2</v>
      </c>
      <c r="G18" s="1">
        <v>7.0000000000000007E-2</v>
      </c>
      <c r="H18" s="1">
        <v>0.05</v>
      </c>
      <c r="I18" s="1">
        <v>0.05</v>
      </c>
      <c r="J18" s="1">
        <v>0.09</v>
      </c>
      <c r="K18" s="1">
        <v>0.09</v>
      </c>
      <c r="L18" s="1">
        <v>0.16</v>
      </c>
      <c r="M18" s="1">
        <v>0.14000000000000001</v>
      </c>
      <c r="N18" s="1">
        <v>0.55000000000000004</v>
      </c>
      <c r="O18" s="1">
        <v>0.49</v>
      </c>
      <c r="P18" s="1">
        <v>0.05</v>
      </c>
      <c r="Q18" s="1">
        <v>0.05</v>
      </c>
      <c r="R18" s="1">
        <v>0.05</v>
      </c>
      <c r="S18" s="1">
        <v>0.05</v>
      </c>
      <c r="T18" s="1">
        <v>0.09</v>
      </c>
      <c r="U18" s="1">
        <v>0.09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>
        <v>62</v>
      </c>
      <c r="B19" s="1">
        <v>0.26</v>
      </c>
      <c r="C19" s="1">
        <v>0.19</v>
      </c>
      <c r="D19" s="1">
        <v>0.46500000000000002</v>
      </c>
      <c r="E19" s="1">
        <v>0.42499999999999999</v>
      </c>
      <c r="F19" s="1">
        <v>7.0000000000000007E-2</v>
      </c>
      <c r="G19" s="1">
        <v>7.0000000000000007E-2</v>
      </c>
      <c r="H19" s="1">
        <v>0.08</v>
      </c>
      <c r="I19" s="1">
        <v>0.11</v>
      </c>
      <c r="J19" s="1">
        <v>0.2</v>
      </c>
      <c r="K19" s="1">
        <v>0.2</v>
      </c>
      <c r="L19" s="1">
        <v>0.16</v>
      </c>
      <c r="M19" s="1">
        <v>0.14000000000000001</v>
      </c>
      <c r="N19" s="1">
        <v>0.495</v>
      </c>
      <c r="O19" s="1">
        <v>0.43</v>
      </c>
      <c r="P19" s="1">
        <v>0.05</v>
      </c>
      <c r="Q19" s="1">
        <v>0.05</v>
      </c>
      <c r="R19" s="1">
        <v>0.05</v>
      </c>
      <c r="S19" s="1">
        <v>0.05</v>
      </c>
      <c r="T19" s="1">
        <v>0.2</v>
      </c>
      <c r="U19" s="1">
        <v>0.2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>
        <v>63</v>
      </c>
      <c r="B20" s="1">
        <v>0.08</v>
      </c>
      <c r="C20" s="1">
        <v>0.06</v>
      </c>
      <c r="D20" s="1">
        <v>0.05</v>
      </c>
      <c r="E20" s="1">
        <v>0.05</v>
      </c>
      <c r="F20" s="1">
        <v>7.0000000000000007E-2</v>
      </c>
      <c r="G20" s="1">
        <v>7.0000000000000007E-2</v>
      </c>
      <c r="H20" s="1">
        <v>0.08</v>
      </c>
      <c r="I20" s="1">
        <v>0.08</v>
      </c>
      <c r="J20" s="1">
        <v>0.14000000000000001</v>
      </c>
      <c r="K20" s="1">
        <v>0.14000000000000001</v>
      </c>
      <c r="L20" s="1">
        <v>0.16</v>
      </c>
      <c r="M20" s="1">
        <v>0.14000000000000001</v>
      </c>
      <c r="N20" s="1">
        <v>0.43</v>
      </c>
      <c r="O20" s="1">
        <v>0.37</v>
      </c>
      <c r="P20" s="1">
        <v>0.05</v>
      </c>
      <c r="Q20" s="1">
        <v>0.05</v>
      </c>
      <c r="R20" s="1">
        <v>0.05</v>
      </c>
      <c r="S20" s="1">
        <v>0.05</v>
      </c>
      <c r="T20" s="1">
        <v>0.14000000000000001</v>
      </c>
      <c r="U20" s="1">
        <v>0.14000000000000001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>
        <v>64</v>
      </c>
      <c r="B21" s="1">
        <v>0.05</v>
      </c>
      <c r="C21" s="1">
        <v>0.05</v>
      </c>
      <c r="D21" s="1">
        <v>0.05</v>
      </c>
      <c r="E21" s="1">
        <v>0.05</v>
      </c>
      <c r="F21" s="1">
        <v>7.0000000000000007E-2</v>
      </c>
      <c r="G21" s="1">
        <v>7.0000000000000007E-2</v>
      </c>
      <c r="H21" s="1">
        <v>0.08</v>
      </c>
      <c r="I21" s="1">
        <v>0.08</v>
      </c>
      <c r="J21" s="1">
        <v>0.14000000000000001</v>
      </c>
      <c r="K21" s="1">
        <v>0.14000000000000001</v>
      </c>
      <c r="L21" s="1">
        <v>0.16</v>
      </c>
      <c r="M21" s="1">
        <v>0.14000000000000001</v>
      </c>
      <c r="N21" s="1">
        <v>0.36499999999999999</v>
      </c>
      <c r="O21" s="1">
        <v>0.31</v>
      </c>
      <c r="P21" s="1">
        <v>0.05</v>
      </c>
      <c r="Q21" s="1">
        <v>0.05</v>
      </c>
      <c r="R21" s="1">
        <v>0.05</v>
      </c>
      <c r="S21" s="1">
        <v>0.05</v>
      </c>
      <c r="T21" s="1">
        <v>0.14000000000000001</v>
      </c>
      <c r="U21" s="1">
        <v>0.14000000000000001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>
        <v>65</v>
      </c>
      <c r="B22" s="1">
        <v>0.05</v>
      </c>
      <c r="C22" s="1">
        <v>0.03</v>
      </c>
      <c r="D22" s="1">
        <v>0.05</v>
      </c>
      <c r="E22" s="1">
        <v>0.05</v>
      </c>
      <c r="F22" s="1">
        <v>7.0000000000000007E-2</v>
      </c>
      <c r="G22" s="1">
        <v>7.0000000000000007E-2</v>
      </c>
      <c r="H22" s="1">
        <v>0.15</v>
      </c>
      <c r="I22" s="1">
        <v>0.13</v>
      </c>
      <c r="J22" s="1">
        <v>0.2</v>
      </c>
      <c r="K22" s="1">
        <v>0.2</v>
      </c>
      <c r="L22" s="1">
        <v>0.16</v>
      </c>
      <c r="M22" s="1">
        <v>0.03</v>
      </c>
      <c r="N22" s="1">
        <v>0.3</v>
      </c>
      <c r="O22" s="1">
        <v>0.25</v>
      </c>
      <c r="P22" s="1">
        <v>0.05</v>
      </c>
      <c r="Q22" s="1">
        <v>0.05</v>
      </c>
      <c r="R22" s="1">
        <v>0.15</v>
      </c>
      <c r="S22" s="1">
        <v>0.13</v>
      </c>
      <c r="T22" s="1">
        <v>0.2</v>
      </c>
      <c r="U22" s="1">
        <v>0.2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>
        <v>66</v>
      </c>
      <c r="B23" s="1">
        <v>0.03</v>
      </c>
      <c r="C23" s="1">
        <v>0.03</v>
      </c>
      <c r="D23" s="1">
        <v>0.05</v>
      </c>
      <c r="E23" s="1">
        <v>0.05</v>
      </c>
      <c r="F23" s="1">
        <v>7.0000000000000007E-2</v>
      </c>
      <c r="G23" s="1">
        <v>7.0000000000000007E-2</v>
      </c>
      <c r="H23" s="1">
        <v>0.15</v>
      </c>
      <c r="I23" s="1">
        <v>0.13</v>
      </c>
      <c r="J23" s="1">
        <v>0.25</v>
      </c>
      <c r="K23" s="1">
        <v>0.25</v>
      </c>
      <c r="L23" s="1">
        <v>0.03</v>
      </c>
      <c r="M23" s="1">
        <v>0.03</v>
      </c>
      <c r="N23" s="1">
        <v>0.05</v>
      </c>
      <c r="O23" s="1">
        <v>0.05</v>
      </c>
      <c r="P23" s="1">
        <v>0.05</v>
      </c>
      <c r="Q23" s="1">
        <v>0.05</v>
      </c>
      <c r="R23" s="1">
        <v>0.15</v>
      </c>
      <c r="S23" s="1">
        <v>0.13</v>
      </c>
      <c r="T23" s="1">
        <v>0.25</v>
      </c>
      <c r="U23" s="1">
        <v>0.25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>
        <v>67</v>
      </c>
      <c r="B24" s="1">
        <v>0.03</v>
      </c>
      <c r="C24" s="1">
        <v>0.03</v>
      </c>
      <c r="D24" s="1">
        <v>0.05</v>
      </c>
      <c r="E24" s="1">
        <v>0.05</v>
      </c>
      <c r="F24" s="1">
        <v>7.0000000000000007E-2</v>
      </c>
      <c r="G24" s="1">
        <v>7.0000000000000007E-2</v>
      </c>
      <c r="H24" s="1">
        <v>0.15</v>
      </c>
      <c r="I24" s="1">
        <v>0.13</v>
      </c>
      <c r="J24" s="1">
        <v>0.25</v>
      </c>
      <c r="K24" s="1">
        <v>0.25</v>
      </c>
      <c r="L24" s="1">
        <v>0.03</v>
      </c>
      <c r="M24" s="1">
        <v>0.03</v>
      </c>
      <c r="N24" s="1">
        <v>0.05</v>
      </c>
      <c r="O24" s="1">
        <v>0.05</v>
      </c>
      <c r="P24" s="1">
        <v>0.05</v>
      </c>
      <c r="Q24" s="1">
        <v>0.05</v>
      </c>
      <c r="R24" s="1">
        <v>0.15</v>
      </c>
      <c r="S24" s="1">
        <v>0.13</v>
      </c>
      <c r="T24" s="1">
        <v>0.25</v>
      </c>
      <c r="U24" s="1">
        <v>0.25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>
        <v>68</v>
      </c>
      <c r="B25" s="1">
        <v>0.03</v>
      </c>
      <c r="C25" s="1">
        <v>0.03</v>
      </c>
      <c r="D25" s="1">
        <v>0.05</v>
      </c>
      <c r="E25" s="1">
        <v>0.05</v>
      </c>
      <c r="F25" s="1">
        <v>7.0000000000000007E-2</v>
      </c>
      <c r="G25" s="1">
        <v>7.0000000000000007E-2</v>
      </c>
      <c r="H25" s="1">
        <v>0.15</v>
      </c>
      <c r="I25" s="1">
        <v>0.13</v>
      </c>
      <c r="J25" s="1">
        <v>0.25</v>
      </c>
      <c r="K25" s="1">
        <v>0.25</v>
      </c>
      <c r="L25" s="1">
        <v>0.03</v>
      </c>
      <c r="M25" s="1">
        <v>0.03</v>
      </c>
      <c r="N25" s="1">
        <v>0.05</v>
      </c>
      <c r="O25" s="1">
        <v>0.05</v>
      </c>
      <c r="P25" s="1">
        <v>0.05</v>
      </c>
      <c r="Q25" s="1">
        <v>0.05</v>
      </c>
      <c r="R25" s="1">
        <v>0.15</v>
      </c>
      <c r="S25" s="1">
        <v>0.13</v>
      </c>
      <c r="T25" s="1">
        <v>0.25</v>
      </c>
      <c r="U25" s="1">
        <v>0.25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>
        <v>69</v>
      </c>
      <c r="B26" s="1">
        <v>0.03</v>
      </c>
      <c r="C26" s="1">
        <v>0.03</v>
      </c>
      <c r="D26" s="1">
        <v>0.05</v>
      </c>
      <c r="E26" s="1">
        <v>0.05</v>
      </c>
      <c r="F26" s="1">
        <v>7.0000000000000007E-2</v>
      </c>
      <c r="G26" s="1">
        <v>7.0000000000000007E-2</v>
      </c>
      <c r="H26" s="1">
        <v>0.15</v>
      </c>
      <c r="I26" s="1">
        <v>0.13</v>
      </c>
      <c r="J26" s="1">
        <v>0.25</v>
      </c>
      <c r="K26" s="1">
        <v>0.25</v>
      </c>
      <c r="L26" s="1">
        <v>0.03</v>
      </c>
      <c r="M26" s="1">
        <v>0.03</v>
      </c>
      <c r="N26" s="1">
        <v>0.05</v>
      </c>
      <c r="O26" s="1">
        <v>0.05</v>
      </c>
      <c r="P26" s="1">
        <v>0.05</v>
      </c>
      <c r="Q26" s="1">
        <v>0.05</v>
      </c>
      <c r="R26" s="1">
        <v>0.15</v>
      </c>
      <c r="S26" s="1">
        <v>0.13</v>
      </c>
      <c r="T26" s="1">
        <v>0.25</v>
      </c>
      <c r="U26" s="1">
        <v>0.25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>
        <v>70</v>
      </c>
      <c r="B27" s="1">
        <v>0.03</v>
      </c>
      <c r="C27" s="1">
        <v>0.03</v>
      </c>
      <c r="D27" s="1">
        <v>0.05</v>
      </c>
      <c r="E27" s="1">
        <v>0.05</v>
      </c>
      <c r="F27" s="1">
        <v>1</v>
      </c>
      <c r="G27" s="1">
        <v>1</v>
      </c>
      <c r="H27" s="1">
        <v>0.15</v>
      </c>
      <c r="I27" s="1">
        <v>0.13</v>
      </c>
      <c r="J27" s="1">
        <v>1</v>
      </c>
      <c r="K27" s="1">
        <v>1</v>
      </c>
      <c r="L27" s="1">
        <v>0.03</v>
      </c>
      <c r="M27" s="1">
        <v>0.03</v>
      </c>
      <c r="N27" s="1">
        <v>0.05</v>
      </c>
      <c r="O27" s="1">
        <v>0.05</v>
      </c>
      <c r="P27" s="1">
        <v>0</v>
      </c>
      <c r="Q27" s="1">
        <v>0</v>
      </c>
      <c r="R27" s="1">
        <v>0.15</v>
      </c>
      <c r="S27" s="1">
        <v>0.13</v>
      </c>
      <c r="T27" s="1">
        <v>1</v>
      </c>
      <c r="U27" s="1">
        <v>1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>
        <v>71</v>
      </c>
      <c r="B28" s="1">
        <v>0.03</v>
      </c>
      <c r="C28" s="1">
        <v>0.03</v>
      </c>
      <c r="D28" s="1">
        <v>0.05</v>
      </c>
      <c r="E28" s="1">
        <v>0.05</v>
      </c>
      <c r="F28" s="1">
        <v>1</v>
      </c>
      <c r="G28" s="1">
        <v>1</v>
      </c>
      <c r="H28" s="1">
        <v>0.15</v>
      </c>
      <c r="I28" s="1">
        <v>0.13</v>
      </c>
      <c r="J28" s="1">
        <v>1</v>
      </c>
      <c r="K28" s="1">
        <v>1</v>
      </c>
      <c r="L28" s="1">
        <v>0.03</v>
      </c>
      <c r="M28" s="1">
        <v>0.03</v>
      </c>
      <c r="N28" s="1">
        <v>0.05</v>
      </c>
      <c r="O28" s="1">
        <v>0.05</v>
      </c>
      <c r="P28" s="1">
        <v>0</v>
      </c>
      <c r="Q28" s="1">
        <v>0</v>
      </c>
      <c r="R28" s="1">
        <v>0.15</v>
      </c>
      <c r="S28" s="1">
        <v>0.13</v>
      </c>
      <c r="T28" s="1">
        <v>1</v>
      </c>
      <c r="U28" s="1">
        <v>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>
        <v>72</v>
      </c>
      <c r="B29" s="1">
        <v>0.03</v>
      </c>
      <c r="C29" s="1">
        <v>0.03</v>
      </c>
      <c r="D29" s="1">
        <v>0.05</v>
      </c>
      <c r="E29" s="1">
        <v>0.05</v>
      </c>
      <c r="F29" s="1">
        <v>1</v>
      </c>
      <c r="G29" s="1">
        <v>1</v>
      </c>
      <c r="H29" s="1">
        <v>0.15</v>
      </c>
      <c r="I29" s="1">
        <v>0.13</v>
      </c>
      <c r="J29" s="1">
        <v>1</v>
      </c>
      <c r="K29" s="1">
        <v>1</v>
      </c>
      <c r="L29" s="1">
        <v>0.03</v>
      </c>
      <c r="M29" s="1">
        <v>0.03</v>
      </c>
      <c r="N29" s="1">
        <v>0.05</v>
      </c>
      <c r="O29" s="1">
        <v>0.05</v>
      </c>
      <c r="P29" s="1">
        <v>0</v>
      </c>
      <c r="Q29" s="1">
        <v>0</v>
      </c>
      <c r="R29" s="1">
        <v>0.15</v>
      </c>
      <c r="S29" s="1">
        <v>0.13</v>
      </c>
      <c r="T29" s="1">
        <v>1</v>
      </c>
      <c r="U29" s="1">
        <v>1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>
        <v>73</v>
      </c>
      <c r="B30" s="1">
        <v>0.03</v>
      </c>
      <c r="C30" s="1">
        <v>0.03</v>
      </c>
      <c r="D30" s="1">
        <v>0.05</v>
      </c>
      <c r="E30" s="1">
        <v>0.05</v>
      </c>
      <c r="F30" s="1">
        <v>1</v>
      </c>
      <c r="G30" s="1">
        <v>1</v>
      </c>
      <c r="H30" s="1">
        <v>0.15</v>
      </c>
      <c r="I30" s="1">
        <v>0.13</v>
      </c>
      <c r="J30" s="1">
        <v>1</v>
      </c>
      <c r="K30" s="1">
        <v>1</v>
      </c>
      <c r="L30" s="1">
        <v>0.03</v>
      </c>
      <c r="M30" s="1">
        <v>0.03</v>
      </c>
      <c r="N30" s="1">
        <v>0.05</v>
      </c>
      <c r="O30" s="1">
        <v>0.05</v>
      </c>
      <c r="P30" s="1">
        <v>0</v>
      </c>
      <c r="Q30" s="1">
        <v>0</v>
      </c>
      <c r="R30" s="1">
        <v>0.15</v>
      </c>
      <c r="S30" s="1">
        <v>0.13</v>
      </c>
      <c r="T30" s="1">
        <v>1</v>
      </c>
      <c r="U30" s="1">
        <v>1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>
        <v>74</v>
      </c>
      <c r="B31" s="1">
        <v>0.03</v>
      </c>
      <c r="C31" s="1">
        <v>0.03</v>
      </c>
      <c r="D31" s="1">
        <v>0.05</v>
      </c>
      <c r="E31" s="1">
        <v>0.05</v>
      </c>
      <c r="F31" s="1">
        <v>1</v>
      </c>
      <c r="G31" s="1">
        <v>1</v>
      </c>
      <c r="H31" s="1">
        <v>0.15</v>
      </c>
      <c r="I31" s="1">
        <v>0.13</v>
      </c>
      <c r="J31" s="1">
        <v>1</v>
      </c>
      <c r="K31" s="1">
        <v>1</v>
      </c>
      <c r="L31" s="1">
        <v>0.03</v>
      </c>
      <c r="M31" s="1">
        <v>0.03</v>
      </c>
      <c r="N31" s="1">
        <v>0.05</v>
      </c>
      <c r="O31" s="1">
        <v>0.05</v>
      </c>
      <c r="P31" s="1">
        <v>0</v>
      </c>
      <c r="Q31" s="1">
        <v>0</v>
      </c>
      <c r="R31" s="1">
        <v>0.15</v>
      </c>
      <c r="S31" s="1">
        <v>0.13</v>
      </c>
      <c r="T31" s="1">
        <v>1</v>
      </c>
      <c r="U31" s="1">
        <v>1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>
        <v>75</v>
      </c>
      <c r="B32" s="1">
        <v>0.03</v>
      </c>
      <c r="C32" s="1">
        <v>0.03</v>
      </c>
      <c r="D32" s="1">
        <v>0.05</v>
      </c>
      <c r="E32" s="1">
        <v>0.05</v>
      </c>
      <c r="F32" s="1">
        <v>1</v>
      </c>
      <c r="G32" s="1">
        <v>1</v>
      </c>
      <c r="H32" s="1">
        <v>0.15</v>
      </c>
      <c r="I32" s="1">
        <v>0.13</v>
      </c>
      <c r="J32" s="1">
        <v>1</v>
      </c>
      <c r="K32" s="1">
        <v>1</v>
      </c>
      <c r="L32" s="1">
        <v>0.03</v>
      </c>
      <c r="M32" s="1">
        <v>0.03</v>
      </c>
      <c r="N32" s="1">
        <v>0.05</v>
      </c>
      <c r="O32" s="1">
        <v>0.05</v>
      </c>
      <c r="P32" s="1">
        <v>0</v>
      </c>
      <c r="Q32" s="1">
        <v>0</v>
      </c>
      <c r="R32" s="1">
        <v>0.15</v>
      </c>
      <c r="S32" s="1">
        <v>0.13</v>
      </c>
      <c r="T32" s="1">
        <v>1</v>
      </c>
      <c r="U32" s="1">
        <v>1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>
        <v>76</v>
      </c>
      <c r="B33" s="1">
        <v>0.03</v>
      </c>
      <c r="C33" s="1">
        <v>0.03</v>
      </c>
      <c r="D33" s="1">
        <v>0.05</v>
      </c>
      <c r="E33" s="1">
        <v>0.05</v>
      </c>
      <c r="F33" s="1">
        <v>1</v>
      </c>
      <c r="G33" s="1">
        <v>1</v>
      </c>
      <c r="H33" s="1">
        <v>0.15</v>
      </c>
      <c r="I33" s="1">
        <v>0.13</v>
      </c>
      <c r="J33" s="1">
        <v>1</v>
      </c>
      <c r="K33" s="1">
        <v>1</v>
      </c>
      <c r="L33" s="1">
        <v>0.03</v>
      </c>
      <c r="M33" s="1">
        <v>0.03</v>
      </c>
      <c r="N33" s="1">
        <v>0.05</v>
      </c>
      <c r="O33" s="1">
        <v>0.05</v>
      </c>
      <c r="P33" s="1">
        <v>0</v>
      </c>
      <c r="Q33" s="1">
        <v>0</v>
      </c>
      <c r="R33" s="1">
        <v>0.15</v>
      </c>
      <c r="S33" s="1">
        <v>0.13</v>
      </c>
      <c r="T33" s="1">
        <v>1</v>
      </c>
      <c r="U33" s="1">
        <v>1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>
        <v>77</v>
      </c>
      <c r="B34" s="1">
        <v>0.03</v>
      </c>
      <c r="C34" s="1">
        <v>0.03</v>
      </c>
      <c r="D34" s="1">
        <v>0.05</v>
      </c>
      <c r="E34" s="1">
        <v>0.05</v>
      </c>
      <c r="F34" s="1">
        <v>1</v>
      </c>
      <c r="G34" s="1">
        <v>1</v>
      </c>
      <c r="H34" s="1">
        <v>0.15</v>
      </c>
      <c r="I34" s="1">
        <v>0.13</v>
      </c>
      <c r="J34" s="1">
        <v>1</v>
      </c>
      <c r="K34" s="1">
        <v>1</v>
      </c>
      <c r="L34" s="1">
        <v>0.03</v>
      </c>
      <c r="M34" s="1">
        <v>0.03</v>
      </c>
      <c r="N34" s="1">
        <v>0.05</v>
      </c>
      <c r="O34" s="1">
        <v>0.05</v>
      </c>
      <c r="P34" s="1">
        <v>0</v>
      </c>
      <c r="Q34" s="1">
        <v>0</v>
      </c>
      <c r="R34" s="1">
        <v>0.15</v>
      </c>
      <c r="S34" s="1">
        <v>0.13</v>
      </c>
      <c r="T34" s="1">
        <v>1</v>
      </c>
      <c r="U34" s="1">
        <v>1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>
        <v>78</v>
      </c>
      <c r="B35" s="1">
        <v>0.03</v>
      </c>
      <c r="C35" s="1">
        <v>0.03</v>
      </c>
      <c r="D35" s="1">
        <v>0.05</v>
      </c>
      <c r="E35" s="1">
        <v>0.05</v>
      </c>
      <c r="F35" s="1">
        <v>1</v>
      </c>
      <c r="G35" s="1">
        <v>1</v>
      </c>
      <c r="H35" s="1">
        <v>0.15</v>
      </c>
      <c r="I35" s="1">
        <v>0.13</v>
      </c>
      <c r="J35" s="1">
        <v>1</v>
      </c>
      <c r="K35" s="1">
        <v>1</v>
      </c>
      <c r="L35" s="1">
        <v>0.03</v>
      </c>
      <c r="M35" s="1">
        <v>0.03</v>
      </c>
      <c r="N35" s="1">
        <v>0.05</v>
      </c>
      <c r="O35" s="1">
        <v>0.05</v>
      </c>
      <c r="P35" s="1">
        <v>0</v>
      </c>
      <c r="Q35" s="1">
        <v>0</v>
      </c>
      <c r="R35" s="1">
        <v>0.15</v>
      </c>
      <c r="S35" s="1">
        <v>0.13</v>
      </c>
      <c r="T35" s="1">
        <v>1</v>
      </c>
      <c r="U35" s="1">
        <v>1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>
        <v>79</v>
      </c>
      <c r="B36" s="1">
        <v>0.03</v>
      </c>
      <c r="C36" s="1">
        <v>0.03</v>
      </c>
      <c r="D36" s="1">
        <v>0.05</v>
      </c>
      <c r="E36" s="1">
        <v>0.05</v>
      </c>
      <c r="F36" s="1">
        <v>1</v>
      </c>
      <c r="G36" s="1">
        <v>1</v>
      </c>
      <c r="H36" s="1">
        <v>0.15</v>
      </c>
      <c r="I36" s="1">
        <v>0.13</v>
      </c>
      <c r="J36" s="1">
        <v>1</v>
      </c>
      <c r="K36" s="1">
        <v>1</v>
      </c>
      <c r="L36" s="1">
        <v>0.03</v>
      </c>
      <c r="M36" s="1">
        <v>0.03</v>
      </c>
      <c r="N36" s="1">
        <v>0.05</v>
      </c>
      <c r="O36" s="1">
        <v>0.05</v>
      </c>
      <c r="P36" s="1">
        <v>0</v>
      </c>
      <c r="Q36" s="1">
        <v>0</v>
      </c>
      <c r="R36" s="1">
        <v>0.15</v>
      </c>
      <c r="S36" s="1">
        <v>0.13</v>
      </c>
      <c r="T36" s="1">
        <v>1</v>
      </c>
      <c r="U36" s="1">
        <v>1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>
        <v>80</v>
      </c>
      <c r="B37" s="3">
        <v>0</v>
      </c>
      <c r="C37" s="3">
        <v>0</v>
      </c>
      <c r="D37" s="3">
        <v>0</v>
      </c>
      <c r="E37" s="3">
        <v>0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1</v>
      </c>
      <c r="U37" s="3">
        <v>1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>
        <v>81</v>
      </c>
      <c r="B38" s="3">
        <v>0</v>
      </c>
      <c r="C38" s="3">
        <v>0</v>
      </c>
      <c r="D38" s="3">
        <v>0</v>
      </c>
      <c r="E38" s="3">
        <v>0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1</v>
      </c>
      <c r="U38" s="3">
        <v>1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>
        <v>82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>
        <v>83</v>
      </c>
      <c r="B40" s="3">
        <v>0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1</v>
      </c>
      <c r="U40" s="3">
        <v>1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>
        <v>84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>
        <v>85</v>
      </c>
      <c r="B42" s="3">
        <v>0</v>
      </c>
      <c r="C42" s="3">
        <v>0</v>
      </c>
      <c r="D42" s="3">
        <v>0</v>
      </c>
      <c r="E42" s="3">
        <v>0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>
        <v>86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1</v>
      </c>
      <c r="U43" s="3">
        <v>1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>
        <v>87</v>
      </c>
      <c r="B44" s="3">
        <v>0</v>
      </c>
      <c r="C44" s="3">
        <v>0</v>
      </c>
      <c r="D44" s="3">
        <v>0</v>
      </c>
      <c r="E44" s="3">
        <v>0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1</v>
      </c>
      <c r="U44" s="3">
        <v>1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>
        <v>88</v>
      </c>
      <c r="B45" s="3">
        <v>0</v>
      </c>
      <c r="C45" s="3">
        <v>0</v>
      </c>
      <c r="D45" s="3">
        <v>0</v>
      </c>
      <c r="E45" s="3">
        <v>0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1</v>
      </c>
      <c r="U45" s="3">
        <v>1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>
        <v>89</v>
      </c>
      <c r="B46" s="3">
        <v>0</v>
      </c>
      <c r="C46" s="3">
        <v>0</v>
      </c>
      <c r="D46" s="3">
        <v>0</v>
      </c>
      <c r="E46" s="3">
        <v>0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1</v>
      </c>
      <c r="U46" s="3">
        <v>1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>
        <v>90</v>
      </c>
      <c r="B47" s="3">
        <v>0</v>
      </c>
      <c r="C47" s="3">
        <v>0</v>
      </c>
      <c r="D47" s="3">
        <v>0</v>
      </c>
      <c r="E47" s="3">
        <v>0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1</v>
      </c>
      <c r="U47" s="3">
        <v>1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>
        <v>91</v>
      </c>
      <c r="B48" s="3">
        <v>0</v>
      </c>
      <c r="C48" s="3">
        <v>0</v>
      </c>
      <c r="D48" s="3">
        <v>0</v>
      </c>
      <c r="E48" s="3">
        <v>0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1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>
        <v>92</v>
      </c>
      <c r="B49" s="3">
        <v>0</v>
      </c>
      <c r="C49" s="3">
        <v>0</v>
      </c>
      <c r="D49" s="3">
        <v>0</v>
      </c>
      <c r="E49" s="3">
        <v>0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1</v>
      </c>
      <c r="U49" s="3">
        <v>1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>
        <v>93</v>
      </c>
      <c r="B50" s="3">
        <v>0</v>
      </c>
      <c r="C50" s="3">
        <v>0</v>
      </c>
      <c r="D50" s="3">
        <v>0</v>
      </c>
      <c r="E50" s="3">
        <v>0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1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>
        <v>94</v>
      </c>
      <c r="B51" s="3">
        <v>0</v>
      </c>
      <c r="C51" s="3">
        <v>0</v>
      </c>
      <c r="D51" s="3">
        <v>0</v>
      </c>
      <c r="E51" s="3">
        <v>0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1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>
        <v>95</v>
      </c>
      <c r="B52" s="3">
        <v>0</v>
      </c>
      <c r="C52" s="3">
        <v>0</v>
      </c>
      <c r="D52" s="3">
        <v>0</v>
      </c>
      <c r="E52" s="3">
        <v>0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1</v>
      </c>
      <c r="U52" s="3">
        <v>1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>
        <v>96</v>
      </c>
      <c r="B53" s="3">
        <v>0</v>
      </c>
      <c r="C53" s="3">
        <v>0</v>
      </c>
      <c r="D53" s="3">
        <v>0</v>
      </c>
      <c r="E53" s="3">
        <v>0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1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>
        <v>97</v>
      </c>
      <c r="B54" s="3">
        <v>0</v>
      </c>
      <c r="C54" s="3">
        <v>0</v>
      </c>
      <c r="D54" s="3">
        <v>0</v>
      </c>
      <c r="E54" s="3">
        <v>0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1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>
        <v>98</v>
      </c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1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>
        <v>99</v>
      </c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1</v>
      </c>
      <c r="U56" s="3">
        <v>1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>
        <v>100</v>
      </c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1</v>
      </c>
      <c r="U57" s="3">
        <v>1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>
        <v>101</v>
      </c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1</v>
      </c>
      <c r="T58" s="3">
        <v>1</v>
      </c>
      <c r="U58" s="3">
        <v>1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>
        <v>102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1</v>
      </c>
      <c r="S59" s="3">
        <v>1</v>
      </c>
      <c r="T59" s="3">
        <v>1</v>
      </c>
      <c r="U59" s="3">
        <v>1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>
        <v>103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1</v>
      </c>
      <c r="S60" s="3">
        <v>1</v>
      </c>
      <c r="T60" s="3">
        <v>1</v>
      </c>
      <c r="U60" s="3">
        <v>1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>
        <v>104</v>
      </c>
      <c r="B61" s="3">
        <v>0</v>
      </c>
      <c r="C61" s="3">
        <v>0</v>
      </c>
      <c r="D61" s="3">
        <v>0</v>
      </c>
      <c r="E61" s="3">
        <v>0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1</v>
      </c>
      <c r="S61" s="3">
        <v>1</v>
      </c>
      <c r="T61" s="3">
        <v>1</v>
      </c>
      <c r="U61" s="3">
        <v>1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>
        <v>105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</v>
      </c>
      <c r="S62" s="3">
        <v>1</v>
      </c>
      <c r="T62" s="3">
        <v>1</v>
      </c>
      <c r="U62" s="3">
        <v>1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>
        <v>106</v>
      </c>
      <c r="B63" s="3">
        <v>0</v>
      </c>
      <c r="C63" s="3">
        <v>0</v>
      </c>
      <c r="D63" s="3">
        <v>0</v>
      </c>
      <c r="E63" s="3">
        <v>0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S63" s="3">
        <v>1</v>
      </c>
      <c r="T63" s="3">
        <v>1</v>
      </c>
      <c r="U63" s="3">
        <v>1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>
        <v>107</v>
      </c>
      <c r="B64" s="3">
        <v>0</v>
      </c>
      <c r="C64" s="3">
        <v>0</v>
      </c>
      <c r="D64" s="3">
        <v>0</v>
      </c>
      <c r="E64" s="3">
        <v>0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3">
        <v>1</v>
      </c>
      <c r="T64" s="3">
        <v>1</v>
      </c>
      <c r="U64" s="3">
        <v>1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>
        <v>108</v>
      </c>
      <c r="B65" s="3">
        <v>0</v>
      </c>
      <c r="C65" s="3">
        <v>0</v>
      </c>
      <c r="D65" s="3">
        <v>0</v>
      </c>
      <c r="E65" s="3">
        <v>0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1</v>
      </c>
      <c r="S65" s="3">
        <v>1</v>
      </c>
      <c r="T65" s="3">
        <v>1</v>
      </c>
      <c r="U65" s="3">
        <v>1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>
        <v>109</v>
      </c>
      <c r="B66" s="3">
        <v>0</v>
      </c>
      <c r="C66" s="3">
        <v>0</v>
      </c>
      <c r="D66" s="3">
        <v>0</v>
      </c>
      <c r="E66" s="3">
        <v>0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1</v>
      </c>
      <c r="S66" s="3">
        <v>1</v>
      </c>
      <c r="T66" s="3">
        <v>1</v>
      </c>
      <c r="U66" s="3">
        <v>1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>
        <v>110</v>
      </c>
      <c r="B67" s="3">
        <v>0</v>
      </c>
      <c r="C67" s="3">
        <v>0</v>
      </c>
      <c r="D67" s="3">
        <v>0</v>
      </c>
      <c r="E67" s="3">
        <v>0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1</v>
      </c>
      <c r="T67" s="3">
        <v>1</v>
      </c>
      <c r="U67" s="3">
        <v>1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>
        <v>111</v>
      </c>
      <c r="B68" s="3">
        <v>0</v>
      </c>
      <c r="C68" s="3">
        <v>0</v>
      </c>
      <c r="D68" s="3">
        <v>0</v>
      </c>
      <c r="E68" s="3">
        <v>0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1</v>
      </c>
      <c r="S68" s="3">
        <v>1</v>
      </c>
      <c r="T68" s="3">
        <v>1</v>
      </c>
      <c r="U68" s="3">
        <v>1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>
        <v>112</v>
      </c>
      <c r="B69" s="3">
        <v>0</v>
      </c>
      <c r="C69" s="3">
        <v>0</v>
      </c>
      <c r="D69" s="3">
        <v>0</v>
      </c>
      <c r="E69" s="3">
        <v>0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1</v>
      </c>
      <c r="S69" s="3">
        <v>1</v>
      </c>
      <c r="T69" s="3">
        <v>1</v>
      </c>
      <c r="U69" s="3">
        <v>1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>
        <v>113</v>
      </c>
      <c r="B70" s="3">
        <v>0</v>
      </c>
      <c r="C70" s="3">
        <v>0</v>
      </c>
      <c r="D70" s="3">
        <v>0</v>
      </c>
      <c r="E70" s="3">
        <v>0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1</v>
      </c>
      <c r="S70" s="3">
        <v>1</v>
      </c>
      <c r="T70" s="3">
        <v>1</v>
      </c>
      <c r="U70" s="3">
        <v>1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>
        <v>114</v>
      </c>
      <c r="B71" s="3">
        <v>0</v>
      </c>
      <c r="C71" s="3">
        <v>0</v>
      </c>
      <c r="D71" s="3">
        <v>0</v>
      </c>
      <c r="E71" s="3">
        <v>0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1</v>
      </c>
      <c r="S71" s="3">
        <v>1</v>
      </c>
      <c r="T71" s="3">
        <v>1</v>
      </c>
      <c r="U71" s="3">
        <v>1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>
        <v>115</v>
      </c>
      <c r="B72" s="3">
        <v>0</v>
      </c>
      <c r="C72" s="3">
        <v>0</v>
      </c>
      <c r="D72" s="3">
        <v>0</v>
      </c>
      <c r="E72" s="3">
        <v>0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</v>
      </c>
      <c r="S72" s="3">
        <v>1</v>
      </c>
      <c r="T72" s="3">
        <v>1</v>
      </c>
      <c r="U72" s="3">
        <v>1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>
        <v>116</v>
      </c>
      <c r="B73" s="3">
        <v>0</v>
      </c>
      <c r="C73" s="3">
        <v>0</v>
      </c>
      <c r="D73" s="3">
        <v>0</v>
      </c>
      <c r="E73" s="3">
        <v>0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1</v>
      </c>
      <c r="S73" s="3">
        <v>1</v>
      </c>
      <c r="T73" s="3">
        <v>1</v>
      </c>
      <c r="U73" s="3">
        <v>1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>
        <v>117</v>
      </c>
      <c r="B74" s="3">
        <v>0</v>
      </c>
      <c r="C74" s="3">
        <v>0</v>
      </c>
      <c r="D74" s="3">
        <v>0</v>
      </c>
      <c r="E74" s="3">
        <v>0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1</v>
      </c>
      <c r="T74" s="3">
        <v>1</v>
      </c>
      <c r="U74" s="3">
        <v>1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>
        <v>118</v>
      </c>
      <c r="B75" s="3">
        <v>0</v>
      </c>
      <c r="C75" s="3">
        <v>0</v>
      </c>
      <c r="D75" s="3">
        <v>0</v>
      </c>
      <c r="E75" s="3">
        <v>0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1</v>
      </c>
      <c r="T75" s="3">
        <v>1</v>
      </c>
      <c r="U75" s="3">
        <v>1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>
        <v>119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1</v>
      </c>
      <c r="S76" s="3">
        <v>1</v>
      </c>
      <c r="T76" s="3">
        <v>1</v>
      </c>
      <c r="U76" s="3">
        <v>1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>
        <v>120</v>
      </c>
      <c r="B77" s="3">
        <v>0</v>
      </c>
      <c r="C77" s="3">
        <v>0</v>
      </c>
      <c r="D77" s="3">
        <v>0</v>
      </c>
      <c r="E77" s="3">
        <v>0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1</v>
      </c>
      <c r="S77" s="3">
        <v>1</v>
      </c>
      <c r="T77" s="3">
        <v>1</v>
      </c>
      <c r="U77" s="3">
        <v>1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E14E-35D0-704F-9EC9-DB2BB9E2686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616C-2C2D-054E-B4C0-80C936678BFA}">
  <dimension ref="A1:E242"/>
  <sheetViews>
    <sheetView tabSelected="1" zoomScale="132" workbookViewId="0">
      <pane ySplit="1" topLeftCell="A2" activePane="bottomLeft" state="frozen"/>
      <selection pane="bottomLeft" activeCell="D31" sqref="D31"/>
    </sheetView>
  </sheetViews>
  <sheetFormatPr baseColWidth="10" defaultRowHeight="16" x14ac:dyDescent="0.2"/>
  <cols>
    <col min="1" max="1" width="17.83203125" bestFit="1" customWidth="1"/>
    <col min="2" max="2" width="11" bestFit="1" customWidth="1"/>
    <col min="3" max="3" width="11.33203125" bestFit="1" customWidth="1"/>
    <col min="4" max="4" width="12.33203125" bestFit="1" customWidth="1"/>
    <col min="5" max="5" width="15.33203125" bestFit="1" customWidth="1"/>
  </cols>
  <sheetData>
    <row r="1" spans="1:5" x14ac:dyDescent="0.2">
      <c r="A1" s="18" t="s">
        <v>147</v>
      </c>
      <c r="B1" s="18" t="s">
        <v>157</v>
      </c>
      <c r="C1" s="18" t="s">
        <v>158</v>
      </c>
      <c r="D1" s="18" t="s">
        <v>159</v>
      </c>
    </row>
    <row r="2" spans="1:5" x14ac:dyDescent="0.2">
      <c r="A2" t="s">
        <v>148</v>
      </c>
      <c r="B2" s="22" t="s">
        <v>161</v>
      </c>
      <c r="C2" s="21">
        <v>8</v>
      </c>
      <c r="D2" s="19">
        <v>-221791000</v>
      </c>
      <c r="E2" s="29"/>
    </row>
    <row r="3" spans="1:5" x14ac:dyDescent="0.2">
      <c r="A3" t="s">
        <v>148</v>
      </c>
      <c r="B3" s="22" t="s">
        <v>162</v>
      </c>
      <c r="C3" s="21">
        <v>13</v>
      </c>
      <c r="D3" s="20">
        <v>-2833606000</v>
      </c>
      <c r="E3" s="29"/>
    </row>
    <row r="4" spans="1:5" x14ac:dyDescent="0.2">
      <c r="A4" t="s">
        <v>148</v>
      </c>
      <c r="B4" s="22" t="s">
        <v>163</v>
      </c>
      <c r="C4" s="21">
        <v>18</v>
      </c>
      <c r="D4" s="20">
        <v>5598025000</v>
      </c>
      <c r="E4" s="29"/>
    </row>
    <row r="5" spans="1:5" x14ac:dyDescent="0.2">
      <c r="A5" t="s">
        <v>148</v>
      </c>
      <c r="B5" s="22" t="s">
        <v>163</v>
      </c>
      <c r="C5" s="21">
        <v>18</v>
      </c>
      <c r="D5" s="20">
        <v>34389532000</v>
      </c>
      <c r="E5" s="29"/>
    </row>
    <row r="6" spans="1:5" x14ac:dyDescent="0.2">
      <c r="A6" t="s">
        <v>148</v>
      </c>
      <c r="B6" s="22" t="s">
        <v>163</v>
      </c>
      <c r="C6" s="21">
        <v>18</v>
      </c>
      <c r="D6" s="20">
        <v>-26975469000</v>
      </c>
      <c r="E6" s="29"/>
    </row>
    <row r="7" spans="1:5" x14ac:dyDescent="0.2">
      <c r="A7" t="s">
        <v>148</v>
      </c>
      <c r="B7" s="22" t="s">
        <v>163</v>
      </c>
      <c r="C7" s="21">
        <v>18</v>
      </c>
      <c r="D7" s="20">
        <v>-1026693000</v>
      </c>
      <c r="E7" s="29"/>
    </row>
    <row r="8" spans="1:5" x14ac:dyDescent="0.2">
      <c r="A8" t="s">
        <v>148</v>
      </c>
      <c r="B8" s="22" t="s">
        <v>164</v>
      </c>
      <c r="C8" s="21">
        <v>19</v>
      </c>
      <c r="D8" s="20">
        <v>1318278000</v>
      </c>
      <c r="E8" s="29"/>
    </row>
    <row r="9" spans="1:5" x14ac:dyDescent="0.2">
      <c r="A9" t="s">
        <v>148</v>
      </c>
      <c r="B9" s="22" t="s">
        <v>164</v>
      </c>
      <c r="C9" s="21">
        <v>19</v>
      </c>
      <c r="D9" s="20">
        <v>-1673509000</v>
      </c>
      <c r="E9" s="29"/>
    </row>
    <row r="10" spans="1:5" x14ac:dyDescent="0.2">
      <c r="A10" t="s">
        <v>148</v>
      </c>
      <c r="B10" s="22" t="s">
        <v>165</v>
      </c>
      <c r="C10" s="21">
        <v>20</v>
      </c>
      <c r="D10" s="20">
        <v>1436538000</v>
      </c>
      <c r="E10" s="29"/>
    </row>
    <row r="11" spans="1:5" x14ac:dyDescent="0.2">
      <c r="A11" t="s">
        <v>148</v>
      </c>
      <c r="B11" s="22" t="s">
        <v>166</v>
      </c>
      <c r="C11" s="21">
        <v>20</v>
      </c>
      <c r="D11" s="20">
        <v>521637000</v>
      </c>
      <c r="E11" s="29"/>
    </row>
    <row r="12" spans="1:5" x14ac:dyDescent="0.2">
      <c r="A12" t="s">
        <v>148</v>
      </c>
      <c r="B12" s="22" t="s">
        <v>167</v>
      </c>
      <c r="C12" s="21">
        <v>20</v>
      </c>
      <c r="D12" s="20">
        <v>1809136000</v>
      </c>
      <c r="E12" s="29"/>
    </row>
    <row r="13" spans="1:5" x14ac:dyDescent="0.2">
      <c r="A13" t="s">
        <v>148</v>
      </c>
      <c r="B13" s="22" t="s">
        <v>168</v>
      </c>
      <c r="C13" s="21">
        <v>20</v>
      </c>
      <c r="D13" s="20">
        <v>628646000</v>
      </c>
      <c r="E13" s="29"/>
    </row>
    <row r="14" spans="1:5" x14ac:dyDescent="0.2">
      <c r="A14" t="s">
        <v>148</v>
      </c>
      <c r="B14" s="22" t="s">
        <v>168</v>
      </c>
      <c r="C14" s="21">
        <v>20</v>
      </c>
      <c r="D14" s="20">
        <v>-1319221000</v>
      </c>
      <c r="E14" s="29"/>
    </row>
    <row r="15" spans="1:5" x14ac:dyDescent="0.2">
      <c r="A15" t="s">
        <v>148</v>
      </c>
      <c r="B15" s="22" t="s">
        <v>169</v>
      </c>
      <c r="C15" s="21">
        <v>20</v>
      </c>
      <c r="D15" s="20">
        <v>790125000</v>
      </c>
      <c r="E15" s="29"/>
    </row>
    <row r="16" spans="1:5" x14ac:dyDescent="0.2">
      <c r="A16" t="s">
        <v>148</v>
      </c>
      <c r="B16" s="22" t="s">
        <v>170</v>
      </c>
      <c r="C16" s="21">
        <v>20</v>
      </c>
      <c r="D16" s="20">
        <v>819689000</v>
      </c>
      <c r="E16" s="29"/>
    </row>
    <row r="17" spans="1:5" x14ac:dyDescent="0.2">
      <c r="A17" t="s">
        <v>148</v>
      </c>
      <c r="B17" s="22" t="s">
        <v>170</v>
      </c>
      <c r="C17" s="21">
        <v>20</v>
      </c>
      <c r="D17" s="20">
        <v>1370249000</v>
      </c>
      <c r="E17" s="29"/>
    </row>
    <row r="18" spans="1:5" x14ac:dyDescent="0.2">
      <c r="A18" t="s">
        <v>148</v>
      </c>
      <c r="B18" s="22" t="s">
        <v>171</v>
      </c>
      <c r="C18" s="21">
        <v>20</v>
      </c>
      <c r="D18" s="20">
        <v>1595900000</v>
      </c>
      <c r="E18" s="29"/>
    </row>
    <row r="19" spans="1:5" x14ac:dyDescent="0.2">
      <c r="A19" t="s">
        <v>148</v>
      </c>
      <c r="B19" s="22" t="s">
        <v>171</v>
      </c>
      <c r="C19" s="21">
        <v>20</v>
      </c>
      <c r="D19" s="20">
        <v>-328407000</v>
      </c>
      <c r="E19" s="29"/>
    </row>
    <row r="20" spans="1:5" x14ac:dyDescent="0.2">
      <c r="A20" t="s">
        <v>148</v>
      </c>
      <c r="B20" s="22" t="s">
        <v>172</v>
      </c>
      <c r="C20" s="21">
        <v>20</v>
      </c>
      <c r="D20" s="20">
        <v>1616206000</v>
      </c>
      <c r="E20" s="29"/>
    </row>
    <row r="21" spans="1:5" x14ac:dyDescent="0.2">
      <c r="A21" t="s">
        <v>148</v>
      </c>
      <c r="B21" s="22" t="s">
        <v>172</v>
      </c>
      <c r="C21" s="21">
        <v>20</v>
      </c>
      <c r="D21" s="20">
        <v>-1171590000</v>
      </c>
      <c r="E21" s="29"/>
    </row>
    <row r="22" spans="1:5" x14ac:dyDescent="0.2">
      <c r="A22" t="s">
        <v>148</v>
      </c>
      <c r="B22" s="22" t="s">
        <v>173</v>
      </c>
      <c r="C22" s="21">
        <v>20</v>
      </c>
      <c r="D22" s="20">
        <v>4249090000</v>
      </c>
      <c r="E22" s="29"/>
    </row>
    <row r="23" spans="1:5" x14ac:dyDescent="0.2">
      <c r="A23" t="s">
        <v>148</v>
      </c>
      <c r="B23" s="22" t="s">
        <v>173</v>
      </c>
      <c r="C23" s="22" t="s">
        <v>160</v>
      </c>
      <c r="D23" s="20">
        <v>-1868850000</v>
      </c>
      <c r="E23" s="29"/>
    </row>
    <row r="24" spans="1:5" x14ac:dyDescent="0.2">
      <c r="A24" t="s">
        <v>148</v>
      </c>
      <c r="B24" s="22" t="s">
        <v>173</v>
      </c>
      <c r="C24" s="21">
        <v>20</v>
      </c>
      <c r="D24" s="20">
        <v>-605354000</v>
      </c>
      <c r="E24" s="29"/>
    </row>
    <row r="25" spans="1:5" x14ac:dyDescent="0.2">
      <c r="A25" t="s">
        <v>148</v>
      </c>
      <c r="B25" s="22" t="s">
        <v>174</v>
      </c>
      <c r="C25" s="21">
        <v>20</v>
      </c>
      <c r="D25" s="20">
        <v>2751033000</v>
      </c>
      <c r="E25" s="29"/>
    </row>
    <row r="26" spans="1:5" x14ac:dyDescent="0.2">
      <c r="A26" t="s">
        <v>148</v>
      </c>
      <c r="B26" s="22" t="s">
        <v>174</v>
      </c>
      <c r="C26" s="21">
        <v>20</v>
      </c>
      <c r="D26" s="20">
        <v>1213591000</v>
      </c>
      <c r="E26" s="29"/>
    </row>
    <row r="27" spans="1:5" x14ac:dyDescent="0.2">
      <c r="A27" t="s">
        <v>148</v>
      </c>
      <c r="B27" s="22" t="s">
        <v>175</v>
      </c>
      <c r="C27" s="21">
        <v>20</v>
      </c>
      <c r="D27" s="20">
        <v>3324397000</v>
      </c>
      <c r="E27" s="29"/>
    </row>
    <row r="28" spans="1:5" x14ac:dyDescent="0.2">
      <c r="A28" t="s">
        <v>148</v>
      </c>
      <c r="B28" s="22" t="s">
        <v>175</v>
      </c>
      <c r="C28" s="21">
        <v>20</v>
      </c>
      <c r="D28" s="20">
        <v>-5164898000</v>
      </c>
      <c r="E28" s="29"/>
    </row>
    <row r="29" spans="1:5" x14ac:dyDescent="0.2">
      <c r="A29" t="s">
        <v>148</v>
      </c>
      <c r="B29" s="22" t="s">
        <v>176</v>
      </c>
      <c r="C29" s="21">
        <v>21</v>
      </c>
      <c r="D29" s="20">
        <v>1620698000</v>
      </c>
      <c r="E29" s="29"/>
    </row>
    <row r="30" spans="1:5" x14ac:dyDescent="0.2">
      <c r="A30" t="s">
        <v>148</v>
      </c>
      <c r="B30" s="22" t="s">
        <v>176</v>
      </c>
      <c r="C30" s="21">
        <v>21</v>
      </c>
      <c r="D30" s="20">
        <v>476777000</v>
      </c>
      <c r="E30" s="29"/>
    </row>
    <row r="31" spans="1:5" x14ac:dyDescent="0.2">
      <c r="A31" t="s">
        <v>149</v>
      </c>
      <c r="B31" s="26" t="s">
        <v>161</v>
      </c>
      <c r="C31" s="25">
        <v>8</v>
      </c>
      <c r="D31" s="23">
        <v>-67149000</v>
      </c>
      <c r="E31" s="29"/>
    </row>
    <row r="32" spans="1:5" x14ac:dyDescent="0.2">
      <c r="A32" t="s">
        <v>149</v>
      </c>
      <c r="B32" s="26" t="s">
        <v>177</v>
      </c>
      <c r="C32" s="25">
        <v>9</v>
      </c>
      <c r="D32" s="24">
        <v>-2036000</v>
      </c>
      <c r="E32" s="29"/>
    </row>
    <row r="33" spans="1:5" x14ac:dyDescent="0.2">
      <c r="A33" t="s">
        <v>149</v>
      </c>
      <c r="B33" s="26" t="s">
        <v>177</v>
      </c>
      <c r="C33" s="25">
        <v>9</v>
      </c>
      <c r="D33" s="24">
        <v>254277000</v>
      </c>
      <c r="E33" s="29"/>
    </row>
    <row r="34" spans="1:5" x14ac:dyDescent="0.2">
      <c r="A34" t="s">
        <v>149</v>
      </c>
      <c r="B34" s="26" t="s">
        <v>162</v>
      </c>
      <c r="C34" s="25">
        <v>13</v>
      </c>
      <c r="D34" s="24">
        <v>-578880000</v>
      </c>
      <c r="E34" s="29"/>
    </row>
    <row r="35" spans="1:5" x14ac:dyDescent="0.2">
      <c r="A35" t="s">
        <v>149</v>
      </c>
      <c r="B35" s="26" t="s">
        <v>163</v>
      </c>
      <c r="C35" s="25">
        <v>18</v>
      </c>
      <c r="D35" s="24">
        <v>549845000</v>
      </c>
      <c r="E35" s="29"/>
    </row>
    <row r="36" spans="1:5" x14ac:dyDescent="0.2">
      <c r="A36" t="s">
        <v>149</v>
      </c>
      <c r="B36" s="26" t="s">
        <v>163</v>
      </c>
      <c r="C36" s="25">
        <v>18</v>
      </c>
      <c r="D36" s="24">
        <v>7576732000</v>
      </c>
      <c r="E36" s="29"/>
    </row>
    <row r="37" spans="1:5" x14ac:dyDescent="0.2">
      <c r="A37" t="s">
        <v>149</v>
      </c>
      <c r="B37" s="26" t="s">
        <v>163</v>
      </c>
      <c r="C37" s="25">
        <v>18</v>
      </c>
      <c r="D37" s="24">
        <v>-2514164000</v>
      </c>
      <c r="E37" s="29"/>
    </row>
    <row r="38" spans="1:5" x14ac:dyDescent="0.2">
      <c r="A38" t="s">
        <v>149</v>
      </c>
      <c r="B38" s="26" t="s">
        <v>163</v>
      </c>
      <c r="C38" s="25">
        <v>18</v>
      </c>
      <c r="D38" s="24">
        <v>-191760000</v>
      </c>
      <c r="E38" s="29"/>
    </row>
    <row r="39" spans="1:5" x14ac:dyDescent="0.2">
      <c r="A39" t="s">
        <v>149</v>
      </c>
      <c r="B39" s="26" t="s">
        <v>164</v>
      </c>
      <c r="C39" s="25">
        <v>19</v>
      </c>
      <c r="D39" s="24">
        <v>-418829000</v>
      </c>
      <c r="E39" s="29"/>
    </row>
    <row r="40" spans="1:5" x14ac:dyDescent="0.2">
      <c r="A40" t="s">
        <v>149</v>
      </c>
      <c r="B40" s="26" t="s">
        <v>164</v>
      </c>
      <c r="C40" s="25">
        <v>19</v>
      </c>
      <c r="D40" s="24">
        <v>468009000</v>
      </c>
      <c r="E40" s="29"/>
    </row>
    <row r="41" spans="1:5" x14ac:dyDescent="0.2">
      <c r="A41" t="s">
        <v>149</v>
      </c>
      <c r="B41" s="26" t="s">
        <v>165</v>
      </c>
      <c r="C41" s="25">
        <v>20</v>
      </c>
      <c r="D41" s="24">
        <v>267715000</v>
      </c>
      <c r="E41" s="29"/>
    </row>
    <row r="42" spans="1:5" x14ac:dyDescent="0.2">
      <c r="A42" t="s">
        <v>149</v>
      </c>
      <c r="B42" s="26" t="s">
        <v>166</v>
      </c>
      <c r="C42" s="25">
        <v>20</v>
      </c>
      <c r="D42" s="24">
        <v>-581691000</v>
      </c>
      <c r="E42" s="29"/>
    </row>
    <row r="43" spans="1:5" x14ac:dyDescent="0.2">
      <c r="A43" t="s">
        <v>149</v>
      </c>
      <c r="B43" s="26" t="s">
        <v>167</v>
      </c>
      <c r="C43" s="25">
        <v>20</v>
      </c>
      <c r="D43" s="24">
        <v>517805000</v>
      </c>
      <c r="E43" s="29"/>
    </row>
    <row r="44" spans="1:5" x14ac:dyDescent="0.2">
      <c r="A44" t="s">
        <v>149</v>
      </c>
      <c r="B44" s="26" t="s">
        <v>168</v>
      </c>
      <c r="C44" s="25">
        <v>20</v>
      </c>
      <c r="D44" s="24">
        <v>1417072000</v>
      </c>
      <c r="E44" s="29"/>
    </row>
    <row r="45" spans="1:5" x14ac:dyDescent="0.2">
      <c r="A45" t="s">
        <v>149</v>
      </c>
      <c r="B45" s="26" t="s">
        <v>168</v>
      </c>
      <c r="C45" s="25">
        <v>20</v>
      </c>
      <c r="D45" s="24">
        <v>-923987000</v>
      </c>
      <c r="E45" s="29"/>
    </row>
    <row r="46" spans="1:5" x14ac:dyDescent="0.2">
      <c r="A46" t="s">
        <v>149</v>
      </c>
      <c r="B46" s="26" t="s">
        <v>169</v>
      </c>
      <c r="C46" s="25">
        <v>20</v>
      </c>
      <c r="D46" s="24">
        <v>-18232000</v>
      </c>
      <c r="E46" s="29"/>
    </row>
    <row r="47" spans="1:5" x14ac:dyDescent="0.2">
      <c r="A47" t="s">
        <v>149</v>
      </c>
      <c r="B47" s="26" t="s">
        <v>170</v>
      </c>
      <c r="C47" s="25">
        <v>20</v>
      </c>
      <c r="D47" s="24">
        <v>45643000</v>
      </c>
      <c r="E47" s="29"/>
    </row>
    <row r="48" spans="1:5" x14ac:dyDescent="0.2">
      <c r="A48" t="s">
        <v>149</v>
      </c>
      <c r="B48" s="26" t="s">
        <v>170</v>
      </c>
      <c r="C48" s="25">
        <v>20</v>
      </c>
      <c r="D48" s="24">
        <v>260892000</v>
      </c>
      <c r="E48" s="29"/>
    </row>
    <row r="49" spans="1:5" x14ac:dyDescent="0.2">
      <c r="A49" t="s">
        <v>149</v>
      </c>
      <c r="B49" s="26" t="s">
        <v>170</v>
      </c>
      <c r="C49" s="25">
        <v>20</v>
      </c>
      <c r="D49" s="24">
        <v>228317000</v>
      </c>
      <c r="E49" s="29"/>
    </row>
    <row r="50" spans="1:5" x14ac:dyDescent="0.2">
      <c r="A50" t="s">
        <v>149</v>
      </c>
      <c r="B50" s="26" t="s">
        <v>171</v>
      </c>
      <c r="C50" s="25">
        <v>20</v>
      </c>
      <c r="D50" s="24">
        <v>95208000</v>
      </c>
      <c r="E50" s="29"/>
    </row>
    <row r="51" spans="1:5" x14ac:dyDescent="0.2">
      <c r="A51" t="s">
        <v>149</v>
      </c>
      <c r="B51" s="26" t="s">
        <v>171</v>
      </c>
      <c r="C51" s="25">
        <v>20</v>
      </c>
      <c r="D51" s="24">
        <v>518831000</v>
      </c>
      <c r="E51" s="29"/>
    </row>
    <row r="52" spans="1:5" x14ac:dyDescent="0.2">
      <c r="A52" t="s">
        <v>149</v>
      </c>
      <c r="B52" s="26" t="s">
        <v>171</v>
      </c>
      <c r="C52" s="25">
        <v>20</v>
      </c>
      <c r="D52" s="24">
        <v>517661000</v>
      </c>
      <c r="E52" s="29"/>
    </row>
    <row r="53" spans="1:5" x14ac:dyDescent="0.2">
      <c r="A53" t="s">
        <v>149</v>
      </c>
      <c r="B53" s="26" t="s">
        <v>172</v>
      </c>
      <c r="C53" s="25">
        <v>20</v>
      </c>
      <c r="D53" s="24">
        <v>544118000</v>
      </c>
      <c r="E53" s="29"/>
    </row>
    <row r="54" spans="1:5" x14ac:dyDescent="0.2">
      <c r="A54" t="s">
        <v>149</v>
      </c>
      <c r="B54" s="26" t="s">
        <v>172</v>
      </c>
      <c r="C54" s="25">
        <v>20</v>
      </c>
      <c r="D54" s="24">
        <v>209409000</v>
      </c>
      <c r="E54" s="29"/>
    </row>
    <row r="55" spans="1:5" x14ac:dyDescent="0.2">
      <c r="A55" t="s">
        <v>149</v>
      </c>
      <c r="B55" s="26" t="s">
        <v>173</v>
      </c>
      <c r="C55" s="25">
        <v>20</v>
      </c>
      <c r="D55" s="24">
        <v>11889000</v>
      </c>
      <c r="E55" s="29"/>
    </row>
    <row r="56" spans="1:5" x14ac:dyDescent="0.2">
      <c r="A56" t="s">
        <v>149</v>
      </c>
      <c r="B56" s="26" t="s">
        <v>173</v>
      </c>
      <c r="C56" s="25">
        <v>20</v>
      </c>
      <c r="D56" s="24">
        <v>-26931000</v>
      </c>
      <c r="E56" s="29"/>
    </row>
    <row r="57" spans="1:5" x14ac:dyDescent="0.2">
      <c r="A57" t="s">
        <v>149</v>
      </c>
      <c r="B57" s="26" t="s">
        <v>173</v>
      </c>
      <c r="C57" s="26" t="s">
        <v>160</v>
      </c>
      <c r="D57" s="24">
        <v>-1380848000</v>
      </c>
      <c r="E57" s="29"/>
    </row>
    <row r="58" spans="1:5" x14ac:dyDescent="0.2">
      <c r="A58" t="s">
        <v>149</v>
      </c>
      <c r="B58" s="26" t="s">
        <v>173</v>
      </c>
      <c r="C58" s="25">
        <v>20</v>
      </c>
      <c r="D58" s="24">
        <v>128433000</v>
      </c>
      <c r="E58" s="29"/>
    </row>
    <row r="59" spans="1:5" x14ac:dyDescent="0.2">
      <c r="A59" t="s">
        <v>149</v>
      </c>
      <c r="B59" s="26" t="s">
        <v>174</v>
      </c>
      <c r="C59" s="25">
        <v>20</v>
      </c>
      <c r="D59" s="24">
        <v>889870000</v>
      </c>
      <c r="E59" s="29"/>
    </row>
    <row r="60" spans="1:5" x14ac:dyDescent="0.2">
      <c r="A60" t="s">
        <v>149</v>
      </c>
      <c r="B60" s="26" t="s">
        <v>174</v>
      </c>
      <c r="C60" s="25">
        <v>20</v>
      </c>
      <c r="D60" s="24">
        <v>248393000</v>
      </c>
      <c r="E60" s="29"/>
    </row>
    <row r="61" spans="1:5" x14ac:dyDescent="0.2">
      <c r="A61" t="s">
        <v>149</v>
      </c>
      <c r="B61" s="26" t="s">
        <v>175</v>
      </c>
      <c r="C61" s="25">
        <v>20</v>
      </c>
      <c r="D61" s="24">
        <v>1109225000</v>
      </c>
      <c r="E61" s="29"/>
    </row>
    <row r="62" spans="1:5" x14ac:dyDescent="0.2">
      <c r="A62" t="s">
        <v>149</v>
      </c>
      <c r="B62" s="26" t="s">
        <v>175</v>
      </c>
      <c r="C62" s="25">
        <v>20</v>
      </c>
      <c r="D62" s="24">
        <v>-1162865000</v>
      </c>
      <c r="E62" s="29"/>
    </row>
    <row r="63" spans="1:5" x14ac:dyDescent="0.2">
      <c r="A63" t="s">
        <v>149</v>
      </c>
      <c r="B63" s="26" t="s">
        <v>176</v>
      </c>
      <c r="C63" s="25">
        <v>21</v>
      </c>
      <c r="D63" s="24">
        <v>99285000</v>
      </c>
      <c r="E63" s="29"/>
    </row>
    <row r="64" spans="1:5" x14ac:dyDescent="0.2">
      <c r="A64" t="s">
        <v>149</v>
      </c>
      <c r="B64" s="26" t="s">
        <v>176</v>
      </c>
      <c r="C64" s="25">
        <v>21</v>
      </c>
      <c r="D64" s="24">
        <v>539523000</v>
      </c>
      <c r="E64" s="29"/>
    </row>
    <row r="65" spans="1:5" x14ac:dyDescent="0.2">
      <c r="A65" t="s">
        <v>149</v>
      </c>
      <c r="B65" s="26" t="s">
        <v>176</v>
      </c>
      <c r="C65" s="25">
        <v>21</v>
      </c>
      <c r="D65" s="24">
        <v>379132000</v>
      </c>
      <c r="E65" s="29"/>
    </row>
    <row r="66" spans="1:5" x14ac:dyDescent="0.2">
      <c r="A66" s="27" t="s">
        <v>151</v>
      </c>
      <c r="B66" s="22" t="s">
        <v>161</v>
      </c>
      <c r="C66" s="21">
        <v>8</v>
      </c>
      <c r="D66" s="19">
        <v>4000</v>
      </c>
      <c r="E66" s="29"/>
    </row>
    <row r="67" spans="1:5" x14ac:dyDescent="0.2">
      <c r="A67" s="27" t="s">
        <v>151</v>
      </c>
      <c r="B67" s="22" t="s">
        <v>162</v>
      </c>
      <c r="C67" s="21">
        <v>13</v>
      </c>
      <c r="D67" s="20">
        <v>32322000</v>
      </c>
      <c r="E67" s="29"/>
    </row>
    <row r="68" spans="1:5" x14ac:dyDescent="0.2">
      <c r="A68" s="27" t="s">
        <v>151</v>
      </c>
      <c r="B68" s="22" t="s">
        <v>163</v>
      </c>
      <c r="C68" s="21">
        <v>18</v>
      </c>
      <c r="D68" s="20">
        <v>11792000</v>
      </c>
      <c r="E68" s="29"/>
    </row>
    <row r="69" spans="1:5" x14ac:dyDescent="0.2">
      <c r="A69" s="27" t="s">
        <v>151</v>
      </c>
      <c r="B69" s="22" t="s">
        <v>163</v>
      </c>
      <c r="C69" s="21">
        <v>18</v>
      </c>
      <c r="D69" s="20">
        <v>242041000</v>
      </c>
      <c r="E69" s="29"/>
    </row>
    <row r="70" spans="1:5" x14ac:dyDescent="0.2">
      <c r="A70" s="27" t="s">
        <v>151</v>
      </c>
      <c r="B70" s="22" t="s">
        <v>163</v>
      </c>
      <c r="C70" s="21">
        <v>18</v>
      </c>
      <c r="D70" s="20">
        <v>-59928000</v>
      </c>
      <c r="E70" s="29"/>
    </row>
    <row r="71" spans="1:5" x14ac:dyDescent="0.2">
      <c r="A71" s="27" t="s">
        <v>151</v>
      </c>
      <c r="B71" s="22" t="s">
        <v>163</v>
      </c>
      <c r="C71" s="21">
        <v>18</v>
      </c>
      <c r="D71" s="20">
        <v>-7316000</v>
      </c>
      <c r="E71" s="29"/>
    </row>
    <row r="72" spans="1:5" x14ac:dyDescent="0.2">
      <c r="A72" s="27" t="s">
        <v>151</v>
      </c>
      <c r="B72" s="22" t="s">
        <v>164</v>
      </c>
      <c r="C72" s="21">
        <v>19</v>
      </c>
      <c r="D72" s="20">
        <v>2143000</v>
      </c>
      <c r="E72" s="29"/>
    </row>
    <row r="73" spans="1:5" x14ac:dyDescent="0.2">
      <c r="A73" s="27" t="s">
        <v>151</v>
      </c>
      <c r="B73" s="22" t="s">
        <v>164</v>
      </c>
      <c r="C73" s="21">
        <v>19</v>
      </c>
      <c r="D73" s="21">
        <v>306000</v>
      </c>
      <c r="E73" s="29"/>
    </row>
    <row r="74" spans="1:5" x14ac:dyDescent="0.2">
      <c r="A74" s="27" t="s">
        <v>151</v>
      </c>
      <c r="B74" s="22" t="s">
        <v>165</v>
      </c>
      <c r="C74" s="21">
        <v>20</v>
      </c>
      <c r="D74" s="20">
        <v>14411000</v>
      </c>
      <c r="E74" s="29"/>
    </row>
    <row r="75" spans="1:5" x14ac:dyDescent="0.2">
      <c r="A75" s="27" t="s">
        <v>151</v>
      </c>
      <c r="B75" s="22" t="s">
        <v>166</v>
      </c>
      <c r="C75" s="21">
        <v>20</v>
      </c>
      <c r="D75" s="20">
        <v>-5930000</v>
      </c>
      <c r="E75" s="29"/>
    </row>
    <row r="76" spans="1:5" x14ac:dyDescent="0.2">
      <c r="A76" s="27" t="s">
        <v>151</v>
      </c>
      <c r="B76" s="22" t="s">
        <v>167</v>
      </c>
      <c r="C76" s="21">
        <v>20</v>
      </c>
      <c r="D76" s="20">
        <v>114821000</v>
      </c>
      <c r="E76" s="29"/>
    </row>
    <row r="77" spans="1:5" x14ac:dyDescent="0.2">
      <c r="A77" s="27" t="s">
        <v>151</v>
      </c>
      <c r="B77" s="22" t="s">
        <v>168</v>
      </c>
      <c r="C77" s="21">
        <v>20</v>
      </c>
      <c r="D77" s="20">
        <v>-24551000</v>
      </c>
      <c r="E77" s="29"/>
    </row>
    <row r="78" spans="1:5" x14ac:dyDescent="0.2">
      <c r="A78" s="27" t="s">
        <v>151</v>
      </c>
      <c r="B78" s="22" t="s">
        <v>168</v>
      </c>
      <c r="C78" s="21">
        <v>20</v>
      </c>
      <c r="D78" s="20">
        <v>-10908000</v>
      </c>
      <c r="E78" s="29"/>
    </row>
    <row r="79" spans="1:5" x14ac:dyDescent="0.2">
      <c r="A79" s="27" t="s">
        <v>151</v>
      </c>
      <c r="B79" s="22" t="s">
        <v>169</v>
      </c>
      <c r="C79" s="21">
        <v>20</v>
      </c>
      <c r="D79" s="20">
        <v>-10912000</v>
      </c>
      <c r="E79" s="29"/>
    </row>
    <row r="80" spans="1:5" x14ac:dyDescent="0.2">
      <c r="A80" s="27" t="s">
        <v>151</v>
      </c>
      <c r="B80" s="22" t="s">
        <v>170</v>
      </c>
      <c r="C80" s="21">
        <v>20</v>
      </c>
      <c r="D80" s="20">
        <v>3428000</v>
      </c>
      <c r="E80" s="29"/>
    </row>
    <row r="81" spans="1:5" x14ac:dyDescent="0.2">
      <c r="A81" s="27" t="s">
        <v>151</v>
      </c>
      <c r="B81" s="22" t="s">
        <v>170</v>
      </c>
      <c r="C81" s="21">
        <v>20</v>
      </c>
      <c r="D81" s="20">
        <v>22609000</v>
      </c>
      <c r="E81" s="29"/>
    </row>
    <row r="82" spans="1:5" x14ac:dyDescent="0.2">
      <c r="A82" s="27" t="s">
        <v>151</v>
      </c>
      <c r="B82" s="22" t="s">
        <v>171</v>
      </c>
      <c r="C82" s="21">
        <v>20</v>
      </c>
      <c r="D82" s="20">
        <v>7187000</v>
      </c>
      <c r="E82" s="29"/>
    </row>
    <row r="83" spans="1:5" x14ac:dyDescent="0.2">
      <c r="A83" s="27" t="s">
        <v>151</v>
      </c>
      <c r="B83" s="22" t="s">
        <v>171</v>
      </c>
      <c r="C83" s="21">
        <v>20</v>
      </c>
      <c r="D83" s="20">
        <v>40666000</v>
      </c>
      <c r="E83" s="29"/>
    </row>
    <row r="84" spans="1:5" x14ac:dyDescent="0.2">
      <c r="A84" s="27" t="s">
        <v>151</v>
      </c>
      <c r="B84" s="22" t="s">
        <v>172</v>
      </c>
      <c r="C84" s="21">
        <v>20</v>
      </c>
      <c r="D84" s="20">
        <v>7331000</v>
      </c>
      <c r="E84" s="29"/>
    </row>
    <row r="85" spans="1:5" x14ac:dyDescent="0.2">
      <c r="A85" s="27" t="s">
        <v>151</v>
      </c>
      <c r="B85" s="22" t="s">
        <v>172</v>
      </c>
      <c r="C85" s="21">
        <v>20</v>
      </c>
      <c r="D85" s="20">
        <v>11226000</v>
      </c>
      <c r="E85" s="29"/>
    </row>
    <row r="86" spans="1:5" x14ac:dyDescent="0.2">
      <c r="A86" s="27" t="s">
        <v>151</v>
      </c>
      <c r="B86" s="22" t="s">
        <v>173</v>
      </c>
      <c r="C86" s="21">
        <v>20</v>
      </c>
      <c r="D86" s="20">
        <v>-9010000</v>
      </c>
      <c r="E86" s="29"/>
    </row>
    <row r="87" spans="1:5" x14ac:dyDescent="0.2">
      <c r="A87" s="27" t="s">
        <v>151</v>
      </c>
      <c r="B87" s="22" t="s">
        <v>173</v>
      </c>
      <c r="C87" s="22" t="s">
        <v>160</v>
      </c>
      <c r="D87" s="20">
        <v>-5367000</v>
      </c>
      <c r="E87" s="29"/>
    </row>
    <row r="88" spans="1:5" x14ac:dyDescent="0.2">
      <c r="A88" s="27" t="s">
        <v>151</v>
      </c>
      <c r="B88" s="22" t="s">
        <v>173</v>
      </c>
      <c r="C88" s="21">
        <v>20</v>
      </c>
      <c r="D88" s="20">
        <v>-2139000</v>
      </c>
      <c r="E88" s="29"/>
    </row>
    <row r="89" spans="1:5" x14ac:dyDescent="0.2">
      <c r="A89" s="27" t="s">
        <v>151</v>
      </c>
      <c r="B89" s="22" t="s">
        <v>174</v>
      </c>
      <c r="C89" s="21">
        <v>20</v>
      </c>
      <c r="D89" s="20">
        <v>12342000</v>
      </c>
      <c r="E89" s="29"/>
    </row>
    <row r="90" spans="1:5" x14ac:dyDescent="0.2">
      <c r="A90" s="27" t="s">
        <v>151</v>
      </c>
      <c r="B90" s="22" t="s">
        <v>174</v>
      </c>
      <c r="C90" s="21">
        <v>20</v>
      </c>
      <c r="D90" s="20">
        <v>3651000</v>
      </c>
      <c r="E90" s="29"/>
    </row>
    <row r="91" spans="1:5" x14ac:dyDescent="0.2">
      <c r="A91" s="27" t="s">
        <v>151</v>
      </c>
      <c r="B91" s="22" t="s">
        <v>175</v>
      </c>
      <c r="C91" s="21">
        <v>20</v>
      </c>
      <c r="D91" s="20">
        <v>14471000</v>
      </c>
      <c r="E91" s="29"/>
    </row>
    <row r="92" spans="1:5" x14ac:dyDescent="0.2">
      <c r="A92" s="27" t="s">
        <v>151</v>
      </c>
      <c r="B92" s="22" t="s">
        <v>175</v>
      </c>
      <c r="C92" s="21">
        <v>20</v>
      </c>
      <c r="D92" s="20">
        <v>17382000</v>
      </c>
      <c r="E92" s="29"/>
    </row>
    <row r="93" spans="1:5" x14ac:dyDescent="0.2">
      <c r="A93" s="27" t="s">
        <v>151</v>
      </c>
      <c r="B93" s="22" t="s">
        <v>176</v>
      </c>
      <c r="C93" s="21">
        <v>21</v>
      </c>
      <c r="D93" s="20">
        <v>7030000</v>
      </c>
      <c r="E93" s="29"/>
    </row>
    <row r="94" spans="1:5" x14ac:dyDescent="0.2">
      <c r="A94" s="27" t="s">
        <v>151</v>
      </c>
      <c r="B94" s="22" t="s">
        <v>176</v>
      </c>
      <c r="C94" s="21">
        <v>21</v>
      </c>
      <c r="D94" s="20">
        <v>5837000</v>
      </c>
      <c r="E94" s="29"/>
    </row>
    <row r="95" spans="1:5" x14ac:dyDescent="0.2">
      <c r="A95" t="s">
        <v>152</v>
      </c>
      <c r="B95" s="22" t="s">
        <v>161</v>
      </c>
      <c r="C95" s="21">
        <v>8</v>
      </c>
      <c r="D95" s="19">
        <v>2000</v>
      </c>
      <c r="E95" s="29"/>
    </row>
    <row r="96" spans="1:5" x14ac:dyDescent="0.2">
      <c r="A96" t="s">
        <v>152</v>
      </c>
      <c r="B96" s="22" t="s">
        <v>162</v>
      </c>
      <c r="C96" s="21">
        <v>13</v>
      </c>
      <c r="D96" s="20">
        <v>1923000</v>
      </c>
      <c r="E96" s="29"/>
    </row>
    <row r="97" spans="1:5" x14ac:dyDescent="0.2">
      <c r="A97" t="s">
        <v>152</v>
      </c>
      <c r="B97" s="22" t="s">
        <v>163</v>
      </c>
      <c r="C97" s="21">
        <v>18</v>
      </c>
      <c r="D97" s="20">
        <v>2028000</v>
      </c>
      <c r="E97" s="29"/>
    </row>
    <row r="98" spans="1:5" x14ac:dyDescent="0.2">
      <c r="A98" t="s">
        <v>152</v>
      </c>
      <c r="B98" s="22" t="s">
        <v>163</v>
      </c>
      <c r="C98" s="21">
        <v>18</v>
      </c>
      <c r="D98" s="20">
        <v>62121000</v>
      </c>
      <c r="E98" s="29"/>
    </row>
    <row r="99" spans="1:5" x14ac:dyDescent="0.2">
      <c r="A99" t="s">
        <v>152</v>
      </c>
      <c r="B99" s="22" t="s">
        <v>163</v>
      </c>
      <c r="C99" s="21">
        <v>18</v>
      </c>
      <c r="D99" s="20">
        <v>-35527000</v>
      </c>
      <c r="E99" s="29"/>
    </row>
    <row r="100" spans="1:5" x14ac:dyDescent="0.2">
      <c r="A100" t="s">
        <v>152</v>
      </c>
      <c r="B100" s="22" t="s">
        <v>163</v>
      </c>
      <c r="C100" s="21">
        <v>18</v>
      </c>
      <c r="D100" s="21">
        <v>-806000</v>
      </c>
      <c r="E100" s="29"/>
    </row>
    <row r="101" spans="1:5" x14ac:dyDescent="0.2">
      <c r="A101" t="s">
        <v>152</v>
      </c>
      <c r="B101" s="22" t="s">
        <v>164</v>
      </c>
      <c r="C101" s="21">
        <v>19</v>
      </c>
      <c r="D101" s="20">
        <v>2928000</v>
      </c>
      <c r="E101" s="29"/>
    </row>
    <row r="102" spans="1:5" x14ac:dyDescent="0.2">
      <c r="A102" t="s">
        <v>152</v>
      </c>
      <c r="B102" s="22" t="s">
        <v>164</v>
      </c>
      <c r="C102" s="21">
        <v>19</v>
      </c>
      <c r="D102" s="21">
        <v>133000</v>
      </c>
      <c r="E102" s="29"/>
    </row>
    <row r="103" spans="1:5" x14ac:dyDescent="0.2">
      <c r="A103" t="s">
        <v>152</v>
      </c>
      <c r="B103" s="22" t="s">
        <v>165</v>
      </c>
      <c r="C103" s="21">
        <v>20</v>
      </c>
      <c r="D103" s="20">
        <v>8722000</v>
      </c>
      <c r="E103" s="29"/>
    </row>
    <row r="104" spans="1:5" x14ac:dyDescent="0.2">
      <c r="A104" t="s">
        <v>152</v>
      </c>
      <c r="B104" s="22" t="s">
        <v>166</v>
      </c>
      <c r="C104" s="21">
        <v>20</v>
      </c>
      <c r="D104" s="20">
        <v>-4126000</v>
      </c>
      <c r="E104" s="29"/>
    </row>
    <row r="105" spans="1:5" x14ac:dyDescent="0.2">
      <c r="A105" t="s">
        <v>152</v>
      </c>
      <c r="B105" s="22" t="s">
        <v>167</v>
      </c>
      <c r="C105" s="21">
        <v>20</v>
      </c>
      <c r="D105" s="20">
        <v>19883000</v>
      </c>
      <c r="E105" s="29"/>
    </row>
    <row r="106" spans="1:5" x14ac:dyDescent="0.2">
      <c r="A106" t="s">
        <v>152</v>
      </c>
      <c r="B106" s="22" t="s">
        <v>168</v>
      </c>
      <c r="C106" s="21">
        <v>20</v>
      </c>
      <c r="D106" s="20">
        <v>-3088000</v>
      </c>
      <c r="E106" s="29"/>
    </row>
    <row r="107" spans="1:5" x14ac:dyDescent="0.2">
      <c r="A107" t="s">
        <v>152</v>
      </c>
      <c r="B107" s="22" t="s">
        <v>168</v>
      </c>
      <c r="C107" s="21">
        <v>20</v>
      </c>
      <c r="D107" s="21">
        <v>-952000</v>
      </c>
      <c r="E107" s="29"/>
    </row>
    <row r="108" spans="1:5" x14ac:dyDescent="0.2">
      <c r="A108" t="s">
        <v>152</v>
      </c>
      <c r="B108" s="22" t="s">
        <v>169</v>
      </c>
      <c r="C108" s="21">
        <v>20</v>
      </c>
      <c r="D108" s="20">
        <v>-7589000</v>
      </c>
      <c r="E108" s="29"/>
    </row>
    <row r="109" spans="1:5" x14ac:dyDescent="0.2">
      <c r="A109" t="s">
        <v>152</v>
      </c>
      <c r="B109" s="22" t="s">
        <v>170</v>
      </c>
      <c r="C109" s="21">
        <v>20</v>
      </c>
      <c r="D109" s="21">
        <v>642000</v>
      </c>
      <c r="E109" s="29"/>
    </row>
    <row r="110" spans="1:5" x14ac:dyDescent="0.2">
      <c r="A110" t="s">
        <v>152</v>
      </c>
      <c r="B110" s="22" t="s">
        <v>170</v>
      </c>
      <c r="C110" s="21">
        <v>20</v>
      </c>
      <c r="D110" s="20">
        <v>10823000</v>
      </c>
      <c r="E110" s="29"/>
    </row>
    <row r="111" spans="1:5" x14ac:dyDescent="0.2">
      <c r="A111" t="s">
        <v>152</v>
      </c>
      <c r="B111" s="22" t="s">
        <v>171</v>
      </c>
      <c r="C111" s="21">
        <v>20</v>
      </c>
      <c r="D111" s="20">
        <v>1302000</v>
      </c>
      <c r="E111" s="29"/>
    </row>
    <row r="112" spans="1:5" x14ac:dyDescent="0.2">
      <c r="A112" t="s">
        <v>152</v>
      </c>
      <c r="B112" s="22" t="s">
        <v>171</v>
      </c>
      <c r="C112" s="21">
        <v>20</v>
      </c>
      <c r="D112" s="20">
        <v>4171000</v>
      </c>
      <c r="E112" s="29"/>
    </row>
    <row r="113" spans="1:5" x14ac:dyDescent="0.2">
      <c r="A113" t="s">
        <v>152</v>
      </c>
      <c r="B113" s="22" t="s">
        <v>172</v>
      </c>
      <c r="C113" s="21">
        <v>20</v>
      </c>
      <c r="D113" s="20">
        <v>1345000</v>
      </c>
      <c r="E113" s="29"/>
    </row>
    <row r="114" spans="1:5" x14ac:dyDescent="0.2">
      <c r="A114" t="s">
        <v>152</v>
      </c>
      <c r="B114" s="22" t="s">
        <v>172</v>
      </c>
      <c r="C114" s="21">
        <v>20</v>
      </c>
      <c r="D114" s="20">
        <v>2820000</v>
      </c>
      <c r="E114" s="29"/>
    </row>
    <row r="115" spans="1:5" x14ac:dyDescent="0.2">
      <c r="A115" t="s">
        <v>152</v>
      </c>
      <c r="B115" s="22" t="s">
        <v>173</v>
      </c>
      <c r="C115" s="21">
        <v>20</v>
      </c>
      <c r="D115" s="20">
        <v>-2827000</v>
      </c>
      <c r="E115" s="29"/>
    </row>
    <row r="116" spans="1:5" x14ac:dyDescent="0.2">
      <c r="A116" t="s">
        <v>152</v>
      </c>
      <c r="B116" s="22" t="s">
        <v>173</v>
      </c>
      <c r="C116" s="22" t="s">
        <v>160</v>
      </c>
      <c r="D116" s="21">
        <v>-738000</v>
      </c>
      <c r="E116" s="29"/>
    </row>
    <row r="117" spans="1:5" x14ac:dyDescent="0.2">
      <c r="A117" t="s">
        <v>152</v>
      </c>
      <c r="B117" s="22" t="s">
        <v>173</v>
      </c>
      <c r="C117" s="21">
        <v>20</v>
      </c>
      <c r="D117" s="20">
        <v>1048000</v>
      </c>
      <c r="E117" s="29"/>
    </row>
    <row r="118" spans="1:5" x14ac:dyDescent="0.2">
      <c r="A118" t="s">
        <v>152</v>
      </c>
      <c r="B118" s="22" t="s">
        <v>174</v>
      </c>
      <c r="C118" s="21">
        <v>20</v>
      </c>
      <c r="D118" s="20">
        <v>2490000</v>
      </c>
      <c r="E118" s="29"/>
    </row>
    <row r="119" spans="1:5" x14ac:dyDescent="0.2">
      <c r="A119" t="s">
        <v>152</v>
      </c>
      <c r="B119" s="22" t="s">
        <v>174</v>
      </c>
      <c r="C119" s="21">
        <v>20</v>
      </c>
      <c r="D119" s="20">
        <v>4096000</v>
      </c>
      <c r="E119" s="29"/>
    </row>
    <row r="120" spans="1:5" x14ac:dyDescent="0.2">
      <c r="A120" t="s">
        <v>152</v>
      </c>
      <c r="B120" s="22" t="s">
        <v>175</v>
      </c>
      <c r="C120" s="21">
        <v>20</v>
      </c>
      <c r="D120" s="20">
        <v>2618000</v>
      </c>
      <c r="E120" s="29"/>
    </row>
    <row r="121" spans="1:5" x14ac:dyDescent="0.2">
      <c r="A121" t="s">
        <v>152</v>
      </c>
      <c r="B121" s="22" t="s">
        <v>175</v>
      </c>
      <c r="C121" s="21">
        <v>20</v>
      </c>
      <c r="D121" s="20">
        <v>-1379000</v>
      </c>
      <c r="E121" s="29"/>
    </row>
    <row r="122" spans="1:5" x14ac:dyDescent="0.2">
      <c r="A122" t="s">
        <v>152</v>
      </c>
      <c r="B122" s="22" t="s">
        <v>176</v>
      </c>
      <c r="C122" s="21">
        <v>21</v>
      </c>
      <c r="D122" s="20">
        <v>1296000</v>
      </c>
      <c r="E122" s="29"/>
    </row>
    <row r="123" spans="1:5" x14ac:dyDescent="0.2">
      <c r="A123" t="s">
        <v>152</v>
      </c>
      <c r="B123" s="22" t="s">
        <v>176</v>
      </c>
      <c r="C123" s="21">
        <v>21</v>
      </c>
      <c r="D123" s="20">
        <v>1620000</v>
      </c>
      <c r="E123" s="29"/>
    </row>
    <row r="124" spans="1:5" x14ac:dyDescent="0.2">
      <c r="A124" t="s">
        <v>153</v>
      </c>
      <c r="B124" s="22" t="s">
        <v>161</v>
      </c>
      <c r="C124" s="21">
        <v>8</v>
      </c>
      <c r="D124" s="19">
        <v>31000</v>
      </c>
      <c r="E124" s="29"/>
    </row>
    <row r="125" spans="1:5" x14ac:dyDescent="0.2">
      <c r="A125" t="s">
        <v>153</v>
      </c>
      <c r="B125" s="22" t="s">
        <v>162</v>
      </c>
      <c r="C125" s="21">
        <v>13</v>
      </c>
      <c r="D125" s="20">
        <v>25536000</v>
      </c>
      <c r="E125" s="29"/>
    </row>
    <row r="126" spans="1:5" x14ac:dyDescent="0.2">
      <c r="A126" t="s">
        <v>153</v>
      </c>
      <c r="B126" s="22" t="s">
        <v>163</v>
      </c>
      <c r="C126" s="21">
        <v>18</v>
      </c>
      <c r="D126" s="20">
        <v>20209000</v>
      </c>
      <c r="E126" s="29"/>
    </row>
    <row r="127" spans="1:5" x14ac:dyDescent="0.2">
      <c r="A127" t="s">
        <v>153</v>
      </c>
      <c r="B127" s="22" t="s">
        <v>163</v>
      </c>
      <c r="C127" s="21">
        <v>18</v>
      </c>
      <c r="D127" s="20">
        <v>511245000</v>
      </c>
      <c r="E127" s="29"/>
    </row>
    <row r="128" spans="1:5" x14ac:dyDescent="0.2">
      <c r="A128" t="s">
        <v>153</v>
      </c>
      <c r="B128" s="22" t="s">
        <v>163</v>
      </c>
      <c r="C128" s="21">
        <v>18</v>
      </c>
      <c r="D128" s="20">
        <v>-277331000</v>
      </c>
      <c r="E128" s="29"/>
    </row>
    <row r="129" spans="1:5" x14ac:dyDescent="0.2">
      <c r="A129" t="s">
        <v>153</v>
      </c>
      <c r="B129" s="22" t="s">
        <v>163</v>
      </c>
      <c r="C129" s="21">
        <v>18</v>
      </c>
      <c r="D129" s="20">
        <v>-25541000</v>
      </c>
      <c r="E129" s="29"/>
    </row>
    <row r="130" spans="1:5" x14ac:dyDescent="0.2">
      <c r="A130" t="s">
        <v>153</v>
      </c>
      <c r="B130" s="22" t="s">
        <v>164</v>
      </c>
      <c r="C130" s="21">
        <v>19</v>
      </c>
      <c r="D130" s="20">
        <v>-22492000</v>
      </c>
      <c r="E130" s="29"/>
    </row>
    <row r="131" spans="1:5" x14ac:dyDescent="0.2">
      <c r="A131" t="s">
        <v>153</v>
      </c>
      <c r="B131" s="22" t="s">
        <v>164</v>
      </c>
      <c r="C131" s="21">
        <v>19</v>
      </c>
      <c r="D131" s="20">
        <v>3233000</v>
      </c>
      <c r="E131" s="29"/>
    </row>
    <row r="132" spans="1:5" x14ac:dyDescent="0.2">
      <c r="A132" t="s">
        <v>153</v>
      </c>
      <c r="B132" s="22" t="s">
        <v>165</v>
      </c>
      <c r="C132" s="21">
        <v>20</v>
      </c>
      <c r="D132" s="20">
        <v>86529000</v>
      </c>
      <c r="E132" s="29"/>
    </row>
    <row r="133" spans="1:5" x14ac:dyDescent="0.2">
      <c r="A133" t="s">
        <v>153</v>
      </c>
      <c r="B133" s="22" t="s">
        <v>166</v>
      </c>
      <c r="C133" s="21">
        <v>20</v>
      </c>
      <c r="D133" s="20">
        <v>6842000</v>
      </c>
      <c r="E133" s="29"/>
    </row>
    <row r="134" spans="1:5" x14ac:dyDescent="0.2">
      <c r="A134" t="s">
        <v>153</v>
      </c>
      <c r="B134" s="22" t="s">
        <v>167</v>
      </c>
      <c r="C134" s="21">
        <v>20</v>
      </c>
      <c r="D134" s="20">
        <v>112010000</v>
      </c>
      <c r="E134" s="29"/>
    </row>
    <row r="135" spans="1:5" x14ac:dyDescent="0.2">
      <c r="A135" t="s">
        <v>153</v>
      </c>
      <c r="B135" s="22" t="s">
        <v>168</v>
      </c>
      <c r="C135" s="21">
        <v>20</v>
      </c>
      <c r="D135" s="20">
        <v>25735000</v>
      </c>
      <c r="E135" s="29"/>
    </row>
    <row r="136" spans="1:5" x14ac:dyDescent="0.2">
      <c r="A136" t="s">
        <v>153</v>
      </c>
      <c r="B136" s="22" t="s">
        <v>168</v>
      </c>
      <c r="C136" s="21">
        <v>20</v>
      </c>
      <c r="D136" s="20">
        <v>-56908000</v>
      </c>
      <c r="E136" s="29"/>
    </row>
    <row r="137" spans="1:5" x14ac:dyDescent="0.2">
      <c r="A137" t="s">
        <v>153</v>
      </c>
      <c r="B137" s="22" t="s">
        <v>169</v>
      </c>
      <c r="C137" s="21">
        <v>20</v>
      </c>
      <c r="D137" s="20">
        <v>5714000</v>
      </c>
      <c r="E137" s="29"/>
    </row>
    <row r="138" spans="1:5" x14ac:dyDescent="0.2">
      <c r="A138" t="s">
        <v>153</v>
      </c>
      <c r="B138" s="22" t="s">
        <v>170</v>
      </c>
      <c r="C138" s="21">
        <v>20</v>
      </c>
      <c r="D138" s="20">
        <v>7630000</v>
      </c>
      <c r="E138" s="29"/>
    </row>
    <row r="139" spans="1:5" x14ac:dyDescent="0.2">
      <c r="A139" t="s">
        <v>153</v>
      </c>
      <c r="B139" s="22" t="s">
        <v>170</v>
      </c>
      <c r="C139" s="21">
        <v>20</v>
      </c>
      <c r="D139" s="20">
        <v>37338000</v>
      </c>
      <c r="E139" s="29"/>
    </row>
    <row r="140" spans="1:5" x14ac:dyDescent="0.2">
      <c r="A140" t="s">
        <v>153</v>
      </c>
      <c r="B140" s="22" t="s">
        <v>171</v>
      </c>
      <c r="C140" s="21">
        <v>20</v>
      </c>
      <c r="D140" s="20">
        <v>14789000</v>
      </c>
      <c r="E140" s="29"/>
    </row>
    <row r="141" spans="1:5" x14ac:dyDescent="0.2">
      <c r="A141" t="s">
        <v>153</v>
      </c>
      <c r="B141" s="22" t="s">
        <v>171</v>
      </c>
      <c r="C141" s="21">
        <v>20</v>
      </c>
      <c r="D141" s="20">
        <v>-2714000</v>
      </c>
      <c r="E141" s="29"/>
    </row>
    <row r="142" spans="1:5" x14ac:dyDescent="0.2">
      <c r="A142" t="s">
        <v>153</v>
      </c>
      <c r="B142" s="22" t="s">
        <v>172</v>
      </c>
      <c r="C142" s="21">
        <v>20</v>
      </c>
      <c r="D142" s="20">
        <v>15590000</v>
      </c>
      <c r="E142" s="29"/>
    </row>
    <row r="143" spans="1:5" x14ac:dyDescent="0.2">
      <c r="A143" t="s">
        <v>153</v>
      </c>
      <c r="B143" s="22" t="s">
        <v>172</v>
      </c>
      <c r="C143" s="21">
        <v>20</v>
      </c>
      <c r="D143" s="20">
        <v>38086000</v>
      </c>
      <c r="E143" s="29"/>
    </row>
    <row r="144" spans="1:5" x14ac:dyDescent="0.2">
      <c r="A144" t="s">
        <v>153</v>
      </c>
      <c r="B144" s="22" t="s">
        <v>173</v>
      </c>
      <c r="C144" s="21">
        <v>20</v>
      </c>
      <c r="D144" s="20">
        <v>-47179000</v>
      </c>
      <c r="E144" s="29"/>
    </row>
    <row r="145" spans="1:5" x14ac:dyDescent="0.2">
      <c r="A145" t="s">
        <v>153</v>
      </c>
      <c r="B145" s="22" t="s">
        <v>173</v>
      </c>
      <c r="C145" s="22" t="s">
        <v>160</v>
      </c>
      <c r="D145" s="20">
        <v>-22709000</v>
      </c>
      <c r="E145" s="29"/>
    </row>
    <row r="146" spans="1:5" x14ac:dyDescent="0.2">
      <c r="A146" t="s">
        <v>153</v>
      </c>
      <c r="B146" s="22" t="s">
        <v>173</v>
      </c>
      <c r="C146" s="21">
        <v>20</v>
      </c>
      <c r="D146" s="20">
        <v>32850000</v>
      </c>
      <c r="E146" s="29"/>
    </row>
    <row r="147" spans="1:5" x14ac:dyDescent="0.2">
      <c r="A147" t="s">
        <v>153</v>
      </c>
      <c r="B147" s="22" t="s">
        <v>174</v>
      </c>
      <c r="C147" s="21">
        <v>20</v>
      </c>
      <c r="D147" s="20">
        <v>26806000</v>
      </c>
      <c r="E147" s="29"/>
    </row>
    <row r="148" spans="1:5" x14ac:dyDescent="0.2">
      <c r="A148" t="s">
        <v>153</v>
      </c>
      <c r="B148" s="22" t="s">
        <v>174</v>
      </c>
      <c r="C148" s="21">
        <v>20</v>
      </c>
      <c r="D148" s="20">
        <v>-9834000</v>
      </c>
      <c r="E148" s="29"/>
    </row>
    <row r="149" spans="1:5" x14ac:dyDescent="0.2">
      <c r="A149" t="s">
        <v>153</v>
      </c>
      <c r="B149" s="22" t="s">
        <v>175</v>
      </c>
      <c r="C149" s="21">
        <v>20</v>
      </c>
      <c r="D149" s="20">
        <v>31326000</v>
      </c>
      <c r="E149" s="29"/>
    </row>
    <row r="150" spans="1:5" x14ac:dyDescent="0.2">
      <c r="A150" t="s">
        <v>153</v>
      </c>
      <c r="B150" s="22" t="s">
        <v>175</v>
      </c>
      <c r="C150" s="21">
        <v>20</v>
      </c>
      <c r="D150" s="21">
        <v>209000</v>
      </c>
      <c r="E150" s="29"/>
    </row>
    <row r="151" spans="1:5" x14ac:dyDescent="0.2">
      <c r="A151" t="s">
        <v>153</v>
      </c>
      <c r="B151" s="22" t="s">
        <v>176</v>
      </c>
      <c r="C151" s="21">
        <v>21</v>
      </c>
      <c r="D151" s="20">
        <v>14897000</v>
      </c>
      <c r="E151" s="29"/>
    </row>
    <row r="152" spans="1:5" x14ac:dyDescent="0.2">
      <c r="A152" t="s">
        <v>153</v>
      </c>
      <c r="B152" s="22" t="s">
        <v>176</v>
      </c>
      <c r="C152" s="21">
        <v>21</v>
      </c>
      <c r="D152" s="20">
        <v>-24625000</v>
      </c>
      <c r="E152" s="29"/>
    </row>
    <row r="153" spans="1:5" x14ac:dyDescent="0.2">
      <c r="A153" t="s">
        <v>150</v>
      </c>
      <c r="B153" s="22" t="s">
        <v>161</v>
      </c>
      <c r="C153" s="21">
        <v>8</v>
      </c>
      <c r="D153" s="19">
        <v>-241000</v>
      </c>
      <c r="E153" s="29"/>
    </row>
    <row r="154" spans="1:5" x14ac:dyDescent="0.2">
      <c r="A154" t="s">
        <v>150</v>
      </c>
      <c r="B154" s="22" t="s">
        <v>177</v>
      </c>
      <c r="C154" s="21">
        <v>9</v>
      </c>
      <c r="D154" s="21">
        <v>40000</v>
      </c>
      <c r="E154" s="29"/>
    </row>
    <row r="155" spans="1:5" x14ac:dyDescent="0.2">
      <c r="A155" t="s">
        <v>150</v>
      </c>
      <c r="B155" s="22" t="s">
        <v>162</v>
      </c>
      <c r="C155" s="21">
        <v>13</v>
      </c>
      <c r="D155" s="20">
        <v>9664000</v>
      </c>
      <c r="E155" s="29"/>
    </row>
    <row r="156" spans="1:5" x14ac:dyDescent="0.2">
      <c r="A156" t="s">
        <v>150</v>
      </c>
      <c r="B156" s="22" t="s">
        <v>163</v>
      </c>
      <c r="C156" s="21">
        <v>18</v>
      </c>
      <c r="D156" s="20">
        <v>1323000</v>
      </c>
      <c r="E156" s="29"/>
    </row>
    <row r="157" spans="1:5" x14ac:dyDescent="0.2">
      <c r="A157" t="s">
        <v>150</v>
      </c>
      <c r="B157" s="22" t="s">
        <v>163</v>
      </c>
      <c r="C157" s="21">
        <v>18</v>
      </c>
      <c r="D157" s="20">
        <v>19883000</v>
      </c>
      <c r="E157" s="29"/>
    </row>
    <row r="158" spans="1:5" x14ac:dyDescent="0.2">
      <c r="A158" t="s">
        <v>150</v>
      </c>
      <c r="B158" s="22" t="s">
        <v>163</v>
      </c>
      <c r="C158" s="21">
        <v>18</v>
      </c>
      <c r="D158" s="20">
        <v>-22065000</v>
      </c>
      <c r="E158" s="29"/>
    </row>
    <row r="159" spans="1:5" x14ac:dyDescent="0.2">
      <c r="A159" t="s">
        <v>150</v>
      </c>
      <c r="B159" s="22" t="s">
        <v>163</v>
      </c>
      <c r="C159" s="21">
        <v>18</v>
      </c>
      <c r="D159" s="21">
        <v>0</v>
      </c>
      <c r="E159" s="29"/>
    </row>
    <row r="160" spans="1:5" x14ac:dyDescent="0.2">
      <c r="A160" t="s">
        <v>150</v>
      </c>
      <c r="B160" s="22" t="s">
        <v>164</v>
      </c>
      <c r="C160" s="21">
        <v>19</v>
      </c>
      <c r="D160" s="20">
        <v>1205000</v>
      </c>
      <c r="E160" s="29"/>
    </row>
    <row r="161" spans="1:5" x14ac:dyDescent="0.2">
      <c r="A161" t="s">
        <v>150</v>
      </c>
      <c r="B161" s="22" t="s">
        <v>164</v>
      </c>
      <c r="C161" s="21">
        <v>19</v>
      </c>
      <c r="D161" s="21">
        <v>-550000</v>
      </c>
      <c r="E161" s="29"/>
    </row>
    <row r="162" spans="1:5" x14ac:dyDescent="0.2">
      <c r="A162" t="s">
        <v>150</v>
      </c>
      <c r="B162" s="22" t="s">
        <v>165</v>
      </c>
      <c r="C162" s="21">
        <v>20</v>
      </c>
      <c r="D162" s="20">
        <v>2927000</v>
      </c>
      <c r="E162" s="29"/>
    </row>
    <row r="163" spans="1:5" x14ac:dyDescent="0.2">
      <c r="A163" t="s">
        <v>150</v>
      </c>
      <c r="B163" s="22" t="s">
        <v>166</v>
      </c>
      <c r="C163" s="21">
        <v>20</v>
      </c>
      <c r="D163" s="21">
        <v>612000</v>
      </c>
      <c r="E163" s="29"/>
    </row>
    <row r="164" spans="1:5" x14ac:dyDescent="0.2">
      <c r="A164" t="s">
        <v>150</v>
      </c>
      <c r="B164" s="22" t="s">
        <v>167</v>
      </c>
      <c r="C164" s="21">
        <v>20</v>
      </c>
      <c r="D164" s="20">
        <v>2948000</v>
      </c>
      <c r="E164" s="29"/>
    </row>
    <row r="165" spans="1:5" x14ac:dyDescent="0.2">
      <c r="A165" t="s">
        <v>150</v>
      </c>
      <c r="B165" s="22" t="s">
        <v>168</v>
      </c>
      <c r="C165" s="21">
        <v>20</v>
      </c>
      <c r="D165" s="20">
        <v>-6120000</v>
      </c>
      <c r="E165" s="29"/>
    </row>
    <row r="166" spans="1:5" x14ac:dyDescent="0.2">
      <c r="A166" t="s">
        <v>150</v>
      </c>
      <c r="B166" s="22" t="s">
        <v>168</v>
      </c>
      <c r="C166" s="21">
        <v>20</v>
      </c>
      <c r="D166" s="20">
        <v>6934000</v>
      </c>
      <c r="E166" s="29"/>
    </row>
    <row r="167" spans="1:5" x14ac:dyDescent="0.2">
      <c r="A167" t="s">
        <v>150</v>
      </c>
      <c r="B167" s="22" t="s">
        <v>169</v>
      </c>
      <c r="C167" s="21">
        <v>20</v>
      </c>
      <c r="D167" s="20">
        <v>-6118000</v>
      </c>
      <c r="E167" s="29"/>
    </row>
    <row r="168" spans="1:5" x14ac:dyDescent="0.2">
      <c r="A168" t="s">
        <v>150</v>
      </c>
      <c r="B168" s="22" t="s">
        <v>170</v>
      </c>
      <c r="C168" s="21">
        <v>20</v>
      </c>
      <c r="D168" s="21">
        <v>515000</v>
      </c>
      <c r="E168" s="29"/>
    </row>
    <row r="169" spans="1:5" x14ac:dyDescent="0.2">
      <c r="A169" t="s">
        <v>150</v>
      </c>
      <c r="B169" s="22" t="s">
        <v>170</v>
      </c>
      <c r="C169" s="21">
        <v>20</v>
      </c>
      <c r="D169" s="20">
        <v>2050000</v>
      </c>
      <c r="E169" s="29"/>
    </row>
    <row r="170" spans="1:5" x14ac:dyDescent="0.2">
      <c r="A170" t="s">
        <v>150</v>
      </c>
      <c r="B170" s="22" t="s">
        <v>171</v>
      </c>
      <c r="C170" s="21">
        <v>20</v>
      </c>
      <c r="D170" s="21">
        <v>999000</v>
      </c>
      <c r="E170" s="29"/>
    </row>
    <row r="171" spans="1:5" x14ac:dyDescent="0.2">
      <c r="A171" t="s">
        <v>150</v>
      </c>
      <c r="B171" s="22" t="s">
        <v>171</v>
      </c>
      <c r="C171" s="21">
        <v>20</v>
      </c>
      <c r="D171" s="20">
        <v>2516000</v>
      </c>
      <c r="E171" s="29"/>
    </row>
    <row r="172" spans="1:5" x14ac:dyDescent="0.2">
      <c r="A172" t="s">
        <v>150</v>
      </c>
      <c r="B172" s="22" t="s">
        <v>172</v>
      </c>
      <c r="C172" s="21">
        <v>20</v>
      </c>
      <c r="D172" s="20">
        <v>1018000</v>
      </c>
      <c r="E172" s="29"/>
    </row>
    <row r="173" spans="1:5" x14ac:dyDescent="0.2">
      <c r="A173" t="s">
        <v>150</v>
      </c>
      <c r="B173" s="22" t="s">
        <v>172</v>
      </c>
      <c r="C173" s="21">
        <v>20</v>
      </c>
      <c r="D173" s="21">
        <v>697000</v>
      </c>
      <c r="E173" s="29"/>
    </row>
    <row r="174" spans="1:5" x14ac:dyDescent="0.2">
      <c r="A174" t="s">
        <v>150</v>
      </c>
      <c r="B174" s="22" t="s">
        <v>173</v>
      </c>
      <c r="C174" s="21">
        <v>20</v>
      </c>
      <c r="D174" s="20">
        <v>-2889000</v>
      </c>
      <c r="E174" s="29"/>
    </row>
    <row r="175" spans="1:5" x14ac:dyDescent="0.2">
      <c r="A175" t="s">
        <v>150</v>
      </c>
      <c r="B175" s="22" t="s">
        <v>173</v>
      </c>
      <c r="C175" s="22" t="s">
        <v>160</v>
      </c>
      <c r="D175" s="20">
        <v>-1828000</v>
      </c>
      <c r="E175" s="29"/>
    </row>
    <row r="176" spans="1:5" x14ac:dyDescent="0.2">
      <c r="A176" t="s">
        <v>150</v>
      </c>
      <c r="B176" s="22" t="s">
        <v>173</v>
      </c>
      <c r="C176" s="21">
        <v>20</v>
      </c>
      <c r="D176" s="20">
        <v>2148000</v>
      </c>
      <c r="E176" s="29"/>
    </row>
    <row r="177" spans="1:5" x14ac:dyDescent="0.2">
      <c r="A177" t="s">
        <v>150</v>
      </c>
      <c r="B177" s="22" t="s">
        <v>174</v>
      </c>
      <c r="C177" s="21">
        <v>20</v>
      </c>
      <c r="D177" s="20">
        <v>1647000</v>
      </c>
      <c r="E177" s="29"/>
    </row>
    <row r="178" spans="1:5" x14ac:dyDescent="0.2">
      <c r="A178" t="s">
        <v>150</v>
      </c>
      <c r="B178" s="22" t="s">
        <v>174</v>
      </c>
      <c r="C178" s="21">
        <v>20</v>
      </c>
      <c r="D178" s="20">
        <v>1053000</v>
      </c>
      <c r="E178" s="29"/>
    </row>
    <row r="179" spans="1:5" x14ac:dyDescent="0.2">
      <c r="A179" t="s">
        <v>150</v>
      </c>
      <c r="B179" s="22" t="s">
        <v>175</v>
      </c>
      <c r="C179" s="21">
        <v>20</v>
      </c>
      <c r="D179" s="20">
        <v>1717000</v>
      </c>
      <c r="E179" s="29"/>
    </row>
    <row r="180" spans="1:5" x14ac:dyDescent="0.2">
      <c r="A180" t="s">
        <v>150</v>
      </c>
      <c r="B180" s="22" t="s">
        <v>175</v>
      </c>
      <c r="C180" s="21">
        <v>20</v>
      </c>
      <c r="D180" s="20">
        <v>-4089000</v>
      </c>
      <c r="E180" s="29"/>
    </row>
    <row r="181" spans="1:5" x14ac:dyDescent="0.2">
      <c r="A181" t="s">
        <v>150</v>
      </c>
      <c r="B181" s="22" t="s">
        <v>176</v>
      </c>
      <c r="C181" s="21">
        <v>21</v>
      </c>
      <c r="D181" s="21">
        <v>836000</v>
      </c>
      <c r="E181" s="29"/>
    </row>
    <row r="182" spans="1:5" x14ac:dyDescent="0.2">
      <c r="A182" t="s">
        <v>150</v>
      </c>
      <c r="B182" s="22" t="s">
        <v>176</v>
      </c>
      <c r="C182" s="21">
        <v>21</v>
      </c>
      <c r="D182" s="21">
        <v>-666000</v>
      </c>
      <c r="E182" s="29"/>
    </row>
    <row r="183" spans="1:5" x14ac:dyDescent="0.2">
      <c r="A183" t="s">
        <v>154</v>
      </c>
      <c r="B183" s="22" t="s">
        <v>161</v>
      </c>
      <c r="C183" s="21">
        <v>8</v>
      </c>
      <c r="D183" s="19">
        <v>-1998000</v>
      </c>
      <c r="E183" s="29"/>
    </row>
    <row r="184" spans="1:5" x14ac:dyDescent="0.2">
      <c r="A184" t="s">
        <v>154</v>
      </c>
      <c r="B184" s="22" t="s">
        <v>162</v>
      </c>
      <c r="C184" s="21">
        <v>13</v>
      </c>
      <c r="D184" s="20">
        <v>198538000</v>
      </c>
      <c r="E184" s="29"/>
    </row>
    <row r="185" spans="1:5" x14ac:dyDescent="0.2">
      <c r="A185" t="s">
        <v>154</v>
      </c>
      <c r="B185" s="22" t="s">
        <v>163</v>
      </c>
      <c r="C185" s="21">
        <v>18</v>
      </c>
      <c r="D185" s="20">
        <v>65011000</v>
      </c>
      <c r="E185" s="29"/>
    </row>
    <row r="186" spans="1:5" x14ac:dyDescent="0.2">
      <c r="A186" t="s">
        <v>154</v>
      </c>
      <c r="B186" s="22" t="s">
        <v>163</v>
      </c>
      <c r="C186" s="21">
        <v>18</v>
      </c>
      <c r="D186" s="20">
        <v>1266182000</v>
      </c>
      <c r="E186" s="29"/>
    </row>
    <row r="187" spans="1:5" x14ac:dyDescent="0.2">
      <c r="A187" t="s">
        <v>154</v>
      </c>
      <c r="B187" s="22" t="s">
        <v>163</v>
      </c>
      <c r="C187" s="21">
        <v>18</v>
      </c>
      <c r="D187" s="20">
        <v>-287398000</v>
      </c>
      <c r="E187" s="29"/>
    </row>
    <row r="188" spans="1:5" x14ac:dyDescent="0.2">
      <c r="A188" t="s">
        <v>154</v>
      </c>
      <c r="B188" s="22" t="s">
        <v>163</v>
      </c>
      <c r="C188" s="21">
        <v>18</v>
      </c>
      <c r="D188" s="20">
        <v>-53836000</v>
      </c>
      <c r="E188" s="29"/>
    </row>
    <row r="189" spans="1:5" x14ac:dyDescent="0.2">
      <c r="A189" t="s">
        <v>154</v>
      </c>
      <c r="B189" s="22" t="s">
        <v>164</v>
      </c>
      <c r="C189" s="21">
        <v>19</v>
      </c>
      <c r="D189" s="20">
        <v>35485000</v>
      </c>
      <c r="E189" s="29"/>
    </row>
    <row r="190" spans="1:5" x14ac:dyDescent="0.2">
      <c r="A190" t="s">
        <v>154</v>
      </c>
      <c r="B190" s="22" t="s">
        <v>164</v>
      </c>
      <c r="C190" s="21">
        <v>19</v>
      </c>
      <c r="D190" s="20">
        <v>-92968000</v>
      </c>
      <c r="E190" s="29"/>
    </row>
    <row r="191" spans="1:5" x14ac:dyDescent="0.2">
      <c r="A191" t="s">
        <v>154</v>
      </c>
      <c r="B191" s="22" t="s">
        <v>165</v>
      </c>
      <c r="C191" s="21">
        <v>20</v>
      </c>
      <c r="D191" s="20">
        <v>135341000</v>
      </c>
      <c r="E191" s="29"/>
    </row>
    <row r="192" spans="1:5" x14ac:dyDescent="0.2">
      <c r="A192" t="s">
        <v>154</v>
      </c>
      <c r="B192" s="22" t="s">
        <v>166</v>
      </c>
      <c r="C192" s="21">
        <v>20</v>
      </c>
      <c r="D192" s="20">
        <v>70063000</v>
      </c>
      <c r="E192" s="29"/>
    </row>
    <row r="193" spans="1:5" x14ac:dyDescent="0.2">
      <c r="A193" t="s">
        <v>154</v>
      </c>
      <c r="B193" s="22" t="s">
        <v>167</v>
      </c>
      <c r="C193" s="21">
        <v>20</v>
      </c>
      <c r="D193" s="20">
        <v>396327000</v>
      </c>
      <c r="E193" s="29"/>
    </row>
    <row r="194" spans="1:5" x14ac:dyDescent="0.2">
      <c r="A194" t="s">
        <v>154</v>
      </c>
      <c r="B194" s="22" t="s">
        <v>168</v>
      </c>
      <c r="C194" s="21">
        <v>20</v>
      </c>
      <c r="D194" s="20">
        <v>-156584000</v>
      </c>
      <c r="E194" s="29"/>
    </row>
    <row r="195" spans="1:5" x14ac:dyDescent="0.2">
      <c r="A195" t="s">
        <v>154</v>
      </c>
      <c r="B195" s="22" t="s">
        <v>168</v>
      </c>
      <c r="C195" s="21">
        <v>20</v>
      </c>
      <c r="D195" s="20">
        <v>63180000</v>
      </c>
      <c r="E195" s="29"/>
    </row>
    <row r="196" spans="1:5" x14ac:dyDescent="0.2">
      <c r="A196" t="s">
        <v>154</v>
      </c>
      <c r="B196" s="22" t="s">
        <v>169</v>
      </c>
      <c r="C196" s="21">
        <v>20</v>
      </c>
      <c r="D196" s="20">
        <v>54309000</v>
      </c>
      <c r="E196" s="29"/>
    </row>
    <row r="197" spans="1:5" x14ac:dyDescent="0.2">
      <c r="A197" t="s">
        <v>154</v>
      </c>
      <c r="B197" s="22" t="s">
        <v>170</v>
      </c>
      <c r="C197" s="21">
        <v>20</v>
      </c>
      <c r="D197" s="20">
        <v>32401000</v>
      </c>
      <c r="E197" s="29"/>
    </row>
    <row r="198" spans="1:5" x14ac:dyDescent="0.2">
      <c r="A198" t="s">
        <v>154</v>
      </c>
      <c r="B198" s="22" t="s">
        <v>170</v>
      </c>
      <c r="C198" s="21">
        <v>20</v>
      </c>
      <c r="D198" s="20">
        <v>101723000</v>
      </c>
      <c r="E198" s="29"/>
    </row>
    <row r="199" spans="1:5" x14ac:dyDescent="0.2">
      <c r="A199" t="s">
        <v>154</v>
      </c>
      <c r="B199" s="22" t="s">
        <v>171</v>
      </c>
      <c r="C199" s="21">
        <v>20</v>
      </c>
      <c r="D199" s="20">
        <v>61150000</v>
      </c>
      <c r="E199" s="29"/>
    </row>
    <row r="200" spans="1:5" x14ac:dyDescent="0.2">
      <c r="A200" t="s">
        <v>154</v>
      </c>
      <c r="B200" s="22" t="s">
        <v>171</v>
      </c>
      <c r="C200" s="21">
        <v>20</v>
      </c>
      <c r="D200" s="20">
        <v>82935000</v>
      </c>
      <c r="E200" s="29"/>
    </row>
    <row r="201" spans="1:5" x14ac:dyDescent="0.2">
      <c r="A201" t="s">
        <v>154</v>
      </c>
      <c r="B201" s="22" t="s">
        <v>172</v>
      </c>
      <c r="C201" s="21">
        <v>20</v>
      </c>
      <c r="D201" s="20">
        <v>63205000</v>
      </c>
      <c r="E201" s="29"/>
    </row>
    <row r="202" spans="1:5" x14ac:dyDescent="0.2">
      <c r="A202" t="s">
        <v>154</v>
      </c>
      <c r="B202" s="22" t="s">
        <v>172</v>
      </c>
      <c r="C202" s="21">
        <v>20</v>
      </c>
      <c r="D202" s="20">
        <v>81727000</v>
      </c>
      <c r="E202" s="29"/>
    </row>
    <row r="203" spans="1:5" x14ac:dyDescent="0.2">
      <c r="A203" t="s">
        <v>154</v>
      </c>
      <c r="B203" s="22" t="s">
        <v>173</v>
      </c>
      <c r="C203" s="21">
        <v>20</v>
      </c>
      <c r="D203" s="20">
        <v>23274000</v>
      </c>
      <c r="E203" s="29"/>
    </row>
    <row r="204" spans="1:5" x14ac:dyDescent="0.2">
      <c r="A204" t="s">
        <v>154</v>
      </c>
      <c r="B204" s="22" t="s">
        <v>173</v>
      </c>
      <c r="C204" s="22" t="s">
        <v>160</v>
      </c>
      <c r="D204" s="20">
        <v>-68418000</v>
      </c>
      <c r="E204" s="29"/>
    </row>
    <row r="205" spans="1:5" x14ac:dyDescent="0.2">
      <c r="A205" t="s">
        <v>154</v>
      </c>
      <c r="B205" s="22" t="s">
        <v>173</v>
      </c>
      <c r="C205" s="21">
        <v>20</v>
      </c>
      <c r="D205" s="20">
        <v>130231000</v>
      </c>
      <c r="E205" s="29"/>
    </row>
    <row r="206" spans="1:5" x14ac:dyDescent="0.2">
      <c r="A206" t="s">
        <v>154</v>
      </c>
      <c r="B206" s="22" t="s">
        <v>174</v>
      </c>
      <c r="C206" s="21">
        <v>20</v>
      </c>
      <c r="D206" s="20">
        <v>112644000</v>
      </c>
      <c r="E206" s="29"/>
    </row>
    <row r="207" spans="1:5" x14ac:dyDescent="0.2">
      <c r="A207" t="s">
        <v>154</v>
      </c>
      <c r="B207" s="22" t="s">
        <v>174</v>
      </c>
      <c r="C207" s="21">
        <v>20</v>
      </c>
      <c r="D207" s="20">
        <v>140394000</v>
      </c>
      <c r="E207" s="29"/>
    </row>
    <row r="208" spans="1:5" x14ac:dyDescent="0.2">
      <c r="A208" t="s">
        <v>154</v>
      </c>
      <c r="B208" s="22" t="s">
        <v>175</v>
      </c>
      <c r="C208" s="21">
        <v>20</v>
      </c>
      <c r="D208" s="20">
        <v>134725000</v>
      </c>
      <c r="E208" s="29"/>
    </row>
    <row r="209" spans="1:5" x14ac:dyDescent="0.2">
      <c r="A209" t="s">
        <v>154</v>
      </c>
      <c r="B209" s="22" t="s">
        <v>175</v>
      </c>
      <c r="C209" s="21">
        <v>20</v>
      </c>
      <c r="D209" s="20">
        <v>-75675000</v>
      </c>
      <c r="E209" s="29"/>
    </row>
    <row r="210" spans="1:5" x14ac:dyDescent="0.2">
      <c r="A210" t="s">
        <v>154</v>
      </c>
      <c r="B210" s="22" t="s">
        <v>176</v>
      </c>
      <c r="C210" s="21">
        <v>21</v>
      </c>
      <c r="D210" s="20">
        <v>66829000</v>
      </c>
      <c r="E210" s="29"/>
    </row>
    <row r="211" spans="1:5" x14ac:dyDescent="0.2">
      <c r="A211" t="s">
        <v>154</v>
      </c>
      <c r="B211" s="22" t="s">
        <v>176</v>
      </c>
      <c r="C211" s="21">
        <v>21</v>
      </c>
      <c r="D211" s="20">
        <v>69585000</v>
      </c>
      <c r="E211" s="29"/>
    </row>
    <row r="212" spans="1:5" x14ac:dyDescent="0.2">
      <c r="A212" t="s">
        <v>155</v>
      </c>
      <c r="B212" s="22" t="s">
        <v>162</v>
      </c>
      <c r="C212" s="21">
        <v>13</v>
      </c>
      <c r="D212" s="20">
        <v>-62935000</v>
      </c>
      <c r="E212" s="29"/>
    </row>
    <row r="213" spans="1:5" x14ac:dyDescent="0.2">
      <c r="A213" t="s">
        <v>155</v>
      </c>
      <c r="B213" s="22" t="s">
        <v>163</v>
      </c>
      <c r="C213" s="21">
        <v>18</v>
      </c>
      <c r="D213" s="20">
        <v>633656000</v>
      </c>
      <c r="E213" s="29"/>
    </row>
    <row r="214" spans="1:5" x14ac:dyDescent="0.2">
      <c r="A214" t="s">
        <v>155</v>
      </c>
      <c r="B214" s="22" t="s">
        <v>163</v>
      </c>
      <c r="C214" s="21">
        <v>18</v>
      </c>
      <c r="D214" s="20">
        <v>-22471431000</v>
      </c>
      <c r="E214" s="29"/>
    </row>
    <row r="215" spans="1:5" x14ac:dyDescent="0.2">
      <c r="A215" t="s">
        <v>155</v>
      </c>
      <c r="B215" s="22" t="s">
        <v>163</v>
      </c>
      <c r="C215" s="21">
        <v>18</v>
      </c>
      <c r="D215" s="20">
        <v>23854773000</v>
      </c>
      <c r="E215" s="29"/>
    </row>
    <row r="216" spans="1:5" x14ac:dyDescent="0.2">
      <c r="A216" t="s">
        <v>155</v>
      </c>
      <c r="B216" s="22" t="s">
        <v>164</v>
      </c>
      <c r="C216" s="21">
        <v>19</v>
      </c>
      <c r="D216" s="20">
        <v>263857000</v>
      </c>
      <c r="E216" s="29"/>
    </row>
    <row r="217" spans="1:5" x14ac:dyDescent="0.2">
      <c r="A217" t="s">
        <v>155</v>
      </c>
      <c r="B217" s="22" t="s">
        <v>165</v>
      </c>
      <c r="C217" s="21">
        <v>20</v>
      </c>
      <c r="D217" s="20">
        <v>951887000</v>
      </c>
      <c r="E217" s="29"/>
    </row>
    <row r="218" spans="1:5" x14ac:dyDescent="0.2">
      <c r="A218" t="s">
        <v>155</v>
      </c>
      <c r="B218" s="22" t="s">
        <v>166</v>
      </c>
      <c r="C218" s="21">
        <v>20</v>
      </c>
      <c r="D218" s="20">
        <v>-124977000</v>
      </c>
      <c r="E218" s="29"/>
    </row>
    <row r="219" spans="1:5" x14ac:dyDescent="0.2">
      <c r="A219" t="s">
        <v>155</v>
      </c>
      <c r="B219" s="22" t="s">
        <v>167</v>
      </c>
      <c r="C219" s="21">
        <v>20</v>
      </c>
      <c r="D219" s="20">
        <v>5292000</v>
      </c>
      <c r="E219" s="29"/>
    </row>
    <row r="220" spans="1:5" x14ac:dyDescent="0.2">
      <c r="A220" t="s">
        <v>155</v>
      </c>
      <c r="B220" s="22" t="s">
        <v>168</v>
      </c>
      <c r="C220" s="21">
        <v>20</v>
      </c>
      <c r="D220" s="20">
        <v>265977000</v>
      </c>
      <c r="E220" s="29"/>
    </row>
    <row r="221" spans="1:5" x14ac:dyDescent="0.2">
      <c r="A221" t="s">
        <v>155</v>
      </c>
      <c r="B221" s="22" t="s">
        <v>168</v>
      </c>
      <c r="C221" s="21">
        <v>20</v>
      </c>
      <c r="D221" s="20">
        <v>-670106000</v>
      </c>
      <c r="E221" s="29"/>
    </row>
    <row r="222" spans="1:5" x14ac:dyDescent="0.2">
      <c r="A222" t="s">
        <v>155</v>
      </c>
      <c r="B222" s="22" t="s">
        <v>169</v>
      </c>
      <c r="C222" s="21">
        <v>20</v>
      </c>
      <c r="D222" s="20">
        <v>-209631000</v>
      </c>
      <c r="E222" s="29"/>
    </row>
    <row r="223" spans="1:5" x14ac:dyDescent="0.2">
      <c r="A223" t="s">
        <v>155</v>
      </c>
      <c r="B223" s="22" t="s">
        <v>170</v>
      </c>
      <c r="C223" s="21">
        <v>20</v>
      </c>
      <c r="D223" s="20">
        <v>84260000</v>
      </c>
      <c r="E223" s="29"/>
    </row>
    <row r="224" spans="1:5" x14ac:dyDescent="0.2">
      <c r="A224" t="s">
        <v>155</v>
      </c>
      <c r="B224" s="22" t="s">
        <v>170</v>
      </c>
      <c r="C224" s="21">
        <v>20</v>
      </c>
      <c r="D224" s="20">
        <v>-441179000</v>
      </c>
      <c r="E224" s="29"/>
    </row>
    <row r="225" spans="1:5" x14ac:dyDescent="0.2">
      <c r="A225" t="s">
        <v>155</v>
      </c>
      <c r="B225" s="22" t="s">
        <v>171</v>
      </c>
      <c r="C225" s="21">
        <v>20</v>
      </c>
      <c r="D225" s="20">
        <v>178514000</v>
      </c>
      <c r="E225" s="29"/>
    </row>
    <row r="226" spans="1:5" x14ac:dyDescent="0.2">
      <c r="A226" t="s">
        <v>155</v>
      </c>
      <c r="B226" s="22" t="s">
        <v>171</v>
      </c>
      <c r="C226" s="21">
        <v>20</v>
      </c>
      <c r="D226" s="20">
        <v>208063000</v>
      </c>
      <c r="E226" s="29"/>
    </row>
    <row r="227" spans="1:5" x14ac:dyDescent="0.2">
      <c r="A227" t="s">
        <v>155</v>
      </c>
      <c r="B227" s="22" t="s">
        <v>172</v>
      </c>
      <c r="C227" s="21">
        <v>20</v>
      </c>
      <c r="D227" s="20">
        <v>187159000</v>
      </c>
      <c r="E227" s="29"/>
    </row>
    <row r="228" spans="1:5" x14ac:dyDescent="0.2">
      <c r="A228" t="s">
        <v>155</v>
      </c>
      <c r="B228" s="22" t="s">
        <v>172</v>
      </c>
      <c r="C228" s="21">
        <v>20</v>
      </c>
      <c r="D228" s="20">
        <v>9668000</v>
      </c>
      <c r="E228" s="29"/>
    </row>
    <row r="229" spans="1:5" x14ac:dyDescent="0.2">
      <c r="A229" t="s">
        <v>155</v>
      </c>
      <c r="B229" s="22" t="s">
        <v>173</v>
      </c>
      <c r="C229" s="21">
        <v>20</v>
      </c>
      <c r="D229" s="20">
        <v>201089000</v>
      </c>
      <c r="E229" s="29"/>
    </row>
    <row r="230" spans="1:5" x14ac:dyDescent="0.2">
      <c r="A230" t="s">
        <v>155</v>
      </c>
      <c r="B230" s="22" t="s">
        <v>173</v>
      </c>
      <c r="C230" s="21">
        <v>20</v>
      </c>
      <c r="D230" s="20">
        <v>-125046000</v>
      </c>
      <c r="E230" s="29"/>
    </row>
    <row r="231" spans="1:5" x14ac:dyDescent="0.2">
      <c r="A231" t="s">
        <v>155</v>
      </c>
      <c r="B231" s="22" t="s">
        <v>174</v>
      </c>
      <c r="C231" s="21">
        <v>20</v>
      </c>
      <c r="D231" s="20">
        <v>390605000</v>
      </c>
      <c r="E231" s="29"/>
    </row>
    <row r="232" spans="1:5" x14ac:dyDescent="0.2">
      <c r="A232" t="s">
        <v>155</v>
      </c>
      <c r="B232" s="22" t="s">
        <v>174</v>
      </c>
      <c r="C232" s="21">
        <v>20</v>
      </c>
      <c r="D232" s="20">
        <v>131779000</v>
      </c>
      <c r="E232" s="29"/>
    </row>
    <row r="233" spans="1:5" x14ac:dyDescent="0.2">
      <c r="A233" t="s">
        <v>155</v>
      </c>
      <c r="B233" s="22" t="s">
        <v>175</v>
      </c>
      <c r="C233" s="21">
        <v>20</v>
      </c>
      <c r="D233" s="20">
        <v>400591000</v>
      </c>
      <c r="E233" s="29"/>
    </row>
    <row r="234" spans="1:5" x14ac:dyDescent="0.2">
      <c r="A234" t="s">
        <v>155</v>
      </c>
      <c r="B234" s="22" t="s">
        <v>175</v>
      </c>
      <c r="C234" s="21">
        <v>20</v>
      </c>
      <c r="D234" s="20">
        <v>-639550000</v>
      </c>
      <c r="E234" s="29"/>
    </row>
    <row r="235" spans="1:5" x14ac:dyDescent="0.2">
      <c r="A235" t="s">
        <v>155</v>
      </c>
      <c r="B235" s="22" t="s">
        <v>176</v>
      </c>
      <c r="C235" s="21">
        <v>21</v>
      </c>
      <c r="D235" s="20">
        <v>186528000</v>
      </c>
      <c r="E235" s="29"/>
    </row>
    <row r="236" spans="1:5" x14ac:dyDescent="0.2">
      <c r="A236" t="s">
        <v>155</v>
      </c>
      <c r="B236" s="22" t="s">
        <v>176</v>
      </c>
      <c r="C236" s="21">
        <v>21</v>
      </c>
      <c r="D236" s="20">
        <v>-5108000</v>
      </c>
      <c r="E236" s="29"/>
    </row>
    <row r="237" spans="1:5" x14ac:dyDescent="0.2">
      <c r="B237" s="22"/>
    </row>
    <row r="238" spans="1:5" x14ac:dyDescent="0.2">
      <c r="B238" s="22"/>
    </row>
    <row r="239" spans="1:5" x14ac:dyDescent="0.2">
      <c r="B239" s="22"/>
    </row>
    <row r="240" spans="1:5" x14ac:dyDescent="0.2">
      <c r="B240" s="22"/>
    </row>
    <row r="241" spans="2:2" x14ac:dyDescent="0.2">
      <c r="B241" s="22"/>
    </row>
    <row r="242" spans="2:2" x14ac:dyDescent="0.2">
      <c r="B242" s="22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84E8-2F23-42B2-876E-1A487B58BB7F}">
  <sheetPr>
    <tabColor rgb="FFFFFF00"/>
  </sheetPr>
  <dimension ref="A1:F101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5.1640625" bestFit="1" customWidth="1"/>
    <col min="2" max="2" width="6.33203125" bestFit="1" customWidth="1"/>
    <col min="3" max="3" width="10.6640625" bestFit="1" customWidth="1"/>
    <col min="5" max="5" width="14" bestFit="1" customWidth="1"/>
    <col min="6" max="6" width="10.1640625" bestFit="1" customWidth="1"/>
  </cols>
  <sheetData>
    <row r="1" spans="1:6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">
      <c r="A2">
        <v>2023</v>
      </c>
      <c r="B2" s="10">
        <v>6.7000000000000004E-2</v>
      </c>
      <c r="C2" s="10">
        <v>6.7000000000000004E-2</v>
      </c>
      <c r="D2" s="10">
        <v>6.7000000000000004E-2</v>
      </c>
      <c r="E2" s="10">
        <v>6.7000000000000004E-2</v>
      </c>
      <c r="F2" s="10">
        <v>0.06</v>
      </c>
    </row>
    <row r="3" spans="1:6" x14ac:dyDescent="0.2">
      <c r="A3">
        <v>2024</v>
      </c>
      <c r="B3" s="10">
        <v>6.7000000000000004E-2</v>
      </c>
      <c r="C3" s="10">
        <v>6.7000000000000004E-2</v>
      </c>
      <c r="D3" s="10">
        <v>-0.24</v>
      </c>
      <c r="E3" s="10">
        <v>-0.24</v>
      </c>
      <c r="F3" s="10">
        <v>0.06</v>
      </c>
    </row>
    <row r="4" spans="1:6" x14ac:dyDescent="0.2">
      <c r="A4">
        <v>2025</v>
      </c>
      <c r="B4" s="10">
        <v>6.7000000000000004E-2</v>
      </c>
      <c r="C4" s="10">
        <v>6.7000000000000004E-2</v>
      </c>
      <c r="D4" s="10">
        <v>0.11</v>
      </c>
      <c r="E4" s="10">
        <v>0.11</v>
      </c>
      <c r="F4" s="10">
        <v>0.06</v>
      </c>
    </row>
    <row r="5" spans="1:6" x14ac:dyDescent="0.2">
      <c r="A5">
        <v>2026</v>
      </c>
      <c r="B5" s="10">
        <v>6.7000000000000004E-2</v>
      </c>
      <c r="C5" s="10">
        <v>6.7000000000000004E-2</v>
      </c>
      <c r="D5" s="10">
        <v>0.11</v>
      </c>
      <c r="E5" s="10">
        <v>0.11</v>
      </c>
      <c r="F5" s="10">
        <v>0.06</v>
      </c>
    </row>
    <row r="6" spans="1:6" x14ac:dyDescent="0.2">
      <c r="A6">
        <v>2027</v>
      </c>
      <c r="B6" s="10">
        <v>6.7000000000000004E-2</v>
      </c>
      <c r="C6" s="10">
        <v>6.7000000000000004E-2</v>
      </c>
      <c r="D6" s="10">
        <v>0.11</v>
      </c>
      <c r="E6" s="10">
        <v>0.11</v>
      </c>
      <c r="F6" s="10">
        <v>0.06</v>
      </c>
    </row>
    <row r="7" spans="1:6" x14ac:dyDescent="0.2">
      <c r="A7">
        <v>2028</v>
      </c>
      <c r="B7" s="10">
        <v>6.7000000000000004E-2</v>
      </c>
      <c r="C7" s="10">
        <v>6.7000000000000004E-2</v>
      </c>
      <c r="D7" s="10">
        <v>0.06</v>
      </c>
      <c r="E7" s="10">
        <v>0.06</v>
      </c>
      <c r="F7" s="10">
        <v>0.06</v>
      </c>
    </row>
    <row r="8" spans="1:6" x14ac:dyDescent="0.2">
      <c r="A8">
        <v>2029</v>
      </c>
      <c r="B8" s="10">
        <v>6.7000000000000004E-2</v>
      </c>
      <c r="C8" s="10">
        <v>6.7000000000000004E-2</v>
      </c>
      <c r="D8" s="10">
        <v>0.06</v>
      </c>
      <c r="E8" s="10">
        <v>0.06</v>
      </c>
      <c r="F8" s="10">
        <v>0.06</v>
      </c>
    </row>
    <row r="9" spans="1:6" x14ac:dyDescent="0.2">
      <c r="A9">
        <v>2030</v>
      </c>
      <c r="B9" s="10">
        <v>6.7000000000000004E-2</v>
      </c>
      <c r="C9" s="10">
        <v>6.7000000000000004E-2</v>
      </c>
      <c r="D9" s="10">
        <v>0.06</v>
      </c>
      <c r="E9" s="10">
        <v>0.06</v>
      </c>
      <c r="F9" s="10">
        <v>0.06</v>
      </c>
    </row>
    <row r="10" spans="1:6" x14ac:dyDescent="0.2">
      <c r="A10">
        <v>2031</v>
      </c>
      <c r="B10" s="10">
        <v>6.7000000000000004E-2</v>
      </c>
      <c r="C10" s="10">
        <v>6.7000000000000004E-2</v>
      </c>
      <c r="D10" s="10">
        <v>0.06</v>
      </c>
      <c r="E10" s="10">
        <v>0.06</v>
      </c>
      <c r="F10" s="10">
        <v>0.06</v>
      </c>
    </row>
    <row r="11" spans="1:6" x14ac:dyDescent="0.2">
      <c r="A11">
        <v>2032</v>
      </c>
      <c r="B11" s="10">
        <v>6.7000000000000004E-2</v>
      </c>
      <c r="C11" s="10">
        <v>6.7000000000000004E-2</v>
      </c>
      <c r="D11" s="10">
        <v>0.06</v>
      </c>
      <c r="E11" s="10">
        <v>0.06</v>
      </c>
      <c r="F11" s="10">
        <v>0.06</v>
      </c>
    </row>
    <row r="12" spans="1:6" x14ac:dyDescent="0.2">
      <c r="A12">
        <v>2033</v>
      </c>
      <c r="B12" s="10">
        <v>6.7000000000000004E-2</v>
      </c>
      <c r="C12" s="10">
        <v>6.7000000000000004E-2</v>
      </c>
      <c r="D12" s="10">
        <v>0.06</v>
      </c>
      <c r="E12" s="10">
        <v>0.06</v>
      </c>
      <c r="F12" s="10">
        <v>0.06</v>
      </c>
    </row>
    <row r="13" spans="1:6" x14ac:dyDescent="0.2">
      <c r="A13">
        <v>2034</v>
      </c>
      <c r="B13" s="10">
        <v>6.7000000000000004E-2</v>
      </c>
      <c r="C13" s="10">
        <v>6.7000000000000004E-2</v>
      </c>
      <c r="D13" s="10">
        <v>0.06</v>
      </c>
      <c r="E13" s="10">
        <v>0.06</v>
      </c>
      <c r="F13" s="10">
        <v>0.06</v>
      </c>
    </row>
    <row r="14" spans="1:6" x14ac:dyDescent="0.2">
      <c r="A14">
        <v>2035</v>
      </c>
      <c r="B14" s="10">
        <v>6.7000000000000004E-2</v>
      </c>
      <c r="C14" s="10">
        <v>6.7000000000000004E-2</v>
      </c>
      <c r="D14" s="10">
        <v>0.06</v>
      </c>
      <c r="E14" s="10">
        <v>0.06</v>
      </c>
      <c r="F14" s="10">
        <v>0.06</v>
      </c>
    </row>
    <row r="15" spans="1:6" x14ac:dyDescent="0.2">
      <c r="A15">
        <v>2036</v>
      </c>
      <c r="B15" s="10">
        <v>6.7000000000000004E-2</v>
      </c>
      <c r="C15" s="10">
        <v>6.7000000000000004E-2</v>
      </c>
      <c r="D15" s="10">
        <v>0.06</v>
      </c>
      <c r="E15" s="10">
        <v>0.06</v>
      </c>
      <c r="F15" s="10">
        <v>0.06</v>
      </c>
    </row>
    <row r="16" spans="1:6" x14ac:dyDescent="0.2">
      <c r="A16">
        <v>2037</v>
      </c>
      <c r="B16" s="10">
        <v>6.7000000000000004E-2</v>
      </c>
      <c r="C16" s="10">
        <v>6.7000000000000004E-2</v>
      </c>
      <c r="D16" s="10">
        <v>0.06</v>
      </c>
      <c r="E16" s="10">
        <v>0.06</v>
      </c>
      <c r="F16" s="10">
        <v>0.06</v>
      </c>
    </row>
    <row r="17" spans="1:6" x14ac:dyDescent="0.2">
      <c r="A17">
        <v>2038</v>
      </c>
      <c r="B17" s="10">
        <v>6.7000000000000004E-2</v>
      </c>
      <c r="C17" s="10">
        <v>6.7000000000000004E-2</v>
      </c>
      <c r="D17" s="10">
        <v>0.06</v>
      </c>
      <c r="E17" s="10">
        <v>0.06</v>
      </c>
      <c r="F17" s="10">
        <v>0.06</v>
      </c>
    </row>
    <row r="18" spans="1:6" x14ac:dyDescent="0.2">
      <c r="A18">
        <v>2039</v>
      </c>
      <c r="B18" s="10">
        <v>6.7000000000000004E-2</v>
      </c>
      <c r="C18" s="10">
        <v>6.7000000000000004E-2</v>
      </c>
      <c r="D18" s="10">
        <v>0.06</v>
      </c>
      <c r="E18" s="10">
        <v>-0.24</v>
      </c>
      <c r="F18" s="10">
        <v>0.06</v>
      </c>
    </row>
    <row r="19" spans="1:6" x14ac:dyDescent="0.2">
      <c r="A19">
        <v>2040</v>
      </c>
      <c r="B19" s="10">
        <v>6.7000000000000004E-2</v>
      </c>
      <c r="C19" s="10">
        <v>6.7000000000000004E-2</v>
      </c>
      <c r="D19" s="10">
        <v>0.06</v>
      </c>
      <c r="E19" s="10">
        <v>0.11</v>
      </c>
      <c r="F19" s="10">
        <v>0.06</v>
      </c>
    </row>
    <row r="20" spans="1:6" x14ac:dyDescent="0.2">
      <c r="A20">
        <v>2041</v>
      </c>
      <c r="B20" s="10">
        <v>6.7000000000000004E-2</v>
      </c>
      <c r="C20" s="10">
        <v>6.7000000000000004E-2</v>
      </c>
      <c r="D20" s="10">
        <v>0.06</v>
      </c>
      <c r="E20" s="10">
        <v>0.11</v>
      </c>
      <c r="F20" s="10">
        <v>0.06</v>
      </c>
    </row>
    <row r="21" spans="1:6" x14ac:dyDescent="0.2">
      <c r="A21">
        <v>2042</v>
      </c>
      <c r="B21" s="10">
        <v>6.7000000000000004E-2</v>
      </c>
      <c r="C21" s="10">
        <v>6.7000000000000004E-2</v>
      </c>
      <c r="D21" s="10">
        <v>0.06</v>
      </c>
      <c r="E21" s="10">
        <v>0.11</v>
      </c>
      <c r="F21" s="10">
        <v>0.06</v>
      </c>
    </row>
    <row r="22" spans="1:6" x14ac:dyDescent="0.2">
      <c r="A22">
        <v>2043</v>
      </c>
      <c r="B22" s="10">
        <v>6.7000000000000004E-2</v>
      </c>
      <c r="C22" s="10">
        <v>6.7000000000000004E-2</v>
      </c>
      <c r="D22" s="10">
        <v>0.06</v>
      </c>
      <c r="E22" s="10">
        <v>0.06</v>
      </c>
      <c r="F22" s="10">
        <v>0.06</v>
      </c>
    </row>
    <row r="23" spans="1:6" x14ac:dyDescent="0.2">
      <c r="A23">
        <v>2044</v>
      </c>
      <c r="B23" s="10">
        <v>6.7000000000000004E-2</v>
      </c>
      <c r="C23" s="10">
        <v>6.7000000000000004E-2</v>
      </c>
      <c r="D23" s="10">
        <v>0.06</v>
      </c>
      <c r="E23" s="10">
        <v>0.06</v>
      </c>
      <c r="F23" s="10">
        <v>0.06</v>
      </c>
    </row>
    <row r="24" spans="1:6" x14ac:dyDescent="0.2">
      <c r="A24">
        <v>2045</v>
      </c>
      <c r="B24" s="10">
        <v>6.7000000000000004E-2</v>
      </c>
      <c r="C24" s="10">
        <v>6.7000000000000004E-2</v>
      </c>
      <c r="D24" s="10">
        <v>0.06</v>
      </c>
      <c r="E24" s="10">
        <v>0.06</v>
      </c>
      <c r="F24" s="10">
        <v>0.06</v>
      </c>
    </row>
    <row r="25" spans="1:6" x14ac:dyDescent="0.2">
      <c r="A25">
        <v>2046</v>
      </c>
      <c r="B25" s="10">
        <v>6.7000000000000004E-2</v>
      </c>
      <c r="C25" s="10">
        <v>6.7000000000000004E-2</v>
      </c>
      <c r="D25" s="10">
        <v>0.06</v>
      </c>
      <c r="E25" s="10">
        <v>0.06</v>
      </c>
      <c r="F25" s="10">
        <v>0.06</v>
      </c>
    </row>
    <row r="26" spans="1:6" x14ac:dyDescent="0.2">
      <c r="A26">
        <v>2047</v>
      </c>
      <c r="B26" s="10">
        <v>6.7000000000000004E-2</v>
      </c>
      <c r="C26" s="10">
        <v>6.7000000000000004E-2</v>
      </c>
      <c r="D26" s="10">
        <v>0.06</v>
      </c>
      <c r="E26" s="10">
        <v>0.06</v>
      </c>
      <c r="F26" s="10">
        <v>0.06</v>
      </c>
    </row>
    <row r="27" spans="1:6" x14ac:dyDescent="0.2">
      <c r="A27">
        <v>2048</v>
      </c>
      <c r="B27" s="10">
        <v>6.7000000000000004E-2</v>
      </c>
      <c r="C27" s="10">
        <v>6.7000000000000004E-2</v>
      </c>
      <c r="D27" s="10">
        <v>0.06</v>
      </c>
      <c r="E27" s="10">
        <v>0.06</v>
      </c>
      <c r="F27" s="10">
        <v>0.06</v>
      </c>
    </row>
    <row r="28" spans="1:6" x14ac:dyDescent="0.2">
      <c r="A28">
        <v>2049</v>
      </c>
      <c r="B28" s="10">
        <v>6.7000000000000004E-2</v>
      </c>
      <c r="C28" s="10">
        <v>6.7000000000000004E-2</v>
      </c>
      <c r="D28" s="10">
        <v>0.06</v>
      </c>
      <c r="E28" s="10">
        <v>0.06</v>
      </c>
      <c r="F28" s="10">
        <v>0.06</v>
      </c>
    </row>
    <row r="29" spans="1:6" x14ac:dyDescent="0.2">
      <c r="A29">
        <v>2050</v>
      </c>
      <c r="B29" s="10">
        <v>6.7000000000000004E-2</v>
      </c>
      <c r="C29" s="10">
        <v>6.7000000000000004E-2</v>
      </c>
      <c r="D29" s="10">
        <v>0.06</v>
      </c>
      <c r="E29" s="10">
        <v>0.06</v>
      </c>
      <c r="F29" s="10">
        <v>0.06</v>
      </c>
    </row>
    <row r="30" spans="1:6" x14ac:dyDescent="0.2">
      <c r="A30">
        <v>2051</v>
      </c>
      <c r="B30" s="10">
        <v>6.7000000000000004E-2</v>
      </c>
      <c r="C30" s="10">
        <v>6.7000000000000004E-2</v>
      </c>
      <c r="D30" s="10">
        <v>0.06</v>
      </c>
      <c r="E30" s="10">
        <v>0.06</v>
      </c>
      <c r="F30" s="10">
        <v>0.06</v>
      </c>
    </row>
    <row r="31" spans="1:6" x14ac:dyDescent="0.2">
      <c r="A31">
        <v>2052</v>
      </c>
      <c r="B31" s="10">
        <v>6.7000000000000004E-2</v>
      </c>
      <c r="C31" s="10">
        <v>6.7000000000000004E-2</v>
      </c>
      <c r="D31" s="10">
        <v>0.06</v>
      </c>
      <c r="E31" s="10">
        <v>0.06</v>
      </c>
      <c r="F31" s="10">
        <v>0.06</v>
      </c>
    </row>
    <row r="32" spans="1:6" x14ac:dyDescent="0.2">
      <c r="A32">
        <v>2053</v>
      </c>
      <c r="B32" s="10">
        <v>6.7000000000000004E-2</v>
      </c>
      <c r="C32" s="10">
        <v>6.7000000000000004E-2</v>
      </c>
      <c r="D32" s="10">
        <v>0.06</v>
      </c>
      <c r="E32" s="10">
        <v>0.06</v>
      </c>
      <c r="F32" s="10">
        <v>0.06</v>
      </c>
    </row>
    <row r="33" spans="1:6" x14ac:dyDescent="0.2">
      <c r="A33">
        <v>2054</v>
      </c>
      <c r="B33" s="10">
        <v>6.7000000000000004E-2</v>
      </c>
      <c r="C33" s="10">
        <v>6.7000000000000004E-2</v>
      </c>
      <c r="D33" s="10">
        <v>0.06</v>
      </c>
      <c r="E33" s="10">
        <v>0.06</v>
      </c>
      <c r="F33" s="10">
        <v>0.06</v>
      </c>
    </row>
    <row r="34" spans="1:6" x14ac:dyDescent="0.2">
      <c r="A34">
        <v>2055</v>
      </c>
      <c r="B34" s="10">
        <v>6.7000000000000004E-2</v>
      </c>
      <c r="C34" s="10">
        <v>6.7000000000000004E-2</v>
      </c>
      <c r="D34" s="10">
        <v>0.06</v>
      </c>
      <c r="E34" s="10">
        <v>0.06</v>
      </c>
      <c r="F34" s="10">
        <v>0.06</v>
      </c>
    </row>
    <row r="35" spans="1:6" x14ac:dyDescent="0.2">
      <c r="A35">
        <v>2056</v>
      </c>
      <c r="B35" s="10">
        <v>6.7000000000000004E-2</v>
      </c>
      <c r="C35" s="10">
        <v>6.7000000000000004E-2</v>
      </c>
      <c r="D35" s="10">
        <v>0.06</v>
      </c>
      <c r="E35" s="10">
        <v>0.06</v>
      </c>
      <c r="F35" s="10">
        <v>0.06</v>
      </c>
    </row>
    <row r="36" spans="1:6" x14ac:dyDescent="0.2">
      <c r="A36">
        <v>2057</v>
      </c>
      <c r="B36" s="10">
        <v>6.7000000000000004E-2</v>
      </c>
      <c r="C36" s="10">
        <v>6.7000000000000004E-2</v>
      </c>
      <c r="D36" s="10">
        <v>0.06</v>
      </c>
      <c r="E36" s="10">
        <v>0.06</v>
      </c>
      <c r="F36" s="10">
        <v>0.06</v>
      </c>
    </row>
    <row r="37" spans="1:6" x14ac:dyDescent="0.2">
      <c r="A37">
        <v>2058</v>
      </c>
      <c r="B37" s="10">
        <v>6.7000000000000004E-2</v>
      </c>
      <c r="C37" s="10">
        <v>6.7000000000000004E-2</v>
      </c>
      <c r="D37" s="10">
        <v>0.06</v>
      </c>
      <c r="E37" s="10">
        <v>0.06</v>
      </c>
      <c r="F37" s="10">
        <v>0.06</v>
      </c>
    </row>
    <row r="38" spans="1:6" x14ac:dyDescent="0.2">
      <c r="A38">
        <v>2059</v>
      </c>
      <c r="B38" s="10">
        <v>6.7000000000000004E-2</v>
      </c>
      <c r="C38" s="10">
        <v>6.7000000000000004E-2</v>
      </c>
      <c r="D38" s="10">
        <v>0.06</v>
      </c>
      <c r="E38" s="10">
        <v>0.06</v>
      </c>
      <c r="F38" s="10">
        <v>0.06</v>
      </c>
    </row>
    <row r="39" spans="1:6" x14ac:dyDescent="0.2">
      <c r="A39">
        <v>2060</v>
      </c>
      <c r="B39" s="10">
        <v>6.7000000000000004E-2</v>
      </c>
      <c r="C39" s="10">
        <v>6.7000000000000004E-2</v>
      </c>
      <c r="D39" s="10">
        <v>0.06</v>
      </c>
      <c r="E39" s="10">
        <v>0.06</v>
      </c>
      <c r="F39" s="10">
        <v>0.06</v>
      </c>
    </row>
    <row r="40" spans="1:6" x14ac:dyDescent="0.2">
      <c r="A40">
        <v>2061</v>
      </c>
      <c r="B40" s="10">
        <v>6.7000000000000004E-2</v>
      </c>
      <c r="C40" s="10">
        <v>6.7000000000000004E-2</v>
      </c>
      <c r="D40" s="10">
        <v>0.06</v>
      </c>
      <c r="E40" s="10">
        <v>0.06</v>
      </c>
      <c r="F40" s="10">
        <v>0.06</v>
      </c>
    </row>
    <row r="41" spans="1:6" x14ac:dyDescent="0.2">
      <c r="A41">
        <v>2062</v>
      </c>
      <c r="B41" s="10">
        <v>6.7000000000000004E-2</v>
      </c>
      <c r="C41" s="10">
        <v>6.7000000000000004E-2</v>
      </c>
      <c r="D41" s="10">
        <v>0.06</v>
      </c>
      <c r="E41" s="10">
        <v>0.06</v>
      </c>
      <c r="F41" s="10">
        <v>0.06</v>
      </c>
    </row>
    <row r="42" spans="1:6" x14ac:dyDescent="0.2">
      <c r="A42">
        <v>2063</v>
      </c>
      <c r="B42" s="10">
        <v>6.7000000000000004E-2</v>
      </c>
      <c r="C42" s="10">
        <v>6.7000000000000004E-2</v>
      </c>
      <c r="D42" s="10">
        <v>0.06</v>
      </c>
      <c r="E42" s="10">
        <v>0.06</v>
      </c>
      <c r="F42" s="10">
        <v>0.06</v>
      </c>
    </row>
    <row r="43" spans="1:6" x14ac:dyDescent="0.2">
      <c r="A43">
        <v>2064</v>
      </c>
      <c r="B43" s="10">
        <v>6.7000000000000004E-2</v>
      </c>
      <c r="C43" s="10">
        <v>6.7000000000000004E-2</v>
      </c>
      <c r="D43" s="10">
        <v>0.06</v>
      </c>
      <c r="E43" s="10">
        <v>0.06</v>
      </c>
      <c r="F43" s="10">
        <v>0.06</v>
      </c>
    </row>
    <row r="44" spans="1:6" x14ac:dyDescent="0.2">
      <c r="A44">
        <v>2065</v>
      </c>
      <c r="B44" s="10">
        <v>6.7000000000000004E-2</v>
      </c>
      <c r="C44" s="10">
        <v>6.7000000000000004E-2</v>
      </c>
      <c r="D44" s="10">
        <v>0.06</v>
      </c>
      <c r="E44" s="10">
        <v>0.06</v>
      </c>
      <c r="F44" s="10">
        <v>0.06</v>
      </c>
    </row>
    <row r="45" spans="1:6" x14ac:dyDescent="0.2">
      <c r="A45">
        <v>2066</v>
      </c>
      <c r="B45" s="10">
        <v>6.7000000000000004E-2</v>
      </c>
      <c r="C45" s="10">
        <v>6.7000000000000004E-2</v>
      </c>
      <c r="D45" s="10">
        <v>0.06</v>
      </c>
      <c r="E45" s="10">
        <v>0.06</v>
      </c>
      <c r="F45" s="10">
        <v>0.06</v>
      </c>
    </row>
    <row r="46" spans="1:6" x14ac:dyDescent="0.2">
      <c r="A46">
        <v>2067</v>
      </c>
      <c r="B46" s="10">
        <v>6.7000000000000004E-2</v>
      </c>
      <c r="C46" s="10">
        <v>6.7000000000000004E-2</v>
      </c>
      <c r="D46" s="10">
        <v>0.06</v>
      </c>
      <c r="E46" s="10">
        <v>0.06</v>
      </c>
      <c r="F46" s="10">
        <v>0.06</v>
      </c>
    </row>
    <row r="47" spans="1:6" x14ac:dyDescent="0.2">
      <c r="A47">
        <v>2068</v>
      </c>
      <c r="B47" s="10">
        <v>6.7000000000000004E-2</v>
      </c>
      <c r="C47" s="10">
        <v>6.7000000000000004E-2</v>
      </c>
      <c r="D47" s="10">
        <v>0.06</v>
      </c>
      <c r="E47" s="10">
        <v>0.06</v>
      </c>
      <c r="F47" s="10">
        <v>0.06</v>
      </c>
    </row>
    <row r="48" spans="1:6" x14ac:dyDescent="0.2">
      <c r="A48">
        <v>2069</v>
      </c>
      <c r="B48" s="10">
        <v>6.7000000000000004E-2</v>
      </c>
      <c r="C48" s="10">
        <v>6.7000000000000004E-2</v>
      </c>
      <c r="D48" s="10">
        <v>0.06</v>
      </c>
      <c r="E48" s="10">
        <v>0.06</v>
      </c>
      <c r="F48" s="10">
        <v>0.06</v>
      </c>
    </row>
    <row r="49" spans="1:6" x14ac:dyDescent="0.2">
      <c r="A49">
        <v>2070</v>
      </c>
      <c r="B49" s="10">
        <v>6.7000000000000004E-2</v>
      </c>
      <c r="C49" s="10">
        <v>6.7000000000000004E-2</v>
      </c>
      <c r="D49" s="10">
        <v>0.06</v>
      </c>
      <c r="E49" s="10">
        <v>0.06</v>
      </c>
      <c r="F49" s="10">
        <v>0.06</v>
      </c>
    </row>
    <row r="50" spans="1:6" x14ac:dyDescent="0.2">
      <c r="A50">
        <v>2071</v>
      </c>
      <c r="B50" s="10">
        <v>6.7000000000000004E-2</v>
      </c>
      <c r="C50" s="10">
        <v>6.7000000000000004E-2</v>
      </c>
      <c r="D50" s="10">
        <v>0.06</v>
      </c>
      <c r="E50" s="10">
        <v>0.06</v>
      </c>
      <c r="F50" s="10">
        <v>0.06</v>
      </c>
    </row>
    <row r="51" spans="1:6" x14ac:dyDescent="0.2">
      <c r="A51">
        <v>2072</v>
      </c>
      <c r="B51" s="10">
        <v>6.7000000000000004E-2</v>
      </c>
      <c r="C51" s="10">
        <v>6.7000000000000004E-2</v>
      </c>
      <c r="D51" s="10">
        <v>0.06</v>
      </c>
      <c r="E51" s="10">
        <v>0.06</v>
      </c>
      <c r="F51" s="10">
        <v>0.06</v>
      </c>
    </row>
    <row r="52" spans="1:6" x14ac:dyDescent="0.2">
      <c r="A52">
        <v>2073</v>
      </c>
      <c r="B52" s="10">
        <v>6.7000000000000004E-2</v>
      </c>
      <c r="C52" s="10">
        <v>6.7000000000000004E-2</v>
      </c>
      <c r="D52" s="10">
        <v>0.06</v>
      </c>
      <c r="E52" s="10">
        <v>0.06</v>
      </c>
      <c r="F52" s="10">
        <v>0.06</v>
      </c>
    </row>
    <row r="53" spans="1:6" x14ac:dyDescent="0.2">
      <c r="A53">
        <v>2074</v>
      </c>
      <c r="B53" s="10">
        <v>6.7000000000000004E-2</v>
      </c>
      <c r="C53" s="10">
        <v>6.7000000000000004E-2</v>
      </c>
      <c r="D53" s="10">
        <v>0.06</v>
      </c>
      <c r="E53" s="10">
        <v>0.06</v>
      </c>
      <c r="F53" s="10">
        <v>0.06</v>
      </c>
    </row>
    <row r="54" spans="1:6" x14ac:dyDescent="0.2">
      <c r="A54">
        <v>2075</v>
      </c>
      <c r="B54" s="10">
        <v>6.7000000000000004E-2</v>
      </c>
      <c r="C54" s="10">
        <v>6.7000000000000004E-2</v>
      </c>
      <c r="D54" s="10">
        <v>0.06</v>
      </c>
      <c r="E54" s="10">
        <v>0.06</v>
      </c>
      <c r="F54" s="10">
        <v>0.06</v>
      </c>
    </row>
    <row r="55" spans="1:6" x14ac:dyDescent="0.2">
      <c r="A55">
        <v>2076</v>
      </c>
      <c r="B55" s="10">
        <v>6.7000000000000004E-2</v>
      </c>
      <c r="C55" s="10">
        <v>6.7000000000000004E-2</v>
      </c>
      <c r="D55" s="10">
        <v>0.06</v>
      </c>
      <c r="E55" s="10">
        <v>0.06</v>
      </c>
      <c r="F55" s="10">
        <v>0.06</v>
      </c>
    </row>
    <row r="56" spans="1:6" x14ac:dyDescent="0.2">
      <c r="A56">
        <v>2077</v>
      </c>
      <c r="B56" s="10">
        <v>6.7000000000000004E-2</v>
      </c>
      <c r="C56" s="10">
        <v>6.7000000000000004E-2</v>
      </c>
      <c r="D56" s="10">
        <v>0.06</v>
      </c>
      <c r="E56" s="10">
        <v>0.06</v>
      </c>
      <c r="F56" s="10">
        <v>0.06</v>
      </c>
    </row>
    <row r="57" spans="1:6" x14ac:dyDescent="0.2">
      <c r="A57">
        <v>2078</v>
      </c>
      <c r="B57" s="10">
        <v>6.7000000000000004E-2</v>
      </c>
      <c r="C57" s="10">
        <v>6.7000000000000004E-2</v>
      </c>
      <c r="D57" s="10">
        <v>0.06</v>
      </c>
      <c r="E57" s="10">
        <v>0.06</v>
      </c>
      <c r="F57" s="10">
        <v>0.06</v>
      </c>
    </row>
    <row r="58" spans="1:6" x14ac:dyDescent="0.2">
      <c r="A58">
        <v>2079</v>
      </c>
      <c r="B58" s="10">
        <v>6.7000000000000004E-2</v>
      </c>
      <c r="C58" s="10">
        <v>6.7000000000000004E-2</v>
      </c>
      <c r="D58" s="10">
        <v>0.06</v>
      </c>
      <c r="E58" s="10">
        <v>0.06</v>
      </c>
      <c r="F58" s="10">
        <v>0.06</v>
      </c>
    </row>
    <row r="59" spans="1:6" x14ac:dyDescent="0.2">
      <c r="A59">
        <v>2080</v>
      </c>
      <c r="B59" s="10">
        <v>6.7000000000000004E-2</v>
      </c>
      <c r="C59" s="10">
        <v>6.7000000000000004E-2</v>
      </c>
      <c r="D59" s="10">
        <v>0.06</v>
      </c>
      <c r="E59" s="10">
        <v>0.06</v>
      </c>
      <c r="F59" s="10">
        <v>0.06</v>
      </c>
    </row>
    <row r="60" spans="1:6" x14ac:dyDescent="0.2">
      <c r="A60">
        <v>2081</v>
      </c>
      <c r="B60" s="10">
        <v>6.7000000000000004E-2</v>
      </c>
      <c r="C60" s="10">
        <v>6.7000000000000004E-2</v>
      </c>
      <c r="D60" s="10">
        <v>0.06</v>
      </c>
      <c r="E60" s="10">
        <v>0.06</v>
      </c>
      <c r="F60" s="10">
        <v>0.06</v>
      </c>
    </row>
    <row r="61" spans="1:6" x14ac:dyDescent="0.2">
      <c r="A61">
        <v>2082</v>
      </c>
      <c r="B61" s="10">
        <v>6.7000000000000004E-2</v>
      </c>
      <c r="C61" s="10">
        <v>6.7000000000000004E-2</v>
      </c>
      <c r="D61" s="10">
        <v>0.06</v>
      </c>
      <c r="E61" s="10">
        <v>0.06</v>
      </c>
      <c r="F61" s="10">
        <v>0.06</v>
      </c>
    </row>
    <row r="62" spans="1:6" x14ac:dyDescent="0.2">
      <c r="A62">
        <v>2083</v>
      </c>
      <c r="B62" s="10">
        <v>6.7000000000000004E-2</v>
      </c>
      <c r="C62" s="10">
        <v>6.7000000000000004E-2</v>
      </c>
      <c r="D62" s="10">
        <v>0.06</v>
      </c>
      <c r="E62" s="10">
        <v>0.06</v>
      </c>
      <c r="F62" s="10">
        <v>0.06</v>
      </c>
    </row>
    <row r="63" spans="1:6" x14ac:dyDescent="0.2">
      <c r="A63">
        <v>2084</v>
      </c>
      <c r="B63" s="10">
        <v>6.7000000000000004E-2</v>
      </c>
      <c r="C63" s="10">
        <v>6.7000000000000004E-2</v>
      </c>
      <c r="D63" s="10">
        <v>0.06</v>
      </c>
      <c r="E63" s="10">
        <v>0.06</v>
      </c>
      <c r="F63" s="10">
        <v>0.06</v>
      </c>
    </row>
    <row r="64" spans="1:6" x14ac:dyDescent="0.2">
      <c r="A64">
        <v>2085</v>
      </c>
      <c r="B64" s="10">
        <v>6.7000000000000004E-2</v>
      </c>
      <c r="C64" s="10">
        <v>6.7000000000000004E-2</v>
      </c>
      <c r="D64" s="10">
        <v>0.06</v>
      </c>
      <c r="E64" s="10">
        <v>0.06</v>
      </c>
      <c r="F64" s="10">
        <v>0.06</v>
      </c>
    </row>
    <row r="65" spans="1:6" x14ac:dyDescent="0.2">
      <c r="A65">
        <v>2086</v>
      </c>
      <c r="B65" s="10">
        <v>6.7000000000000004E-2</v>
      </c>
      <c r="C65" s="10">
        <v>6.7000000000000004E-2</v>
      </c>
      <c r="D65" s="10">
        <v>0.06</v>
      </c>
      <c r="E65" s="10">
        <v>0.06</v>
      </c>
      <c r="F65" s="10">
        <v>0.06</v>
      </c>
    </row>
    <row r="66" spans="1:6" x14ac:dyDescent="0.2">
      <c r="A66">
        <v>2087</v>
      </c>
      <c r="B66" s="10">
        <v>6.7000000000000004E-2</v>
      </c>
      <c r="C66" s="10">
        <v>6.7000000000000004E-2</v>
      </c>
      <c r="D66" s="10">
        <v>0.06</v>
      </c>
      <c r="E66" s="10">
        <v>0.06</v>
      </c>
      <c r="F66" s="10">
        <v>0.06</v>
      </c>
    </row>
    <row r="67" spans="1:6" x14ac:dyDescent="0.2">
      <c r="A67">
        <v>2088</v>
      </c>
      <c r="B67" s="10">
        <v>6.7000000000000004E-2</v>
      </c>
      <c r="C67" s="10">
        <v>6.7000000000000004E-2</v>
      </c>
      <c r="D67" s="10">
        <v>0.06</v>
      </c>
      <c r="E67" s="10">
        <v>0.06</v>
      </c>
      <c r="F67" s="10">
        <v>0.06</v>
      </c>
    </row>
    <row r="68" spans="1:6" x14ac:dyDescent="0.2">
      <c r="A68">
        <v>2089</v>
      </c>
      <c r="B68" s="10">
        <v>6.7000000000000004E-2</v>
      </c>
      <c r="C68" s="10">
        <v>6.7000000000000004E-2</v>
      </c>
      <c r="D68" s="10">
        <v>0.06</v>
      </c>
      <c r="E68" s="10">
        <v>0.06</v>
      </c>
      <c r="F68" s="10">
        <v>0.06</v>
      </c>
    </row>
    <row r="69" spans="1:6" x14ac:dyDescent="0.2">
      <c r="A69">
        <v>2090</v>
      </c>
      <c r="B69" s="10">
        <v>6.7000000000000004E-2</v>
      </c>
      <c r="C69" s="10">
        <v>6.7000000000000004E-2</v>
      </c>
      <c r="D69" s="10">
        <v>0.06</v>
      </c>
      <c r="E69" s="10">
        <v>0.06</v>
      </c>
      <c r="F69" s="10">
        <v>0.06</v>
      </c>
    </row>
    <row r="70" spans="1:6" x14ac:dyDescent="0.2">
      <c r="A70">
        <v>2091</v>
      </c>
      <c r="B70" s="10">
        <v>6.7000000000000004E-2</v>
      </c>
      <c r="C70" s="10">
        <v>6.7000000000000004E-2</v>
      </c>
      <c r="D70" s="10">
        <v>0.06</v>
      </c>
      <c r="E70" s="10">
        <v>0.06</v>
      </c>
      <c r="F70" s="10">
        <v>0.06</v>
      </c>
    </row>
    <row r="71" spans="1:6" x14ac:dyDescent="0.2">
      <c r="A71">
        <v>2092</v>
      </c>
      <c r="B71" s="10">
        <v>6.7000000000000004E-2</v>
      </c>
      <c r="C71" s="10">
        <v>6.7000000000000004E-2</v>
      </c>
      <c r="D71" s="10">
        <v>0.06</v>
      </c>
      <c r="E71" s="10">
        <v>0.06</v>
      </c>
      <c r="F71" s="10">
        <v>0.06</v>
      </c>
    </row>
    <row r="72" spans="1:6" x14ac:dyDescent="0.2">
      <c r="A72">
        <v>2093</v>
      </c>
      <c r="B72" s="10">
        <v>6.7000000000000004E-2</v>
      </c>
      <c r="C72" s="10">
        <v>6.7000000000000004E-2</v>
      </c>
      <c r="D72" s="10">
        <v>0.06</v>
      </c>
      <c r="E72" s="10">
        <v>0.06</v>
      </c>
      <c r="F72" s="10">
        <v>0.06</v>
      </c>
    </row>
    <row r="73" spans="1:6" x14ac:dyDescent="0.2">
      <c r="A73">
        <v>2094</v>
      </c>
      <c r="B73" s="10">
        <v>6.7000000000000004E-2</v>
      </c>
      <c r="C73" s="10">
        <v>6.7000000000000004E-2</v>
      </c>
      <c r="D73" s="10">
        <v>0.06</v>
      </c>
      <c r="E73" s="10">
        <v>0.06</v>
      </c>
      <c r="F73" s="10">
        <v>0.06</v>
      </c>
    </row>
    <row r="74" spans="1:6" x14ac:dyDescent="0.2">
      <c r="A74">
        <v>2095</v>
      </c>
      <c r="B74" s="10">
        <v>6.7000000000000004E-2</v>
      </c>
      <c r="C74" s="10">
        <v>6.7000000000000004E-2</v>
      </c>
      <c r="D74" s="10">
        <v>0.06</v>
      </c>
      <c r="E74" s="10">
        <v>0.06</v>
      </c>
      <c r="F74" s="10">
        <v>0.06</v>
      </c>
    </row>
    <row r="75" spans="1:6" x14ac:dyDescent="0.2">
      <c r="A75">
        <v>2096</v>
      </c>
      <c r="B75" s="10">
        <v>6.7000000000000004E-2</v>
      </c>
      <c r="C75" s="10">
        <v>6.7000000000000004E-2</v>
      </c>
      <c r="D75" s="10">
        <v>0.06</v>
      </c>
      <c r="E75" s="10">
        <v>0.06</v>
      </c>
      <c r="F75" s="10">
        <v>0.06</v>
      </c>
    </row>
    <row r="76" spans="1:6" x14ac:dyDescent="0.2">
      <c r="A76">
        <v>2097</v>
      </c>
      <c r="B76" s="10">
        <v>6.7000000000000004E-2</v>
      </c>
      <c r="C76" s="10">
        <v>6.7000000000000004E-2</v>
      </c>
      <c r="D76" s="10">
        <v>0.06</v>
      </c>
      <c r="E76" s="10">
        <v>0.06</v>
      </c>
      <c r="F76" s="10">
        <v>0.06</v>
      </c>
    </row>
    <row r="77" spans="1:6" x14ac:dyDescent="0.2">
      <c r="A77">
        <v>2098</v>
      </c>
      <c r="B77" s="10">
        <v>6.7000000000000004E-2</v>
      </c>
      <c r="C77" s="10">
        <v>6.7000000000000004E-2</v>
      </c>
      <c r="D77" s="10">
        <v>0.06</v>
      </c>
      <c r="E77" s="10">
        <v>0.06</v>
      </c>
      <c r="F77" s="10">
        <v>0.06</v>
      </c>
    </row>
    <row r="78" spans="1:6" x14ac:dyDescent="0.2">
      <c r="A78">
        <v>2099</v>
      </c>
      <c r="B78" s="10">
        <v>6.7000000000000004E-2</v>
      </c>
      <c r="C78" s="10">
        <v>6.7000000000000004E-2</v>
      </c>
      <c r="D78" s="10">
        <v>0.06</v>
      </c>
      <c r="E78" s="10">
        <v>0.06</v>
      </c>
      <c r="F78" s="10">
        <v>0.06</v>
      </c>
    </row>
    <row r="79" spans="1:6" x14ac:dyDescent="0.2">
      <c r="A79">
        <v>2100</v>
      </c>
      <c r="B79" s="10">
        <v>6.7000000000000004E-2</v>
      </c>
      <c r="C79" s="10">
        <v>6.7000000000000004E-2</v>
      </c>
      <c r="D79" s="10">
        <v>0.06</v>
      </c>
      <c r="E79" s="10">
        <v>0.06</v>
      </c>
      <c r="F79" s="10">
        <v>0.06</v>
      </c>
    </row>
    <row r="80" spans="1:6" x14ac:dyDescent="0.2">
      <c r="A80">
        <v>2101</v>
      </c>
      <c r="B80" s="10">
        <v>6.7000000000000004E-2</v>
      </c>
      <c r="C80" s="10">
        <v>6.7000000000000004E-2</v>
      </c>
      <c r="D80" s="10">
        <v>0.06</v>
      </c>
      <c r="E80" s="10">
        <v>0.06</v>
      </c>
      <c r="F80" s="10">
        <v>0.06</v>
      </c>
    </row>
    <row r="81" spans="1:6" x14ac:dyDescent="0.2">
      <c r="A81">
        <v>2102</v>
      </c>
      <c r="B81" s="10">
        <v>6.7000000000000004E-2</v>
      </c>
      <c r="C81" s="10">
        <v>6.7000000000000004E-2</v>
      </c>
      <c r="D81" s="10">
        <v>0.06</v>
      </c>
      <c r="E81" s="10">
        <v>0.06</v>
      </c>
      <c r="F81" s="10">
        <v>0.06</v>
      </c>
    </row>
    <row r="82" spans="1:6" x14ac:dyDescent="0.2">
      <c r="A82">
        <v>2103</v>
      </c>
      <c r="B82" s="10">
        <v>6.7000000000000004E-2</v>
      </c>
      <c r="C82" s="10">
        <v>6.7000000000000004E-2</v>
      </c>
      <c r="D82" s="10">
        <v>0.06</v>
      </c>
      <c r="E82" s="10">
        <v>0.06</v>
      </c>
      <c r="F82" s="10">
        <v>0.06</v>
      </c>
    </row>
    <row r="83" spans="1:6" x14ac:dyDescent="0.2">
      <c r="A83">
        <v>2104</v>
      </c>
      <c r="B83" s="10">
        <v>6.7000000000000004E-2</v>
      </c>
      <c r="C83" s="10">
        <v>6.7000000000000004E-2</v>
      </c>
      <c r="D83" s="10">
        <v>0.06</v>
      </c>
      <c r="E83" s="10">
        <v>0.06</v>
      </c>
      <c r="F83" s="10">
        <v>0.06</v>
      </c>
    </row>
    <row r="84" spans="1:6" x14ac:dyDescent="0.2">
      <c r="A84">
        <v>2105</v>
      </c>
      <c r="B84" s="10">
        <v>6.7000000000000004E-2</v>
      </c>
      <c r="C84" s="10">
        <v>6.7000000000000004E-2</v>
      </c>
      <c r="D84" s="10">
        <v>0.06</v>
      </c>
      <c r="E84" s="10">
        <v>0.06</v>
      </c>
      <c r="F84" s="10">
        <v>0.06</v>
      </c>
    </row>
    <row r="85" spans="1:6" x14ac:dyDescent="0.2">
      <c r="A85">
        <v>2106</v>
      </c>
      <c r="B85" s="10">
        <v>6.7000000000000004E-2</v>
      </c>
      <c r="C85" s="10">
        <v>6.7000000000000004E-2</v>
      </c>
      <c r="D85" s="10">
        <v>0.06</v>
      </c>
      <c r="E85" s="10">
        <v>0.06</v>
      </c>
      <c r="F85" s="10">
        <v>0.06</v>
      </c>
    </row>
    <row r="86" spans="1:6" x14ac:dyDescent="0.2">
      <c r="A86">
        <v>2107</v>
      </c>
      <c r="B86" s="10">
        <v>6.7000000000000004E-2</v>
      </c>
      <c r="C86" s="10">
        <v>6.7000000000000004E-2</v>
      </c>
      <c r="D86" s="10">
        <v>0.06</v>
      </c>
      <c r="E86" s="10">
        <v>0.06</v>
      </c>
      <c r="F86" s="10">
        <v>0.06</v>
      </c>
    </row>
    <row r="87" spans="1:6" x14ac:dyDescent="0.2">
      <c r="A87">
        <v>2108</v>
      </c>
      <c r="B87" s="10">
        <v>6.7000000000000004E-2</v>
      </c>
      <c r="C87" s="10">
        <v>6.7000000000000004E-2</v>
      </c>
      <c r="D87" s="10">
        <v>0.06</v>
      </c>
      <c r="E87" s="10">
        <v>0.06</v>
      </c>
      <c r="F87" s="10">
        <v>0.06</v>
      </c>
    </row>
    <row r="88" spans="1:6" x14ac:dyDescent="0.2">
      <c r="A88">
        <v>2109</v>
      </c>
      <c r="B88" s="10">
        <v>6.7000000000000004E-2</v>
      </c>
      <c r="C88" s="10">
        <v>6.7000000000000004E-2</v>
      </c>
      <c r="D88" s="10">
        <v>0.06</v>
      </c>
      <c r="E88" s="10">
        <v>0.06</v>
      </c>
      <c r="F88" s="10">
        <v>0.06</v>
      </c>
    </row>
    <row r="89" spans="1:6" x14ac:dyDescent="0.2">
      <c r="A89">
        <v>2110</v>
      </c>
      <c r="B89" s="10">
        <v>6.7000000000000004E-2</v>
      </c>
      <c r="C89" s="10">
        <v>6.7000000000000004E-2</v>
      </c>
      <c r="D89" s="10">
        <v>0.06</v>
      </c>
      <c r="E89" s="10">
        <v>0.06</v>
      </c>
      <c r="F89" s="10">
        <v>0.06</v>
      </c>
    </row>
    <row r="90" spans="1:6" x14ac:dyDescent="0.2">
      <c r="A90">
        <v>2111</v>
      </c>
      <c r="B90" s="10">
        <v>6.7000000000000004E-2</v>
      </c>
      <c r="C90" s="10">
        <v>6.7000000000000004E-2</v>
      </c>
      <c r="D90" s="10">
        <v>0.06</v>
      </c>
      <c r="E90" s="10">
        <v>0.06</v>
      </c>
      <c r="F90" s="10">
        <v>0.06</v>
      </c>
    </row>
    <row r="91" spans="1:6" x14ac:dyDescent="0.2">
      <c r="A91">
        <v>2112</v>
      </c>
      <c r="B91" s="10">
        <v>6.7000000000000004E-2</v>
      </c>
      <c r="C91" s="10">
        <v>6.7000000000000004E-2</v>
      </c>
      <c r="D91" s="10">
        <v>0.06</v>
      </c>
      <c r="E91" s="10">
        <v>0.06</v>
      </c>
      <c r="F91" s="10">
        <v>0.06</v>
      </c>
    </row>
    <row r="92" spans="1:6" x14ac:dyDescent="0.2">
      <c r="A92">
        <v>2113</v>
      </c>
      <c r="B92" s="10">
        <v>6.7000000000000004E-2</v>
      </c>
      <c r="C92" s="10">
        <v>6.7000000000000004E-2</v>
      </c>
      <c r="D92" s="10">
        <v>0.06</v>
      </c>
      <c r="E92" s="10">
        <v>0.06</v>
      </c>
      <c r="F92" s="10">
        <v>0.06</v>
      </c>
    </row>
    <row r="93" spans="1:6" x14ac:dyDescent="0.2">
      <c r="A93">
        <v>2114</v>
      </c>
      <c r="B93" s="10">
        <v>6.7000000000000004E-2</v>
      </c>
      <c r="C93" s="10">
        <v>6.7000000000000004E-2</v>
      </c>
      <c r="D93" s="10">
        <v>0.06</v>
      </c>
      <c r="E93" s="10">
        <v>0.06</v>
      </c>
      <c r="F93" s="10">
        <v>0.06</v>
      </c>
    </row>
    <row r="94" spans="1:6" x14ac:dyDescent="0.2">
      <c r="A94">
        <v>2115</v>
      </c>
      <c r="B94" s="10">
        <v>6.7000000000000004E-2</v>
      </c>
      <c r="C94" s="10">
        <v>6.7000000000000004E-2</v>
      </c>
      <c r="D94" s="10">
        <v>0.06</v>
      </c>
      <c r="E94" s="10">
        <v>0.06</v>
      </c>
      <c r="F94" s="10">
        <v>0.06</v>
      </c>
    </row>
    <row r="95" spans="1:6" x14ac:dyDescent="0.2">
      <c r="A95">
        <v>2116</v>
      </c>
      <c r="B95" s="10">
        <v>6.7000000000000004E-2</v>
      </c>
      <c r="C95" s="10">
        <v>6.7000000000000004E-2</v>
      </c>
      <c r="D95" s="10">
        <v>0.06</v>
      </c>
      <c r="E95" s="10">
        <v>0.06</v>
      </c>
      <c r="F95" s="10">
        <v>0.06</v>
      </c>
    </row>
    <row r="96" spans="1:6" x14ac:dyDescent="0.2">
      <c r="A96">
        <v>2117</v>
      </c>
      <c r="B96" s="10">
        <v>6.7000000000000004E-2</v>
      </c>
      <c r="C96" s="10">
        <v>6.7000000000000004E-2</v>
      </c>
      <c r="D96" s="10">
        <v>0.06</v>
      </c>
      <c r="E96" s="10">
        <v>0.06</v>
      </c>
      <c r="F96" s="10">
        <v>0.06</v>
      </c>
    </row>
    <row r="97" spans="1:6" x14ac:dyDescent="0.2">
      <c r="A97">
        <v>2118</v>
      </c>
      <c r="B97" s="10">
        <v>6.7000000000000004E-2</v>
      </c>
      <c r="C97" s="10">
        <v>6.7000000000000004E-2</v>
      </c>
      <c r="D97" s="10">
        <v>0.06</v>
      </c>
      <c r="E97" s="10">
        <v>0.06</v>
      </c>
      <c r="F97" s="10">
        <v>0.06</v>
      </c>
    </row>
    <row r="98" spans="1:6" x14ac:dyDescent="0.2">
      <c r="A98">
        <v>2119</v>
      </c>
      <c r="B98" s="10">
        <v>6.7000000000000004E-2</v>
      </c>
      <c r="C98" s="10">
        <v>6.7000000000000004E-2</v>
      </c>
      <c r="D98" s="10">
        <v>0.06</v>
      </c>
      <c r="E98" s="10">
        <v>0.06</v>
      </c>
      <c r="F98" s="10">
        <v>0.06</v>
      </c>
    </row>
    <row r="99" spans="1:6" x14ac:dyDescent="0.2">
      <c r="A99">
        <v>2120</v>
      </c>
      <c r="B99" s="10">
        <v>6.7000000000000004E-2</v>
      </c>
      <c r="C99" s="10">
        <v>6.7000000000000004E-2</v>
      </c>
      <c r="D99" s="10">
        <v>0.06</v>
      </c>
      <c r="E99" s="10">
        <v>0.06</v>
      </c>
      <c r="F99" s="10">
        <v>0.06</v>
      </c>
    </row>
    <row r="100" spans="1:6" x14ac:dyDescent="0.2">
      <c r="A100">
        <v>2121</v>
      </c>
      <c r="B100" s="10">
        <v>6.7000000000000004E-2</v>
      </c>
      <c r="C100" s="10">
        <v>6.7000000000000004E-2</v>
      </c>
      <c r="D100" s="10">
        <v>0.06</v>
      </c>
      <c r="E100" s="10">
        <v>0.06</v>
      </c>
      <c r="F100" s="10">
        <v>0.06</v>
      </c>
    </row>
    <row r="101" spans="1:6" x14ac:dyDescent="0.2">
      <c r="A101">
        <v>2122</v>
      </c>
      <c r="B101" s="10">
        <v>6.7000000000000004E-2</v>
      </c>
      <c r="C101" s="10">
        <v>6.7000000000000004E-2</v>
      </c>
      <c r="D101" s="10">
        <v>0.06</v>
      </c>
      <c r="E101" s="10">
        <v>0.06</v>
      </c>
      <c r="F101" s="10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1CC-8908-48E4-A0D5-2919FE857A0B}">
  <sheetPr>
    <tabColor rgb="FFFFFF00"/>
  </sheetPr>
  <dimension ref="A1:L12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4.33203125" bestFit="1" customWidth="1"/>
    <col min="2" max="5" width="10.5" bestFit="1" customWidth="1"/>
    <col min="6" max="9" width="11.5" bestFit="1" customWidth="1"/>
    <col min="10" max="10" width="10.5" bestFit="1" customWidth="1"/>
    <col min="11" max="11" width="11.5" bestFit="1" customWidth="1"/>
    <col min="12" max="12" width="11.1640625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>
        <v>32413</v>
      </c>
      <c r="C2" s="4"/>
      <c r="D2" s="4"/>
      <c r="E2" s="4"/>
      <c r="F2" s="4"/>
      <c r="G2" s="4"/>
      <c r="H2" s="4"/>
    </row>
    <row r="3" spans="1:12" x14ac:dyDescent="0.2">
      <c r="A3" s="5">
        <v>22</v>
      </c>
      <c r="B3" s="4">
        <v>45079</v>
      </c>
      <c r="C3" s="4">
        <v>57446</v>
      </c>
      <c r="D3" s="4">
        <v>50175</v>
      </c>
      <c r="E3" s="4"/>
      <c r="F3" s="4"/>
      <c r="G3" s="4"/>
      <c r="H3" s="4"/>
    </row>
    <row r="4" spans="1:12" x14ac:dyDescent="0.2">
      <c r="A4" s="5">
        <v>27</v>
      </c>
      <c r="B4" s="4">
        <v>52441</v>
      </c>
      <c r="C4" s="4">
        <v>62197</v>
      </c>
      <c r="D4" s="4">
        <v>65756</v>
      </c>
      <c r="E4" s="4"/>
      <c r="F4" s="4"/>
      <c r="G4" s="4"/>
      <c r="H4" s="4"/>
    </row>
    <row r="5" spans="1:12" x14ac:dyDescent="0.2">
      <c r="A5" s="5">
        <v>32</v>
      </c>
      <c r="B5" s="4">
        <v>53728</v>
      </c>
      <c r="C5" s="4">
        <v>68662</v>
      </c>
      <c r="D5" s="4">
        <v>75107</v>
      </c>
      <c r="E5" s="4">
        <v>81059</v>
      </c>
    </row>
    <row r="6" spans="1:12" x14ac:dyDescent="0.2">
      <c r="A6" s="5">
        <v>37</v>
      </c>
      <c r="B6" s="4">
        <v>53663</v>
      </c>
      <c r="C6" s="4">
        <v>70223</v>
      </c>
      <c r="D6" s="4">
        <v>81868</v>
      </c>
      <c r="E6" s="4">
        <v>94375</v>
      </c>
      <c r="F6" s="4">
        <v>93281</v>
      </c>
      <c r="G6" s="4"/>
      <c r="H6" s="4"/>
    </row>
    <row r="7" spans="1:12" x14ac:dyDescent="0.2">
      <c r="A7" s="5">
        <v>42</v>
      </c>
      <c r="B7" s="4">
        <v>53970</v>
      </c>
      <c r="C7" s="4">
        <v>68963</v>
      </c>
      <c r="D7" s="4">
        <v>81278</v>
      </c>
      <c r="E7" s="4">
        <v>97371</v>
      </c>
      <c r="F7" s="4">
        <v>100383</v>
      </c>
      <c r="G7" s="4">
        <v>95462</v>
      </c>
      <c r="H7" s="4"/>
    </row>
    <row r="8" spans="1:12" x14ac:dyDescent="0.2">
      <c r="A8" s="5">
        <v>47</v>
      </c>
      <c r="B8" s="4">
        <v>54184</v>
      </c>
      <c r="C8" s="4">
        <v>66519</v>
      </c>
      <c r="D8" s="4">
        <v>79342</v>
      </c>
      <c r="E8" s="4">
        <v>95326</v>
      </c>
      <c r="F8" s="4">
        <v>103428</v>
      </c>
      <c r="G8" s="4">
        <v>105418</v>
      </c>
      <c r="H8" s="4">
        <v>153960</v>
      </c>
    </row>
    <row r="9" spans="1:12" x14ac:dyDescent="0.2">
      <c r="A9" s="5">
        <v>52</v>
      </c>
      <c r="B9" s="4">
        <v>56606</v>
      </c>
      <c r="C9" s="4">
        <v>67342</v>
      </c>
      <c r="D9" s="4">
        <v>78272</v>
      </c>
      <c r="E9" s="4">
        <v>93581</v>
      </c>
      <c r="F9" s="4">
        <v>102022</v>
      </c>
      <c r="G9" s="4">
        <v>99464</v>
      </c>
      <c r="H9" s="4">
        <v>94742</v>
      </c>
    </row>
    <row r="10" spans="1:12" x14ac:dyDescent="0.2">
      <c r="A10" s="5">
        <v>57</v>
      </c>
      <c r="B10" s="4">
        <v>51337</v>
      </c>
      <c r="C10" s="4">
        <v>68649</v>
      </c>
      <c r="D10" s="4">
        <v>79583</v>
      </c>
      <c r="E10" s="4">
        <v>90295</v>
      </c>
      <c r="F10" s="4">
        <v>92384</v>
      </c>
      <c r="G10" s="4">
        <v>87774</v>
      </c>
      <c r="H10" s="4">
        <v>92674</v>
      </c>
      <c r="I10" s="4">
        <v>92499</v>
      </c>
    </row>
    <row r="11" spans="1:12" x14ac:dyDescent="0.2">
      <c r="A11" s="5">
        <v>62</v>
      </c>
      <c r="B11" s="4">
        <v>47846</v>
      </c>
      <c r="C11" s="4">
        <v>64856</v>
      </c>
      <c r="D11" s="4">
        <v>74993</v>
      </c>
      <c r="E11" s="4">
        <v>87025</v>
      </c>
      <c r="F11" s="4">
        <v>89895</v>
      </c>
      <c r="G11" s="4">
        <v>93451</v>
      </c>
      <c r="H11" s="4">
        <v>88251</v>
      </c>
      <c r="I11" s="4">
        <v>106377</v>
      </c>
      <c r="J11" s="4">
        <v>88681</v>
      </c>
    </row>
    <row r="12" spans="1:12" x14ac:dyDescent="0.2">
      <c r="A12" s="5">
        <v>67</v>
      </c>
      <c r="B12" s="4">
        <v>48158</v>
      </c>
      <c r="C12" s="4">
        <v>63347</v>
      </c>
      <c r="D12" s="4">
        <v>72305</v>
      </c>
      <c r="E12" s="4">
        <v>82234</v>
      </c>
      <c r="F12" s="4">
        <v>90353</v>
      </c>
      <c r="G12" s="4">
        <v>88112</v>
      </c>
      <c r="H12" s="4">
        <v>98159</v>
      </c>
      <c r="I12" s="4">
        <v>90783</v>
      </c>
      <c r="J12" s="4">
        <v>85948</v>
      </c>
      <c r="K12" s="4">
        <v>146029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BA08-1950-4371-97C8-34AD7B2EF379}">
  <sheetPr>
    <tabColor rgb="FFFFFF00"/>
  </sheetPr>
  <dimension ref="A1:L12"/>
  <sheetViews>
    <sheetView workbookViewId="0">
      <selection activeCell="K12" sqref="K12"/>
    </sheetView>
  </sheetViews>
  <sheetFormatPr baseColWidth="10" defaultColWidth="8.83203125" defaultRowHeight="16" x14ac:dyDescent="0.2"/>
  <cols>
    <col min="1" max="1" width="4.33203125" bestFit="1" customWidth="1"/>
    <col min="2" max="7" width="9.5" bestFit="1" customWidth="1"/>
    <col min="8" max="8" width="8" bestFit="1" customWidth="1"/>
    <col min="9" max="9" width="7" bestFit="1" customWidth="1"/>
    <col min="10" max="11" width="6" bestFit="1" customWidth="1"/>
    <col min="12" max="12" width="3.1640625" bestFit="1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>
        <v>139</v>
      </c>
      <c r="C2" s="4"/>
      <c r="D2" s="4"/>
      <c r="E2" s="4"/>
      <c r="F2" s="4"/>
      <c r="G2" s="4"/>
      <c r="H2" s="4"/>
    </row>
    <row r="3" spans="1:12" x14ac:dyDescent="0.2">
      <c r="A3" s="5">
        <v>22</v>
      </c>
      <c r="B3" s="4">
        <v>4167</v>
      </c>
      <c r="C3" s="4">
        <v>32</v>
      </c>
      <c r="D3" s="4">
        <v>1</v>
      </c>
      <c r="E3" s="4"/>
      <c r="F3" s="4"/>
      <c r="G3" s="4"/>
      <c r="H3" s="4"/>
    </row>
    <row r="4" spans="1:12" x14ac:dyDescent="0.2">
      <c r="A4" s="5">
        <v>27</v>
      </c>
      <c r="B4" s="4">
        <v>7157</v>
      </c>
      <c r="C4" s="4">
        <v>2446</v>
      </c>
      <c r="D4" s="4">
        <v>10</v>
      </c>
      <c r="E4" s="4"/>
      <c r="F4" s="4"/>
      <c r="G4" s="4"/>
      <c r="H4" s="4"/>
    </row>
    <row r="5" spans="1:12" x14ac:dyDescent="0.2">
      <c r="A5" s="5">
        <v>32</v>
      </c>
      <c r="B5" s="4">
        <v>4630</v>
      </c>
      <c r="C5" s="4">
        <v>5371</v>
      </c>
      <c r="D5" s="4">
        <v>1277</v>
      </c>
      <c r="E5" s="4">
        <v>43</v>
      </c>
    </row>
    <row r="6" spans="1:12" x14ac:dyDescent="0.2">
      <c r="A6" s="5">
        <v>37</v>
      </c>
      <c r="B6" s="4">
        <v>2218</v>
      </c>
      <c r="C6" s="4">
        <v>3124</v>
      </c>
      <c r="D6" s="4">
        <v>2678</v>
      </c>
      <c r="E6" s="4">
        <v>1885</v>
      </c>
      <c r="F6" s="4">
        <v>23</v>
      </c>
      <c r="G6" s="4"/>
      <c r="H6" s="4"/>
    </row>
    <row r="7" spans="1:12" x14ac:dyDescent="0.2">
      <c r="A7" s="5">
        <v>42</v>
      </c>
      <c r="B7" s="4">
        <v>1170</v>
      </c>
      <c r="C7" s="4">
        <v>1421</v>
      </c>
      <c r="D7" s="4">
        <v>1644</v>
      </c>
      <c r="E7" s="4">
        <v>3341</v>
      </c>
      <c r="F7" s="4">
        <v>1131</v>
      </c>
      <c r="G7" s="4">
        <v>14</v>
      </c>
      <c r="H7" s="4"/>
    </row>
    <row r="8" spans="1:12" x14ac:dyDescent="0.2">
      <c r="A8" s="5">
        <v>47</v>
      </c>
      <c r="B8" s="4">
        <v>753</v>
      </c>
      <c r="C8" s="4">
        <v>797</v>
      </c>
      <c r="D8" s="4">
        <v>992</v>
      </c>
      <c r="E8" s="4">
        <v>2323</v>
      </c>
      <c r="F8" s="4">
        <v>2544</v>
      </c>
      <c r="G8" s="4">
        <v>550</v>
      </c>
      <c r="H8" s="4">
        <v>5</v>
      </c>
    </row>
    <row r="9" spans="1:12" x14ac:dyDescent="0.2">
      <c r="A9" s="5">
        <v>52</v>
      </c>
      <c r="B9" s="4">
        <v>666</v>
      </c>
      <c r="C9" s="4">
        <v>671</v>
      </c>
      <c r="D9" s="4">
        <v>748</v>
      </c>
      <c r="E9" s="4">
        <v>1654</v>
      </c>
      <c r="F9" s="4">
        <v>2127</v>
      </c>
      <c r="G9" s="4">
        <v>1047</v>
      </c>
      <c r="H9" s="4">
        <v>116</v>
      </c>
    </row>
    <row r="10" spans="1:12" x14ac:dyDescent="0.2">
      <c r="A10" s="5">
        <v>57</v>
      </c>
      <c r="B10" s="4">
        <v>352</v>
      </c>
      <c r="C10" s="4">
        <v>464</v>
      </c>
      <c r="D10" s="4">
        <v>416</v>
      </c>
      <c r="E10" s="4">
        <v>659</v>
      </c>
      <c r="F10" s="4">
        <v>476</v>
      </c>
      <c r="G10" s="4">
        <v>314</v>
      </c>
      <c r="H10" s="4">
        <v>134</v>
      </c>
      <c r="I10" s="4">
        <v>16</v>
      </c>
    </row>
    <row r="11" spans="1:12" x14ac:dyDescent="0.2">
      <c r="A11" s="5">
        <v>62</v>
      </c>
      <c r="B11" s="4">
        <v>118</v>
      </c>
      <c r="C11" s="4">
        <v>165</v>
      </c>
      <c r="D11" s="4">
        <v>226</v>
      </c>
      <c r="E11" s="4">
        <v>269</v>
      </c>
      <c r="F11" s="4">
        <v>190</v>
      </c>
      <c r="G11" s="4">
        <v>108</v>
      </c>
      <c r="H11" s="4">
        <v>47</v>
      </c>
      <c r="I11" s="4">
        <v>14</v>
      </c>
      <c r="J11" s="4">
        <v>3</v>
      </c>
    </row>
    <row r="12" spans="1:12" x14ac:dyDescent="0.2">
      <c r="A12" s="5">
        <v>67</v>
      </c>
      <c r="B12" s="4">
        <v>32</v>
      </c>
      <c r="C12" s="4">
        <v>46</v>
      </c>
      <c r="D12" s="4">
        <v>72</v>
      </c>
      <c r="E12" s="4">
        <v>76</v>
      </c>
      <c r="F12" s="4">
        <v>59</v>
      </c>
      <c r="G12" s="4">
        <v>29</v>
      </c>
      <c r="H12" s="4">
        <v>14</v>
      </c>
      <c r="I12" s="4">
        <v>12</v>
      </c>
      <c r="J12" s="4">
        <v>7</v>
      </c>
      <c r="K12" s="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sheetPr>
    <tabColor rgb="FFFFFF00"/>
  </sheetPr>
  <dimension ref="A1:L12"/>
  <sheetViews>
    <sheetView workbookViewId="0">
      <selection sqref="A1:XFD1048576"/>
    </sheetView>
  </sheetViews>
  <sheetFormatPr baseColWidth="10" defaultColWidth="8.83203125" defaultRowHeight="16" x14ac:dyDescent="0.2"/>
  <cols>
    <col min="1" max="1" width="4.33203125" bestFit="1" customWidth="1"/>
    <col min="2" max="11" width="10.5" bestFit="1" customWidth="1"/>
    <col min="12" max="12" width="11.5" bestFit="1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>
        <v>14714</v>
      </c>
      <c r="C2" s="4"/>
      <c r="D2" s="4"/>
      <c r="E2" s="4"/>
      <c r="F2" s="4"/>
      <c r="G2" s="4"/>
      <c r="H2" s="4"/>
    </row>
    <row r="3" spans="1:12" x14ac:dyDescent="0.2">
      <c r="A3" s="5">
        <v>22</v>
      </c>
      <c r="B3" s="4">
        <v>27033</v>
      </c>
      <c r="C3" s="4">
        <v>31838</v>
      </c>
      <c r="D3" s="4"/>
      <c r="E3" s="4"/>
      <c r="F3" s="4"/>
      <c r="G3" s="4"/>
      <c r="H3" s="4"/>
    </row>
    <row r="4" spans="1:12" x14ac:dyDescent="0.2">
      <c r="A4" s="5">
        <v>27</v>
      </c>
      <c r="B4" s="4">
        <v>36316</v>
      </c>
      <c r="C4" s="4">
        <v>44009</v>
      </c>
      <c r="D4" s="4">
        <v>42689</v>
      </c>
      <c r="E4" s="4">
        <v>40528</v>
      </c>
      <c r="F4" s="4"/>
      <c r="G4" s="4"/>
      <c r="H4" s="4"/>
    </row>
    <row r="5" spans="1:12" x14ac:dyDescent="0.2">
      <c r="A5" s="5">
        <v>32</v>
      </c>
      <c r="B5" s="4">
        <v>37561</v>
      </c>
      <c r="C5" s="4">
        <v>48102</v>
      </c>
      <c r="D5" s="4">
        <v>51838</v>
      </c>
      <c r="E5" s="4">
        <v>51688</v>
      </c>
    </row>
    <row r="6" spans="1:12" x14ac:dyDescent="0.2">
      <c r="A6" s="5">
        <v>37</v>
      </c>
      <c r="B6" s="4">
        <v>38575</v>
      </c>
      <c r="C6" s="4">
        <v>48558</v>
      </c>
      <c r="D6" s="4">
        <v>55197</v>
      </c>
      <c r="E6" s="4">
        <v>56215</v>
      </c>
      <c r="F6" s="4">
        <v>59570</v>
      </c>
      <c r="G6" s="4"/>
      <c r="H6" s="4"/>
    </row>
    <row r="7" spans="1:12" x14ac:dyDescent="0.2">
      <c r="A7" s="5">
        <v>42</v>
      </c>
      <c r="B7" s="4">
        <v>39052</v>
      </c>
      <c r="C7" s="4">
        <v>47868</v>
      </c>
      <c r="D7" s="4">
        <v>54369</v>
      </c>
      <c r="E7" s="4">
        <v>60275</v>
      </c>
      <c r="F7" s="4">
        <v>62139</v>
      </c>
      <c r="G7" s="4">
        <v>65576</v>
      </c>
      <c r="H7" s="4"/>
    </row>
    <row r="8" spans="1:12" x14ac:dyDescent="0.2">
      <c r="A8" s="5">
        <v>47</v>
      </c>
      <c r="B8" s="4">
        <v>39166</v>
      </c>
      <c r="C8" s="4">
        <v>46655</v>
      </c>
      <c r="D8" s="4">
        <v>52033</v>
      </c>
      <c r="E8" s="4">
        <v>58560</v>
      </c>
      <c r="F8" s="4">
        <v>65071</v>
      </c>
      <c r="G8" s="4">
        <v>66796</v>
      </c>
      <c r="H8" s="4">
        <v>74768</v>
      </c>
    </row>
    <row r="9" spans="1:12" x14ac:dyDescent="0.2">
      <c r="A9" s="5">
        <v>52</v>
      </c>
      <c r="B9" s="4">
        <v>38322</v>
      </c>
      <c r="C9" s="4">
        <v>45774</v>
      </c>
      <c r="D9" s="4">
        <v>50922</v>
      </c>
      <c r="E9" s="4">
        <v>55447</v>
      </c>
      <c r="F9" s="4">
        <v>61758</v>
      </c>
      <c r="G9" s="4">
        <v>71083</v>
      </c>
      <c r="H9" s="4">
        <v>71855</v>
      </c>
      <c r="I9" s="4">
        <v>65857</v>
      </c>
    </row>
    <row r="10" spans="1:12" x14ac:dyDescent="0.2">
      <c r="A10" s="5">
        <v>57</v>
      </c>
      <c r="B10" s="4">
        <v>37694</v>
      </c>
      <c r="C10" s="4">
        <v>44108</v>
      </c>
      <c r="D10" s="4">
        <v>48059</v>
      </c>
      <c r="E10" s="4">
        <v>52461</v>
      </c>
      <c r="F10" s="4">
        <v>56979</v>
      </c>
      <c r="G10" s="4">
        <v>64855</v>
      </c>
      <c r="H10" s="4">
        <v>74881</v>
      </c>
      <c r="I10" s="4">
        <v>69984</v>
      </c>
      <c r="J10" s="4">
        <v>62797</v>
      </c>
    </row>
    <row r="11" spans="1:12" x14ac:dyDescent="0.2">
      <c r="A11" s="5">
        <v>62</v>
      </c>
      <c r="B11" s="4">
        <v>35118</v>
      </c>
      <c r="C11" s="4">
        <v>42732</v>
      </c>
      <c r="D11" s="4">
        <v>47628</v>
      </c>
      <c r="E11" s="4">
        <v>51385</v>
      </c>
      <c r="F11" s="4">
        <v>54574</v>
      </c>
      <c r="G11" s="4">
        <v>61124</v>
      </c>
      <c r="H11" s="4">
        <v>69276</v>
      </c>
      <c r="I11" s="4">
        <v>76889</v>
      </c>
      <c r="J11" s="4">
        <v>65926</v>
      </c>
      <c r="K11" s="4">
        <v>70135</v>
      </c>
    </row>
    <row r="12" spans="1:12" x14ac:dyDescent="0.2">
      <c r="A12" s="5">
        <v>67</v>
      </c>
      <c r="B12" s="4">
        <v>25122</v>
      </c>
      <c r="C12" s="4">
        <v>36538</v>
      </c>
      <c r="D12" s="4">
        <v>44737</v>
      </c>
      <c r="E12" s="4">
        <v>50693</v>
      </c>
      <c r="F12" s="4">
        <v>53029</v>
      </c>
      <c r="G12" s="4">
        <v>58743</v>
      </c>
      <c r="H12" s="4">
        <v>64990</v>
      </c>
      <c r="I12" s="4">
        <v>76118</v>
      </c>
      <c r="J12" s="4">
        <v>82148</v>
      </c>
      <c r="K12" s="4">
        <v>89887</v>
      </c>
      <c r="L12" s="4">
        <v>100637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sheetPr>
    <tabColor rgb="FFFFFF00"/>
  </sheetPr>
  <dimension ref="A1:L35"/>
  <sheetViews>
    <sheetView workbookViewId="0">
      <selection sqref="A1:XFD1048576"/>
    </sheetView>
  </sheetViews>
  <sheetFormatPr baseColWidth="10" defaultColWidth="8.83203125" defaultRowHeight="16" x14ac:dyDescent="0.2"/>
  <cols>
    <col min="1" max="1" width="4.33203125" bestFit="1" customWidth="1"/>
    <col min="2" max="12" width="12.33203125" customWidth="1"/>
  </cols>
  <sheetData>
    <row r="1" spans="1:12" x14ac:dyDescent="0.2">
      <c r="A1" t="s">
        <v>48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  <c r="I1">
        <v>37</v>
      </c>
      <c r="J1">
        <v>42</v>
      </c>
      <c r="K1">
        <v>47</v>
      </c>
      <c r="L1">
        <v>52</v>
      </c>
    </row>
    <row r="2" spans="1:12" x14ac:dyDescent="0.2">
      <c r="A2" s="5">
        <v>20</v>
      </c>
      <c r="B2" s="4">
        <v>754</v>
      </c>
      <c r="C2" s="4"/>
      <c r="D2" s="4"/>
      <c r="E2" s="4"/>
      <c r="F2" s="4"/>
      <c r="G2" s="4"/>
      <c r="H2" s="4"/>
    </row>
    <row r="3" spans="1:12" x14ac:dyDescent="0.2">
      <c r="A3" s="5">
        <v>22</v>
      </c>
      <c r="B3" s="4">
        <v>6941</v>
      </c>
      <c r="C3" s="4">
        <v>159</v>
      </c>
      <c r="D3" s="4"/>
      <c r="E3" s="4"/>
      <c r="F3" s="4"/>
      <c r="G3" s="4"/>
      <c r="H3" s="4"/>
    </row>
    <row r="4" spans="1:12" x14ac:dyDescent="0.2">
      <c r="A4" s="5">
        <v>27</v>
      </c>
      <c r="B4" s="4">
        <v>12082</v>
      </c>
      <c r="C4" s="4">
        <v>5626</v>
      </c>
      <c r="D4" s="4">
        <v>54</v>
      </c>
      <c r="E4" s="4">
        <v>1</v>
      </c>
      <c r="F4" s="4"/>
      <c r="G4" s="4"/>
      <c r="H4" s="4"/>
    </row>
    <row r="5" spans="1:12" x14ac:dyDescent="0.2">
      <c r="A5" s="5">
        <v>32</v>
      </c>
      <c r="B5" s="4">
        <v>11334</v>
      </c>
      <c r="C5" s="4">
        <v>17310</v>
      </c>
      <c r="D5" s="4">
        <v>3246</v>
      </c>
      <c r="E5" s="4">
        <v>119</v>
      </c>
    </row>
    <row r="6" spans="1:12" x14ac:dyDescent="0.2">
      <c r="A6" s="5">
        <v>37</v>
      </c>
      <c r="B6" s="4">
        <v>9825</v>
      </c>
      <c r="C6" s="4">
        <v>14909</v>
      </c>
      <c r="D6" s="4">
        <v>10663</v>
      </c>
      <c r="E6" s="4">
        <v>4466</v>
      </c>
      <c r="F6" s="4">
        <v>111</v>
      </c>
      <c r="G6" s="4"/>
      <c r="H6" s="4"/>
    </row>
    <row r="7" spans="1:12" x14ac:dyDescent="0.2">
      <c r="A7" s="5">
        <v>42</v>
      </c>
      <c r="B7" s="4">
        <v>9015</v>
      </c>
      <c r="C7" s="4">
        <v>12296</v>
      </c>
      <c r="D7" s="4">
        <v>8628</v>
      </c>
      <c r="E7" s="4">
        <v>13930</v>
      </c>
      <c r="F7" s="4">
        <v>3854</v>
      </c>
      <c r="G7" s="4">
        <v>83</v>
      </c>
      <c r="H7" s="4"/>
    </row>
    <row r="8" spans="1:12" x14ac:dyDescent="0.2">
      <c r="A8" s="5">
        <v>47</v>
      </c>
      <c r="B8" s="4">
        <v>7785</v>
      </c>
      <c r="C8" s="4">
        <v>10719</v>
      </c>
      <c r="D8" s="4">
        <v>7337</v>
      </c>
      <c r="E8" s="4">
        <v>11435</v>
      </c>
      <c r="F8" s="4">
        <v>11422</v>
      </c>
      <c r="G8" s="4">
        <v>3135</v>
      </c>
      <c r="H8" s="4">
        <v>54</v>
      </c>
    </row>
    <row r="9" spans="1:12" x14ac:dyDescent="0.2">
      <c r="A9" s="5">
        <v>52</v>
      </c>
      <c r="B9" s="4">
        <v>7830</v>
      </c>
      <c r="C9" s="4">
        <v>10740</v>
      </c>
      <c r="D9" s="4">
        <v>7754</v>
      </c>
      <c r="E9" s="4">
        <v>11283</v>
      </c>
      <c r="F9" s="4">
        <v>11466</v>
      </c>
      <c r="G9" s="4">
        <v>11104</v>
      </c>
      <c r="H9" s="4">
        <v>2256</v>
      </c>
      <c r="I9">
        <v>76</v>
      </c>
    </row>
    <row r="10" spans="1:12" x14ac:dyDescent="0.2">
      <c r="A10" s="5">
        <v>57</v>
      </c>
      <c r="B10" s="4">
        <v>6626</v>
      </c>
      <c r="C10" s="4">
        <v>9371</v>
      </c>
      <c r="D10" s="4">
        <v>7217</v>
      </c>
      <c r="E10" s="4">
        <v>10750</v>
      </c>
      <c r="F10" s="4">
        <v>10363</v>
      </c>
      <c r="G10" s="4">
        <v>9346</v>
      </c>
      <c r="H10" s="4">
        <v>3996</v>
      </c>
      <c r="I10" s="4">
        <v>701</v>
      </c>
      <c r="J10">
        <v>14</v>
      </c>
    </row>
    <row r="11" spans="1:12" x14ac:dyDescent="0.2">
      <c r="A11" s="5">
        <v>62</v>
      </c>
      <c r="B11" s="4">
        <v>3835</v>
      </c>
      <c r="C11" s="4">
        <v>6748</v>
      </c>
      <c r="D11" s="4">
        <v>5019</v>
      </c>
      <c r="E11" s="4">
        <v>7412</v>
      </c>
      <c r="F11" s="4">
        <v>6822</v>
      </c>
      <c r="G11" s="4">
        <v>5678</v>
      </c>
      <c r="H11" s="4">
        <v>1558</v>
      </c>
      <c r="I11" s="4">
        <v>900</v>
      </c>
      <c r="J11" s="4">
        <v>165</v>
      </c>
      <c r="K11">
        <v>3</v>
      </c>
    </row>
    <row r="12" spans="1:12" x14ac:dyDescent="0.2">
      <c r="A12" s="5">
        <v>67</v>
      </c>
      <c r="B12" s="4">
        <v>1688</v>
      </c>
      <c r="C12" s="4">
        <v>3466</v>
      </c>
      <c r="D12" s="4">
        <v>2908</v>
      </c>
      <c r="E12" s="4">
        <v>3358</v>
      </c>
      <c r="F12" s="4">
        <v>2085</v>
      </c>
      <c r="G12" s="4">
        <v>1285</v>
      </c>
      <c r="H12" s="4">
        <v>767</v>
      </c>
      <c r="I12" s="4">
        <v>518</v>
      </c>
      <c r="J12" s="4">
        <v>327</v>
      </c>
      <c r="K12" s="4">
        <v>123</v>
      </c>
      <c r="L12">
        <v>56</v>
      </c>
    </row>
    <row r="13" spans="1:12" x14ac:dyDescent="0.2">
      <c r="A13" s="5"/>
      <c r="B13" s="4"/>
      <c r="C13" s="4"/>
      <c r="D13" s="4"/>
      <c r="E13" s="4"/>
      <c r="F13" s="4"/>
      <c r="G13" s="4"/>
      <c r="H13" s="4"/>
    </row>
    <row r="18" spans="1:12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34" spans="3:3" x14ac:dyDescent="0.2">
      <c r="C34" s="11"/>
    </row>
    <row r="35" spans="3:3" x14ac:dyDescent="0.2">
      <c r="C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Retiree Distribution</vt:lpstr>
      <vt:lpstr>Entrant Profile</vt:lpstr>
      <vt:lpstr>Funding Input</vt:lpstr>
      <vt:lpstr>Amort Input</vt:lpstr>
      <vt:lpstr>Return Scenarios</vt:lpstr>
      <vt:lpstr>Salary Distribution Special</vt:lpstr>
      <vt:lpstr>HeadCount Distribution Special</vt:lpstr>
      <vt:lpstr>Salary Distribution Regular</vt:lpstr>
      <vt:lpstr>HeadCount Distribution Regular</vt:lpstr>
      <vt:lpstr>HeadCount Distribution Admin</vt:lpstr>
      <vt:lpstr>Salary Distribution Admin</vt:lpstr>
      <vt:lpstr>Salary Distribution Eco</vt:lpstr>
      <vt:lpstr>HeadCount Distribution Eco</vt:lpstr>
      <vt:lpstr>HeadCount Distribution Eso</vt:lpstr>
      <vt:lpstr>Salary Distribution Eso</vt:lpstr>
      <vt:lpstr>Salary Distribution Judge</vt:lpstr>
      <vt:lpstr>HeadCount Distribution Judge</vt:lpstr>
      <vt:lpstr>HeadCount Distribution Sen Man</vt:lpstr>
      <vt:lpstr>Salary Distribution Sen Man</vt:lpstr>
      <vt:lpstr>Salary Growth</vt:lpstr>
      <vt:lpstr>Withdrawal Rates</vt:lpstr>
      <vt:lpstr>Withdrawal Rate Regular Male</vt:lpstr>
      <vt:lpstr>Withdrawal Rate Regular Female</vt:lpstr>
      <vt:lpstr>Withdrawal Rate Special Male</vt:lpstr>
      <vt:lpstr>Withdrawal Rate Special Female</vt:lpstr>
      <vt:lpstr>Withdrawal Rate Eco</vt:lpstr>
      <vt:lpstr>Withdrawal Rate Eso</vt:lpstr>
      <vt:lpstr>Withdrawal Rate Judges</vt:lpstr>
      <vt:lpstr>Withdrawal Rate Sen Man Male</vt:lpstr>
      <vt:lpstr>Withdrawal Rate Sen Man Female</vt:lpstr>
      <vt:lpstr>Withdrawal Rate Admin Female</vt:lpstr>
      <vt:lpstr>Withdrawal Rate Admin Male</vt:lpstr>
      <vt:lpstr>Retirement Rates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Truong Bui</cp:lastModifiedBy>
  <dcterms:created xsi:type="dcterms:W3CDTF">2018-01-15T17:42:00Z</dcterms:created>
  <dcterms:modified xsi:type="dcterms:W3CDTF">2023-11-14T13:10:26Z</dcterms:modified>
</cp:coreProperties>
</file>