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3"/>
  <workbookPr codeName="ThisWorkbook"/>
  <mc:AlternateContent xmlns:mc="http://schemas.openxmlformats.org/markup-compatibility/2006">
    <mc:Choice Requires="x15">
      <x15ac:absPath xmlns:x15ac="http://schemas.microsoft.com/office/spreadsheetml/2010/11/ac" url="\\HQAD.MTAHQ.ORG\HQ\HQ_Share\BGT_Groups\EAG\County Benefit-Cost Study\2017 Study\Calculations\"/>
    </mc:Choice>
  </mc:AlternateContent>
  <xr:revisionPtr revIDLastSave="0" documentId="11_578B26CE7FA223A6138896D426E20D83AB39631F" xr6:coauthVersionLast="47" xr6:coauthVersionMax="47" xr10:uidLastSave="{00000000-0000-0000-0000-000000000000}"/>
  <bookViews>
    <workbookView xWindow="0" yWindow="0" windowWidth="19905" windowHeight="12360" tabRatio="931" firstSheet="1" activeTab="1" xr2:uid="{00000000-000D-0000-FFFF-FFFF00000000}"/>
  </bookViews>
  <sheets>
    <sheet name="Big Summary" sheetId="1" r:id="rId1"/>
    <sheet name="Small Summary" sheetId="29" r:id="rId2"/>
    <sheet name="Ratio chart" sheetId="36" r:id="rId3"/>
    <sheet name="Dutchess" sheetId="21" r:id="rId4"/>
    <sheet name="Orange" sheetId="22" r:id="rId5"/>
    <sheet name="Rockland" sheetId="23" r:id="rId6"/>
    <sheet name="Putnam" sheetId="24" r:id="rId7"/>
    <sheet name="Westchester" sheetId="25" r:id="rId8"/>
    <sheet name="Nassau" sheetId="26" r:id="rId9"/>
    <sheet name="Suffolk" sheetId="27" r:id="rId10"/>
    <sheet name="NYC" sheetId="28" r:id="rId11"/>
    <sheet name="MMTOA Breakout" sheetId="35" r:id="rId12"/>
    <sheet name="Sales Tax" sheetId="33" r:id="rId13"/>
    <sheet name="Franchise tax" sheetId="2" r:id="rId14"/>
    <sheet name="Business surcharge tax" sheetId="3" r:id="rId15"/>
    <sheet name="PBT" sheetId="4" r:id="rId16"/>
    <sheet name="LI Bus 2011 Adjustment" sheetId="34" r:id="rId17"/>
    <sheet name="PMT" sheetId="11" r:id="rId18"/>
    <sheet name="MTA Aid" sheetId="10" r:id="rId19"/>
    <sheet name="EoH fares" sheetId="5" r:id="rId20"/>
    <sheet name="WoH fares" sheetId="9" r:id="rId21"/>
    <sheet name="NYCT + MTA Bus Fares" sheetId="6" r:id="rId22"/>
    <sheet name="LIRR Fares" sheetId="7" r:id="rId23"/>
    <sheet name="B&amp;T Tolls" sheetId="8" r:id="rId24"/>
    <sheet name="Other Operating Revenue" sheetId="19" r:id="rId25"/>
    <sheet name="LIRR Expenses" sheetId="12" r:id="rId26"/>
    <sheet name="B&amp;T Expenses" sheetId="13" r:id="rId27"/>
    <sheet name="NYCT + MTA Bus Expenses" sheetId="14" r:id="rId28"/>
    <sheet name="MNR Expenses" sheetId="16" r:id="rId29"/>
    <sheet name="HQ Expenses" sheetId="15" r:id="rId30"/>
    <sheet name="Police Expenses" sheetId="18" r:id="rId31"/>
    <sheet name="MTA Policy &amp; Gap Closing" sheetId="20" r:id="rId32"/>
    <sheet name="Capital Expenses" sheetId="17" r:id="rId33"/>
    <sheet name="Capital Expenses Redo" sheetId="30" r:id="rId34"/>
    <sheet name="NYC Capital Contribution" sheetId="32" r:id="rId35"/>
  </sheets>
  <externalReferences>
    <externalReference r:id="rId3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9" l="1"/>
  <c r="B17" i="29"/>
  <c r="B18" i="29"/>
  <c r="B19" i="29"/>
  <c r="B20" i="29"/>
  <c r="B21" i="29"/>
  <c r="B22" i="29"/>
  <c r="B23" i="29"/>
  <c r="AA8" i="20" l="1"/>
  <c r="Z8" i="20"/>
  <c r="Y8" i="20"/>
  <c r="X8" i="20"/>
  <c r="W8" i="20"/>
  <c r="V8" i="20"/>
  <c r="U8" i="20"/>
  <c r="T8" i="20"/>
  <c r="M29" i="20"/>
  <c r="M33" i="20"/>
  <c r="I28" i="20"/>
  <c r="I32" i="20"/>
  <c r="E26" i="20"/>
  <c r="E30" i="20"/>
  <c r="E25" i="20"/>
  <c r="C29" i="20"/>
  <c r="C33" i="20"/>
  <c r="K34" i="20"/>
  <c r="K28" i="20" s="1"/>
  <c r="I34" i="20"/>
  <c r="I29" i="20" s="1"/>
  <c r="G34" i="20"/>
  <c r="G28" i="20" s="1"/>
  <c r="E34" i="20"/>
  <c r="E27" i="20" s="1"/>
  <c r="C34" i="20"/>
  <c r="C26" i="20" s="1"/>
  <c r="C9" i="20"/>
  <c r="D9" i="20"/>
  <c r="M34" i="20"/>
  <c r="M26" i="20" s="1"/>
  <c r="C21" i="20"/>
  <c r="C12" i="20" s="1"/>
  <c r="G27" i="20" l="1"/>
  <c r="C32" i="20"/>
  <c r="C28" i="20"/>
  <c r="N28" i="20" s="1"/>
  <c r="E33" i="20"/>
  <c r="E29" i="20"/>
  <c r="G25" i="20"/>
  <c r="G30" i="20"/>
  <c r="G26" i="20"/>
  <c r="I31" i="20"/>
  <c r="I27" i="20"/>
  <c r="M32" i="20"/>
  <c r="M28" i="20"/>
  <c r="G31" i="20"/>
  <c r="C31" i="20"/>
  <c r="C27" i="20"/>
  <c r="N27" i="20" s="1"/>
  <c r="E32" i="20"/>
  <c r="E28" i="20"/>
  <c r="G33" i="20"/>
  <c r="G29" i="20"/>
  <c r="I25" i="20"/>
  <c r="I30" i="20"/>
  <c r="I26" i="20"/>
  <c r="M31" i="20"/>
  <c r="M27" i="20"/>
  <c r="C25" i="20"/>
  <c r="C30" i="20"/>
  <c r="E31" i="20"/>
  <c r="G32" i="20"/>
  <c r="I33" i="20"/>
  <c r="M25" i="20"/>
  <c r="M30" i="20"/>
  <c r="K31" i="20"/>
  <c r="K27" i="20"/>
  <c r="K25" i="20"/>
  <c r="K30" i="20"/>
  <c r="K26" i="20"/>
  <c r="N26" i="20" s="1"/>
  <c r="K33" i="20"/>
  <c r="K29" i="20"/>
  <c r="K32" i="20"/>
  <c r="N32" i="20" s="1"/>
  <c r="N25" i="20"/>
  <c r="N30" i="20"/>
  <c r="N31" i="20" l="1"/>
  <c r="N29" i="20"/>
  <c r="N34" i="20" s="1"/>
  <c r="N33" i="20"/>
  <c r="D22" i="28" l="1"/>
  <c r="C22" i="28"/>
  <c r="D22" i="27" l="1"/>
  <c r="C22" i="27"/>
  <c r="D22" i="26"/>
  <c r="C22" i="26"/>
  <c r="D22" i="25"/>
  <c r="C22" i="25"/>
  <c r="C23" i="26"/>
  <c r="D23" i="26"/>
  <c r="D22" i="24"/>
  <c r="C22" i="24"/>
  <c r="D22" i="23"/>
  <c r="C22" i="23"/>
  <c r="D22" i="22" l="1"/>
  <c r="C22" i="22"/>
  <c r="D22" i="21"/>
  <c r="C22" i="21"/>
  <c r="F6" i="29" l="1"/>
  <c r="F5" i="29"/>
  <c r="F4" i="29"/>
  <c r="F3" i="29"/>
  <c r="F16" i="29" s="1"/>
  <c r="F7" i="29"/>
  <c r="F8" i="29"/>
  <c r="F9" i="29"/>
  <c r="F10" i="29"/>
  <c r="F23" i="29" s="1"/>
  <c r="F11" i="29"/>
  <c r="C41" i="5"/>
  <c r="C50" i="5" s="1"/>
  <c r="J41" i="5"/>
  <c r="J50" i="5" s="1"/>
  <c r="I41" i="5"/>
  <c r="I50" i="5" s="1"/>
  <c r="H41" i="5"/>
  <c r="H50" i="5" s="1"/>
  <c r="G41" i="5"/>
  <c r="G50" i="5" s="1"/>
  <c r="F41" i="5"/>
  <c r="F50" i="5" s="1"/>
  <c r="E41" i="5"/>
  <c r="E50" i="5" s="1"/>
  <c r="D41" i="5"/>
  <c r="D50" i="5" s="1"/>
  <c r="C9" i="5"/>
  <c r="D9" i="5"/>
  <c r="B9" i="5"/>
  <c r="H3" i="5"/>
  <c r="I3" i="5"/>
  <c r="G3" i="5"/>
  <c r="G22" i="5"/>
  <c r="F22" i="29" l="1"/>
  <c r="F17" i="29"/>
  <c r="F21" i="29"/>
  <c r="F18" i="29"/>
  <c r="F20" i="29"/>
  <c r="F19" i="29"/>
  <c r="D23" i="35" l="1"/>
  <c r="D24" i="33" s="1"/>
  <c r="D26" i="35"/>
  <c r="L40" i="3" s="1"/>
  <c r="B24" i="35"/>
  <c r="B39" i="4" s="1"/>
  <c r="D20" i="35"/>
  <c r="D27" i="35" s="1"/>
  <c r="B20" i="35"/>
  <c r="B23" i="35" s="1"/>
  <c r="C20" i="35"/>
  <c r="C27" i="35" s="1"/>
  <c r="Q14" i="4"/>
  <c r="B24" i="33" l="1"/>
  <c r="B26" i="35"/>
  <c r="O12" i="3" s="1"/>
  <c r="C24" i="35"/>
  <c r="C39" i="4" s="1"/>
  <c r="C25" i="35"/>
  <c r="F26" i="2" s="1"/>
  <c r="C23" i="35"/>
  <c r="C26" i="35"/>
  <c r="O26" i="3" s="1"/>
  <c r="B25" i="35"/>
  <c r="F12" i="2" s="1"/>
  <c r="D24" i="35"/>
  <c r="D39" i="4" s="1"/>
  <c r="B27" i="35"/>
  <c r="D25" i="35"/>
  <c r="F40" i="2" s="1"/>
  <c r="K20" i="4"/>
  <c r="Q20" i="4"/>
  <c r="P20" i="4"/>
  <c r="O20" i="4"/>
  <c r="N20" i="4"/>
  <c r="M20" i="4"/>
  <c r="L20" i="4"/>
  <c r="J20" i="4"/>
  <c r="C14" i="4"/>
  <c r="D28" i="35" l="1"/>
  <c r="C28" i="35"/>
  <c r="C24" i="33"/>
  <c r="B28" i="35"/>
  <c r="D11" i="33"/>
  <c r="C11" i="33"/>
  <c r="B11" i="33"/>
  <c r="D10" i="33"/>
  <c r="C10" i="33"/>
  <c r="B10" i="33"/>
  <c r="D9" i="33"/>
  <c r="C9" i="33"/>
  <c r="B9" i="33"/>
  <c r="D8" i="33"/>
  <c r="C8" i="33"/>
  <c r="B8" i="33"/>
  <c r="D7" i="33"/>
  <c r="C7" i="33"/>
  <c r="B7" i="33"/>
  <c r="D6" i="33"/>
  <c r="C6" i="33"/>
  <c r="B6" i="33"/>
  <c r="D5" i="33"/>
  <c r="C5" i="33"/>
  <c r="B5" i="33"/>
  <c r="D4" i="33"/>
  <c r="C4" i="33"/>
  <c r="B4" i="33"/>
  <c r="D12" i="33" l="1"/>
  <c r="D22" i="33" s="1"/>
  <c r="B12" i="33"/>
  <c r="B16" i="33" s="1"/>
  <c r="C12" i="33"/>
  <c r="C21" i="33" s="1"/>
  <c r="C25" i="32"/>
  <c r="C27" i="32" s="1"/>
  <c r="D25" i="32"/>
  <c r="D27" i="32" s="1"/>
  <c r="E25" i="32"/>
  <c r="B25" i="32"/>
  <c r="B27" i="32"/>
  <c r="E27" i="32"/>
  <c r="J115" i="1"/>
  <c r="J69" i="1"/>
  <c r="J23" i="1"/>
  <c r="D16" i="33" l="1"/>
  <c r="D23" i="33"/>
  <c r="D17" i="33"/>
  <c r="D20" i="33"/>
  <c r="D21" i="33"/>
  <c r="B20" i="33"/>
  <c r="D19" i="33"/>
  <c r="B23" i="33"/>
  <c r="D18" i="33"/>
  <c r="C22" i="33"/>
  <c r="C19" i="33"/>
  <c r="B17" i="33"/>
  <c r="B21" i="33"/>
  <c r="C23" i="33"/>
  <c r="B18" i="33"/>
  <c r="C16" i="33"/>
  <c r="B22" i="33"/>
  <c r="C20" i="33"/>
  <c r="C17" i="33"/>
  <c r="C18" i="33"/>
  <c r="B19" i="33"/>
  <c r="D20" i="11" l="1"/>
  <c r="D21" i="11"/>
  <c r="D22" i="11"/>
  <c r="D23" i="11"/>
  <c r="D24" i="11"/>
  <c r="D25" i="11"/>
  <c r="D26" i="11"/>
  <c r="D19" i="11"/>
  <c r="J17" i="1" l="1"/>
  <c r="J63" i="1"/>
  <c r="J108" i="1"/>
  <c r="Q20" i="30"/>
  <c r="C156" i="30"/>
  <c r="C157" i="30"/>
  <c r="K127" i="30"/>
  <c r="L128" i="30"/>
  <c r="L127" i="30"/>
  <c r="L136" i="30" s="1"/>
  <c r="M127" i="30"/>
  <c r="M136" i="30" s="1"/>
  <c r="K128" i="30"/>
  <c r="K136" i="30" s="1"/>
  <c r="M128" i="30"/>
  <c r="K129" i="30"/>
  <c r="L129" i="30"/>
  <c r="M129" i="30"/>
  <c r="K130" i="30"/>
  <c r="L130" i="30"/>
  <c r="M130" i="30"/>
  <c r="K131" i="30"/>
  <c r="L131" i="30"/>
  <c r="M131" i="30"/>
  <c r="K132" i="30"/>
  <c r="L132" i="30"/>
  <c r="M132" i="30"/>
  <c r="K133" i="30"/>
  <c r="L133" i="30"/>
  <c r="M133" i="30"/>
  <c r="K134" i="30"/>
  <c r="L134" i="30"/>
  <c r="M134" i="30"/>
  <c r="K135" i="30"/>
  <c r="L135" i="30"/>
  <c r="M135" i="30"/>
  <c r="J128" i="30"/>
  <c r="J129" i="30"/>
  <c r="J130" i="30"/>
  <c r="J131" i="30"/>
  <c r="J132" i="30"/>
  <c r="J133" i="30"/>
  <c r="J134" i="30"/>
  <c r="J135" i="30"/>
  <c r="J127" i="30"/>
  <c r="J136" i="30" s="1"/>
  <c r="B156" i="30"/>
  <c r="B157" i="30" s="1"/>
  <c r="B153" i="30"/>
  <c r="B152" i="30"/>
  <c r="B148" i="30"/>
  <c r="E29" i="30" l="1"/>
  <c r="D29" i="30"/>
  <c r="C29" i="30"/>
  <c r="B29" i="30"/>
  <c r="D295" i="30"/>
  <c r="D305" i="30" s="1"/>
  <c r="L290" i="30" s="1"/>
  <c r="C295" i="30"/>
  <c r="C306" i="30" s="1"/>
  <c r="K291" i="30" s="1"/>
  <c r="B295" i="30"/>
  <c r="B305" i="30" s="1"/>
  <c r="J290" i="30" s="1"/>
  <c r="M291" i="30"/>
  <c r="M290" i="30"/>
  <c r="M289" i="30"/>
  <c r="M288" i="30"/>
  <c r="M287" i="30"/>
  <c r="M286" i="30"/>
  <c r="M285" i="30"/>
  <c r="M284" i="30"/>
  <c r="M283" i="30"/>
  <c r="D265" i="30"/>
  <c r="C265" i="30"/>
  <c r="C275" i="30" s="1"/>
  <c r="K260" i="30" s="1"/>
  <c r="B265" i="30"/>
  <c r="B274" i="30" s="1"/>
  <c r="J259" i="30" s="1"/>
  <c r="M261" i="30"/>
  <c r="M260" i="30"/>
  <c r="M259" i="30"/>
  <c r="M258" i="30"/>
  <c r="M257" i="30"/>
  <c r="M256" i="30"/>
  <c r="M255" i="30"/>
  <c r="M254" i="30"/>
  <c r="M253" i="30"/>
  <c r="M244" i="30"/>
  <c r="L244" i="30"/>
  <c r="K244" i="30"/>
  <c r="J244" i="30"/>
  <c r="M243" i="30"/>
  <c r="L243" i="30"/>
  <c r="K243" i="30"/>
  <c r="J243" i="30"/>
  <c r="M242" i="30"/>
  <c r="L242" i="30"/>
  <c r="K242" i="30"/>
  <c r="J242" i="30"/>
  <c r="M241" i="30"/>
  <c r="L241" i="30"/>
  <c r="K241" i="30"/>
  <c r="J241" i="30"/>
  <c r="M240" i="30"/>
  <c r="L240" i="30"/>
  <c r="K240" i="30"/>
  <c r="J240" i="30"/>
  <c r="M239" i="30"/>
  <c r="L239" i="30"/>
  <c r="K239" i="30"/>
  <c r="J239" i="30"/>
  <c r="M238" i="30"/>
  <c r="L238" i="30"/>
  <c r="K238" i="30"/>
  <c r="J238" i="30"/>
  <c r="M237" i="30"/>
  <c r="L237" i="30"/>
  <c r="K237" i="30"/>
  <c r="J237" i="30"/>
  <c r="M236" i="30"/>
  <c r="M245" i="30" s="1"/>
  <c r="L236" i="30"/>
  <c r="L245" i="30" s="1"/>
  <c r="K236" i="30"/>
  <c r="K245" i="30" s="1"/>
  <c r="J236" i="30"/>
  <c r="J245" i="30" s="1"/>
  <c r="M231" i="30"/>
  <c r="L231" i="30"/>
  <c r="K231" i="30"/>
  <c r="J231" i="30"/>
  <c r="M213" i="30"/>
  <c r="L213" i="30"/>
  <c r="K213" i="30"/>
  <c r="J213" i="30"/>
  <c r="M212" i="30"/>
  <c r="L212" i="30"/>
  <c r="K212" i="30"/>
  <c r="J212" i="30"/>
  <c r="M211" i="30"/>
  <c r="L211" i="30"/>
  <c r="K211" i="30"/>
  <c r="J211" i="30"/>
  <c r="M210" i="30"/>
  <c r="L210" i="30"/>
  <c r="K210" i="30"/>
  <c r="J210" i="30"/>
  <c r="M209" i="30"/>
  <c r="L209" i="30"/>
  <c r="K209" i="30"/>
  <c r="J209" i="30"/>
  <c r="M208" i="30"/>
  <c r="L208" i="30"/>
  <c r="K208" i="30"/>
  <c r="J208" i="30"/>
  <c r="M207" i="30"/>
  <c r="L207" i="30"/>
  <c r="K207" i="30"/>
  <c r="J207" i="30"/>
  <c r="M206" i="30"/>
  <c r="L206" i="30"/>
  <c r="K206" i="30"/>
  <c r="J206" i="30"/>
  <c r="M205" i="30"/>
  <c r="M214" i="30" s="1"/>
  <c r="L205" i="30"/>
  <c r="L214" i="30" s="1"/>
  <c r="K205" i="30"/>
  <c r="K214" i="30" s="1"/>
  <c r="J205" i="30"/>
  <c r="J214" i="30" s="1"/>
  <c r="B187" i="30"/>
  <c r="B186" i="30"/>
  <c r="B179" i="30"/>
  <c r="C180" i="30" s="1"/>
  <c r="D156" i="30"/>
  <c r="D157" i="30" s="1"/>
  <c r="D152" i="30"/>
  <c r="D153" i="30" s="1"/>
  <c r="C152" i="30"/>
  <c r="D148" i="30"/>
  <c r="C148" i="30"/>
  <c r="B149" i="30"/>
  <c r="B134" i="30"/>
  <c r="B133" i="30"/>
  <c r="E122" i="30"/>
  <c r="D122" i="30"/>
  <c r="C122" i="30"/>
  <c r="B122" i="30"/>
  <c r="E107" i="30"/>
  <c r="E108" i="30" s="1"/>
  <c r="D107" i="30"/>
  <c r="D108" i="30" s="1"/>
  <c r="C107" i="30"/>
  <c r="C108" i="30" s="1"/>
  <c r="B107" i="30"/>
  <c r="B108" i="30" s="1"/>
  <c r="E103" i="30"/>
  <c r="E104" i="30" s="1"/>
  <c r="D103" i="30"/>
  <c r="D104" i="30" s="1"/>
  <c r="C103" i="30"/>
  <c r="C104" i="30" s="1"/>
  <c r="B103" i="30"/>
  <c r="B104" i="30" s="1"/>
  <c r="B39" i="30"/>
  <c r="C39" i="30" s="1"/>
  <c r="X20" i="30"/>
  <c r="W20" i="30"/>
  <c r="V20" i="30"/>
  <c r="U20" i="30"/>
  <c r="T20" i="30"/>
  <c r="S20" i="30"/>
  <c r="R20" i="30"/>
  <c r="E15" i="30"/>
  <c r="D15" i="30"/>
  <c r="C15" i="30"/>
  <c r="B15" i="30"/>
  <c r="C149" i="30" l="1"/>
  <c r="C134" i="30"/>
  <c r="C268" i="30"/>
  <c r="K253" i="30" s="1"/>
  <c r="D304" i="30"/>
  <c r="L289" i="30" s="1"/>
  <c r="C40" i="30"/>
  <c r="M262" i="30"/>
  <c r="B273" i="30"/>
  <c r="J258" i="30" s="1"/>
  <c r="C133" i="30"/>
  <c r="C187" i="30"/>
  <c r="K175" i="30" s="1"/>
  <c r="D298" i="30"/>
  <c r="L283" i="30" s="1"/>
  <c r="M120" i="30"/>
  <c r="M144" i="30" s="1"/>
  <c r="L115" i="30"/>
  <c r="L139" i="30" s="1"/>
  <c r="J121" i="30"/>
  <c r="J145" i="30" s="1"/>
  <c r="L120" i="30"/>
  <c r="L144" i="30" s="1"/>
  <c r="J120" i="30"/>
  <c r="J144" i="30" s="1"/>
  <c r="L123" i="30"/>
  <c r="L147" i="30" s="1"/>
  <c r="J119" i="30"/>
  <c r="J143" i="30" s="1"/>
  <c r="J122" i="30"/>
  <c r="J146" i="30" s="1"/>
  <c r="J117" i="30"/>
  <c r="J141" i="30" s="1"/>
  <c r="K173" i="30"/>
  <c r="B302" i="30"/>
  <c r="J287" i="30" s="1"/>
  <c r="J116" i="30"/>
  <c r="J140" i="30" s="1"/>
  <c r="C179" i="30"/>
  <c r="B269" i="30"/>
  <c r="J254" i="30" s="1"/>
  <c r="C274" i="30"/>
  <c r="K259" i="30" s="1"/>
  <c r="D299" i="30"/>
  <c r="L284" i="30" s="1"/>
  <c r="D302" i="30"/>
  <c r="L287" i="30" s="1"/>
  <c r="B306" i="30"/>
  <c r="J291" i="30" s="1"/>
  <c r="D149" i="30"/>
  <c r="C270" i="30"/>
  <c r="K255" i="30" s="1"/>
  <c r="C276" i="30"/>
  <c r="K261" i="30" s="1"/>
  <c r="B300" i="30"/>
  <c r="J285" i="30" s="1"/>
  <c r="D303" i="30"/>
  <c r="L288" i="30" s="1"/>
  <c r="D306" i="30"/>
  <c r="L291" i="30" s="1"/>
  <c r="L117" i="30"/>
  <c r="L141" i="30" s="1"/>
  <c r="C272" i="30"/>
  <c r="K257" i="30" s="1"/>
  <c r="M292" i="30"/>
  <c r="B298" i="30"/>
  <c r="J283" i="30" s="1"/>
  <c r="D300" i="30"/>
  <c r="L285" i="30" s="1"/>
  <c r="B304" i="30"/>
  <c r="J289" i="30" s="1"/>
  <c r="M117" i="30"/>
  <c r="M141" i="30" s="1"/>
  <c r="K174" i="30"/>
  <c r="C186" i="30"/>
  <c r="D276" i="30"/>
  <c r="L261" i="30" s="1"/>
  <c r="D272" i="30"/>
  <c r="L257" i="30" s="1"/>
  <c r="D268" i="30"/>
  <c r="D273" i="30"/>
  <c r="L258" i="30" s="1"/>
  <c r="D269" i="30"/>
  <c r="L254" i="30" s="1"/>
  <c r="D274" i="30"/>
  <c r="L259" i="30" s="1"/>
  <c r="D270" i="30"/>
  <c r="L255" i="30" s="1"/>
  <c r="D271" i="30"/>
  <c r="L256" i="30" s="1"/>
  <c r="D275" i="30"/>
  <c r="L260" i="30" s="1"/>
  <c r="J173" i="30"/>
  <c r="M178" i="30"/>
  <c r="M174" i="30"/>
  <c r="L177" i="30"/>
  <c r="L173" i="30"/>
  <c r="C153" i="30"/>
  <c r="K117" i="30" s="1"/>
  <c r="K141" i="30" s="1"/>
  <c r="L181" i="30"/>
  <c r="B268" i="30"/>
  <c r="C269" i="30"/>
  <c r="K254" i="30" s="1"/>
  <c r="B272" i="30"/>
  <c r="J257" i="30" s="1"/>
  <c r="C273" i="30"/>
  <c r="K258" i="30" s="1"/>
  <c r="B276" i="30"/>
  <c r="J261" i="30" s="1"/>
  <c r="B299" i="30"/>
  <c r="J284" i="30" s="1"/>
  <c r="C300" i="30"/>
  <c r="K285" i="30" s="1"/>
  <c r="D301" i="30"/>
  <c r="L286" i="30" s="1"/>
  <c r="B303" i="30"/>
  <c r="J288" i="30" s="1"/>
  <c r="C304" i="30"/>
  <c r="K289" i="30" s="1"/>
  <c r="C301" i="30"/>
  <c r="K286" i="30" s="1"/>
  <c r="C305" i="30"/>
  <c r="K290" i="30" s="1"/>
  <c r="B271" i="30"/>
  <c r="J256" i="30" s="1"/>
  <c r="B275" i="30"/>
  <c r="J260" i="30" s="1"/>
  <c r="C299" i="30"/>
  <c r="K284" i="30" s="1"/>
  <c r="C303" i="30"/>
  <c r="K288" i="30" s="1"/>
  <c r="J178" i="30"/>
  <c r="B270" i="30"/>
  <c r="J255" i="30" s="1"/>
  <c r="C271" i="30"/>
  <c r="K256" i="30" s="1"/>
  <c r="C298" i="30"/>
  <c r="B301" i="30"/>
  <c r="J286" i="30" s="1"/>
  <c r="C302" i="30"/>
  <c r="K287" i="30" s="1"/>
  <c r="M119" i="30" l="1"/>
  <c r="M143" i="30" s="1"/>
  <c r="K119" i="30"/>
  <c r="K143" i="30" s="1"/>
  <c r="J115" i="30"/>
  <c r="J139" i="30" s="1"/>
  <c r="K120" i="30"/>
  <c r="K144" i="30" s="1"/>
  <c r="K123" i="30"/>
  <c r="K147" i="30" s="1"/>
  <c r="K118" i="30"/>
  <c r="K142" i="30" s="1"/>
  <c r="K121" i="30"/>
  <c r="K145" i="30" s="1"/>
  <c r="K115" i="30"/>
  <c r="K139" i="30" s="1"/>
  <c r="K148" i="30" s="1"/>
  <c r="K116" i="30"/>
  <c r="K140" i="30" s="1"/>
  <c r="L121" i="30"/>
  <c r="L145" i="30" s="1"/>
  <c r="M121" i="30"/>
  <c r="M145" i="30" s="1"/>
  <c r="K122" i="30"/>
  <c r="K146" i="30" s="1"/>
  <c r="J177" i="30"/>
  <c r="M181" i="30"/>
  <c r="K176" i="30"/>
  <c r="L174" i="30"/>
  <c r="L178" i="30"/>
  <c r="M175" i="30"/>
  <c r="K179" i="30"/>
  <c r="J174" i="30"/>
  <c r="K178" i="30"/>
  <c r="L180" i="30"/>
  <c r="M180" i="30"/>
  <c r="L175" i="30"/>
  <c r="J179" i="30"/>
  <c r="M176" i="30"/>
  <c r="J180" i="30"/>
  <c r="J175" i="30"/>
  <c r="M179" i="30"/>
  <c r="M116" i="30"/>
  <c r="M140" i="30" s="1"/>
  <c r="L118" i="30"/>
  <c r="L142" i="30" s="1"/>
  <c r="J123" i="30"/>
  <c r="J147" i="30" s="1"/>
  <c r="M118" i="30"/>
  <c r="M142" i="30" s="1"/>
  <c r="K180" i="30"/>
  <c r="L179" i="30"/>
  <c r="L176" i="30"/>
  <c r="M173" i="30"/>
  <c r="M182" i="30" s="1"/>
  <c r="M177" i="30"/>
  <c r="J181" i="30"/>
  <c r="J176" i="30"/>
  <c r="K181" i="30"/>
  <c r="K182" i="30" s="1"/>
  <c r="L116" i="30"/>
  <c r="L140" i="30" s="1"/>
  <c r="L148" i="30" s="1"/>
  <c r="K177" i="30"/>
  <c r="M115" i="30"/>
  <c r="M139" i="30" s="1"/>
  <c r="K124" i="30"/>
  <c r="M123" i="30"/>
  <c r="M147" i="30" s="1"/>
  <c r="L119" i="30"/>
  <c r="L143" i="30" s="1"/>
  <c r="J118" i="30"/>
  <c r="J142" i="30" s="1"/>
  <c r="J292" i="30"/>
  <c r="K262" i="30"/>
  <c r="L122" i="30"/>
  <c r="L146" i="30" s="1"/>
  <c r="M122" i="30"/>
  <c r="M146" i="30" s="1"/>
  <c r="L292" i="30"/>
  <c r="D277" i="30"/>
  <c r="L253" i="30"/>
  <c r="L262" i="30" s="1"/>
  <c r="C307" i="30"/>
  <c r="K283" i="30"/>
  <c r="K292" i="30" s="1"/>
  <c r="C277" i="30"/>
  <c r="B307" i="30"/>
  <c r="J253" i="30"/>
  <c r="J262" i="30" s="1"/>
  <c r="B277" i="30"/>
  <c r="D307" i="30"/>
  <c r="B8" i="23"/>
  <c r="M148" i="30" l="1"/>
  <c r="J182" i="30"/>
  <c r="L182" i="30"/>
  <c r="J148" i="30"/>
  <c r="J124" i="30"/>
  <c r="L124" i="30"/>
  <c r="M124" i="30"/>
  <c r="B21" i="28"/>
  <c r="C21" i="28"/>
  <c r="D21" i="28"/>
  <c r="B23" i="28"/>
  <c r="C23" i="28"/>
  <c r="D23" i="28"/>
  <c r="B24" i="28"/>
  <c r="C24" i="28"/>
  <c r="D24" i="28"/>
  <c r="B25" i="28"/>
  <c r="C25" i="28"/>
  <c r="D25" i="28"/>
  <c r="B26" i="28"/>
  <c r="C26" i="28"/>
  <c r="D26" i="28"/>
  <c r="B27" i="28"/>
  <c r="C27" i="28"/>
  <c r="D27" i="28"/>
  <c r="B28" i="28"/>
  <c r="C28" i="28"/>
  <c r="D28" i="28"/>
  <c r="B29" i="28"/>
  <c r="C29" i="28"/>
  <c r="D29" i="28"/>
  <c r="B30" i="28"/>
  <c r="C30" i="28"/>
  <c r="D30" i="28"/>
  <c r="B31" i="28"/>
  <c r="C31" i="28"/>
  <c r="D31" i="28"/>
  <c r="B32" i="28"/>
  <c r="C32" i="28"/>
  <c r="D32" i="28"/>
  <c r="B33" i="28"/>
  <c r="C33" i="28"/>
  <c r="D33" i="28"/>
  <c r="B34" i="28"/>
  <c r="C34" i="28"/>
  <c r="D34" i="28"/>
  <c r="B35" i="28"/>
  <c r="C35" i="28"/>
  <c r="D35" i="28"/>
  <c r="B36" i="28"/>
  <c r="C36" i="28"/>
  <c r="D36" i="28"/>
  <c r="B37" i="28"/>
  <c r="C37" i="28"/>
  <c r="D37" i="28"/>
  <c r="B38" i="28"/>
  <c r="C38" i="28"/>
  <c r="D38" i="28"/>
  <c r="B39" i="28"/>
  <c r="C39" i="28"/>
  <c r="D39" i="28"/>
  <c r="B40" i="28"/>
  <c r="C40" i="28"/>
  <c r="D40" i="28"/>
  <c r="D20" i="28"/>
  <c r="C20" i="28"/>
  <c r="B20" i="28"/>
  <c r="D19" i="28"/>
  <c r="C19" i="28"/>
  <c r="B19" i="28"/>
  <c r="B5" i="28"/>
  <c r="C5" i="28"/>
  <c r="D5" i="28"/>
  <c r="B6" i="28"/>
  <c r="C6" i="28"/>
  <c r="D6" i="28"/>
  <c r="B7" i="28"/>
  <c r="C7" i="28"/>
  <c r="D7" i="28"/>
  <c r="B8" i="28"/>
  <c r="C8" i="28"/>
  <c r="D8" i="28"/>
  <c r="B9" i="28"/>
  <c r="C9" i="28"/>
  <c r="D9" i="28"/>
  <c r="B10" i="28"/>
  <c r="C10" i="28"/>
  <c r="D10" i="28"/>
  <c r="B11" i="28"/>
  <c r="C11" i="28"/>
  <c r="D11" i="28"/>
  <c r="B12" i="28"/>
  <c r="C12" i="28"/>
  <c r="D12" i="28"/>
  <c r="B13" i="28"/>
  <c r="C13" i="28"/>
  <c r="D13" i="28"/>
  <c r="B14" i="28"/>
  <c r="C14" i="28"/>
  <c r="D14" i="28"/>
  <c r="B15" i="28"/>
  <c r="C15" i="28"/>
  <c r="D15" i="28"/>
  <c r="D4" i="28"/>
  <c r="C4" i="28"/>
  <c r="B4" i="28"/>
  <c r="D3" i="28"/>
  <c r="C3" i="28"/>
  <c r="B3" i="28"/>
  <c r="B21" i="27"/>
  <c r="C21" i="27"/>
  <c r="D21" i="27"/>
  <c r="B23" i="27"/>
  <c r="C23" i="27"/>
  <c r="D23" i="27"/>
  <c r="B24" i="27"/>
  <c r="C24" i="27"/>
  <c r="D24" i="27"/>
  <c r="B25" i="27"/>
  <c r="C25" i="27"/>
  <c r="D25" i="27"/>
  <c r="B26" i="27"/>
  <c r="C26" i="27"/>
  <c r="D26" i="27"/>
  <c r="B27" i="27"/>
  <c r="C27" i="27"/>
  <c r="D27" i="27"/>
  <c r="B28" i="27"/>
  <c r="C28" i="27"/>
  <c r="D28" i="27"/>
  <c r="B29" i="27"/>
  <c r="C29" i="27"/>
  <c r="D29" i="27"/>
  <c r="B30" i="27"/>
  <c r="C30" i="27"/>
  <c r="D30" i="27"/>
  <c r="B31" i="27"/>
  <c r="C31" i="27"/>
  <c r="D31" i="27"/>
  <c r="B32" i="27"/>
  <c r="C32" i="27"/>
  <c r="D32" i="27"/>
  <c r="B33" i="27"/>
  <c r="C33" i="27"/>
  <c r="D33" i="27"/>
  <c r="B34" i="27"/>
  <c r="C34" i="27"/>
  <c r="D34" i="27"/>
  <c r="B35" i="27"/>
  <c r="C35" i="27"/>
  <c r="D35" i="27"/>
  <c r="B36" i="27"/>
  <c r="C36" i="27"/>
  <c r="D36" i="27"/>
  <c r="B37" i="27"/>
  <c r="C37" i="27"/>
  <c r="D37" i="27"/>
  <c r="B38" i="27"/>
  <c r="D38" i="27"/>
  <c r="B39" i="27"/>
  <c r="C39" i="27"/>
  <c r="D39" i="27"/>
  <c r="B40" i="27"/>
  <c r="C40" i="27"/>
  <c r="D40" i="27"/>
  <c r="D20" i="27"/>
  <c r="C20" i="27"/>
  <c r="B20" i="27"/>
  <c r="D19" i="27"/>
  <c r="C19" i="27"/>
  <c r="B19" i="27"/>
  <c r="B5" i="27"/>
  <c r="C5" i="27"/>
  <c r="D5" i="27"/>
  <c r="B6" i="27"/>
  <c r="C6" i="27"/>
  <c r="D6" i="27"/>
  <c r="B7" i="27"/>
  <c r="C7" i="27"/>
  <c r="D7" i="27"/>
  <c r="B8" i="27"/>
  <c r="C8" i="27"/>
  <c r="D8" i="27"/>
  <c r="B9" i="27"/>
  <c r="C9" i="27"/>
  <c r="D9" i="27"/>
  <c r="B10" i="27"/>
  <c r="C10" i="27"/>
  <c r="D10" i="27"/>
  <c r="B11" i="27"/>
  <c r="C11" i="27"/>
  <c r="D11" i="27"/>
  <c r="B12" i="27"/>
  <c r="D12" i="27"/>
  <c r="B13" i="27"/>
  <c r="C13" i="27"/>
  <c r="D13" i="27"/>
  <c r="B14" i="27"/>
  <c r="C14" i="27"/>
  <c r="D14" i="27"/>
  <c r="B15" i="27"/>
  <c r="C15" i="27"/>
  <c r="D15" i="27"/>
  <c r="D4" i="27"/>
  <c r="C4" i="27"/>
  <c r="B4" i="27"/>
  <c r="D3" i="27"/>
  <c r="C3" i="27"/>
  <c r="B3" i="27"/>
  <c r="B21" i="26"/>
  <c r="C21" i="26"/>
  <c r="D21" i="26"/>
  <c r="B23" i="26"/>
  <c r="B24" i="26"/>
  <c r="C24" i="26"/>
  <c r="D24" i="26"/>
  <c r="B25" i="26"/>
  <c r="C25" i="26"/>
  <c r="D25" i="26"/>
  <c r="B26" i="26"/>
  <c r="C26" i="26"/>
  <c r="D26" i="26"/>
  <c r="B27" i="26"/>
  <c r="C27" i="26"/>
  <c r="D27" i="26"/>
  <c r="B28" i="26"/>
  <c r="C28" i="26"/>
  <c r="D28" i="26"/>
  <c r="B29" i="26"/>
  <c r="C29" i="26"/>
  <c r="D29" i="26"/>
  <c r="B30" i="26"/>
  <c r="C30" i="26"/>
  <c r="D30" i="26"/>
  <c r="B31" i="26"/>
  <c r="C31" i="26"/>
  <c r="D31" i="26"/>
  <c r="B32" i="26"/>
  <c r="C32" i="26"/>
  <c r="D32" i="26"/>
  <c r="B33" i="26"/>
  <c r="C33" i="26"/>
  <c r="D33" i="26"/>
  <c r="B34" i="26"/>
  <c r="C34" i="26"/>
  <c r="D34" i="26"/>
  <c r="H34" i="26" s="1"/>
  <c r="B35" i="26"/>
  <c r="C35" i="26"/>
  <c r="D35" i="26"/>
  <c r="B36" i="26"/>
  <c r="C36" i="26"/>
  <c r="D36" i="26"/>
  <c r="B37" i="26"/>
  <c r="C37" i="26"/>
  <c r="D37" i="26"/>
  <c r="B38" i="26"/>
  <c r="D38" i="26"/>
  <c r="B39" i="26"/>
  <c r="C39" i="26"/>
  <c r="D39" i="26"/>
  <c r="B40" i="26"/>
  <c r="C40" i="26"/>
  <c r="D40" i="26"/>
  <c r="D20" i="26"/>
  <c r="C20" i="26"/>
  <c r="B20" i="26"/>
  <c r="D19" i="26"/>
  <c r="C19" i="26"/>
  <c r="B19" i="26"/>
  <c r="B5" i="26"/>
  <c r="C5" i="26"/>
  <c r="D5" i="26"/>
  <c r="B6" i="26"/>
  <c r="C6" i="26"/>
  <c r="D6" i="26"/>
  <c r="B7" i="26"/>
  <c r="C7" i="26"/>
  <c r="D7" i="26"/>
  <c r="H7" i="26" s="1"/>
  <c r="B8" i="26"/>
  <c r="C8" i="26"/>
  <c r="D8" i="26"/>
  <c r="B9" i="26"/>
  <c r="C9" i="26"/>
  <c r="D9" i="26"/>
  <c r="B10" i="26"/>
  <c r="C10" i="26"/>
  <c r="D10" i="26"/>
  <c r="B11" i="26"/>
  <c r="C11" i="26"/>
  <c r="D11" i="26"/>
  <c r="B12" i="26"/>
  <c r="D12" i="26"/>
  <c r="B13" i="26"/>
  <c r="C13" i="26"/>
  <c r="D13" i="26"/>
  <c r="B14" i="26"/>
  <c r="C14" i="26"/>
  <c r="D14" i="26"/>
  <c r="B15" i="26"/>
  <c r="C15" i="26"/>
  <c r="D15" i="26"/>
  <c r="D4" i="26"/>
  <c r="C4" i="26"/>
  <c r="B4" i="26"/>
  <c r="D3" i="26"/>
  <c r="C3" i="26"/>
  <c r="B3" i="26"/>
  <c r="H30" i="26" l="1"/>
  <c r="H9" i="27"/>
  <c r="H5" i="27"/>
  <c r="H36" i="27"/>
  <c r="H8" i="28"/>
  <c r="H34" i="28"/>
  <c r="H30" i="28"/>
  <c r="H28" i="26"/>
  <c r="H35" i="27"/>
  <c r="F11" i="28"/>
  <c r="F37" i="28"/>
  <c r="H15" i="26"/>
  <c r="H8" i="26"/>
  <c r="H35" i="26"/>
  <c r="H31" i="26"/>
  <c r="H13" i="27"/>
  <c r="H10" i="27"/>
  <c r="H6" i="27"/>
  <c r="H40" i="27"/>
  <c r="H33" i="27"/>
  <c r="H29" i="27"/>
  <c r="H13" i="28"/>
  <c r="F40" i="26"/>
  <c r="H40" i="26"/>
  <c r="F33" i="26"/>
  <c r="H33" i="26"/>
  <c r="F29" i="26"/>
  <c r="H29" i="26"/>
  <c r="F31" i="27"/>
  <c r="H31" i="27"/>
  <c r="H9" i="26"/>
  <c r="F5" i="26"/>
  <c r="H5" i="26"/>
  <c r="F36" i="26"/>
  <c r="H36" i="26"/>
  <c r="G37" i="26"/>
  <c r="I37" i="26"/>
  <c r="G13" i="27"/>
  <c r="F14" i="27"/>
  <c r="F7" i="27"/>
  <c r="H7" i="27"/>
  <c r="F34" i="27"/>
  <c r="H34" i="27"/>
  <c r="F30" i="27"/>
  <c r="H30" i="27"/>
  <c r="G13" i="28"/>
  <c r="I13" i="28"/>
  <c r="F14" i="28"/>
  <c r="F10" i="28"/>
  <c r="H10" i="28"/>
  <c r="F6" i="28"/>
  <c r="H6" i="28"/>
  <c r="F28" i="28"/>
  <c r="H28" i="28"/>
  <c r="F40" i="28"/>
  <c r="H40" i="28"/>
  <c r="F36" i="28"/>
  <c r="H36" i="28"/>
  <c r="G37" i="28"/>
  <c r="I37" i="28"/>
  <c r="I37" i="27"/>
  <c r="F13" i="26"/>
  <c r="H13" i="26"/>
  <c r="F10" i="26"/>
  <c r="H10" i="26"/>
  <c r="F6" i="26"/>
  <c r="H6" i="26"/>
  <c r="F15" i="27"/>
  <c r="H15" i="27"/>
  <c r="F8" i="27"/>
  <c r="H8" i="27"/>
  <c r="F15" i="28"/>
  <c r="H15" i="28"/>
  <c r="F7" i="28"/>
  <c r="H7" i="28"/>
  <c r="F33" i="28"/>
  <c r="H33" i="28"/>
  <c r="F29" i="28"/>
  <c r="H29" i="28"/>
  <c r="H28" i="27"/>
  <c r="H9" i="28"/>
  <c r="H5" i="28"/>
  <c r="H35" i="28"/>
  <c r="H31" i="28"/>
  <c r="F28" i="26"/>
  <c r="G13" i="26"/>
  <c r="F34" i="26"/>
  <c r="F30" i="26"/>
  <c r="F5" i="27"/>
  <c r="F36" i="27"/>
  <c r="G37" i="27"/>
  <c r="F8" i="28"/>
  <c r="F34" i="28"/>
  <c r="F30" i="28"/>
  <c r="F14" i="26"/>
  <c r="F7" i="26"/>
  <c r="F15" i="26"/>
  <c r="F8" i="26"/>
  <c r="F31" i="26"/>
  <c r="F13" i="27"/>
  <c r="F10" i="27"/>
  <c r="F6" i="27"/>
  <c r="F28" i="27"/>
  <c r="F40" i="27"/>
  <c r="F33" i="27"/>
  <c r="F29" i="27"/>
  <c r="F13" i="28"/>
  <c r="F5" i="28"/>
  <c r="F31" i="28"/>
  <c r="B21" i="25"/>
  <c r="C21" i="25"/>
  <c r="D21" i="25"/>
  <c r="B23" i="25"/>
  <c r="C23" i="25"/>
  <c r="D23" i="25"/>
  <c r="B24" i="25"/>
  <c r="C24" i="25"/>
  <c r="D24" i="25"/>
  <c r="B25" i="25"/>
  <c r="C25" i="25"/>
  <c r="D25" i="25"/>
  <c r="B26" i="25"/>
  <c r="C26" i="25"/>
  <c r="D26" i="25"/>
  <c r="B27" i="25"/>
  <c r="C27" i="25"/>
  <c r="D27" i="25"/>
  <c r="B28" i="25"/>
  <c r="C28" i="25"/>
  <c r="D28" i="25"/>
  <c r="B29" i="25"/>
  <c r="C29" i="25"/>
  <c r="D29" i="25"/>
  <c r="B30" i="25"/>
  <c r="C30" i="25"/>
  <c r="D30" i="25"/>
  <c r="B31" i="25"/>
  <c r="C31" i="25"/>
  <c r="D31" i="25"/>
  <c r="B32" i="25"/>
  <c r="C32" i="25"/>
  <c r="D32" i="25"/>
  <c r="B33" i="25"/>
  <c r="C33" i="25"/>
  <c r="D33" i="25"/>
  <c r="B34" i="25"/>
  <c r="C34" i="25"/>
  <c r="D34" i="25"/>
  <c r="B35" i="25"/>
  <c r="C35" i="25"/>
  <c r="D35" i="25"/>
  <c r="B36" i="25"/>
  <c r="C36" i="25"/>
  <c r="D36" i="25"/>
  <c r="B37" i="25"/>
  <c r="C37" i="25"/>
  <c r="D37" i="25"/>
  <c r="B38" i="25"/>
  <c r="C38" i="25"/>
  <c r="D38" i="25"/>
  <c r="B39" i="25"/>
  <c r="C39" i="25"/>
  <c r="D39" i="25"/>
  <c r="B40" i="25"/>
  <c r="C40" i="25"/>
  <c r="D40" i="25"/>
  <c r="D20" i="25"/>
  <c r="C20" i="25"/>
  <c r="B20" i="25"/>
  <c r="D19" i="25"/>
  <c r="C19" i="25"/>
  <c r="B19" i="25"/>
  <c r="B5" i="25"/>
  <c r="C5" i="25"/>
  <c r="D5" i="25"/>
  <c r="B6" i="25"/>
  <c r="C6" i="25"/>
  <c r="D6" i="25"/>
  <c r="B7" i="25"/>
  <c r="C7" i="25"/>
  <c r="D7" i="25"/>
  <c r="B8" i="25"/>
  <c r="C8" i="25"/>
  <c r="D8" i="25"/>
  <c r="B9" i="25"/>
  <c r="C9" i="25"/>
  <c r="D9" i="25"/>
  <c r="B10" i="25"/>
  <c r="C10" i="25"/>
  <c r="D10" i="25"/>
  <c r="B11" i="25"/>
  <c r="C11" i="25"/>
  <c r="D11" i="25"/>
  <c r="B12" i="25"/>
  <c r="C12" i="25"/>
  <c r="D12" i="25"/>
  <c r="B13" i="25"/>
  <c r="C13" i="25"/>
  <c r="D13" i="25"/>
  <c r="B14" i="25"/>
  <c r="C14" i="25"/>
  <c r="D14" i="25"/>
  <c r="B15" i="25"/>
  <c r="C15" i="25"/>
  <c r="D15" i="25"/>
  <c r="D4" i="25"/>
  <c r="C4" i="25"/>
  <c r="B4" i="25"/>
  <c r="D3" i="25"/>
  <c r="C3" i="25"/>
  <c r="B3" i="25"/>
  <c r="B21" i="24"/>
  <c r="C21" i="24"/>
  <c r="D21" i="24"/>
  <c r="B23" i="24"/>
  <c r="C23" i="24"/>
  <c r="D23" i="24"/>
  <c r="B24" i="24"/>
  <c r="C24" i="24"/>
  <c r="D24" i="24"/>
  <c r="B25" i="24"/>
  <c r="C25" i="24"/>
  <c r="D25" i="24"/>
  <c r="B26" i="24"/>
  <c r="C26" i="24"/>
  <c r="D26" i="24"/>
  <c r="B27" i="24"/>
  <c r="C27" i="24"/>
  <c r="D27" i="24"/>
  <c r="B28" i="24"/>
  <c r="C28" i="24"/>
  <c r="D28" i="24"/>
  <c r="B29" i="24"/>
  <c r="C29" i="24"/>
  <c r="D29" i="24"/>
  <c r="B30" i="24"/>
  <c r="C30" i="24"/>
  <c r="D30" i="24"/>
  <c r="B31" i="24"/>
  <c r="C31" i="24"/>
  <c r="D31" i="24"/>
  <c r="B32" i="24"/>
  <c r="C32" i="24"/>
  <c r="D32" i="24"/>
  <c r="B33" i="24"/>
  <c r="C33" i="24"/>
  <c r="D33" i="24"/>
  <c r="B34" i="24"/>
  <c r="C34" i="24"/>
  <c r="D34" i="24"/>
  <c r="B35" i="24"/>
  <c r="C35" i="24"/>
  <c r="D35" i="24"/>
  <c r="B36" i="24"/>
  <c r="C36" i="24"/>
  <c r="D36" i="24"/>
  <c r="B37" i="24"/>
  <c r="C37" i="24"/>
  <c r="D37" i="24"/>
  <c r="B38" i="24"/>
  <c r="C38" i="24"/>
  <c r="D38" i="24"/>
  <c r="B39" i="24"/>
  <c r="C39" i="24"/>
  <c r="D39" i="24"/>
  <c r="B40" i="24"/>
  <c r="C40" i="24"/>
  <c r="D40" i="24"/>
  <c r="D20" i="24"/>
  <c r="C20" i="24"/>
  <c r="B20" i="24"/>
  <c r="D19" i="24"/>
  <c r="C19" i="24"/>
  <c r="B19" i="24"/>
  <c r="B5" i="24"/>
  <c r="C5" i="24"/>
  <c r="D5" i="24"/>
  <c r="B6" i="24"/>
  <c r="C6" i="24"/>
  <c r="D6" i="24"/>
  <c r="B7" i="24"/>
  <c r="C7" i="24"/>
  <c r="D7" i="24"/>
  <c r="B8" i="24"/>
  <c r="C8" i="24"/>
  <c r="D8" i="24"/>
  <c r="B9" i="24"/>
  <c r="C9" i="24"/>
  <c r="D9" i="24"/>
  <c r="B10" i="24"/>
  <c r="C10" i="24"/>
  <c r="D10" i="24"/>
  <c r="B11" i="24"/>
  <c r="C11" i="24"/>
  <c r="D11" i="24"/>
  <c r="B12" i="24"/>
  <c r="C12" i="24"/>
  <c r="D12" i="24"/>
  <c r="B13" i="24"/>
  <c r="C13" i="24"/>
  <c r="D13" i="24"/>
  <c r="B14" i="24"/>
  <c r="C14" i="24"/>
  <c r="D14" i="24"/>
  <c r="B15" i="24"/>
  <c r="C15" i="24"/>
  <c r="D15" i="24"/>
  <c r="D4" i="24"/>
  <c r="C4" i="24"/>
  <c r="B4" i="24"/>
  <c r="D3" i="24"/>
  <c r="C3" i="24"/>
  <c r="B3" i="24"/>
  <c r="B21" i="23"/>
  <c r="C21" i="23"/>
  <c r="D21" i="23"/>
  <c r="B23" i="23"/>
  <c r="C23" i="23"/>
  <c r="D23" i="23"/>
  <c r="B24" i="23"/>
  <c r="C24" i="23"/>
  <c r="D24" i="23"/>
  <c r="B25" i="23"/>
  <c r="C25" i="23"/>
  <c r="D25" i="23"/>
  <c r="B26" i="23"/>
  <c r="C26" i="23"/>
  <c r="D26" i="23"/>
  <c r="B27" i="23"/>
  <c r="C27" i="23"/>
  <c r="D27" i="23"/>
  <c r="B28" i="23"/>
  <c r="C28" i="23"/>
  <c r="D28" i="23"/>
  <c r="B29" i="23"/>
  <c r="C29" i="23"/>
  <c r="D29" i="23"/>
  <c r="B30" i="23"/>
  <c r="C30" i="23"/>
  <c r="D30" i="23"/>
  <c r="B31" i="23"/>
  <c r="C31" i="23"/>
  <c r="D31" i="23"/>
  <c r="B32" i="23"/>
  <c r="C32" i="23"/>
  <c r="D32" i="23"/>
  <c r="B33" i="23"/>
  <c r="C33" i="23"/>
  <c r="D33" i="23"/>
  <c r="B34" i="23"/>
  <c r="C34" i="23"/>
  <c r="D34" i="23"/>
  <c r="B35" i="23"/>
  <c r="C35" i="23"/>
  <c r="D35" i="23"/>
  <c r="B36" i="23"/>
  <c r="C36" i="23"/>
  <c r="D36" i="23"/>
  <c r="B37" i="23"/>
  <c r="C37" i="23"/>
  <c r="D37" i="23"/>
  <c r="B38" i="23"/>
  <c r="C38" i="23"/>
  <c r="D38" i="23"/>
  <c r="B39" i="23"/>
  <c r="C39" i="23"/>
  <c r="D39" i="23"/>
  <c r="B40" i="23"/>
  <c r="C40" i="23"/>
  <c r="D40" i="23"/>
  <c r="D20" i="23"/>
  <c r="C20" i="23"/>
  <c r="B20" i="23"/>
  <c r="D19" i="23"/>
  <c r="C19" i="23"/>
  <c r="B19" i="23"/>
  <c r="B5" i="23"/>
  <c r="C5" i="23"/>
  <c r="D5" i="23"/>
  <c r="B6" i="23"/>
  <c r="C6" i="23"/>
  <c r="D6" i="23"/>
  <c r="B7" i="23"/>
  <c r="C7" i="23"/>
  <c r="D7" i="23"/>
  <c r="C8" i="23"/>
  <c r="D8" i="23"/>
  <c r="B9" i="23"/>
  <c r="C9" i="23"/>
  <c r="D9" i="23"/>
  <c r="B10" i="23"/>
  <c r="C10" i="23"/>
  <c r="D10" i="23"/>
  <c r="B11" i="23"/>
  <c r="C11" i="23"/>
  <c r="D11" i="23"/>
  <c r="B12" i="23"/>
  <c r="C12" i="23"/>
  <c r="D12" i="23"/>
  <c r="B13" i="23"/>
  <c r="C13" i="23"/>
  <c r="D13" i="23"/>
  <c r="B14" i="23"/>
  <c r="C14" i="23"/>
  <c r="D14" i="23"/>
  <c r="B15" i="23"/>
  <c r="C15" i="23"/>
  <c r="D15" i="23"/>
  <c r="D4" i="23"/>
  <c r="C4" i="23"/>
  <c r="B4" i="23"/>
  <c r="D3" i="23"/>
  <c r="C3" i="23"/>
  <c r="B3" i="23"/>
  <c r="B21" i="22"/>
  <c r="C21" i="22"/>
  <c r="D21" i="22"/>
  <c r="B23" i="22"/>
  <c r="C23" i="22"/>
  <c r="D23" i="22"/>
  <c r="B24" i="22"/>
  <c r="C24" i="22"/>
  <c r="D24" i="22"/>
  <c r="B25" i="22"/>
  <c r="C25" i="22"/>
  <c r="D25" i="22"/>
  <c r="B26" i="22"/>
  <c r="C26" i="22"/>
  <c r="D26" i="22"/>
  <c r="B27" i="22"/>
  <c r="C27" i="22"/>
  <c r="D27" i="22"/>
  <c r="B28" i="22"/>
  <c r="C28" i="22"/>
  <c r="D28" i="22"/>
  <c r="B29" i="22"/>
  <c r="C29" i="22"/>
  <c r="D29" i="22"/>
  <c r="B30" i="22"/>
  <c r="C30" i="22"/>
  <c r="D30" i="22"/>
  <c r="B31" i="22"/>
  <c r="C31" i="22"/>
  <c r="D31" i="22"/>
  <c r="B32" i="22"/>
  <c r="C32" i="22"/>
  <c r="D32" i="22"/>
  <c r="B33" i="22"/>
  <c r="C33" i="22"/>
  <c r="D33" i="22"/>
  <c r="B34" i="22"/>
  <c r="C34" i="22"/>
  <c r="D34" i="22"/>
  <c r="B35" i="22"/>
  <c r="C35" i="22"/>
  <c r="D35" i="22"/>
  <c r="B36" i="22"/>
  <c r="C36" i="22"/>
  <c r="D36" i="22"/>
  <c r="B37" i="22"/>
  <c r="C37" i="22"/>
  <c r="D37" i="22"/>
  <c r="B38" i="22"/>
  <c r="C38" i="22"/>
  <c r="D38" i="22"/>
  <c r="B39" i="22"/>
  <c r="C39" i="22"/>
  <c r="D39" i="22"/>
  <c r="B40" i="22"/>
  <c r="C40" i="22"/>
  <c r="D40" i="22"/>
  <c r="D20" i="22"/>
  <c r="C20" i="22"/>
  <c r="B20" i="22"/>
  <c r="D19" i="22"/>
  <c r="C19" i="22"/>
  <c r="B19" i="22"/>
  <c r="B5" i="22"/>
  <c r="C5" i="22"/>
  <c r="D5" i="22"/>
  <c r="B6" i="22"/>
  <c r="C6" i="22"/>
  <c r="D6" i="22"/>
  <c r="B7" i="22"/>
  <c r="C7" i="22"/>
  <c r="D7" i="22"/>
  <c r="B8" i="22"/>
  <c r="C8" i="22"/>
  <c r="D8" i="22"/>
  <c r="B9" i="22"/>
  <c r="C9" i="22"/>
  <c r="D9" i="22"/>
  <c r="B10" i="22"/>
  <c r="C10" i="22"/>
  <c r="D10" i="22"/>
  <c r="B11" i="22"/>
  <c r="C11" i="22"/>
  <c r="D11" i="22"/>
  <c r="B12" i="22"/>
  <c r="C12" i="22"/>
  <c r="D12" i="22"/>
  <c r="B13" i="22"/>
  <c r="C13" i="22"/>
  <c r="D13" i="22"/>
  <c r="B14" i="22"/>
  <c r="C14" i="22"/>
  <c r="D14" i="22"/>
  <c r="B15" i="22"/>
  <c r="C15" i="22"/>
  <c r="D15" i="22"/>
  <c r="D4" i="22"/>
  <c r="D3" i="22"/>
  <c r="C4" i="22"/>
  <c r="C3" i="22"/>
  <c r="B4" i="22"/>
  <c r="B3" i="22"/>
  <c r="D21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20" i="21"/>
  <c r="D19" i="21"/>
  <c r="D5" i="21"/>
  <c r="D6" i="21"/>
  <c r="D7" i="21"/>
  <c r="D8" i="21"/>
  <c r="D9" i="21"/>
  <c r="D10" i="21"/>
  <c r="D11" i="21"/>
  <c r="D12" i="21"/>
  <c r="D13" i="21"/>
  <c r="D14" i="21"/>
  <c r="D15" i="21"/>
  <c r="D4" i="21"/>
  <c r="D3" i="21"/>
  <c r="C21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20" i="21"/>
  <c r="C19" i="21"/>
  <c r="C5" i="21"/>
  <c r="C6" i="21"/>
  <c r="C7" i="21"/>
  <c r="C8" i="21"/>
  <c r="C9" i="21"/>
  <c r="C10" i="21"/>
  <c r="C11" i="21"/>
  <c r="C12" i="21"/>
  <c r="C13" i="21"/>
  <c r="C14" i="21"/>
  <c r="C15" i="21"/>
  <c r="C4" i="21"/>
  <c r="C3" i="21"/>
  <c r="B21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5" i="21"/>
  <c r="B6" i="21"/>
  <c r="B7" i="21"/>
  <c r="B8" i="21"/>
  <c r="B9" i="21"/>
  <c r="B10" i="21"/>
  <c r="B11" i="21"/>
  <c r="B12" i="21"/>
  <c r="B13" i="21"/>
  <c r="B14" i="21"/>
  <c r="B15" i="21"/>
  <c r="B20" i="21"/>
  <c r="B19" i="21"/>
  <c r="B4" i="21"/>
  <c r="B3" i="21"/>
  <c r="F14" i="22" l="1"/>
  <c r="H35" i="23"/>
  <c r="H9" i="25"/>
  <c r="H35" i="25"/>
  <c r="H15" i="21"/>
  <c r="H7" i="21"/>
  <c r="H33" i="21"/>
  <c r="H29" i="21"/>
  <c r="H13" i="22"/>
  <c r="H9" i="22"/>
  <c r="H5" i="22"/>
  <c r="H31" i="22"/>
  <c r="H15" i="23"/>
  <c r="H34" i="23"/>
  <c r="H30" i="23"/>
  <c r="I13" i="24"/>
  <c r="H10" i="24"/>
  <c r="H6" i="24"/>
  <c r="H28" i="24"/>
  <c r="H40" i="24"/>
  <c r="H36" i="24"/>
  <c r="I37" i="24"/>
  <c r="F8" i="25"/>
  <c r="H8" i="25"/>
  <c r="F30" i="25"/>
  <c r="H30" i="25"/>
  <c r="F14" i="21"/>
  <c r="F10" i="21"/>
  <c r="H10" i="21"/>
  <c r="F6" i="21"/>
  <c r="H6" i="21"/>
  <c r="H40" i="21"/>
  <c r="H36" i="21"/>
  <c r="I37" i="21"/>
  <c r="H4" i="22"/>
  <c r="I13" i="22"/>
  <c r="F10" i="22"/>
  <c r="H10" i="22"/>
  <c r="F6" i="22"/>
  <c r="H6" i="22"/>
  <c r="F28" i="22"/>
  <c r="H28" i="22"/>
  <c r="F40" i="22"/>
  <c r="H40" i="22"/>
  <c r="F36" i="22"/>
  <c r="H36" i="22"/>
  <c r="I37" i="22"/>
  <c r="F8" i="23"/>
  <c r="H8" i="23"/>
  <c r="F5" i="23"/>
  <c r="H5" i="23"/>
  <c r="F31" i="23"/>
  <c r="H31" i="23"/>
  <c r="F15" i="24"/>
  <c r="H15" i="24"/>
  <c r="F7" i="24"/>
  <c r="H7" i="24"/>
  <c r="F33" i="24"/>
  <c r="H33" i="24"/>
  <c r="F29" i="24"/>
  <c r="H29" i="24"/>
  <c r="F13" i="25"/>
  <c r="H13" i="25"/>
  <c r="F5" i="25"/>
  <c r="H5" i="25"/>
  <c r="F31" i="25"/>
  <c r="H31" i="25"/>
  <c r="F34" i="25"/>
  <c r="H34" i="25"/>
  <c r="H13" i="21"/>
  <c r="H9" i="21"/>
  <c r="H5" i="21"/>
  <c r="H35" i="21"/>
  <c r="H31" i="21"/>
  <c r="F15" i="22"/>
  <c r="H15" i="22"/>
  <c r="F7" i="22"/>
  <c r="H7" i="22"/>
  <c r="F33" i="22"/>
  <c r="H33" i="22"/>
  <c r="F29" i="22"/>
  <c r="H29" i="22"/>
  <c r="F13" i="23"/>
  <c r="H13" i="23"/>
  <c r="H9" i="23"/>
  <c r="F6" i="23"/>
  <c r="H6" i="23"/>
  <c r="H28" i="23"/>
  <c r="F40" i="23"/>
  <c r="H40" i="23"/>
  <c r="F36" i="23"/>
  <c r="H36" i="23"/>
  <c r="I37" i="23"/>
  <c r="F8" i="24"/>
  <c r="H8" i="24"/>
  <c r="F34" i="24"/>
  <c r="H34" i="24"/>
  <c r="F30" i="24"/>
  <c r="H30" i="24"/>
  <c r="I13" i="25"/>
  <c r="H10" i="25"/>
  <c r="H6" i="25"/>
  <c r="H28" i="25"/>
  <c r="H40" i="25"/>
  <c r="H36" i="25"/>
  <c r="I37" i="25"/>
  <c r="G13" i="21"/>
  <c r="I13" i="21"/>
  <c r="H8" i="21"/>
  <c r="H28" i="21"/>
  <c r="F28" i="21"/>
  <c r="H34" i="21"/>
  <c r="H30" i="21"/>
  <c r="H8" i="22"/>
  <c r="H34" i="22"/>
  <c r="H30" i="22"/>
  <c r="H4" i="23"/>
  <c r="I13" i="23"/>
  <c r="H10" i="23"/>
  <c r="H7" i="23"/>
  <c r="H33" i="23"/>
  <c r="H29" i="23"/>
  <c r="H13" i="24"/>
  <c r="H9" i="24"/>
  <c r="H5" i="24"/>
  <c r="H35" i="24"/>
  <c r="H31" i="24"/>
  <c r="H15" i="25"/>
  <c r="H7" i="25"/>
  <c r="H33" i="25"/>
  <c r="H29" i="25"/>
  <c r="F40" i="21"/>
  <c r="G13" i="22"/>
  <c r="F4" i="22"/>
  <c r="F13" i="21"/>
  <c r="F5" i="21"/>
  <c r="F31" i="21"/>
  <c r="F28" i="23"/>
  <c r="G37" i="23"/>
  <c r="F32" i="23"/>
  <c r="G13" i="25"/>
  <c r="F14" i="25"/>
  <c r="F10" i="25"/>
  <c r="F6" i="25"/>
  <c r="F28" i="25"/>
  <c r="F40" i="25"/>
  <c r="F36" i="25"/>
  <c r="G37" i="25"/>
  <c r="G37" i="21"/>
  <c r="F32" i="22"/>
  <c r="G37" i="22"/>
  <c r="F34" i="21"/>
  <c r="F30" i="21"/>
  <c r="F8" i="22"/>
  <c r="F34" i="22"/>
  <c r="F30" i="22"/>
  <c r="F4" i="23"/>
  <c r="G13" i="23"/>
  <c r="F14" i="23"/>
  <c r="F10" i="23"/>
  <c r="F7" i="23"/>
  <c r="F33" i="23"/>
  <c r="F29" i="23"/>
  <c r="F13" i="24"/>
  <c r="F5" i="24"/>
  <c r="F31" i="24"/>
  <c r="F15" i="25"/>
  <c r="F7" i="25"/>
  <c r="F33" i="25"/>
  <c r="F29" i="25"/>
  <c r="F36" i="21"/>
  <c r="F8" i="21"/>
  <c r="F15" i="21"/>
  <c r="F7" i="21"/>
  <c r="F33" i="21"/>
  <c r="F29" i="21"/>
  <c r="F13" i="22"/>
  <c r="F5" i="22"/>
  <c r="F31" i="22"/>
  <c r="F15" i="23"/>
  <c r="F34" i="23"/>
  <c r="F30" i="23"/>
  <c r="G13" i="24"/>
  <c r="F14" i="24"/>
  <c r="F10" i="24"/>
  <c r="F6" i="24"/>
  <c r="F28" i="24"/>
  <c r="F40" i="24"/>
  <c r="F36" i="24"/>
  <c r="G37" i="24"/>
  <c r="U107" i="19" l="1"/>
  <c r="T109" i="19"/>
  <c r="U101" i="19" s="1"/>
  <c r="B30" i="16" l="1"/>
  <c r="J105" i="1" l="1"/>
  <c r="J14" i="1"/>
  <c r="O49" i="10"/>
  <c r="N49" i="10"/>
  <c r="M49" i="10"/>
  <c r="L49" i="10"/>
  <c r="K49" i="10"/>
  <c r="J49" i="10"/>
  <c r="I49" i="10"/>
  <c r="H49" i="10"/>
  <c r="J33" i="10"/>
  <c r="E33" i="10"/>
  <c r="M21" i="20" l="1"/>
  <c r="M15" i="20" s="1"/>
  <c r="K16" i="20"/>
  <c r="K20" i="20"/>
  <c r="K21" i="20"/>
  <c r="K13" i="20" s="1"/>
  <c r="I21" i="20"/>
  <c r="I15" i="20" s="1"/>
  <c r="G16" i="20"/>
  <c r="G20" i="20"/>
  <c r="G21" i="20"/>
  <c r="G13" i="20" s="1"/>
  <c r="E21" i="20"/>
  <c r="E15" i="20" s="1"/>
  <c r="C13" i="20"/>
  <c r="C14" i="20"/>
  <c r="C15" i="20"/>
  <c r="C16" i="20"/>
  <c r="C17" i="20"/>
  <c r="C18" i="20"/>
  <c r="C19" i="20"/>
  <c r="C20" i="20"/>
  <c r="B9" i="20"/>
  <c r="C134" i="1"/>
  <c r="D134" i="1"/>
  <c r="D41" i="23" s="1"/>
  <c r="E134" i="1"/>
  <c r="D41" i="24" s="1"/>
  <c r="F134" i="1"/>
  <c r="D41" i="25" s="1"/>
  <c r="G134" i="1"/>
  <c r="D41" i="26" s="1"/>
  <c r="H134" i="1"/>
  <c r="D41" i="27" s="1"/>
  <c r="I134" i="1"/>
  <c r="D41" i="28" s="1"/>
  <c r="B134" i="1"/>
  <c r="D41" i="21" s="1"/>
  <c r="C109" i="1"/>
  <c r="D109" i="1"/>
  <c r="D16" i="23" s="1"/>
  <c r="E109" i="1"/>
  <c r="D16" i="24" s="1"/>
  <c r="F109" i="1"/>
  <c r="D16" i="25" s="1"/>
  <c r="G109" i="1"/>
  <c r="D16" i="26" s="1"/>
  <c r="H109" i="1"/>
  <c r="D16" i="27" s="1"/>
  <c r="I109" i="1"/>
  <c r="D16" i="28" s="1"/>
  <c r="B109" i="1"/>
  <c r="D16" i="21" s="1"/>
  <c r="C88" i="1"/>
  <c r="D88" i="1"/>
  <c r="C41" i="23" s="1"/>
  <c r="E88" i="1"/>
  <c r="F88" i="1"/>
  <c r="I88" i="1"/>
  <c r="B88" i="1"/>
  <c r="C64" i="1"/>
  <c r="C16" i="22" s="1"/>
  <c r="D64" i="1"/>
  <c r="C16" i="23" s="1"/>
  <c r="E64" i="1"/>
  <c r="C16" i="24" s="1"/>
  <c r="F64" i="1"/>
  <c r="H64" i="1"/>
  <c r="C16" i="27" s="1"/>
  <c r="I64" i="1"/>
  <c r="C16" i="28" s="1"/>
  <c r="B64" i="1"/>
  <c r="C16" i="21" s="1"/>
  <c r="J114" i="1"/>
  <c r="J107" i="1"/>
  <c r="J68" i="1"/>
  <c r="J22" i="1"/>
  <c r="J62" i="1"/>
  <c r="H16" i="27" l="1"/>
  <c r="H16" i="23"/>
  <c r="H41" i="23"/>
  <c r="H16" i="21"/>
  <c r="H16" i="28"/>
  <c r="H16" i="24"/>
  <c r="E14" i="20"/>
  <c r="E12" i="20"/>
  <c r="E17" i="20"/>
  <c r="N17" i="20" s="1"/>
  <c r="E13" i="20"/>
  <c r="N13" i="20" s="1"/>
  <c r="G19" i="20"/>
  <c r="G15" i="20"/>
  <c r="N15" i="20" s="1"/>
  <c r="I12" i="20"/>
  <c r="I17" i="20"/>
  <c r="I13" i="20"/>
  <c r="K19" i="20"/>
  <c r="K15" i="20"/>
  <c r="M12" i="20"/>
  <c r="M17" i="20"/>
  <c r="M13" i="20"/>
  <c r="I18" i="20"/>
  <c r="M18" i="20"/>
  <c r="M14" i="20"/>
  <c r="E20" i="20"/>
  <c r="N20" i="20" s="1"/>
  <c r="E16" i="20"/>
  <c r="N16" i="20" s="1"/>
  <c r="G18" i="20"/>
  <c r="G14" i="20"/>
  <c r="N14" i="20" s="1"/>
  <c r="I20" i="20"/>
  <c r="I16" i="20"/>
  <c r="K18" i="20"/>
  <c r="K14" i="20"/>
  <c r="M20" i="20"/>
  <c r="M16" i="20"/>
  <c r="E18" i="20"/>
  <c r="N18" i="20" s="1"/>
  <c r="I14" i="20"/>
  <c r="E19" i="20"/>
  <c r="G12" i="20"/>
  <c r="G17" i="20"/>
  <c r="I19" i="20"/>
  <c r="K12" i="20"/>
  <c r="K17" i="20"/>
  <c r="M19" i="20"/>
  <c r="C41" i="25"/>
  <c r="H41" i="25" s="1"/>
  <c r="C41" i="28"/>
  <c r="H41" i="28" s="1"/>
  <c r="C41" i="24"/>
  <c r="H41" i="24" s="1"/>
  <c r="C41" i="21"/>
  <c r="H41" i="21" s="1"/>
  <c r="C41" i="22"/>
  <c r="C12" i="26"/>
  <c r="I13" i="26" s="1"/>
  <c r="J60" i="1"/>
  <c r="G64" i="1"/>
  <c r="C16" i="26" s="1"/>
  <c r="H16" i="26" s="1"/>
  <c r="C12" i="27"/>
  <c r="I13" i="27" s="1"/>
  <c r="D41" i="22"/>
  <c r="H41" i="22" s="1"/>
  <c r="C136" i="1"/>
  <c r="D16" i="22"/>
  <c r="H16" i="22" s="1"/>
  <c r="G136" i="1"/>
  <c r="D90" i="1"/>
  <c r="F90" i="1"/>
  <c r="C16" i="25"/>
  <c r="H16" i="25" s="1"/>
  <c r="B90" i="1"/>
  <c r="I136" i="1"/>
  <c r="E136" i="1"/>
  <c r="H136" i="1"/>
  <c r="D136" i="1"/>
  <c r="B136" i="1"/>
  <c r="F136" i="1"/>
  <c r="I90" i="1"/>
  <c r="E90" i="1"/>
  <c r="C90" i="1"/>
  <c r="N19" i="20" l="1"/>
  <c r="N12" i="20"/>
  <c r="N21" i="20" s="1"/>
  <c r="E5" i="29"/>
  <c r="D43" i="23"/>
  <c r="E9" i="29"/>
  <c r="D43" i="27"/>
  <c r="E8" i="29"/>
  <c r="D43" i="26"/>
  <c r="E7" i="29"/>
  <c r="D43" i="25"/>
  <c r="E6" i="29"/>
  <c r="D43" i="24"/>
  <c r="E3" i="29"/>
  <c r="D43" i="21"/>
  <c r="E10" i="29"/>
  <c r="D43" i="28"/>
  <c r="E4" i="29"/>
  <c r="D43" i="22"/>
  <c r="D10" i="29"/>
  <c r="C43" i="28"/>
  <c r="D3" i="29"/>
  <c r="C43" i="21"/>
  <c r="D4" i="29"/>
  <c r="C43" i="22"/>
  <c r="D7" i="29"/>
  <c r="C43" i="25"/>
  <c r="D6" i="29"/>
  <c r="C43" i="24"/>
  <c r="D5" i="29"/>
  <c r="C43" i="23"/>
  <c r="T61" i="19"/>
  <c r="T62" i="19"/>
  <c r="T65" i="19"/>
  <c r="T66" i="19"/>
  <c r="T58" i="19"/>
  <c r="O67" i="19"/>
  <c r="T59" i="19" s="1"/>
  <c r="T44" i="19"/>
  <c r="G67" i="19"/>
  <c r="H59" i="19" s="1"/>
  <c r="Q59" i="19" s="1"/>
  <c r="E17" i="29" l="1"/>
  <c r="H43" i="23"/>
  <c r="H43" i="24"/>
  <c r="H43" i="28"/>
  <c r="H43" i="22"/>
  <c r="H43" i="21"/>
  <c r="H43" i="25"/>
  <c r="T64" i="19"/>
  <c r="T60" i="19"/>
  <c r="T63" i="19"/>
  <c r="E23" i="29"/>
  <c r="E19" i="29"/>
  <c r="E16" i="29"/>
  <c r="E21" i="29"/>
  <c r="E20" i="29"/>
  <c r="E22" i="29"/>
  <c r="E18" i="29"/>
  <c r="P59" i="19"/>
  <c r="H58" i="19"/>
  <c r="H66" i="19"/>
  <c r="H62" i="19"/>
  <c r="H65" i="19"/>
  <c r="H61" i="19"/>
  <c r="H64" i="19"/>
  <c r="H60" i="19"/>
  <c r="H67" i="19"/>
  <c r="H63" i="19"/>
  <c r="P58" i="19" l="1"/>
  <c r="Q58" i="19"/>
  <c r="Q65" i="19"/>
  <c r="P65" i="19"/>
  <c r="P66" i="19"/>
  <c r="Q66" i="19"/>
  <c r="P60" i="19"/>
  <c r="Q60" i="19"/>
  <c r="Q62" i="19"/>
  <c r="P62" i="19"/>
  <c r="P64" i="19"/>
  <c r="Q64" i="19"/>
  <c r="P63" i="19"/>
  <c r="Q63" i="19"/>
  <c r="Q61" i="19"/>
  <c r="P61" i="19"/>
  <c r="T75" i="19"/>
  <c r="T76" i="19"/>
  <c r="T77" i="19"/>
  <c r="T78" i="19"/>
  <c r="T79" i="19"/>
  <c r="T80" i="19"/>
  <c r="T81" i="19"/>
  <c r="T82" i="19"/>
  <c r="T74" i="19"/>
  <c r="P74" i="19"/>
  <c r="Q76" i="19"/>
  <c r="P76" i="19"/>
  <c r="Q74" i="19"/>
  <c r="Q75" i="19"/>
  <c r="Q77" i="19"/>
  <c r="Q78" i="19"/>
  <c r="Q79" i="19"/>
  <c r="Q80" i="19"/>
  <c r="Q81" i="19"/>
  <c r="Q82" i="19"/>
  <c r="P75" i="19"/>
  <c r="P77" i="19"/>
  <c r="P78" i="19"/>
  <c r="P79" i="19"/>
  <c r="P80" i="19"/>
  <c r="P81" i="19"/>
  <c r="P82" i="19"/>
  <c r="Q83" i="19" l="1"/>
  <c r="V80" i="19" s="1"/>
  <c r="P83" i="19"/>
  <c r="U81" i="19" s="1"/>
  <c r="Q67" i="19"/>
  <c r="V81" i="19"/>
  <c r="P67" i="19"/>
  <c r="V75" i="19"/>
  <c r="V77" i="19"/>
  <c r="V79" i="19"/>
  <c r="V74" i="19"/>
  <c r="V76" i="19"/>
  <c r="U74" i="19"/>
  <c r="V82" i="19"/>
  <c r="V78" i="19"/>
  <c r="T45" i="19"/>
  <c r="T46" i="19"/>
  <c r="T47" i="19"/>
  <c r="T48" i="19"/>
  <c r="T49" i="19"/>
  <c r="T50" i="19"/>
  <c r="T51" i="19"/>
  <c r="T52" i="19"/>
  <c r="K53" i="19"/>
  <c r="L53" i="19" s="1"/>
  <c r="G53" i="19"/>
  <c r="H47" i="19" s="1"/>
  <c r="H46" i="19" l="1"/>
  <c r="H53" i="19"/>
  <c r="L46" i="19"/>
  <c r="U75" i="19"/>
  <c r="U77" i="19"/>
  <c r="H52" i="19"/>
  <c r="Q52" i="19" s="1"/>
  <c r="L47" i="19"/>
  <c r="H48" i="19"/>
  <c r="L52" i="19"/>
  <c r="Q47" i="19"/>
  <c r="U76" i="19"/>
  <c r="U78" i="19"/>
  <c r="U58" i="19"/>
  <c r="U59" i="19"/>
  <c r="U65" i="19"/>
  <c r="U61" i="19"/>
  <c r="U63" i="19"/>
  <c r="U62" i="19"/>
  <c r="U60" i="19"/>
  <c r="V58" i="19"/>
  <c r="V59" i="19"/>
  <c r="V63" i="19"/>
  <c r="U64" i="19"/>
  <c r="U82" i="19"/>
  <c r="V60" i="19"/>
  <c r="U66" i="19"/>
  <c r="U80" i="19"/>
  <c r="U79" i="19"/>
  <c r="V65" i="19"/>
  <c r="V61" i="19"/>
  <c r="V64" i="19"/>
  <c r="V62" i="19"/>
  <c r="V66" i="19"/>
  <c r="H50" i="19"/>
  <c r="H45" i="19"/>
  <c r="L48" i="19"/>
  <c r="H44" i="19"/>
  <c r="H49" i="19"/>
  <c r="L44" i="19"/>
  <c r="L50" i="19"/>
  <c r="L45" i="19"/>
  <c r="L49" i="19"/>
  <c r="L51" i="19"/>
  <c r="H51" i="19"/>
  <c r="Q45" i="19" l="1"/>
  <c r="Q48" i="19"/>
  <c r="Q49" i="19"/>
  <c r="Q50" i="19"/>
  <c r="Q51" i="19"/>
  <c r="Q44" i="19"/>
  <c r="K12" i="19" l="1"/>
  <c r="G4" i="19"/>
  <c r="G5" i="19"/>
  <c r="G6" i="19"/>
  <c r="G7" i="19"/>
  <c r="G8" i="19"/>
  <c r="G9" i="19"/>
  <c r="G10" i="19"/>
  <c r="G11" i="19"/>
  <c r="G3" i="19"/>
  <c r="D44" i="19"/>
  <c r="C45" i="19" l="1"/>
  <c r="Q46" i="19"/>
  <c r="G12" i="19"/>
  <c r="H7" i="19" s="1"/>
  <c r="O7" i="19" s="1"/>
  <c r="C44" i="19"/>
  <c r="Q53" i="19" l="1"/>
  <c r="V46" i="19"/>
  <c r="P47" i="19"/>
  <c r="P52" i="19"/>
  <c r="P46" i="19"/>
  <c r="P48" i="19"/>
  <c r="P50" i="19"/>
  <c r="P44" i="19"/>
  <c r="P45" i="19"/>
  <c r="P49" i="19"/>
  <c r="P51" i="19"/>
  <c r="H6" i="19"/>
  <c r="O6" i="19" s="1"/>
  <c r="H8" i="19"/>
  <c r="O8" i="19" s="1"/>
  <c r="H12" i="19"/>
  <c r="H10" i="19"/>
  <c r="O10" i="19" s="1"/>
  <c r="H5" i="19"/>
  <c r="O5" i="19" s="1"/>
  <c r="Q7" i="19"/>
  <c r="V7" i="19" s="1"/>
  <c r="H11" i="19"/>
  <c r="Q11" i="19" s="1"/>
  <c r="V11" i="19" s="1"/>
  <c r="H3" i="19"/>
  <c r="Q3" i="19" s="1"/>
  <c r="P7" i="19"/>
  <c r="H4" i="19"/>
  <c r="O4" i="19" s="1"/>
  <c r="H9" i="19"/>
  <c r="Q9" i="19" s="1"/>
  <c r="V9" i="19" s="1"/>
  <c r="Q10" i="19"/>
  <c r="V10" i="19" s="1"/>
  <c r="Q6" i="19"/>
  <c r="V6" i="19" s="1"/>
  <c r="U50" i="19" l="1"/>
  <c r="V120" i="19"/>
  <c r="U48" i="19"/>
  <c r="P53" i="19"/>
  <c r="U52" i="19" s="1"/>
  <c r="U44" i="19"/>
  <c r="U45" i="19"/>
  <c r="U46" i="19"/>
  <c r="V49" i="19"/>
  <c r="V52" i="19"/>
  <c r="V51" i="19"/>
  <c r="V119" i="19" s="1"/>
  <c r="V50" i="19"/>
  <c r="V118" i="19" s="1"/>
  <c r="V45" i="19"/>
  <c r="V44" i="19"/>
  <c r="V47" i="19"/>
  <c r="V115" i="19" s="1"/>
  <c r="V48" i="19"/>
  <c r="V116" i="19" s="1"/>
  <c r="O3" i="19"/>
  <c r="P3" i="19"/>
  <c r="P10" i="19"/>
  <c r="P8" i="19"/>
  <c r="P6" i="19"/>
  <c r="Q8" i="19"/>
  <c r="V8" i="19" s="1"/>
  <c r="O9" i="19"/>
  <c r="O11" i="19"/>
  <c r="Q5" i="19"/>
  <c r="V5" i="19" s="1"/>
  <c r="V114" i="19" s="1"/>
  <c r="P9" i="19"/>
  <c r="P5" i="19"/>
  <c r="P11" i="19"/>
  <c r="P4" i="19"/>
  <c r="Q4" i="19"/>
  <c r="V4" i="19" s="1"/>
  <c r="V3" i="19"/>
  <c r="V112" i="19" s="1"/>
  <c r="U51" i="19" l="1"/>
  <c r="V113" i="19"/>
  <c r="V121" i="19" s="1"/>
  <c r="V117" i="19"/>
  <c r="U49" i="19"/>
  <c r="U47" i="19"/>
  <c r="P12" i="19"/>
  <c r="U7" i="19" s="1"/>
  <c r="U116" i="19" s="1"/>
  <c r="O12" i="19"/>
  <c r="T7" i="19" s="1"/>
  <c r="T116" i="19" s="1"/>
  <c r="Q12" i="19"/>
  <c r="V12" i="19" s="1"/>
  <c r="U3" i="19" l="1"/>
  <c r="U112" i="19" s="1"/>
  <c r="T10" i="19"/>
  <c r="T119" i="19" s="1"/>
  <c r="U8" i="19"/>
  <c r="U117" i="19" s="1"/>
  <c r="T9" i="19"/>
  <c r="T118" i="19" s="1"/>
  <c r="U9" i="19"/>
  <c r="U118" i="19" s="1"/>
  <c r="U5" i="19"/>
  <c r="U114" i="19" s="1"/>
  <c r="U10" i="19"/>
  <c r="U119" i="19" s="1"/>
  <c r="T11" i="19"/>
  <c r="T120" i="19" s="1"/>
  <c r="T6" i="19"/>
  <c r="T115" i="19" s="1"/>
  <c r="U4" i="19"/>
  <c r="U113" i="19" s="1"/>
  <c r="T5" i="19"/>
  <c r="T114" i="19" s="1"/>
  <c r="U6" i="19"/>
  <c r="U115" i="19" s="1"/>
  <c r="U11" i="19"/>
  <c r="U120" i="19" s="1"/>
  <c r="T3" i="19"/>
  <c r="T112" i="19" s="1"/>
  <c r="T4" i="19"/>
  <c r="T113" i="19" s="1"/>
  <c r="T8" i="19"/>
  <c r="T117" i="19" s="1"/>
  <c r="T121" i="19" l="1"/>
  <c r="U121" i="19"/>
  <c r="C52" i="19"/>
  <c r="C22" i="19"/>
  <c r="C81" i="19"/>
  <c r="C70" i="19"/>
  <c r="D81" i="19" l="1"/>
  <c r="D70" i="19"/>
  <c r="D52" i="19"/>
  <c r="D22" i="19"/>
  <c r="C14" i="19"/>
  <c r="D14" i="19"/>
  <c r="B14" i="19"/>
  <c r="D35" i="19"/>
  <c r="D34" i="19"/>
  <c r="D33" i="19"/>
  <c r="D32" i="19"/>
  <c r="D31" i="19" l="1"/>
  <c r="D36" i="19" s="1"/>
  <c r="C42" i="1" l="1"/>
  <c r="D42" i="1"/>
  <c r="E42" i="1"/>
  <c r="F42" i="1"/>
  <c r="G42" i="1"/>
  <c r="H42" i="1"/>
  <c r="I42" i="1"/>
  <c r="B42" i="1"/>
  <c r="C18" i="1"/>
  <c r="B16" i="22" s="1"/>
  <c r="F16" i="22" s="1"/>
  <c r="D18" i="1"/>
  <c r="B16" i="23" s="1"/>
  <c r="F16" i="23" s="1"/>
  <c r="E18" i="1"/>
  <c r="B16" i="24" s="1"/>
  <c r="F16" i="24" s="1"/>
  <c r="F18" i="1"/>
  <c r="B16" i="25" s="1"/>
  <c r="F16" i="25" s="1"/>
  <c r="G18" i="1"/>
  <c r="B16" i="26" s="1"/>
  <c r="F16" i="26" s="1"/>
  <c r="H18" i="1"/>
  <c r="B16" i="27" s="1"/>
  <c r="F16" i="27" s="1"/>
  <c r="I18" i="1"/>
  <c r="B16" i="28" s="1"/>
  <c r="F16" i="28" s="1"/>
  <c r="B18" i="1"/>
  <c r="B16" i="21" s="1"/>
  <c r="F16" i="21" s="1"/>
  <c r="B41" i="25" l="1"/>
  <c r="F41" i="25" s="1"/>
  <c r="B41" i="23"/>
  <c r="F41" i="23" s="1"/>
  <c r="B41" i="21"/>
  <c r="F41" i="21" s="1"/>
  <c r="B41" i="24"/>
  <c r="F41" i="24" s="1"/>
  <c r="B41" i="27"/>
  <c r="F41" i="27" s="1"/>
  <c r="B41" i="26"/>
  <c r="F41" i="26" s="1"/>
  <c r="B41" i="22"/>
  <c r="F41" i="22" s="1"/>
  <c r="B41" i="28"/>
  <c r="F41" i="28" s="1"/>
  <c r="B44" i="1"/>
  <c r="F44" i="1"/>
  <c r="I44" i="1"/>
  <c r="E44" i="1"/>
  <c r="H44" i="1"/>
  <c r="D44" i="1"/>
  <c r="G44" i="1"/>
  <c r="C44" i="1"/>
  <c r="I33" i="10"/>
  <c r="I41" i="10" s="1"/>
  <c r="K36" i="10"/>
  <c r="K40" i="10"/>
  <c r="J41" i="10"/>
  <c r="E41" i="10"/>
  <c r="H34" i="10"/>
  <c r="H35" i="10"/>
  <c r="H36" i="10"/>
  <c r="H37" i="10"/>
  <c r="H38" i="10"/>
  <c r="H39" i="10"/>
  <c r="H40" i="10"/>
  <c r="H33" i="10"/>
  <c r="H41" i="10" s="1"/>
  <c r="G34" i="10"/>
  <c r="K34" i="10" s="1"/>
  <c r="G35" i="10"/>
  <c r="K35" i="10" s="1"/>
  <c r="G36" i="10"/>
  <c r="G37" i="10"/>
  <c r="K37" i="10" s="1"/>
  <c r="G38" i="10"/>
  <c r="K38" i="10" s="1"/>
  <c r="G39" i="10"/>
  <c r="K39" i="10" s="1"/>
  <c r="G40" i="10"/>
  <c r="G33" i="10"/>
  <c r="G41" i="10" s="1"/>
  <c r="D33" i="10"/>
  <c r="D41" i="10" s="1"/>
  <c r="C34" i="10"/>
  <c r="C35" i="10"/>
  <c r="C36" i="10"/>
  <c r="C37" i="10"/>
  <c r="C38" i="10"/>
  <c r="C39" i="10"/>
  <c r="C40" i="10"/>
  <c r="C33" i="10"/>
  <c r="C41" i="10" s="1"/>
  <c r="B34" i="10"/>
  <c r="F34" i="10" s="1"/>
  <c r="B35" i="10"/>
  <c r="F35" i="10" s="1"/>
  <c r="B36" i="10"/>
  <c r="F36" i="10" s="1"/>
  <c r="B37" i="10"/>
  <c r="F37" i="10" s="1"/>
  <c r="B38" i="10"/>
  <c r="F38" i="10" s="1"/>
  <c r="B39" i="10"/>
  <c r="F39" i="10" s="1"/>
  <c r="B40" i="10"/>
  <c r="F40" i="10" s="1"/>
  <c r="B33" i="10"/>
  <c r="F33" i="10" s="1"/>
  <c r="F41" i="10" l="1"/>
  <c r="B41" i="10"/>
  <c r="C4" i="29"/>
  <c r="B43" i="22"/>
  <c r="F43" i="22" s="1"/>
  <c r="C6" i="29"/>
  <c r="B43" i="24"/>
  <c r="F43" i="24" s="1"/>
  <c r="C8" i="29"/>
  <c r="B43" i="26"/>
  <c r="F43" i="26" s="1"/>
  <c r="C10" i="29"/>
  <c r="B43" i="28"/>
  <c r="F43" i="28" s="1"/>
  <c r="C5" i="29"/>
  <c r="B43" i="23"/>
  <c r="F43" i="23" s="1"/>
  <c r="C7" i="29"/>
  <c r="B43" i="25"/>
  <c r="F43" i="25" s="1"/>
  <c r="C9" i="29"/>
  <c r="B43" i="27"/>
  <c r="F43" i="27" s="1"/>
  <c r="C3" i="29"/>
  <c r="B43" i="21"/>
  <c r="F43" i="21" s="1"/>
  <c r="K33" i="10"/>
  <c r="K41" i="10"/>
  <c r="C22" i="29" l="1"/>
  <c r="C21" i="29"/>
  <c r="C16" i="29"/>
  <c r="C18" i="29"/>
  <c r="C17" i="29"/>
  <c r="C20" i="29"/>
  <c r="C23" i="29"/>
  <c r="C19" i="29"/>
  <c r="E36" i="6"/>
  <c r="E34" i="6"/>
  <c r="J16" i="1" l="1"/>
  <c r="X17" i="17" l="1"/>
  <c r="W17" i="17"/>
  <c r="V17" i="17"/>
  <c r="U17" i="17"/>
  <c r="T17" i="17"/>
  <c r="S17" i="17"/>
  <c r="R17" i="17"/>
  <c r="Q17" i="17"/>
  <c r="M234" i="17"/>
  <c r="M235" i="17"/>
  <c r="M236" i="17"/>
  <c r="M237" i="17"/>
  <c r="M238" i="17"/>
  <c r="M239" i="17"/>
  <c r="M240" i="17"/>
  <c r="M241" i="17"/>
  <c r="M242" i="17"/>
  <c r="D249" i="17"/>
  <c r="D251" i="17"/>
  <c r="L236" i="17" s="1"/>
  <c r="D253" i="17"/>
  <c r="L238" i="17" s="1"/>
  <c r="B251" i="17"/>
  <c r="J236" i="17" s="1"/>
  <c r="B255" i="17"/>
  <c r="J240" i="17" s="1"/>
  <c r="C246" i="17"/>
  <c r="C250" i="17" s="1"/>
  <c r="D246" i="17"/>
  <c r="D254" i="17" s="1"/>
  <c r="L239" i="17" s="1"/>
  <c r="B246" i="17"/>
  <c r="B252" i="17" s="1"/>
  <c r="J237" i="17" s="1"/>
  <c r="M204" i="17"/>
  <c r="M205" i="17"/>
  <c r="M206" i="17"/>
  <c r="M207" i="17"/>
  <c r="M208" i="17"/>
  <c r="M209" i="17"/>
  <c r="M210" i="17"/>
  <c r="M211" i="17"/>
  <c r="M212" i="17"/>
  <c r="C219" i="17"/>
  <c r="K204" i="17" s="1"/>
  <c r="C221" i="17"/>
  <c r="K206" i="17" s="1"/>
  <c r="C223" i="17"/>
  <c r="K208" i="17" s="1"/>
  <c r="C225" i="17"/>
  <c r="K210" i="17" s="1"/>
  <c r="C227" i="17"/>
  <c r="K212" i="17" s="1"/>
  <c r="B222" i="17"/>
  <c r="B226" i="17"/>
  <c r="J211" i="17" s="1"/>
  <c r="C216" i="17"/>
  <c r="C220" i="17" s="1"/>
  <c r="D216" i="17"/>
  <c r="D219" i="17" s="1"/>
  <c r="B216" i="17"/>
  <c r="B223" i="17" s="1"/>
  <c r="J208" i="17" s="1"/>
  <c r="K182" i="17"/>
  <c r="L182" i="17"/>
  <c r="M182" i="17"/>
  <c r="J182" i="17"/>
  <c r="E72" i="17"/>
  <c r="E73" i="17" s="1"/>
  <c r="E68" i="17"/>
  <c r="E69" i="17" s="1"/>
  <c r="L204" i="17" l="1"/>
  <c r="K235" i="17"/>
  <c r="K205" i="17"/>
  <c r="K213" i="17" s="1"/>
  <c r="B225" i="17"/>
  <c r="J210" i="17" s="1"/>
  <c r="B221" i="17"/>
  <c r="J206" i="17" s="1"/>
  <c r="D226" i="17"/>
  <c r="L211" i="17" s="1"/>
  <c r="D224" i="17"/>
  <c r="L209" i="17" s="1"/>
  <c r="D222" i="17"/>
  <c r="L207" i="17" s="1"/>
  <c r="D220" i="17"/>
  <c r="L205" i="17" s="1"/>
  <c r="B249" i="17"/>
  <c r="J234" i="17" s="1"/>
  <c r="B254" i="17"/>
  <c r="J239" i="17" s="1"/>
  <c r="J243" i="17" s="1"/>
  <c r="B250" i="17"/>
  <c r="J235" i="17" s="1"/>
  <c r="D255" i="17"/>
  <c r="L240" i="17" s="1"/>
  <c r="C253" i="17"/>
  <c r="K238" i="17" s="1"/>
  <c r="C251" i="17"/>
  <c r="K236" i="17" s="1"/>
  <c r="C249" i="17"/>
  <c r="K234" i="17" s="1"/>
  <c r="C256" i="17"/>
  <c r="K241" i="17" s="1"/>
  <c r="B219" i="17"/>
  <c r="J204" i="17" s="1"/>
  <c r="B224" i="17"/>
  <c r="J209" i="17" s="1"/>
  <c r="B220" i="17"/>
  <c r="J205" i="17" s="1"/>
  <c r="C226" i="17"/>
  <c r="K211" i="17" s="1"/>
  <c r="C224" i="17"/>
  <c r="K209" i="17" s="1"/>
  <c r="C222" i="17"/>
  <c r="K207" i="17" s="1"/>
  <c r="B257" i="17"/>
  <c r="J242" i="17" s="1"/>
  <c r="B253" i="17"/>
  <c r="J238" i="17" s="1"/>
  <c r="C257" i="17"/>
  <c r="K242" i="17" s="1"/>
  <c r="C255" i="17"/>
  <c r="K240" i="17" s="1"/>
  <c r="D252" i="17"/>
  <c r="L237" i="17" s="1"/>
  <c r="D250" i="17"/>
  <c r="L235" i="17" s="1"/>
  <c r="D257" i="17"/>
  <c r="L242" i="17" s="1"/>
  <c r="J207" i="17"/>
  <c r="B227" i="17"/>
  <c r="J212" i="17" s="1"/>
  <c r="D227" i="17"/>
  <c r="L212" i="17" s="1"/>
  <c r="D225" i="17"/>
  <c r="L210" i="17" s="1"/>
  <c r="D223" i="17"/>
  <c r="L208" i="17" s="1"/>
  <c r="D221" i="17"/>
  <c r="L206" i="17" s="1"/>
  <c r="M213" i="17"/>
  <c r="B256" i="17"/>
  <c r="J241" i="17" s="1"/>
  <c r="D256" i="17"/>
  <c r="L241" i="17" s="1"/>
  <c r="C254" i="17"/>
  <c r="K239" i="17" s="1"/>
  <c r="C252" i="17"/>
  <c r="K237" i="17" s="1"/>
  <c r="L234" i="17"/>
  <c r="M243" i="17"/>
  <c r="U5" i="18"/>
  <c r="AB5" i="18"/>
  <c r="AA5" i="18"/>
  <c r="Z5" i="18"/>
  <c r="Y5" i="18"/>
  <c r="X5" i="18"/>
  <c r="W5" i="18"/>
  <c r="V5" i="18"/>
  <c r="E41" i="18"/>
  <c r="D41" i="18"/>
  <c r="C41" i="18"/>
  <c r="L7" i="15"/>
  <c r="J7" i="15"/>
  <c r="K7" i="15"/>
  <c r="B258" i="17" l="1"/>
  <c r="C258" i="17"/>
  <c r="J213" i="17"/>
  <c r="C228" i="17"/>
  <c r="B228" i="17"/>
  <c r="D258" i="17"/>
  <c r="L243" i="17"/>
  <c r="K243" i="17"/>
  <c r="L213" i="17"/>
  <c r="D228" i="17"/>
  <c r="N40" i="18"/>
  <c r="L40" i="18"/>
  <c r="J40" i="18"/>
  <c r="N27" i="18"/>
  <c r="L27" i="18"/>
  <c r="J27" i="18"/>
  <c r="N14" i="18" l="1"/>
  <c r="L14" i="18"/>
  <c r="J14" i="18"/>
  <c r="C10" i="18"/>
  <c r="C9" i="18"/>
  <c r="C8" i="18"/>
  <c r="C20" i="18" s="1"/>
  <c r="C25" i="18" s="1"/>
  <c r="O14" i="18" s="1"/>
  <c r="C7" i="18"/>
  <c r="C6" i="18"/>
  <c r="E12" i="18"/>
  <c r="D10" i="18"/>
  <c r="D9" i="18"/>
  <c r="D8" i="18"/>
  <c r="D7" i="18"/>
  <c r="D6" i="18"/>
  <c r="E10" i="18"/>
  <c r="E9" i="18"/>
  <c r="E8" i="18"/>
  <c r="E7" i="18"/>
  <c r="E6" i="18"/>
  <c r="O7" i="18" l="1"/>
  <c r="O11" i="18"/>
  <c r="O9" i="18"/>
  <c r="O8" i="18"/>
  <c r="O12" i="18"/>
  <c r="O13" i="18"/>
  <c r="O6" i="18"/>
  <c r="O10" i="18"/>
  <c r="O5" i="18"/>
  <c r="E14" i="18"/>
  <c r="E21" i="18"/>
  <c r="E26" i="18" s="1"/>
  <c r="K40" i="18" s="1"/>
  <c r="D13" i="18"/>
  <c r="E20" i="18"/>
  <c r="E25" i="18" s="1"/>
  <c r="O40" i="18" s="1"/>
  <c r="D19" i="18"/>
  <c r="D24" i="18" s="1"/>
  <c r="M27" i="18" s="1"/>
  <c r="C21" i="18"/>
  <c r="C26" i="18" s="1"/>
  <c r="K14" i="18" s="1"/>
  <c r="D14" i="18"/>
  <c r="D20" i="18"/>
  <c r="D25" i="18" s="1"/>
  <c r="O27" i="18" s="1"/>
  <c r="E13" i="18"/>
  <c r="E19" i="18"/>
  <c r="E24" i="18" s="1"/>
  <c r="M40" i="18" s="1"/>
  <c r="C19" i="18"/>
  <c r="C24" i="18" s="1"/>
  <c r="M14" i="18" s="1"/>
  <c r="D21" i="18"/>
  <c r="D26" i="18" s="1"/>
  <c r="K27" i="18" s="1"/>
  <c r="C14" i="18"/>
  <c r="C13" i="18"/>
  <c r="M32" i="18" l="1"/>
  <c r="M36" i="18"/>
  <c r="M31" i="18"/>
  <c r="M33" i="18"/>
  <c r="M37" i="18"/>
  <c r="M38" i="18"/>
  <c r="M35" i="18"/>
  <c r="M39" i="18"/>
  <c r="M34" i="18"/>
  <c r="M6" i="18"/>
  <c r="M10" i="18"/>
  <c r="M5" i="18"/>
  <c r="M8" i="18"/>
  <c r="M7" i="18"/>
  <c r="M11" i="18"/>
  <c r="M12" i="18"/>
  <c r="M9" i="18"/>
  <c r="M13" i="18"/>
  <c r="K35" i="18"/>
  <c r="P35" i="18" s="1"/>
  <c r="K39" i="18"/>
  <c r="K37" i="18"/>
  <c r="K32" i="18"/>
  <c r="K36" i="18"/>
  <c r="K31" i="18"/>
  <c r="K34" i="18"/>
  <c r="K38" i="18"/>
  <c r="K33" i="18"/>
  <c r="P33" i="18" s="1"/>
  <c r="M19" i="18"/>
  <c r="M26" i="18"/>
  <c r="M24" i="18"/>
  <c r="M18" i="18"/>
  <c r="M25" i="18"/>
  <c r="M20" i="18"/>
  <c r="M21" i="18"/>
  <c r="M22" i="18"/>
  <c r="M23" i="18"/>
  <c r="K9" i="18"/>
  <c r="P9" i="18" s="1"/>
  <c r="K13" i="18"/>
  <c r="P13" i="18" s="1"/>
  <c r="K7" i="18"/>
  <c r="P7" i="18" s="1"/>
  <c r="K6" i="18"/>
  <c r="P6" i="18" s="1"/>
  <c r="K10" i="18"/>
  <c r="K5" i="18"/>
  <c r="P5" i="18" s="1"/>
  <c r="K11" i="18"/>
  <c r="P11" i="18" s="1"/>
  <c r="K8" i="18"/>
  <c r="P8" i="18" s="1"/>
  <c r="K12" i="18"/>
  <c r="P12" i="18" s="1"/>
  <c r="K20" i="18"/>
  <c r="P20" i="18" s="1"/>
  <c r="K23" i="18"/>
  <c r="K19" i="18"/>
  <c r="K26" i="18"/>
  <c r="K18" i="18"/>
  <c r="K22" i="18"/>
  <c r="P22" i="18" s="1"/>
  <c r="K25" i="18"/>
  <c r="K21" i="18"/>
  <c r="K24" i="18"/>
  <c r="P24" i="18" s="1"/>
  <c r="O22" i="18"/>
  <c r="O26" i="18"/>
  <c r="O20" i="18"/>
  <c r="O19" i="18"/>
  <c r="O23" i="18"/>
  <c r="O18" i="18"/>
  <c r="O24" i="18"/>
  <c r="O21" i="18"/>
  <c r="O25" i="18"/>
  <c r="O33" i="18"/>
  <c r="O37" i="18"/>
  <c r="O39" i="18"/>
  <c r="O34" i="18"/>
  <c r="O38" i="18"/>
  <c r="O35" i="18"/>
  <c r="O32" i="18"/>
  <c r="O36" i="18"/>
  <c r="O31" i="18"/>
  <c r="K187" i="17"/>
  <c r="L187" i="17"/>
  <c r="M187" i="17"/>
  <c r="K188" i="17"/>
  <c r="L188" i="17"/>
  <c r="M188" i="17"/>
  <c r="K189" i="17"/>
  <c r="L189" i="17"/>
  <c r="M189" i="17"/>
  <c r="K190" i="17"/>
  <c r="L190" i="17"/>
  <c r="M190" i="17"/>
  <c r="K191" i="17"/>
  <c r="L191" i="17"/>
  <c r="M191" i="17"/>
  <c r="K192" i="17"/>
  <c r="L192" i="17"/>
  <c r="M192" i="17"/>
  <c r="K193" i="17"/>
  <c r="L193" i="17"/>
  <c r="M193" i="17"/>
  <c r="K194" i="17"/>
  <c r="L194" i="17"/>
  <c r="M194" i="17"/>
  <c r="K195" i="17"/>
  <c r="L195" i="17"/>
  <c r="M195" i="17"/>
  <c r="J188" i="17"/>
  <c r="J189" i="17"/>
  <c r="J190" i="17"/>
  <c r="J191" i="17"/>
  <c r="J192" i="17"/>
  <c r="J193" i="17"/>
  <c r="J194" i="17"/>
  <c r="J195" i="17"/>
  <c r="J187" i="17"/>
  <c r="K156" i="17"/>
  <c r="L156" i="17"/>
  <c r="M156" i="17"/>
  <c r="K157" i="17"/>
  <c r="L157" i="17"/>
  <c r="M157" i="17"/>
  <c r="K158" i="17"/>
  <c r="L158" i="17"/>
  <c r="M158" i="17"/>
  <c r="K159" i="17"/>
  <c r="L159" i="17"/>
  <c r="M159" i="17"/>
  <c r="K160" i="17"/>
  <c r="L160" i="17"/>
  <c r="M160" i="17"/>
  <c r="K161" i="17"/>
  <c r="L161" i="17"/>
  <c r="M161" i="17"/>
  <c r="K162" i="17"/>
  <c r="L162" i="17"/>
  <c r="M162" i="17"/>
  <c r="K163" i="17"/>
  <c r="L163" i="17"/>
  <c r="M163" i="17"/>
  <c r="K164" i="17"/>
  <c r="L164" i="17"/>
  <c r="M164" i="17"/>
  <c r="J157" i="17"/>
  <c r="J158" i="17"/>
  <c r="J159" i="17"/>
  <c r="J160" i="17"/>
  <c r="J161" i="17"/>
  <c r="J162" i="17"/>
  <c r="J163" i="17"/>
  <c r="J164" i="17"/>
  <c r="J156" i="17"/>
  <c r="B138" i="17"/>
  <c r="C138" i="17" s="1"/>
  <c r="B137" i="17"/>
  <c r="C137" i="17" s="1"/>
  <c r="B130" i="17"/>
  <c r="C130" i="17" s="1"/>
  <c r="J165" i="17" l="1"/>
  <c r="J196" i="17"/>
  <c r="P25" i="18"/>
  <c r="P19" i="18"/>
  <c r="P31" i="18"/>
  <c r="P39" i="18"/>
  <c r="M196" i="17"/>
  <c r="P23" i="18"/>
  <c r="P36" i="18"/>
  <c r="M165" i="17"/>
  <c r="L165" i="17"/>
  <c r="L196" i="17"/>
  <c r="P18" i="18"/>
  <c r="P14" i="18"/>
  <c r="P38" i="18"/>
  <c r="P32" i="18"/>
  <c r="K165" i="17"/>
  <c r="K196" i="17"/>
  <c r="P21" i="18"/>
  <c r="P26" i="18"/>
  <c r="P10" i="18"/>
  <c r="P34" i="18"/>
  <c r="P37" i="18"/>
  <c r="C131" i="17"/>
  <c r="J124" i="17" l="1"/>
  <c r="L131" i="17"/>
  <c r="K125" i="17"/>
  <c r="L126" i="17"/>
  <c r="M127" i="17"/>
  <c r="K129" i="17"/>
  <c r="L130" i="17"/>
  <c r="K132" i="17"/>
  <c r="J126" i="17"/>
  <c r="J130" i="17"/>
  <c r="L124" i="17"/>
  <c r="L133" i="17" s="1"/>
  <c r="K127" i="17"/>
  <c r="M132" i="17"/>
  <c r="K124" i="17"/>
  <c r="L125" i="17"/>
  <c r="M126" i="17"/>
  <c r="K128" i="17"/>
  <c r="L129" i="17"/>
  <c r="M130" i="17"/>
  <c r="L132" i="17"/>
  <c r="J127" i="17"/>
  <c r="J131" i="17"/>
  <c r="M129" i="17"/>
  <c r="J132" i="17"/>
  <c r="L128" i="17"/>
  <c r="M124" i="17"/>
  <c r="K126" i="17"/>
  <c r="L127" i="17"/>
  <c r="M128" i="17"/>
  <c r="K130" i="17"/>
  <c r="M131" i="17"/>
  <c r="J125" i="17"/>
  <c r="J129" i="17"/>
  <c r="M125" i="17"/>
  <c r="K131" i="17"/>
  <c r="J128" i="17"/>
  <c r="P27" i="18"/>
  <c r="P40" i="18"/>
  <c r="B117" i="17"/>
  <c r="B118" i="17" s="1"/>
  <c r="C117" i="17"/>
  <c r="C118" i="17" s="1"/>
  <c r="D117" i="17"/>
  <c r="D118" i="17" s="1"/>
  <c r="C113" i="17"/>
  <c r="C114" i="17" s="1"/>
  <c r="D113" i="17"/>
  <c r="B113" i="17"/>
  <c r="B114" i="17" s="1"/>
  <c r="C109" i="17"/>
  <c r="D109" i="17"/>
  <c r="D110" i="17" s="1"/>
  <c r="B109" i="17"/>
  <c r="B110" i="17" s="1"/>
  <c r="B94" i="17"/>
  <c r="M133" i="17" l="1"/>
  <c r="K133" i="17"/>
  <c r="J133" i="17"/>
  <c r="D114" i="17"/>
  <c r="C110" i="17"/>
  <c r="B95" i="17"/>
  <c r="C95" i="17" l="1"/>
  <c r="C94" i="17"/>
  <c r="C87" i="17"/>
  <c r="D87" i="17"/>
  <c r="E87" i="17"/>
  <c r="B87" i="17"/>
  <c r="L82" i="17" l="1"/>
  <c r="J80" i="17"/>
  <c r="J86" i="17"/>
  <c r="K82" i="17"/>
  <c r="J88" i="17"/>
  <c r="K84" i="17"/>
  <c r="K85" i="17"/>
  <c r="K86" i="17"/>
  <c r="K83" i="17"/>
  <c r="K80" i="17"/>
  <c r="K88" i="17"/>
  <c r="L84" i="17"/>
  <c r="L85" i="17"/>
  <c r="L86" i="17"/>
  <c r="L83" i="17"/>
  <c r="L80" i="17"/>
  <c r="L88" i="17"/>
  <c r="M84" i="17"/>
  <c r="M85" i="17"/>
  <c r="M86" i="17"/>
  <c r="J83" i="17"/>
  <c r="M87" i="17"/>
  <c r="M88" i="17"/>
  <c r="J84" i="17"/>
  <c r="J85" i="17"/>
  <c r="M83" i="17"/>
  <c r="M80" i="17"/>
  <c r="K81" i="17"/>
  <c r="J81" i="17"/>
  <c r="M81" i="17"/>
  <c r="L87" i="17"/>
  <c r="L81" i="17"/>
  <c r="J87" i="17"/>
  <c r="J82" i="17"/>
  <c r="K87" i="17"/>
  <c r="M82" i="17"/>
  <c r="B72" i="17"/>
  <c r="L89" i="17" l="1"/>
  <c r="M89" i="17"/>
  <c r="K89" i="17"/>
  <c r="J89" i="17"/>
  <c r="C15" i="17"/>
  <c r="D15" i="17"/>
  <c r="E15" i="17"/>
  <c r="B15" i="17"/>
  <c r="C72" i="17"/>
  <c r="C73" i="17" s="1"/>
  <c r="D72" i="17"/>
  <c r="D73" i="17" s="1"/>
  <c r="B73" i="17"/>
  <c r="C68" i="17"/>
  <c r="C69" i="17" s="1"/>
  <c r="D68" i="17"/>
  <c r="D69" i="17" s="1"/>
  <c r="B68" i="17"/>
  <c r="B69" i="17" s="1"/>
  <c r="B26" i="17"/>
  <c r="C26" i="17" s="1"/>
  <c r="C27" i="17" l="1"/>
  <c r="AF36" i="15"/>
  <c r="AE36" i="15"/>
  <c r="AD36" i="15"/>
  <c r="AC36" i="15"/>
  <c r="AB36" i="15"/>
  <c r="AA36" i="15"/>
  <c r="Z36" i="15"/>
  <c r="Y36" i="15"/>
  <c r="I47" i="15" l="1"/>
  <c r="Q73" i="15"/>
  <c r="O73" i="15"/>
  <c r="M73" i="15"/>
  <c r="K73" i="15"/>
  <c r="I73" i="15"/>
  <c r="G73" i="15"/>
  <c r="E73" i="15"/>
  <c r="C73" i="15"/>
  <c r="Q60" i="15"/>
  <c r="O60" i="15"/>
  <c r="M60" i="15"/>
  <c r="K60" i="15"/>
  <c r="I60" i="15"/>
  <c r="G60" i="15"/>
  <c r="E60" i="15"/>
  <c r="C60" i="15"/>
  <c r="Q47" i="15"/>
  <c r="O47" i="15"/>
  <c r="M47" i="15"/>
  <c r="K47" i="15"/>
  <c r="G47" i="15"/>
  <c r="E47" i="15"/>
  <c r="C47" i="15"/>
  <c r="E14" i="15"/>
  <c r="C30" i="16" l="1"/>
  <c r="D30" i="16"/>
  <c r="C31" i="16"/>
  <c r="D31" i="16"/>
  <c r="B31" i="16"/>
  <c r="B37" i="16" s="1"/>
  <c r="H30" i="16" s="1"/>
  <c r="T54" i="16"/>
  <c r="S54" i="16"/>
  <c r="R54" i="16"/>
  <c r="Q54" i="16"/>
  <c r="P54" i="16"/>
  <c r="O54" i="16"/>
  <c r="N54" i="16"/>
  <c r="M54" i="16"/>
  <c r="C37" i="16" l="1"/>
  <c r="C22" i="15" s="1"/>
  <c r="I30" i="16"/>
  <c r="I31" i="16"/>
  <c r="J31" i="16"/>
  <c r="D37" i="16"/>
  <c r="C32" i="15" s="1"/>
  <c r="J30" i="16"/>
  <c r="G50" i="16"/>
  <c r="H46" i="16" s="1"/>
  <c r="C44" i="16"/>
  <c r="C57" i="16" s="1"/>
  <c r="C48" i="16"/>
  <c r="C61" i="16" s="1"/>
  <c r="C42" i="16"/>
  <c r="B51" i="16"/>
  <c r="C46" i="16" s="1"/>
  <c r="D59" i="16" l="1"/>
  <c r="C59" i="16"/>
  <c r="B59" i="16"/>
  <c r="C49" i="16"/>
  <c r="C45" i="16"/>
  <c r="B61" i="16"/>
  <c r="B57" i="16"/>
  <c r="B55" i="16"/>
  <c r="D55" i="16"/>
  <c r="D61" i="16"/>
  <c r="D57" i="16"/>
  <c r="C47" i="16"/>
  <c r="C43" i="16"/>
  <c r="C55" i="16"/>
  <c r="C51" i="16"/>
  <c r="C50" i="16"/>
  <c r="G59" i="16"/>
  <c r="H59" i="16"/>
  <c r="I59" i="16"/>
  <c r="C12" i="15"/>
  <c r="H31" i="16"/>
  <c r="H49" i="16"/>
  <c r="H45" i="16"/>
  <c r="H48" i="16"/>
  <c r="H44" i="16"/>
  <c r="H47" i="16"/>
  <c r="H43" i="16"/>
  <c r="H42" i="16"/>
  <c r="I60" i="16" l="1"/>
  <c r="H60" i="16"/>
  <c r="G60" i="16"/>
  <c r="I62" i="16"/>
  <c r="G62" i="16"/>
  <c r="H62" i="16"/>
  <c r="D63" i="16"/>
  <c r="C63" i="16"/>
  <c r="B63" i="16"/>
  <c r="D60" i="16"/>
  <c r="B60" i="16"/>
  <c r="C60" i="16"/>
  <c r="D62" i="16"/>
  <c r="B62" i="16"/>
  <c r="C62" i="16"/>
  <c r="H61" i="16"/>
  <c r="I61" i="16"/>
  <c r="G61" i="16"/>
  <c r="C64" i="16"/>
  <c r="C21" i="15" s="1"/>
  <c r="H57" i="16"/>
  <c r="I57" i="16"/>
  <c r="G57" i="16"/>
  <c r="G55" i="16"/>
  <c r="H55" i="16"/>
  <c r="I55" i="16"/>
  <c r="I56" i="16"/>
  <c r="G56" i="16"/>
  <c r="H56" i="16"/>
  <c r="I58" i="16"/>
  <c r="H58" i="16"/>
  <c r="G58" i="16"/>
  <c r="D56" i="16"/>
  <c r="D64" i="16" s="1"/>
  <c r="C31" i="15" s="1"/>
  <c r="B56" i="16"/>
  <c r="B64" i="16" s="1"/>
  <c r="C11" i="15" s="1"/>
  <c r="C56" i="16"/>
  <c r="D58" i="16"/>
  <c r="B58" i="16"/>
  <c r="C58" i="16"/>
  <c r="H50" i="16"/>
  <c r="D53" i="17" l="1"/>
  <c r="D77" i="30"/>
  <c r="C14" i="15"/>
  <c r="D7" i="15" s="1"/>
  <c r="B53" i="17"/>
  <c r="B77" i="30"/>
  <c r="G63" i="16"/>
  <c r="C77" i="30"/>
  <c r="C53" i="17"/>
  <c r="I63" i="16"/>
  <c r="H63" i="16"/>
  <c r="D11" i="15"/>
  <c r="E11" i="15" s="1"/>
  <c r="N47" i="15" s="1"/>
  <c r="N42" i="15" s="1"/>
  <c r="D9" i="15"/>
  <c r="E9" i="15" s="1"/>
  <c r="J47" i="15" s="1"/>
  <c r="J40" i="15" s="1"/>
  <c r="D8" i="15"/>
  <c r="E8" i="15" s="1"/>
  <c r="H47" i="15" s="1"/>
  <c r="H38" i="15" s="1"/>
  <c r="D10" i="15"/>
  <c r="E10" i="15" s="1"/>
  <c r="L47" i="15" s="1"/>
  <c r="L44" i="15" s="1"/>
  <c r="H46" i="15"/>
  <c r="H41" i="15"/>
  <c r="H44" i="15"/>
  <c r="N43" i="15"/>
  <c r="N40" i="15"/>
  <c r="E7" i="15"/>
  <c r="F47" i="15" s="1"/>
  <c r="J41" i="15"/>
  <c r="J44" i="15"/>
  <c r="J43" i="15"/>
  <c r="J39" i="15"/>
  <c r="J46" i="15"/>
  <c r="J38" i="15"/>
  <c r="B20" i="9"/>
  <c r="C19" i="9"/>
  <c r="B19" i="9"/>
  <c r="C20" i="9"/>
  <c r="N46" i="15" l="1"/>
  <c r="D78" i="30"/>
  <c r="D89" i="30" s="1"/>
  <c r="L12" i="30" s="1"/>
  <c r="D95" i="30"/>
  <c r="L20" i="30" s="1"/>
  <c r="D97" i="30"/>
  <c r="L22" i="30" s="1"/>
  <c r="D82" i="30"/>
  <c r="L5" i="30" s="1"/>
  <c r="D92" i="30"/>
  <c r="L17" i="30" s="1"/>
  <c r="D87" i="30"/>
  <c r="L10" i="30" s="1"/>
  <c r="D100" i="30"/>
  <c r="L25" i="30" s="1"/>
  <c r="L37" i="30" s="1"/>
  <c r="R12" i="30" s="1"/>
  <c r="D85" i="30"/>
  <c r="L8" i="30" s="1"/>
  <c r="L33" i="30" s="1"/>
  <c r="R8" i="30" s="1"/>
  <c r="D96" i="30"/>
  <c r="L21" i="30" s="1"/>
  <c r="D88" i="30"/>
  <c r="L11" i="30" s="1"/>
  <c r="D81" i="30"/>
  <c r="L4" i="30" s="1"/>
  <c r="D99" i="30"/>
  <c r="L24" i="30" s="1"/>
  <c r="D86" i="30"/>
  <c r="L9" i="30" s="1"/>
  <c r="L34" i="30" s="1"/>
  <c r="R9" i="30" s="1"/>
  <c r="D83" i="30"/>
  <c r="L6" i="30" s="1"/>
  <c r="N41" i="15"/>
  <c r="H39" i="15"/>
  <c r="H45" i="15"/>
  <c r="D12" i="15"/>
  <c r="E12" i="15" s="1"/>
  <c r="P47" i="15" s="1"/>
  <c r="P46" i="15" s="1"/>
  <c r="C54" i="17"/>
  <c r="C58" i="17" s="1"/>
  <c r="K5" i="17" s="1"/>
  <c r="Q5" i="17" s="1"/>
  <c r="C62" i="17"/>
  <c r="K9" i="17" s="1"/>
  <c r="Q9" i="17" s="1"/>
  <c r="C64" i="17"/>
  <c r="K11" i="17" s="1"/>
  <c r="Q11" i="17" s="1"/>
  <c r="C57" i="17"/>
  <c r="K4" i="17" s="1"/>
  <c r="C60" i="17"/>
  <c r="K7" i="17" s="1"/>
  <c r="Q7" i="17" s="1"/>
  <c r="C63" i="17"/>
  <c r="K10" i="17" s="1"/>
  <c r="Q10" i="17" s="1"/>
  <c r="C61" i="17"/>
  <c r="K8" i="17" s="1"/>
  <c r="Q8" i="17" s="1"/>
  <c r="B78" i="30"/>
  <c r="B89" i="30" s="1"/>
  <c r="J12" i="30" s="1"/>
  <c r="B100" i="30"/>
  <c r="J25" i="30" s="1"/>
  <c r="J37" i="30" s="1"/>
  <c r="P12" i="30" s="1"/>
  <c r="B94" i="30"/>
  <c r="J19" i="30" s="1"/>
  <c r="B83" i="30"/>
  <c r="J6" i="30" s="1"/>
  <c r="B85" i="30"/>
  <c r="J8" i="30" s="1"/>
  <c r="B92" i="30"/>
  <c r="J17" i="30" s="1"/>
  <c r="B97" i="30"/>
  <c r="J22" i="30" s="1"/>
  <c r="B95" i="30"/>
  <c r="J20" i="30" s="1"/>
  <c r="B84" i="30"/>
  <c r="J7" i="30" s="1"/>
  <c r="B87" i="30"/>
  <c r="J10" i="30" s="1"/>
  <c r="J35" i="30" s="1"/>
  <c r="P10" i="30" s="1"/>
  <c r="B82" i="30"/>
  <c r="J5" i="30" s="1"/>
  <c r="J30" i="30" s="1"/>
  <c r="P5" i="30" s="1"/>
  <c r="B93" i="30"/>
  <c r="J18" i="30" s="1"/>
  <c r="B99" i="30"/>
  <c r="J24" i="30" s="1"/>
  <c r="B81" i="30"/>
  <c r="J4" i="30" s="1"/>
  <c r="B86" i="30"/>
  <c r="J9" i="30" s="1"/>
  <c r="J34" i="30" s="1"/>
  <c r="P9" i="30" s="1"/>
  <c r="B88" i="30"/>
  <c r="J11" i="30" s="1"/>
  <c r="J36" i="30" s="1"/>
  <c r="P11" i="30" s="1"/>
  <c r="B98" i="30"/>
  <c r="J23" i="30" s="1"/>
  <c r="B96" i="30"/>
  <c r="J21" i="30" s="1"/>
  <c r="D54" i="17"/>
  <c r="D57" i="17" s="1"/>
  <c r="L4" i="17" s="1"/>
  <c r="D63" i="17"/>
  <c r="L10" i="17" s="1"/>
  <c r="R10" i="17" s="1"/>
  <c r="D65" i="17"/>
  <c r="L12" i="17" s="1"/>
  <c r="R12" i="17" s="1"/>
  <c r="J45" i="15"/>
  <c r="N38" i="15"/>
  <c r="H43" i="15"/>
  <c r="H42" i="15"/>
  <c r="D13" i="15"/>
  <c r="E13" i="15" s="1"/>
  <c r="R47" i="15" s="1"/>
  <c r="C78" i="30"/>
  <c r="C89" i="30" s="1"/>
  <c r="K12" i="30" s="1"/>
  <c r="C93" i="30"/>
  <c r="K18" i="30" s="1"/>
  <c r="C99" i="30"/>
  <c r="K24" i="30" s="1"/>
  <c r="C82" i="30"/>
  <c r="K5" i="30" s="1"/>
  <c r="C98" i="30"/>
  <c r="K23" i="30" s="1"/>
  <c r="C83" i="30"/>
  <c r="K6" i="30" s="1"/>
  <c r="C95" i="30"/>
  <c r="K20" i="30" s="1"/>
  <c r="C100" i="30"/>
  <c r="K25" i="30" s="1"/>
  <c r="K37" i="30" s="1"/>
  <c r="Q12" i="30" s="1"/>
  <c r="C97" i="30"/>
  <c r="K22" i="30" s="1"/>
  <c r="C88" i="30"/>
  <c r="K11" i="30" s="1"/>
  <c r="K36" i="30" s="1"/>
  <c r="Q11" i="30" s="1"/>
  <c r="C87" i="30"/>
  <c r="K10" i="30" s="1"/>
  <c r="K35" i="30" s="1"/>
  <c r="Q10" i="30" s="1"/>
  <c r="C96" i="30"/>
  <c r="K21" i="30" s="1"/>
  <c r="C86" i="30"/>
  <c r="K9" i="30" s="1"/>
  <c r="C81" i="30"/>
  <c r="K4" i="30" s="1"/>
  <c r="B57" i="17"/>
  <c r="J4" i="17" s="1"/>
  <c r="P4" i="17" s="1"/>
  <c r="B54" i="17"/>
  <c r="B61" i="17"/>
  <c r="J8" i="17" s="1"/>
  <c r="P8" i="17" s="1"/>
  <c r="B64" i="17"/>
  <c r="J11" i="17" s="1"/>
  <c r="P11" i="17" s="1"/>
  <c r="L45" i="15"/>
  <c r="L39" i="15"/>
  <c r="R38" i="15"/>
  <c r="R46" i="15"/>
  <c r="R41" i="15"/>
  <c r="R39" i="15"/>
  <c r="R45" i="15"/>
  <c r="J42" i="15"/>
  <c r="H40" i="15"/>
  <c r="R44" i="15"/>
  <c r="L38" i="15"/>
  <c r="L43" i="15"/>
  <c r="N45" i="15"/>
  <c r="N39" i="15"/>
  <c r="L42" i="15"/>
  <c r="L40" i="15"/>
  <c r="R42" i="15"/>
  <c r="L41" i="15"/>
  <c r="L46" i="15"/>
  <c r="N44" i="15"/>
  <c r="P38" i="15"/>
  <c r="P40" i="15"/>
  <c r="P45" i="15"/>
  <c r="P41" i="15"/>
  <c r="P39" i="15"/>
  <c r="P42" i="15"/>
  <c r="P43" i="15"/>
  <c r="F44" i="15"/>
  <c r="F39" i="15"/>
  <c r="F41" i="15"/>
  <c r="F43" i="15"/>
  <c r="F38" i="15"/>
  <c r="F46" i="15"/>
  <c r="F42" i="15"/>
  <c r="F45" i="15"/>
  <c r="F40" i="15"/>
  <c r="E34" i="15"/>
  <c r="E24" i="15"/>
  <c r="D62" i="17" l="1"/>
  <c r="L9" i="17" s="1"/>
  <c r="R9" i="17" s="1"/>
  <c r="D64" i="17"/>
  <c r="L11" i="17" s="1"/>
  <c r="R11" i="17" s="1"/>
  <c r="J31" i="30"/>
  <c r="P6" i="30" s="1"/>
  <c r="Q4" i="17"/>
  <c r="L29" i="30"/>
  <c r="K30" i="30"/>
  <c r="Q5" i="30" s="1"/>
  <c r="J26" i="30"/>
  <c r="L36" i="30"/>
  <c r="R11" i="30" s="1"/>
  <c r="R4" i="17"/>
  <c r="K34" i="30"/>
  <c r="Q9" i="30" s="1"/>
  <c r="D60" i="17"/>
  <c r="L7" i="17" s="1"/>
  <c r="R7" i="17" s="1"/>
  <c r="D58" i="17"/>
  <c r="L5" i="17" s="1"/>
  <c r="R5" i="17" s="1"/>
  <c r="J29" i="30"/>
  <c r="J13" i="30"/>
  <c r="P44" i="15"/>
  <c r="B62" i="17"/>
  <c r="J9" i="17" s="1"/>
  <c r="P9" i="17" s="1"/>
  <c r="B60" i="17"/>
  <c r="B65" i="17"/>
  <c r="B63" i="17"/>
  <c r="J10" i="17" s="1"/>
  <c r="P10" i="17" s="1"/>
  <c r="B59" i="17"/>
  <c r="J6" i="17" s="1"/>
  <c r="P6" i="17" s="1"/>
  <c r="B58" i="17"/>
  <c r="J5" i="17" s="1"/>
  <c r="C84" i="30"/>
  <c r="K7" i="30" s="1"/>
  <c r="K32" i="30" s="1"/>
  <c r="Q7" i="30" s="1"/>
  <c r="C94" i="30"/>
  <c r="K19" i="30" s="1"/>
  <c r="K31" i="30" s="1"/>
  <c r="Q6" i="30" s="1"/>
  <c r="C85" i="30"/>
  <c r="K8" i="30" s="1"/>
  <c r="K33" i="30" s="1"/>
  <c r="Q8" i="30" s="1"/>
  <c r="C92" i="30"/>
  <c r="K17" i="30" s="1"/>
  <c r="R40" i="15"/>
  <c r="R43" i="15"/>
  <c r="D61" i="17"/>
  <c r="L8" i="17" s="1"/>
  <c r="R8" i="17" s="1"/>
  <c r="D59" i="17"/>
  <c r="L6" i="17" s="1"/>
  <c r="R6" i="17" s="1"/>
  <c r="J32" i="30"/>
  <c r="P7" i="30" s="1"/>
  <c r="J33" i="30"/>
  <c r="P8" i="30" s="1"/>
  <c r="C65" i="17"/>
  <c r="K12" i="17" s="1"/>
  <c r="Q12" i="17" s="1"/>
  <c r="C59" i="17"/>
  <c r="K6" i="17" s="1"/>
  <c r="Q6" i="17" s="1"/>
  <c r="D94" i="30"/>
  <c r="L19" i="30" s="1"/>
  <c r="L31" i="30" s="1"/>
  <c r="R6" i="30" s="1"/>
  <c r="D98" i="30"/>
  <c r="L23" i="30" s="1"/>
  <c r="L35" i="30" s="1"/>
  <c r="R10" i="30" s="1"/>
  <c r="D93" i="30"/>
  <c r="L18" i="30" s="1"/>
  <c r="L30" i="30" s="1"/>
  <c r="R5" i="30" s="1"/>
  <c r="D84" i="30"/>
  <c r="L7" i="30" s="1"/>
  <c r="L32" i="30" s="1"/>
  <c r="R7" i="30" s="1"/>
  <c r="C34" i="15"/>
  <c r="C24" i="15"/>
  <c r="Q13" i="17" l="1"/>
  <c r="K26" i="30"/>
  <c r="P5" i="17"/>
  <c r="J7" i="17"/>
  <c r="P7" i="17" s="1"/>
  <c r="P4" i="30"/>
  <c r="P13" i="30" s="1"/>
  <c r="J38" i="30"/>
  <c r="L13" i="17"/>
  <c r="L26" i="30"/>
  <c r="L13" i="30"/>
  <c r="D19" i="15"/>
  <c r="E19" i="15" s="1"/>
  <c r="J60" i="15" s="1"/>
  <c r="D23" i="15"/>
  <c r="E23" i="15" s="1"/>
  <c r="R60" i="15" s="1"/>
  <c r="D20" i="15"/>
  <c r="E20" i="15" s="1"/>
  <c r="L60" i="15" s="1"/>
  <c r="D17" i="15"/>
  <c r="E17" i="15" s="1"/>
  <c r="F60" i="15" s="1"/>
  <c r="D18" i="15"/>
  <c r="D22" i="15"/>
  <c r="E22" i="15" s="1"/>
  <c r="P60" i="15" s="1"/>
  <c r="D21" i="15"/>
  <c r="E21" i="15" s="1"/>
  <c r="N60" i="15" s="1"/>
  <c r="R13" i="17"/>
  <c r="K13" i="30"/>
  <c r="R4" i="30"/>
  <c r="R13" i="30" s="1"/>
  <c r="L38" i="30"/>
  <c r="K13" i="17"/>
  <c r="D28" i="15"/>
  <c r="E28" i="15" s="1"/>
  <c r="H73" i="15" s="1"/>
  <c r="D29" i="15"/>
  <c r="E29" i="15" s="1"/>
  <c r="J73" i="15" s="1"/>
  <c r="D33" i="15"/>
  <c r="E33" i="15" s="1"/>
  <c r="R73" i="15" s="1"/>
  <c r="D27" i="15"/>
  <c r="E27" i="15" s="1"/>
  <c r="F73" i="15" s="1"/>
  <c r="D30" i="15"/>
  <c r="E30" i="15" s="1"/>
  <c r="L73" i="15" s="1"/>
  <c r="D32" i="15"/>
  <c r="D31" i="15"/>
  <c r="E31" i="15" s="1"/>
  <c r="N73" i="15" s="1"/>
  <c r="P12" i="17"/>
  <c r="J12" i="17"/>
  <c r="J13" i="17" s="1"/>
  <c r="K29" i="30"/>
  <c r="D26" i="15"/>
  <c r="D16" i="15"/>
  <c r="E16" i="15" s="1"/>
  <c r="D60" i="15" s="1"/>
  <c r="D6" i="15"/>
  <c r="D14" i="15" s="1"/>
  <c r="H24" i="14"/>
  <c r="I24" i="14"/>
  <c r="H25" i="14"/>
  <c r="H33" i="14" s="1"/>
  <c r="I25" i="14"/>
  <c r="I33" i="14" s="1"/>
  <c r="H26" i="14"/>
  <c r="I26" i="14"/>
  <c r="H27" i="14"/>
  <c r="I27" i="14"/>
  <c r="H28" i="14"/>
  <c r="I28" i="14"/>
  <c r="H29" i="14"/>
  <c r="I29" i="14"/>
  <c r="H30" i="14"/>
  <c r="I30" i="14"/>
  <c r="H31" i="14"/>
  <c r="I31" i="14"/>
  <c r="H32" i="14"/>
  <c r="I32" i="14"/>
  <c r="G25" i="14"/>
  <c r="G26" i="14"/>
  <c r="G27" i="14"/>
  <c r="G28" i="14"/>
  <c r="G29" i="14"/>
  <c r="G30" i="14"/>
  <c r="G31" i="14"/>
  <c r="G32" i="14"/>
  <c r="G24" i="14"/>
  <c r="D33" i="14"/>
  <c r="C24" i="14"/>
  <c r="D24" i="14"/>
  <c r="C25" i="14"/>
  <c r="C33" i="14" s="1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B25" i="14"/>
  <c r="B26" i="14"/>
  <c r="B27" i="14"/>
  <c r="B28" i="14"/>
  <c r="B29" i="14"/>
  <c r="B30" i="14"/>
  <c r="B31" i="14"/>
  <c r="B32" i="14"/>
  <c r="B24" i="14"/>
  <c r="B33" i="14" s="1"/>
  <c r="L71" i="15" l="1"/>
  <c r="L70" i="15"/>
  <c r="L64" i="15"/>
  <c r="L69" i="15"/>
  <c r="L66" i="15"/>
  <c r="L72" i="15"/>
  <c r="L65" i="15"/>
  <c r="L68" i="15"/>
  <c r="L67" i="15"/>
  <c r="H70" i="15"/>
  <c r="H72" i="15"/>
  <c r="H66" i="15"/>
  <c r="H68" i="15"/>
  <c r="H71" i="15"/>
  <c r="H64" i="15"/>
  <c r="H69" i="15"/>
  <c r="H67" i="15"/>
  <c r="H65" i="15"/>
  <c r="D24" i="15"/>
  <c r="E18" i="15"/>
  <c r="H60" i="15" s="1"/>
  <c r="J59" i="15"/>
  <c r="J55" i="15"/>
  <c r="J51" i="15"/>
  <c r="J53" i="15"/>
  <c r="J58" i="15"/>
  <c r="J54" i="15"/>
  <c r="J56" i="15"/>
  <c r="J52" i="15"/>
  <c r="J57" i="15"/>
  <c r="D53" i="15"/>
  <c r="D51" i="15"/>
  <c r="D55" i="15"/>
  <c r="D58" i="15"/>
  <c r="D56" i="15"/>
  <c r="D52" i="15"/>
  <c r="D59" i="15"/>
  <c r="D54" i="15"/>
  <c r="D57" i="15"/>
  <c r="F57" i="15"/>
  <c r="F53" i="15"/>
  <c r="F55" i="15"/>
  <c r="F56" i="15"/>
  <c r="F52" i="15"/>
  <c r="F51" i="15"/>
  <c r="F58" i="15"/>
  <c r="F54" i="15"/>
  <c r="F59" i="15"/>
  <c r="F68" i="15"/>
  <c r="F72" i="15"/>
  <c r="F69" i="15"/>
  <c r="F64" i="15"/>
  <c r="F67" i="15"/>
  <c r="F71" i="15"/>
  <c r="F70" i="15"/>
  <c r="F65" i="15"/>
  <c r="F66" i="15"/>
  <c r="E26" i="15"/>
  <c r="D73" i="15" s="1"/>
  <c r="D34" i="15"/>
  <c r="N71" i="15"/>
  <c r="N72" i="15"/>
  <c r="N66" i="15"/>
  <c r="N69" i="15"/>
  <c r="N70" i="15"/>
  <c r="N65" i="15"/>
  <c r="N64" i="15"/>
  <c r="N68" i="15"/>
  <c r="N67" i="15"/>
  <c r="R69" i="15"/>
  <c r="R70" i="15"/>
  <c r="R65" i="15"/>
  <c r="R67" i="15"/>
  <c r="R66" i="15"/>
  <c r="R71" i="15"/>
  <c r="R64" i="15"/>
  <c r="R68" i="15"/>
  <c r="R72" i="15"/>
  <c r="N58" i="15"/>
  <c r="N55" i="15"/>
  <c r="N52" i="15"/>
  <c r="N51" i="15"/>
  <c r="N59" i="15"/>
  <c r="N56" i="15"/>
  <c r="N53" i="15"/>
  <c r="N54" i="15"/>
  <c r="N57" i="15"/>
  <c r="L58" i="15"/>
  <c r="L56" i="15"/>
  <c r="L52" i="15"/>
  <c r="L55" i="15"/>
  <c r="L59" i="15"/>
  <c r="L51" i="15"/>
  <c r="L57" i="15"/>
  <c r="L54" i="15"/>
  <c r="L53" i="15"/>
  <c r="P13" i="17"/>
  <c r="Q4" i="30"/>
  <c r="Q13" i="30" s="1"/>
  <c r="K38" i="30"/>
  <c r="E77" i="30"/>
  <c r="E53" i="17"/>
  <c r="E32" i="15"/>
  <c r="P73" i="15" s="1"/>
  <c r="J70" i="15"/>
  <c r="J68" i="15"/>
  <c r="J71" i="15"/>
  <c r="J72" i="15"/>
  <c r="J67" i="15"/>
  <c r="J65" i="15"/>
  <c r="J69" i="15"/>
  <c r="J64" i="15"/>
  <c r="J66" i="15"/>
  <c r="P58" i="15"/>
  <c r="P57" i="15"/>
  <c r="P52" i="15"/>
  <c r="P55" i="15"/>
  <c r="P56" i="15"/>
  <c r="P51" i="15"/>
  <c r="P59" i="15"/>
  <c r="P53" i="15"/>
  <c r="P54" i="15"/>
  <c r="R58" i="15"/>
  <c r="R53" i="15"/>
  <c r="R54" i="15"/>
  <c r="R59" i="15"/>
  <c r="R52" i="15"/>
  <c r="R57" i="15"/>
  <c r="R56" i="15"/>
  <c r="R51" i="15"/>
  <c r="R55" i="15"/>
  <c r="G33" i="14"/>
  <c r="E59" i="17" l="1"/>
  <c r="M6" i="17" s="1"/>
  <c r="S6" i="17" s="1"/>
  <c r="E63" i="17"/>
  <c r="M10" i="17" s="1"/>
  <c r="S10" i="17" s="1"/>
  <c r="E54" i="17"/>
  <c r="E64" i="17" s="1"/>
  <c r="M11" i="17" s="1"/>
  <c r="S11" i="17" s="1"/>
  <c r="E61" i="17"/>
  <c r="M8" i="17" s="1"/>
  <c r="S8" i="17" s="1"/>
  <c r="P71" i="15"/>
  <c r="P67" i="15"/>
  <c r="P69" i="15"/>
  <c r="P70" i="15"/>
  <c r="P66" i="15"/>
  <c r="P65" i="15"/>
  <c r="P72" i="15"/>
  <c r="P68" i="15"/>
  <c r="P64" i="15"/>
  <c r="H56" i="15"/>
  <c r="H52" i="15"/>
  <c r="H59" i="15"/>
  <c r="S59" i="15" s="1"/>
  <c r="H55" i="15"/>
  <c r="S55" i="15" s="1"/>
  <c r="H51" i="15"/>
  <c r="H58" i="15"/>
  <c r="H54" i="15"/>
  <c r="H57" i="15"/>
  <c r="S57" i="15" s="1"/>
  <c r="H53" i="15"/>
  <c r="S52" i="15"/>
  <c r="E78" i="30"/>
  <c r="E88" i="30" s="1"/>
  <c r="M11" i="30" s="1"/>
  <c r="E89" i="30"/>
  <c r="M12" i="30" s="1"/>
  <c r="E83" i="30"/>
  <c r="M6" i="30" s="1"/>
  <c r="E84" i="30"/>
  <c r="M7" i="30" s="1"/>
  <c r="M32" i="30" s="1"/>
  <c r="S7" i="30" s="1"/>
  <c r="E81" i="30"/>
  <c r="M4" i="30" s="1"/>
  <c r="E82" i="30"/>
  <c r="M5" i="30" s="1"/>
  <c r="E95" i="30"/>
  <c r="M20" i="30" s="1"/>
  <c r="E93" i="30"/>
  <c r="M18" i="30" s="1"/>
  <c r="E96" i="30"/>
  <c r="M21" i="30" s="1"/>
  <c r="E99" i="30"/>
  <c r="M24" i="30" s="1"/>
  <c r="M36" i="30" s="1"/>
  <c r="S11" i="30" s="1"/>
  <c r="E86" i="30"/>
  <c r="M9" i="30" s="1"/>
  <c r="S56" i="15"/>
  <c r="S53" i="15"/>
  <c r="S51" i="15"/>
  <c r="D68" i="15"/>
  <c r="S68" i="15" s="1"/>
  <c r="D71" i="15"/>
  <c r="S71" i="15" s="1"/>
  <c r="D67" i="15"/>
  <c r="S67" i="15" s="1"/>
  <c r="D66" i="15"/>
  <c r="S66" i="15" s="1"/>
  <c r="D70" i="15"/>
  <c r="S70" i="15" s="1"/>
  <c r="D72" i="15"/>
  <c r="D69" i="15"/>
  <c r="D64" i="15"/>
  <c r="S64" i="15" s="1"/>
  <c r="D65" i="15"/>
  <c r="S65" i="15" s="1"/>
  <c r="S54" i="15"/>
  <c r="S58" i="15"/>
  <c r="C32" i="13"/>
  <c r="C23" i="13"/>
  <c r="D23" i="13"/>
  <c r="D32" i="13" s="1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B24" i="13"/>
  <c r="B25" i="13"/>
  <c r="B26" i="13"/>
  <c r="B27" i="13"/>
  <c r="B28" i="13"/>
  <c r="B29" i="13"/>
  <c r="B30" i="13"/>
  <c r="B31" i="13"/>
  <c r="B23" i="13"/>
  <c r="B32" i="13" s="1"/>
  <c r="M31" i="30" l="1"/>
  <c r="S6" i="30" s="1"/>
  <c r="E60" i="17"/>
  <c r="M7" i="17" s="1"/>
  <c r="S7" i="17" s="1"/>
  <c r="S60" i="15"/>
  <c r="S73" i="15"/>
  <c r="S72" i="15"/>
  <c r="E85" i="30"/>
  <c r="M8" i="30" s="1"/>
  <c r="M33" i="30" s="1"/>
  <c r="S8" i="30" s="1"/>
  <c r="E97" i="30"/>
  <c r="M22" i="30" s="1"/>
  <c r="E92" i="30"/>
  <c r="M17" i="30" s="1"/>
  <c r="M29" i="30" s="1"/>
  <c r="E65" i="17"/>
  <c r="M12" i="17" s="1"/>
  <c r="S12" i="17" s="1"/>
  <c r="E58" i="17"/>
  <c r="M5" i="17" s="1"/>
  <c r="S5" i="17" s="1"/>
  <c r="M34" i="30"/>
  <c r="S9" i="30" s="1"/>
  <c r="M30" i="30"/>
  <c r="S5" i="30" s="1"/>
  <c r="S69" i="15"/>
  <c r="E87" i="30"/>
  <c r="M10" i="30" s="1"/>
  <c r="E94" i="30"/>
  <c r="M19" i="30" s="1"/>
  <c r="E98" i="30"/>
  <c r="M23" i="30" s="1"/>
  <c r="E100" i="30"/>
  <c r="M25" i="30" s="1"/>
  <c r="M37" i="30" s="1"/>
  <c r="S12" i="30" s="1"/>
  <c r="E62" i="17"/>
  <c r="M9" i="17" s="1"/>
  <c r="S9" i="17" s="1"/>
  <c r="E57" i="17"/>
  <c r="M4" i="17" s="1"/>
  <c r="L22" i="12"/>
  <c r="O22" i="12"/>
  <c r="Q22" i="12"/>
  <c r="R22" i="12"/>
  <c r="P22" i="12"/>
  <c r="N22" i="12"/>
  <c r="M22" i="12"/>
  <c r="K22" i="12"/>
  <c r="C12" i="12"/>
  <c r="C24" i="12" s="1"/>
  <c r="C16" i="12"/>
  <c r="B28" i="12" s="1"/>
  <c r="C10" i="12"/>
  <c r="B22" i="12" s="1"/>
  <c r="B19" i="12"/>
  <c r="C14" i="12" s="1"/>
  <c r="D26" i="12" l="1"/>
  <c r="B26" i="12"/>
  <c r="C26" i="12"/>
  <c r="S4" i="30"/>
  <c r="S13" i="30" s="1"/>
  <c r="C17" i="12"/>
  <c r="C13" i="12"/>
  <c r="D28" i="12"/>
  <c r="D24" i="12"/>
  <c r="D22" i="12"/>
  <c r="C28" i="12"/>
  <c r="C19" i="12"/>
  <c r="C15" i="12"/>
  <c r="C11" i="12"/>
  <c r="B24" i="12"/>
  <c r="S4" i="17"/>
  <c r="S13" i="17" s="1"/>
  <c r="M13" i="17"/>
  <c r="C22" i="12"/>
  <c r="M26" i="30"/>
  <c r="C18" i="12"/>
  <c r="M35" i="30"/>
  <c r="S10" i="30" s="1"/>
  <c r="M13" i="30"/>
  <c r="J96" i="1"/>
  <c r="J97" i="1"/>
  <c r="J98" i="1"/>
  <c r="J99" i="1"/>
  <c r="J100" i="1"/>
  <c r="J101" i="1"/>
  <c r="J102" i="1"/>
  <c r="J103" i="1"/>
  <c r="J104" i="1"/>
  <c r="J106" i="1"/>
  <c r="J51" i="1"/>
  <c r="J52" i="1"/>
  <c r="J53" i="1"/>
  <c r="J54" i="1"/>
  <c r="J55" i="1"/>
  <c r="J56" i="1"/>
  <c r="J57" i="1"/>
  <c r="J58" i="1"/>
  <c r="J59" i="1"/>
  <c r="J61" i="1"/>
  <c r="J5" i="1"/>
  <c r="J6" i="1"/>
  <c r="J7" i="1"/>
  <c r="J8" i="1"/>
  <c r="J9" i="1"/>
  <c r="J10" i="1"/>
  <c r="J11" i="1"/>
  <c r="J12" i="1"/>
  <c r="J13" i="1"/>
  <c r="J15" i="1"/>
  <c r="C30" i="12" l="1"/>
  <c r="D30" i="12"/>
  <c r="B30" i="12"/>
  <c r="C25" i="12"/>
  <c r="D25" i="12"/>
  <c r="B25" i="12"/>
  <c r="C23" i="12"/>
  <c r="B23" i="12"/>
  <c r="D23" i="12"/>
  <c r="D31" i="12"/>
  <c r="C29" i="12"/>
  <c r="D29" i="12"/>
  <c r="B29" i="12"/>
  <c r="C27" i="12"/>
  <c r="C31" i="12" s="1"/>
  <c r="B27" i="12"/>
  <c r="D27" i="12"/>
  <c r="M38" i="30"/>
  <c r="J109" i="1"/>
  <c r="J64" i="1"/>
  <c r="J18" i="1"/>
  <c r="J75" i="1"/>
  <c r="J121" i="1"/>
  <c r="J29" i="1"/>
  <c r="C19" i="11"/>
  <c r="C20" i="11"/>
  <c r="C21" i="11"/>
  <c r="C27" i="11" s="1"/>
  <c r="C22" i="11"/>
  <c r="C23" i="11"/>
  <c r="C24" i="11"/>
  <c r="C25" i="11"/>
  <c r="C26" i="11"/>
  <c r="D27" i="11"/>
  <c r="B20" i="11"/>
  <c r="B21" i="11"/>
  <c r="B22" i="11"/>
  <c r="B23" i="11"/>
  <c r="B24" i="11"/>
  <c r="B25" i="11"/>
  <c r="B26" i="11"/>
  <c r="B19" i="11"/>
  <c r="B27" i="11" s="1"/>
  <c r="B31" i="12" l="1"/>
  <c r="C21" i="9"/>
  <c r="B21" i="9"/>
  <c r="B27" i="9" s="1"/>
  <c r="C28" i="9" l="1"/>
  <c r="D27" i="9"/>
  <c r="D28" i="9"/>
  <c r="B28" i="9"/>
  <c r="C27" i="9"/>
  <c r="J40" i="1"/>
  <c r="J39" i="1"/>
  <c r="J41" i="1"/>
  <c r="J86" i="1"/>
  <c r="J87" i="1"/>
  <c r="J132" i="1"/>
  <c r="J131" i="1"/>
  <c r="C34" i="9" l="1"/>
  <c r="D34" i="9"/>
  <c r="B34" i="9"/>
  <c r="C33" i="8"/>
  <c r="C32" i="8"/>
  <c r="C41" i="8" s="1"/>
  <c r="D32" i="8"/>
  <c r="D41" i="8" s="1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B35" i="8"/>
  <c r="B33" i="8"/>
  <c r="B34" i="8"/>
  <c r="B36" i="8"/>
  <c r="B37" i="8"/>
  <c r="B38" i="8"/>
  <c r="B39" i="8"/>
  <c r="B40" i="8"/>
  <c r="B32" i="8"/>
  <c r="B41" i="8" s="1"/>
  <c r="D13" i="8"/>
  <c r="E13" i="8"/>
  <c r="C13" i="8"/>
  <c r="C38" i="26" l="1"/>
  <c r="G88" i="1"/>
  <c r="J85" i="1"/>
  <c r="C38" i="27"/>
  <c r="H88" i="1"/>
  <c r="J130" i="1"/>
  <c r="J38" i="1"/>
  <c r="B18" i="7"/>
  <c r="C17" i="7" s="1"/>
  <c r="C10" i="7" l="1"/>
  <c r="D25" i="7" s="1"/>
  <c r="C11" i="7"/>
  <c r="B26" i="7" s="1"/>
  <c r="C15" i="7"/>
  <c r="B30" i="7" s="1"/>
  <c r="C16" i="7"/>
  <c r="C31" i="7" s="1"/>
  <c r="C41" i="26"/>
  <c r="H41" i="26" s="1"/>
  <c r="G90" i="1"/>
  <c r="C41" i="27"/>
  <c r="H41" i="27" s="1"/>
  <c r="H90" i="1"/>
  <c r="C14" i="7"/>
  <c r="C18" i="7"/>
  <c r="B25" i="7"/>
  <c r="C12" i="7"/>
  <c r="B27" i="7" s="1"/>
  <c r="D32" i="7"/>
  <c r="C32" i="7"/>
  <c r="B32" i="7"/>
  <c r="C30" i="7"/>
  <c r="C26" i="7"/>
  <c r="C25" i="7"/>
  <c r="D26" i="7"/>
  <c r="C29" i="7"/>
  <c r="C9" i="7"/>
  <c r="C13" i="7"/>
  <c r="D30" i="7" l="1"/>
  <c r="B31" i="7"/>
  <c r="D31" i="7"/>
  <c r="D8" i="29"/>
  <c r="C43" i="26"/>
  <c r="H43" i="26" s="1"/>
  <c r="C43" i="27"/>
  <c r="H43" i="27" s="1"/>
  <c r="D9" i="29"/>
  <c r="D29" i="7"/>
  <c r="B29" i="7"/>
  <c r="C27" i="7"/>
  <c r="D27" i="7"/>
  <c r="D24" i="7"/>
  <c r="C24" i="7"/>
  <c r="B24" i="7"/>
  <c r="D28" i="7"/>
  <c r="C28" i="7"/>
  <c r="B28" i="7"/>
  <c r="D22" i="29" l="1"/>
  <c r="D21" i="29"/>
  <c r="D20" i="29"/>
  <c r="D16" i="29"/>
  <c r="D23" i="29"/>
  <c r="D19" i="29"/>
  <c r="D18" i="29"/>
  <c r="D17" i="29"/>
  <c r="J34" i="6"/>
  <c r="K34" i="6"/>
  <c r="K43" i="6" s="1"/>
  <c r="J35" i="6"/>
  <c r="J43" i="6" s="1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I35" i="6"/>
  <c r="I36" i="6"/>
  <c r="I37" i="6"/>
  <c r="I38" i="6"/>
  <c r="I39" i="6"/>
  <c r="I40" i="6"/>
  <c r="I41" i="6"/>
  <c r="I42" i="6"/>
  <c r="I34" i="6"/>
  <c r="C42" i="6"/>
  <c r="D37" i="6"/>
  <c r="D34" i="6"/>
  <c r="D35" i="6"/>
  <c r="E35" i="6"/>
  <c r="E43" i="6" s="1"/>
  <c r="D36" i="6"/>
  <c r="E37" i="6"/>
  <c r="D38" i="6"/>
  <c r="E38" i="6"/>
  <c r="D39" i="6"/>
  <c r="E39" i="6"/>
  <c r="D40" i="6"/>
  <c r="E40" i="6"/>
  <c r="D41" i="6"/>
  <c r="E41" i="6"/>
  <c r="D42" i="6"/>
  <c r="E42" i="6"/>
  <c r="C36" i="6"/>
  <c r="C37" i="6"/>
  <c r="C35" i="6"/>
  <c r="C38" i="6"/>
  <c r="C39" i="6"/>
  <c r="C40" i="6"/>
  <c r="C41" i="6"/>
  <c r="C34" i="6"/>
  <c r="I43" i="6" l="1"/>
  <c r="D43" i="6"/>
  <c r="C43" i="6"/>
  <c r="B23" i="5" l="1"/>
  <c r="C15" i="5" s="1"/>
  <c r="D30" i="5" s="1"/>
  <c r="C30" i="5" l="1"/>
  <c r="B30" i="5"/>
  <c r="C22" i="5"/>
  <c r="C18" i="5"/>
  <c r="C21" i="5"/>
  <c r="C17" i="5"/>
  <c r="C14" i="5"/>
  <c r="B29" i="5" s="1"/>
  <c r="C20" i="5"/>
  <c r="C16" i="5"/>
  <c r="C31" i="5" s="1"/>
  <c r="C23" i="5"/>
  <c r="C19" i="5"/>
  <c r="D29" i="5" l="1"/>
  <c r="C29" i="5"/>
  <c r="C35" i="5"/>
  <c r="D35" i="5"/>
  <c r="B35" i="5"/>
  <c r="C33" i="5"/>
  <c r="B33" i="5"/>
  <c r="D33" i="5"/>
  <c r="C37" i="5"/>
  <c r="B37" i="5"/>
  <c r="D37" i="5"/>
  <c r="B34" i="5"/>
  <c r="C34" i="5"/>
  <c r="D34" i="5"/>
  <c r="D32" i="5"/>
  <c r="C32" i="5"/>
  <c r="B32" i="5"/>
  <c r="D31" i="5"/>
  <c r="B31" i="5"/>
  <c r="C36" i="5"/>
  <c r="D36" i="5"/>
  <c r="B36" i="5"/>
  <c r="J113" i="1"/>
  <c r="J116" i="1"/>
  <c r="J117" i="1"/>
  <c r="J118" i="1"/>
  <c r="J119" i="1"/>
  <c r="J120" i="1"/>
  <c r="J122" i="1"/>
  <c r="J123" i="1"/>
  <c r="J124" i="1"/>
  <c r="J125" i="1"/>
  <c r="J126" i="1"/>
  <c r="J127" i="1"/>
  <c r="J128" i="1"/>
  <c r="J129" i="1"/>
  <c r="J133" i="1"/>
  <c r="J21" i="1"/>
  <c r="J24" i="1"/>
  <c r="J25" i="1"/>
  <c r="J26" i="1"/>
  <c r="J27" i="1"/>
  <c r="J28" i="1"/>
  <c r="J30" i="1"/>
  <c r="J31" i="1"/>
  <c r="J32" i="1"/>
  <c r="J33" i="1"/>
  <c r="J34" i="1"/>
  <c r="J35" i="1"/>
  <c r="J36" i="1"/>
  <c r="J37" i="1"/>
  <c r="J67" i="1"/>
  <c r="J70" i="1"/>
  <c r="J71" i="1"/>
  <c r="J72" i="1"/>
  <c r="J73" i="1"/>
  <c r="J74" i="1"/>
  <c r="J76" i="1"/>
  <c r="J77" i="1"/>
  <c r="J78" i="1"/>
  <c r="J79" i="1"/>
  <c r="J80" i="1"/>
  <c r="J81" i="1"/>
  <c r="J82" i="1"/>
  <c r="J83" i="1"/>
  <c r="J84" i="1"/>
  <c r="J66" i="1"/>
  <c r="J88" i="1" l="1"/>
  <c r="Q13" i="4"/>
  <c r="Q12" i="4"/>
  <c r="Q11" i="4"/>
  <c r="Q10" i="4"/>
  <c r="Q9" i="4"/>
  <c r="Q8" i="4"/>
  <c r="Q7" i="4"/>
  <c r="Q6" i="4"/>
  <c r="L12" i="4"/>
  <c r="L11" i="4"/>
  <c r="L8" i="4"/>
  <c r="L7" i="4"/>
  <c r="J12" i="4"/>
  <c r="J11" i="4"/>
  <c r="J8" i="4"/>
  <c r="J7" i="4"/>
  <c r="C7" i="4"/>
  <c r="C8" i="4"/>
  <c r="C9" i="4"/>
  <c r="C10" i="4"/>
  <c r="C11" i="4"/>
  <c r="C12" i="4"/>
  <c r="C13" i="4"/>
  <c r="C6" i="4"/>
  <c r="U14" i="4"/>
  <c r="U13" i="4" s="1"/>
  <c r="S14" i="4"/>
  <c r="S13" i="4" s="1"/>
  <c r="N14" i="4"/>
  <c r="N10" i="4" s="1"/>
  <c r="L14" i="4"/>
  <c r="L10" i="4" s="1"/>
  <c r="J14" i="4"/>
  <c r="J10" i="4" s="1"/>
  <c r="G14" i="4"/>
  <c r="G13" i="4" s="1"/>
  <c r="E14" i="4"/>
  <c r="E13" i="4" s="1"/>
  <c r="O10" i="4" l="1"/>
  <c r="C35" i="4" s="1"/>
  <c r="C47" i="4" s="1"/>
  <c r="N7" i="4"/>
  <c r="O7" i="4" s="1"/>
  <c r="C32" i="4" s="1"/>
  <c r="C44" i="4" s="1"/>
  <c r="N11" i="4"/>
  <c r="O11" i="4" s="1"/>
  <c r="C36" i="4" s="1"/>
  <c r="C48" i="4" s="1"/>
  <c r="N12" i="4"/>
  <c r="O12" i="4" s="1"/>
  <c r="C37" i="4" s="1"/>
  <c r="C49" i="4" s="1"/>
  <c r="J9" i="4"/>
  <c r="J13" i="4"/>
  <c r="L9" i="4"/>
  <c r="L13" i="4"/>
  <c r="N9" i="4"/>
  <c r="N13" i="4"/>
  <c r="N8" i="4"/>
  <c r="O8" i="4" s="1"/>
  <c r="C33" i="4" s="1"/>
  <c r="C45" i="4" s="1"/>
  <c r="J6" i="4"/>
  <c r="O6" i="4" s="1"/>
  <c r="C31" i="4" s="1"/>
  <c r="C43" i="4" s="1"/>
  <c r="L6" i="4"/>
  <c r="N6" i="4"/>
  <c r="V13" i="4"/>
  <c r="D38" i="4" s="1"/>
  <c r="D50" i="4" s="1"/>
  <c r="S6" i="4"/>
  <c r="S10" i="4"/>
  <c r="U6" i="4"/>
  <c r="U10" i="4"/>
  <c r="V10" i="4" s="1"/>
  <c r="D35" i="4" s="1"/>
  <c r="D47" i="4" s="1"/>
  <c r="S7" i="4"/>
  <c r="S11" i="4"/>
  <c r="U7" i="4"/>
  <c r="U11" i="4"/>
  <c r="V11" i="4" s="1"/>
  <c r="D36" i="4" s="1"/>
  <c r="D48" i="4" s="1"/>
  <c r="S8" i="4"/>
  <c r="S12" i="4"/>
  <c r="U8" i="4"/>
  <c r="U12" i="4"/>
  <c r="V12" i="4" s="1"/>
  <c r="D37" i="4" s="1"/>
  <c r="D49" i="4" s="1"/>
  <c r="S9" i="4"/>
  <c r="U9" i="4"/>
  <c r="V9" i="4" s="1"/>
  <c r="D34" i="4" s="1"/>
  <c r="D46" i="4" s="1"/>
  <c r="H13" i="4"/>
  <c r="B38" i="4" s="1"/>
  <c r="B50" i="4" s="1"/>
  <c r="E6" i="4"/>
  <c r="E10" i="4"/>
  <c r="G6" i="4"/>
  <c r="G10" i="4"/>
  <c r="H10" i="4" s="1"/>
  <c r="B35" i="4" s="1"/>
  <c r="B47" i="4" s="1"/>
  <c r="E7" i="4"/>
  <c r="E11" i="4"/>
  <c r="G7" i="4"/>
  <c r="G11" i="4"/>
  <c r="H11" i="4" s="1"/>
  <c r="B36" i="4" s="1"/>
  <c r="B48" i="4" s="1"/>
  <c r="E8" i="4"/>
  <c r="E12" i="4"/>
  <c r="G8" i="4"/>
  <c r="H8" i="4" s="1"/>
  <c r="B33" i="4" s="1"/>
  <c r="B45" i="4" s="1"/>
  <c r="G12" i="4"/>
  <c r="E9" i="4"/>
  <c r="H9" i="4" s="1"/>
  <c r="B34" i="4" s="1"/>
  <c r="B46" i="4" s="1"/>
  <c r="G9" i="4"/>
  <c r="J90" i="1"/>
  <c r="D4" i="2"/>
  <c r="H12" i="4" l="1"/>
  <c r="B37" i="4" s="1"/>
  <c r="B49" i="4" s="1"/>
  <c r="O13" i="4"/>
  <c r="C38" i="4" s="1"/>
  <c r="C50" i="4" s="1"/>
  <c r="H7" i="4"/>
  <c r="B32" i="4" s="1"/>
  <c r="B44" i="4" s="1"/>
  <c r="H6" i="4"/>
  <c r="B31" i="4" s="1"/>
  <c r="B43" i="4" s="1"/>
  <c r="V8" i="4"/>
  <c r="D33" i="4" s="1"/>
  <c r="D45" i="4" s="1"/>
  <c r="V7" i="4"/>
  <c r="D32" i="4" s="1"/>
  <c r="D44" i="4" s="1"/>
  <c r="V6" i="4"/>
  <c r="D31" i="4" s="1"/>
  <c r="D43" i="4" s="1"/>
  <c r="O9" i="4"/>
  <c r="C34" i="4" s="1"/>
  <c r="C46" i="4" s="1"/>
  <c r="C51" i="4" s="1"/>
  <c r="D11" i="29"/>
  <c r="J91" i="1"/>
  <c r="C91" i="1"/>
  <c r="C44" i="22" s="1"/>
  <c r="H91" i="1"/>
  <c r="C44" i="27" s="1"/>
  <c r="B91" i="1"/>
  <c r="C44" i="21" s="1"/>
  <c r="G91" i="1"/>
  <c r="C44" i="26" s="1"/>
  <c r="I91" i="1"/>
  <c r="C44" i="28" s="1"/>
  <c r="E91" i="1"/>
  <c r="C44" i="24" s="1"/>
  <c r="F91" i="1"/>
  <c r="C44" i="25" s="1"/>
  <c r="D91" i="1"/>
  <c r="C44" i="23" s="1"/>
  <c r="D51" i="4" l="1"/>
  <c r="B51" i="4"/>
  <c r="H11" i="29"/>
  <c r="H3" i="29"/>
  <c r="H7" i="29"/>
  <c r="H8" i="29"/>
  <c r="H9" i="29"/>
  <c r="H4" i="29"/>
  <c r="H6" i="29"/>
  <c r="H5" i="29"/>
  <c r="H10" i="29"/>
  <c r="J32" i="3"/>
  <c r="I33" i="3"/>
  <c r="J33" i="3" s="1"/>
  <c r="I35" i="3"/>
  <c r="J35" i="3" s="1"/>
  <c r="I36" i="3"/>
  <c r="J36" i="3" s="1"/>
  <c r="I37" i="3"/>
  <c r="J37" i="3" s="1"/>
  <c r="I39" i="3"/>
  <c r="J39" i="3" s="1"/>
  <c r="I40" i="3"/>
  <c r="I32" i="3"/>
  <c r="H40" i="3"/>
  <c r="I34" i="3" s="1"/>
  <c r="J34" i="3" s="1"/>
  <c r="F39" i="3"/>
  <c r="E40" i="3"/>
  <c r="F34" i="3" s="1"/>
  <c r="D35" i="3"/>
  <c r="D39" i="3"/>
  <c r="C34" i="3"/>
  <c r="D34" i="3" s="1"/>
  <c r="C35" i="3"/>
  <c r="C38" i="3"/>
  <c r="D38" i="3" s="1"/>
  <c r="C39" i="3"/>
  <c r="B40" i="3"/>
  <c r="C36" i="3" s="1"/>
  <c r="D36" i="3" s="1"/>
  <c r="M18" i="3"/>
  <c r="L19" i="3"/>
  <c r="M19" i="3" s="1"/>
  <c r="L21" i="3"/>
  <c r="M21" i="3" s="1"/>
  <c r="L22" i="3"/>
  <c r="M22" i="3" s="1"/>
  <c r="L23" i="3"/>
  <c r="M23" i="3" s="1"/>
  <c r="L25" i="3"/>
  <c r="M25" i="3" s="1"/>
  <c r="L26" i="3"/>
  <c r="L18" i="3"/>
  <c r="K26" i="3"/>
  <c r="L20" i="3" s="1"/>
  <c r="M20" i="3" s="1"/>
  <c r="H26" i="3"/>
  <c r="I22" i="3" s="1"/>
  <c r="J22" i="3" s="1"/>
  <c r="G18" i="3"/>
  <c r="F19" i="3"/>
  <c r="G19" i="3" s="1"/>
  <c r="F22" i="3"/>
  <c r="G22" i="3" s="1"/>
  <c r="F23" i="3"/>
  <c r="G23" i="3" s="1"/>
  <c r="F25" i="3"/>
  <c r="G25" i="3" s="1"/>
  <c r="F26" i="3"/>
  <c r="F18" i="3"/>
  <c r="E26" i="3"/>
  <c r="F20" i="3" s="1"/>
  <c r="G20" i="3" s="1"/>
  <c r="H23" i="29" l="1"/>
  <c r="H22" i="29"/>
  <c r="I20" i="3"/>
  <c r="J20" i="3" s="1"/>
  <c r="I25" i="3"/>
  <c r="J25" i="3" s="1"/>
  <c r="I21" i="3"/>
  <c r="J21" i="3" s="1"/>
  <c r="H17" i="29"/>
  <c r="H16" i="29"/>
  <c r="F21" i="3"/>
  <c r="G21" i="3" s="1"/>
  <c r="I18" i="3"/>
  <c r="J18" i="3" s="1"/>
  <c r="I23" i="3"/>
  <c r="J23" i="3" s="1"/>
  <c r="I19" i="3"/>
  <c r="J19" i="3" s="1"/>
  <c r="C37" i="3"/>
  <c r="D37" i="3" s="1"/>
  <c r="C33" i="3"/>
  <c r="D33" i="3" s="1"/>
  <c r="F33" i="3"/>
  <c r="H18" i="29"/>
  <c r="H21" i="29"/>
  <c r="I24" i="3"/>
  <c r="J24" i="3" s="1"/>
  <c r="F24" i="3"/>
  <c r="G24" i="3" s="1"/>
  <c r="I26" i="3"/>
  <c r="L24" i="3"/>
  <c r="M24" i="3" s="1"/>
  <c r="C32" i="3"/>
  <c r="I38" i="3"/>
  <c r="J38" i="3" s="1"/>
  <c r="H19" i="29"/>
  <c r="H20" i="29"/>
  <c r="F37" i="3"/>
  <c r="F32" i="3"/>
  <c r="F36" i="3"/>
  <c r="F40" i="3"/>
  <c r="F35" i="3"/>
  <c r="F38" i="3"/>
  <c r="G37" i="3" l="1"/>
  <c r="K37" i="3" s="1"/>
  <c r="C40" i="3"/>
  <c r="D32" i="3"/>
  <c r="G32" i="3"/>
  <c r="L5" i="3"/>
  <c r="M5" i="3" s="1"/>
  <c r="L9" i="3"/>
  <c r="M9" i="3" s="1"/>
  <c r="L4" i="3"/>
  <c r="M4" i="3" s="1"/>
  <c r="K12" i="3"/>
  <c r="L7" i="3" s="1"/>
  <c r="M7" i="3" s="1"/>
  <c r="G40" i="3"/>
  <c r="G38" i="3" s="1"/>
  <c r="K38" i="3" s="1"/>
  <c r="L10" i="3" l="1"/>
  <c r="M10" i="3" s="1"/>
  <c r="L6" i="3"/>
  <c r="M6" i="3" s="1"/>
  <c r="G33" i="3"/>
  <c r="K33" i="3" s="1"/>
  <c r="L12" i="3"/>
  <c r="L8" i="3"/>
  <c r="M8" i="3" s="1"/>
  <c r="G39" i="3"/>
  <c r="K39" i="3" s="1"/>
  <c r="G34" i="3"/>
  <c r="K34" i="3" s="1"/>
  <c r="L11" i="3"/>
  <c r="M11" i="3" s="1"/>
  <c r="G35" i="3"/>
  <c r="K35" i="3" s="1"/>
  <c r="K32" i="3"/>
  <c r="G36" i="3"/>
  <c r="K36" i="3" s="1"/>
  <c r="B26" i="3"/>
  <c r="C19" i="3" s="1"/>
  <c r="D19" i="3" s="1"/>
  <c r="N19" i="3" s="1"/>
  <c r="K40" i="3" l="1"/>
  <c r="L32" i="3" s="1"/>
  <c r="L34" i="3"/>
  <c r="C18" i="3"/>
  <c r="D18" i="3" s="1"/>
  <c r="N18" i="3" s="1"/>
  <c r="C23" i="3"/>
  <c r="D23" i="3" s="1"/>
  <c r="N23" i="3" s="1"/>
  <c r="C26" i="3"/>
  <c r="C22" i="3"/>
  <c r="D22" i="3" s="1"/>
  <c r="N22" i="3" s="1"/>
  <c r="C25" i="3"/>
  <c r="D25" i="3" s="1"/>
  <c r="N25" i="3" s="1"/>
  <c r="C21" i="3"/>
  <c r="D21" i="3" s="1"/>
  <c r="N21" i="3" s="1"/>
  <c r="C20" i="3"/>
  <c r="D20" i="3" s="1"/>
  <c r="N20" i="3" s="1"/>
  <c r="C24" i="3"/>
  <c r="D24" i="3" s="1"/>
  <c r="N24" i="3" s="1"/>
  <c r="E12" i="3"/>
  <c r="H12" i="3"/>
  <c r="B12" i="3"/>
  <c r="C4" i="3" s="1"/>
  <c r="D4" i="3" s="1"/>
  <c r="O22" i="3" l="1"/>
  <c r="L33" i="3"/>
  <c r="O21" i="3"/>
  <c r="L36" i="3"/>
  <c r="L38" i="3"/>
  <c r="L37" i="3"/>
  <c r="F5" i="3"/>
  <c r="G5" i="3" s="1"/>
  <c r="F9" i="3"/>
  <c r="G9" i="3" s="1"/>
  <c r="F10" i="3"/>
  <c r="G10" i="3" s="1"/>
  <c r="F11" i="3"/>
  <c r="G11" i="3" s="1"/>
  <c r="F6" i="3"/>
  <c r="G6" i="3" s="1"/>
  <c r="F7" i="3"/>
  <c r="G7" i="3" s="1"/>
  <c r="F8" i="3"/>
  <c r="G8" i="3" s="1"/>
  <c r="F4" i="3"/>
  <c r="O18" i="3"/>
  <c r="N26" i="3"/>
  <c r="O19" i="3" s="1"/>
  <c r="L35" i="3"/>
  <c r="L39" i="3"/>
  <c r="I7" i="3"/>
  <c r="J7" i="3" s="1"/>
  <c r="I11" i="3"/>
  <c r="J11" i="3" s="1"/>
  <c r="I8" i="3"/>
  <c r="J8" i="3" s="1"/>
  <c r="I4" i="3"/>
  <c r="I5" i="3"/>
  <c r="J5" i="3" s="1"/>
  <c r="I9" i="3"/>
  <c r="J9" i="3" s="1"/>
  <c r="I6" i="3"/>
  <c r="J6" i="3" s="1"/>
  <c r="I10" i="3"/>
  <c r="J10" i="3" s="1"/>
  <c r="C6" i="3"/>
  <c r="D6" i="3" s="1"/>
  <c r="C12" i="3"/>
  <c r="C8" i="3"/>
  <c r="D8" i="3" s="1"/>
  <c r="N8" i="3" s="1"/>
  <c r="C11" i="3"/>
  <c r="D11" i="3" s="1"/>
  <c r="C7" i="3"/>
  <c r="D7" i="3" s="1"/>
  <c r="N7" i="3" s="1"/>
  <c r="C10" i="3"/>
  <c r="D10" i="3" s="1"/>
  <c r="N10" i="3" s="1"/>
  <c r="C9" i="3"/>
  <c r="D9" i="3" s="1"/>
  <c r="N9" i="3" s="1"/>
  <c r="C5" i="3"/>
  <c r="D5" i="3" s="1"/>
  <c r="D33" i="2"/>
  <c r="D34" i="2"/>
  <c r="E34" i="2" s="1"/>
  <c r="F34" i="2" s="1"/>
  <c r="D35" i="2"/>
  <c r="D36" i="2"/>
  <c r="D37" i="2"/>
  <c r="D38" i="2"/>
  <c r="E38" i="2" s="1"/>
  <c r="F38" i="2" s="1"/>
  <c r="D39" i="2"/>
  <c r="D32" i="2"/>
  <c r="C40" i="2"/>
  <c r="D40" i="2" s="1"/>
  <c r="B40" i="2"/>
  <c r="D19" i="2"/>
  <c r="D20" i="2"/>
  <c r="D21" i="2"/>
  <c r="D22" i="2"/>
  <c r="E22" i="2" s="1"/>
  <c r="F22" i="2" s="1"/>
  <c r="D23" i="2"/>
  <c r="D24" i="2"/>
  <c r="D25" i="2"/>
  <c r="D18" i="2"/>
  <c r="C26" i="2"/>
  <c r="D26" i="2" s="1"/>
  <c r="B26" i="2"/>
  <c r="D5" i="2"/>
  <c r="E5" i="2" s="1"/>
  <c r="F5" i="2" s="1"/>
  <c r="D6" i="2"/>
  <c r="D7" i="2"/>
  <c r="E7" i="2" s="1"/>
  <c r="F7" i="2" s="1"/>
  <c r="D8" i="2"/>
  <c r="D9" i="2"/>
  <c r="E9" i="2" s="1"/>
  <c r="F9" i="2" s="1"/>
  <c r="D10" i="2"/>
  <c r="D11" i="2"/>
  <c r="E11" i="2" s="1"/>
  <c r="F11" i="2" s="1"/>
  <c r="B12" i="2"/>
  <c r="D12" i="2" s="1"/>
  <c r="C12" i="2"/>
  <c r="E35" i="2" l="1"/>
  <c r="F35" i="2" s="1"/>
  <c r="E39" i="2"/>
  <c r="F39" i="2" s="1"/>
  <c r="E40" i="2"/>
  <c r="E33" i="2"/>
  <c r="F33" i="2" s="1"/>
  <c r="E37" i="2"/>
  <c r="F37" i="2" s="1"/>
  <c r="E32" i="2"/>
  <c r="F32" i="2" s="1"/>
  <c r="E4" i="2"/>
  <c r="F4" i="2" s="1"/>
  <c r="E8" i="2"/>
  <c r="F8" i="2" s="1"/>
  <c r="E6" i="2"/>
  <c r="F6" i="2" s="1"/>
  <c r="E10" i="2"/>
  <c r="F10" i="2" s="1"/>
  <c r="E12" i="2"/>
  <c r="E24" i="2"/>
  <c r="F24" i="2" s="1"/>
  <c r="E20" i="2"/>
  <c r="F20" i="2" s="1"/>
  <c r="E36" i="2"/>
  <c r="F36" i="2" s="1"/>
  <c r="E21" i="2"/>
  <c r="F21" i="2" s="1"/>
  <c r="E25" i="2"/>
  <c r="F25" i="2" s="1"/>
  <c r="E26" i="2"/>
  <c r="E19" i="2"/>
  <c r="F19" i="2" s="1"/>
  <c r="E23" i="2"/>
  <c r="F23" i="2" s="1"/>
  <c r="E18" i="2"/>
  <c r="F18" i="2" s="1"/>
  <c r="N6" i="3"/>
  <c r="N5" i="3"/>
  <c r="N11" i="3"/>
  <c r="O25" i="3"/>
  <c r="O20" i="3"/>
  <c r="G4" i="3"/>
  <c r="F12" i="3"/>
  <c r="O23" i="3"/>
  <c r="O24" i="3"/>
  <c r="J4" i="3"/>
  <c r="I12" i="3"/>
  <c r="J112" i="1"/>
  <c r="J134" i="1" s="1"/>
  <c r="J20" i="1"/>
  <c r="J42" i="1" s="1"/>
  <c r="N4" i="3" l="1"/>
  <c r="J136" i="1"/>
  <c r="J44" i="1"/>
  <c r="C11" i="29" s="1"/>
  <c r="E6" i="15"/>
  <c r="D47" i="15" s="1"/>
  <c r="N12" i="3" l="1"/>
  <c r="I137" i="1"/>
  <c r="D44" i="28" s="1"/>
  <c r="H44" i="28" s="1"/>
  <c r="D137" i="1"/>
  <c r="D44" i="23" s="1"/>
  <c r="H44" i="23" s="1"/>
  <c r="G137" i="1"/>
  <c r="D44" i="26" s="1"/>
  <c r="H44" i="26" s="1"/>
  <c r="B137" i="1"/>
  <c r="H137" i="1"/>
  <c r="D44" i="27" s="1"/>
  <c r="H44" i="27" s="1"/>
  <c r="E137" i="1"/>
  <c r="D44" i="24" s="1"/>
  <c r="C137" i="1"/>
  <c r="D44" i="22" s="1"/>
  <c r="H44" i="22" s="1"/>
  <c r="J137" i="1"/>
  <c r="F137" i="1"/>
  <c r="D44" i="25" s="1"/>
  <c r="H44" i="25" s="1"/>
  <c r="E11" i="29"/>
  <c r="G11" i="29"/>
  <c r="G6" i="29"/>
  <c r="G5" i="29"/>
  <c r="G7" i="29"/>
  <c r="G8" i="29"/>
  <c r="G3" i="29"/>
  <c r="G4" i="29"/>
  <c r="G10" i="29"/>
  <c r="G9" i="29"/>
  <c r="I45" i="1"/>
  <c r="B44" i="28" s="1"/>
  <c r="J45" i="1"/>
  <c r="C45" i="1"/>
  <c r="B44" i="22" s="1"/>
  <c r="F45" i="1"/>
  <c r="B44" i="25" s="1"/>
  <c r="E45" i="1"/>
  <c r="B44" i="24" s="1"/>
  <c r="H45" i="1"/>
  <c r="B44" i="27" s="1"/>
  <c r="G45" i="1"/>
  <c r="B44" i="26" s="1"/>
  <c r="B45" i="1"/>
  <c r="B44" i="21" s="1"/>
  <c r="D45" i="1"/>
  <c r="B44" i="23" s="1"/>
  <c r="D40" i="15"/>
  <c r="S40" i="15" s="1"/>
  <c r="D44" i="15"/>
  <c r="S44" i="15" s="1"/>
  <c r="D41" i="15"/>
  <c r="S41" i="15" s="1"/>
  <c r="D45" i="15"/>
  <c r="S45" i="15" s="1"/>
  <c r="D46" i="15"/>
  <c r="S46" i="15" s="1"/>
  <c r="D42" i="15"/>
  <c r="S42" i="15" s="1"/>
  <c r="D38" i="15"/>
  <c r="S38" i="15" s="1"/>
  <c r="D39" i="15"/>
  <c r="S39" i="15" s="1"/>
  <c r="D43" i="15"/>
  <c r="S43" i="15" s="1"/>
  <c r="G23" i="29" l="1"/>
  <c r="F44" i="24"/>
  <c r="H44" i="24"/>
  <c r="G20" i="29"/>
  <c r="F44" i="23"/>
  <c r="G17" i="29"/>
  <c r="G18" i="29"/>
  <c r="F44" i="25"/>
  <c r="F44" i="27"/>
  <c r="F44" i="28"/>
  <c r="G16" i="29"/>
  <c r="G19" i="29"/>
  <c r="O7" i="3"/>
  <c r="O9" i="3"/>
  <c r="O10" i="3"/>
  <c r="O8" i="3"/>
  <c r="O11" i="3"/>
  <c r="O5" i="3"/>
  <c r="O6" i="3"/>
  <c r="G22" i="29"/>
  <c r="G21" i="29"/>
  <c r="F44" i="22"/>
  <c r="F44" i="26"/>
  <c r="O4" i="3"/>
  <c r="D44" i="21"/>
  <c r="I9" i="29"/>
  <c r="I5" i="29"/>
  <c r="I6" i="29"/>
  <c r="I11" i="29"/>
  <c r="I8" i="29"/>
  <c r="I3" i="29"/>
  <c r="I10" i="29"/>
  <c r="I7" i="29"/>
  <c r="I4" i="29"/>
  <c r="S47" i="15"/>
  <c r="T39" i="15" s="1"/>
  <c r="T41" i="15"/>
  <c r="T43" i="15"/>
  <c r="F44" i="21" l="1"/>
  <c r="H44" i="21"/>
  <c r="I16" i="29"/>
  <c r="I17" i="29"/>
  <c r="I18" i="29"/>
  <c r="I22" i="29"/>
  <c r="I20" i="29"/>
  <c r="I21" i="29"/>
  <c r="I23" i="29"/>
  <c r="I19" i="29"/>
  <c r="T44" i="15"/>
  <c r="T40" i="15"/>
  <c r="T42" i="15"/>
  <c r="T38" i="15"/>
  <c r="T46" i="15"/>
  <c r="T45" i="15"/>
  <c r="H16" i="5" l="1"/>
  <c r="H17" i="5"/>
  <c r="H18" i="5"/>
  <c r="H15" i="5"/>
  <c r="H22" i="5"/>
  <c r="H20" i="5"/>
  <c r="H19" i="5"/>
  <c r="H14" i="5"/>
  <c r="H21" i="5"/>
  <c r="I36" i="5" l="1"/>
  <c r="H36" i="5"/>
  <c r="G36" i="5"/>
  <c r="H31" i="5"/>
  <c r="I31" i="5"/>
  <c r="G31" i="5"/>
  <c r="G29" i="5"/>
  <c r="H29" i="5"/>
  <c r="I29" i="5"/>
  <c r="I30" i="5"/>
  <c r="G30" i="5"/>
  <c r="H30" i="5"/>
  <c r="I34" i="5"/>
  <c r="G34" i="5"/>
  <c r="H34" i="5"/>
  <c r="G33" i="5"/>
  <c r="H33" i="5"/>
  <c r="I33" i="5"/>
  <c r="H35" i="5"/>
  <c r="I35" i="5"/>
  <c r="G35" i="5"/>
  <c r="I32" i="5"/>
  <c r="H32" i="5"/>
  <c r="G32" i="5"/>
  <c r="I37" i="5" l="1"/>
  <c r="H37" i="5"/>
  <c r="G3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Barron, Robert</author>
  </authors>
  <commentList>
    <comment ref="G6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LIB eliminated from 2011 to make apples-to-aples comparison.</t>
        </r>
      </text>
    </comment>
    <comment ref="G8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Barron, Robert:
LIB eliminated from analysis to make apples-to-apples comparison to 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Barron, Robert</author>
  </authors>
  <commentList>
    <comment ref="A9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To make an apples-to-apples comparison, LI Bus has been removed from the analysis.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Barron, Robert</author>
  </authors>
  <commentList>
    <comment ref="B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Utilities numbers are not available for 2011, so 2010 numbers are used.</t>
        </r>
      </text>
    </comment>
    <comment ref="G2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From 2015, article 32 was merged into article 9A. Hence, the 2016 numbers combine them.</t>
        </r>
      </text>
    </comment>
    <comment ref="B30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Utilities numbers are not available for 2011, so 2010 numbers are used.</t>
        </r>
      </text>
    </comment>
    <comment ref="G30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From 2015, article 32 was merged into article 9A. Hence, the 2016 numbers combine them.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Barron, Robert</author>
  </authors>
  <commentList>
    <comment ref="A65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 xml:space="preserve">Barron, Robert
</t>
        </r>
        <r>
          <rPr>
            <sz val="9"/>
            <color indexed="81"/>
            <rFont val="Tahoma"/>
            <family val="2"/>
          </rPr>
          <t>New York and Atlantic Railway (HQ in Queens)</t>
        </r>
      </text>
    </comment>
    <comment ref="A68" authorId="0" shapeId="0" xr:uid="{00000000-0006-0000-1800-000002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Comes from Transit
</t>
        </r>
      </text>
    </comment>
    <comment ref="A78" authorId="0" shapeId="0" xr:uid="{00000000-0006-0000-1800-000003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Battery Parking Garage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Barron, Robert</author>
  </authors>
  <commentList>
    <comment ref="B26" authorId="0" shapeId="0" xr:uid="{00000000-0006-0000-2000-000001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Based on proportion of inbound journeys end at Grand Central in OD study, and total MNR ridership.</t>
        </r>
      </text>
    </comment>
    <comment ref="B27" authorId="0" shapeId="0" xr:uid="{00000000-0006-0000-2000-000002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Reported by NYCT in list of busiest stations.</t>
        </r>
      </text>
    </comment>
    <comment ref="B94" authorId="0" shapeId="0" xr:uid="{00000000-0006-0000-2000-000003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Based off the proportion of inbound trip that terminate at Penn, and the total number of trips for LIRR.</t>
        </r>
      </text>
    </comment>
    <comment ref="B95" authorId="0" shapeId="0" xr:uid="{00000000-0006-0000-2000-000004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Based off MTA list of ridership by station.</t>
        </r>
      </text>
    </comment>
    <comment ref="B130" authorId="0" shapeId="0" xr:uid="{00000000-0006-0000-2000-000005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Based on proportion of inbound journeys end at Grand Central in OD study, and total MNR ridership.</t>
        </r>
      </text>
    </comment>
    <comment ref="B131" authorId="0" shapeId="0" xr:uid="{00000000-0006-0000-2000-000006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Reported by NYCT in list of busiest stations.</t>
        </r>
      </text>
    </comment>
    <comment ref="B137" authorId="0" shapeId="0" xr:uid="{00000000-0006-0000-2000-000007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Based off the proportion of inbound trip that terminate at Penn, and the total number of trips for LIRR.</t>
        </r>
      </text>
    </comment>
    <comment ref="B138" authorId="0" shapeId="0" xr:uid="{00000000-0006-0000-2000-000008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Based off MTA list of ridership by station.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Barron, Robert</author>
  </authors>
  <commentList>
    <comment ref="B39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Based on proportion of inbound journeys end at Grand Central in OD study, and total MNR ridership.</t>
        </r>
      </text>
    </comment>
    <comment ref="B40" authorId="0" shapeId="0" xr:uid="{00000000-0006-0000-2100-000002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Reported by NYCT in list of busiest stations.</t>
        </r>
      </text>
    </comment>
    <comment ref="B133" authorId="0" shapeId="0" xr:uid="{00000000-0006-0000-2100-000003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Based off the proportion of inbound trip that terminate at Penn, and the total number of trips for LIRR.</t>
        </r>
      </text>
    </comment>
    <comment ref="B134" authorId="0" shapeId="0" xr:uid="{00000000-0006-0000-2100-000004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Based off MTA list of ridership by station.</t>
        </r>
      </text>
    </comment>
    <comment ref="B179" authorId="0" shapeId="0" xr:uid="{00000000-0006-0000-2100-000005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Based on proportion of inbound journeys end at Grand Central in OD study, and total MNR ridership.</t>
        </r>
      </text>
    </comment>
    <comment ref="B180" authorId="0" shapeId="0" xr:uid="{00000000-0006-0000-2100-000006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Reported by NYCT in list of busiest stations.</t>
        </r>
      </text>
    </comment>
    <comment ref="B186" authorId="0" shapeId="0" xr:uid="{00000000-0006-0000-2100-000007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Based off the proportion of inbound trip that terminate at Penn, and the total number of trips for LIRR.</t>
        </r>
      </text>
    </comment>
    <comment ref="B187" authorId="0" shapeId="0" xr:uid="{00000000-0006-0000-2100-000008000000}">
      <text>
        <r>
          <rPr>
            <b/>
            <sz val="9"/>
            <color indexed="81"/>
            <rFont val="Tahoma"/>
            <family val="2"/>
          </rPr>
          <t>Barron, Robert:</t>
        </r>
        <r>
          <rPr>
            <sz val="9"/>
            <color indexed="81"/>
            <rFont val="Tahoma"/>
            <family val="2"/>
          </rPr>
          <t xml:space="preserve">
Based off MTA list of ridership by station.</t>
        </r>
      </text>
    </comment>
  </commentList>
</comments>
</file>

<file path=xl/sharedStrings.xml><?xml version="1.0" encoding="utf-8"?>
<sst xmlns="http://schemas.openxmlformats.org/spreadsheetml/2006/main" count="3029" uniqueCount="431">
  <si>
    <t>2005 Ratio Summary</t>
  </si>
  <si>
    <t>MTA Payments to County ($ millions)</t>
  </si>
  <si>
    <t>Dutchess</t>
  </si>
  <si>
    <t>Orange</t>
  </si>
  <si>
    <t>Rockland</t>
  </si>
  <si>
    <t>Putnam</t>
  </si>
  <si>
    <t>Westchester</t>
  </si>
  <si>
    <t>Nassau</t>
  </si>
  <si>
    <t>Suffolk</t>
  </si>
  <si>
    <t>NYC</t>
  </si>
  <si>
    <t>Total</t>
  </si>
  <si>
    <t>DORF</t>
  </si>
  <si>
    <t>-</t>
  </si>
  <si>
    <t>MNR West of Hudson Expenses</t>
  </si>
  <si>
    <t>MNR East of Hudson Expenses</t>
  </si>
  <si>
    <t>MTA Headquarters (without PD)</t>
  </si>
  <si>
    <t>MTA Police Department</t>
  </si>
  <si>
    <t>NYCT Expenses and Administrative Costs</t>
  </si>
  <si>
    <t>MTA Bus Expenses and Administrative Costs</t>
  </si>
  <si>
    <t>LIRR Expenses and Administrative Costs</t>
  </si>
  <si>
    <t>SIR Expenses and Administrative Costs</t>
  </si>
  <si>
    <t>Long Island Bus Expenses and Administrative Costs</t>
  </si>
  <si>
    <t>Bridges &amp; Tunnels Expenses and Administrative Costs</t>
  </si>
  <si>
    <t>MTA Policy and Gap Closing Actions</t>
  </si>
  <si>
    <t xml:space="preserve">MTA Capital </t>
  </si>
  <si>
    <t>TOTAL</t>
  </si>
  <si>
    <t>MRT-1 and MRT-2 Payments</t>
  </si>
  <si>
    <t>Urban Tax Payments (90% Portion)</t>
  </si>
  <si>
    <t>City Subsidy to MTA Bus and SIRTOA</t>
  </si>
  <si>
    <t>NYC Capital Program Contribution</t>
  </si>
  <si>
    <t>Sales and Use Tax</t>
  </si>
  <si>
    <t>Franchise Tax</t>
  </si>
  <si>
    <t>Business Surcharge Tax</t>
  </si>
  <si>
    <t>PBT</t>
  </si>
  <si>
    <t>PMT</t>
  </si>
  <si>
    <t>MTA Aid</t>
  </si>
  <si>
    <t>Local Operating Assistance</t>
  </si>
  <si>
    <t>Station Maintenance Payment</t>
  </si>
  <si>
    <t>Other Payments</t>
  </si>
  <si>
    <t>MNR - West of Hudson Fares</t>
  </si>
  <si>
    <t>MNR - East of Hudson Fares</t>
  </si>
  <si>
    <t>NYCT Fares</t>
  </si>
  <si>
    <t>MTA Bus Fares</t>
  </si>
  <si>
    <t>LIRR Fares</t>
  </si>
  <si>
    <t>SIR Fares</t>
  </si>
  <si>
    <t>Long Island Bus Fares</t>
  </si>
  <si>
    <t>Nassau Subsidy to LIB</t>
  </si>
  <si>
    <t>B&amp;T Tolls</t>
  </si>
  <si>
    <t>PAYMENT RATIO</t>
  </si>
  <si>
    <t>PAYMENT RATIO (NORMALIZED)</t>
  </si>
  <si>
    <t>2011 Ratio Summary</t>
  </si>
  <si>
    <t>($ millions)</t>
  </si>
  <si>
    <t>Urban Tax Payments</t>
  </si>
  <si>
    <t>2016 MTA Payments to County</t>
  </si>
  <si>
    <t>Dutch.</t>
  </si>
  <si>
    <t>Rock.</t>
  </si>
  <si>
    <t>Westch.</t>
  </si>
  <si>
    <t>NYCT Expenses and Admin. Costs</t>
  </si>
  <si>
    <t>Putnam passenger miles proportion relatively higher than fare proportion</t>
  </si>
  <si>
    <t>MTA Bus Expenses and Admin. Costs</t>
  </si>
  <si>
    <t>LIRR Expenses and Admin. Costs</t>
  </si>
  <si>
    <t>SIR Expenses and Admin. Costs</t>
  </si>
  <si>
    <t>LIB Expenses and Admin. Costs</t>
  </si>
  <si>
    <t>B&amp;T Expenses and Admin. Costs</t>
  </si>
  <si>
    <t>2016 County Payments to MTA</t>
  </si>
  <si>
    <t>PMT (incl. PMT Replacement Fund)</t>
  </si>
  <si>
    <t>PAYMENT RATIO TO COUNTY</t>
  </si>
  <si>
    <t>Payment Ratio</t>
  </si>
  <si>
    <t>Normalized Payment Ratio</t>
  </si>
  <si>
    <t>2005 (Original)</t>
  </si>
  <si>
    <t>2005 (Revised)</t>
  </si>
  <si>
    <t>MTA Region</t>
  </si>
  <si>
    <t>Dutchess County Payment Ratio ($ millions)</t>
  </si>
  <si>
    <t>MTA Payments to County</t>
  </si>
  <si>
    <t>2005 (revis.)</t>
  </si>
  <si>
    <t>2005 to 2016 % change</t>
  </si>
  <si>
    <t>NYCT Expenses</t>
  </si>
  <si>
    <t>MTA Bus Expenses</t>
  </si>
  <si>
    <t>LIRR Expenses</t>
  </si>
  <si>
    <t>SIR Expenses</t>
  </si>
  <si>
    <t>LI Bus Expenses</t>
  </si>
  <si>
    <t>B&amp;T Expenses</t>
  </si>
  <si>
    <t>MTA Policy &amp;Gap Closing Actions</t>
  </si>
  <si>
    <t>County Payments to MTA</t>
  </si>
  <si>
    <t>City Subsidy to MTA Bus &amp; SIR</t>
  </si>
  <si>
    <t>Orange County Payment Ratio ($ millions)</t>
  </si>
  <si>
    <t>MTA Policy &amp; Gap Closing Actions</t>
  </si>
  <si>
    <t>Rockland County Payment Ratio ($ millions)</t>
  </si>
  <si>
    <t>Putnam County Payment Ratio ($ millions)</t>
  </si>
  <si>
    <t>Westchester County Payment Ratio ($ millions)</t>
  </si>
  <si>
    <t>Nassau County Payment Ratio ($ millions)</t>
  </si>
  <si>
    <t>Suffolk County Payment Ratio ($ millions)</t>
  </si>
  <si>
    <t>NYC Payment Ratio ($ millions)</t>
  </si>
  <si>
    <t>Total MMTOA to MTA</t>
  </si>
  <si>
    <t>MMTOA</t>
  </si>
  <si>
    <t>2011 LI Bus Adjustment</t>
  </si>
  <si>
    <t>Breakout in Plan</t>
  </si>
  <si>
    <t xml:space="preserve">Sales Tax </t>
  </si>
  <si>
    <t>Corporate Franchise</t>
  </si>
  <si>
    <t>Corporate Surcharge</t>
  </si>
  <si>
    <t>Investment Income</t>
  </si>
  <si>
    <t>Less: Upstate Share of PBT</t>
  </si>
  <si>
    <t>Less: Upstate Share of Transmission</t>
  </si>
  <si>
    <t>Less: Upsate Share of Investment Income</t>
  </si>
  <si>
    <t>Breakout</t>
  </si>
  <si>
    <t>PBT (MMTOA Portion)</t>
  </si>
  <si>
    <t>MTA Sales Tax ($ millions)</t>
  </si>
  <si>
    <t xml:space="preserve">New York City Total </t>
  </si>
  <si>
    <t>Scale to Match MMTOA Breakout</t>
  </si>
  <si>
    <t>Non-agricultural Empl.</t>
  </si>
  <si>
    <t>Population</t>
  </si>
  <si>
    <t>Sum of non-ag empl. and pop</t>
  </si>
  <si>
    <t>% of MTS region non-ag empl. and pop</t>
  </si>
  <si>
    <t>County franchise tax payment</t>
  </si>
  <si>
    <t>Scaled</t>
  </si>
  <si>
    <t>Transport &amp; utilities</t>
  </si>
  <si>
    <t>% transport &amp;</t>
  </si>
  <si>
    <t>Article 9 payments</t>
  </si>
  <si>
    <t xml:space="preserve">Private - transp. - utilities - </t>
  </si>
  <si>
    <t>% Private - transp. - utils</t>
  </si>
  <si>
    <t>Article 9A payments</t>
  </si>
  <si>
    <t>Finance empl.</t>
  </si>
  <si>
    <t>% Finance emply.</t>
  </si>
  <si>
    <t>Article 32 payments</t>
  </si>
  <si>
    <t>Insurance empl.</t>
  </si>
  <si>
    <t>% insurance empl.</t>
  </si>
  <si>
    <t>Article 33 payments</t>
  </si>
  <si>
    <t>Business Surcharge</t>
  </si>
  <si>
    <t xml:space="preserve"> employment</t>
  </si>
  <si>
    <t>utilities empl.</t>
  </si>
  <si>
    <t>finance - insurance empl.</t>
  </si>
  <si>
    <t xml:space="preserve"> Tax Payments</t>
  </si>
  <si>
    <t>% Private - transp. - utils -</t>
  </si>
  <si>
    <t>Article 9A + Article 32</t>
  </si>
  <si>
    <t>insurance empl.</t>
  </si>
  <si>
    <t>payments</t>
  </si>
  <si>
    <t>PBT Category From Consolidated Subsidies</t>
  </si>
  <si>
    <t>% Vehicle</t>
  </si>
  <si>
    <t>Auto</t>
  </si>
  <si>
    <t>% Electric</t>
  </si>
  <si>
    <t>Electrical</t>
  </si>
  <si>
    <t>% enplane-</t>
  </si>
  <si>
    <t>Remainder</t>
  </si>
  <si>
    <t>Regist.</t>
  </si>
  <si>
    <t>Allocation</t>
  </si>
  <si>
    <t>Consump.</t>
  </si>
  <si>
    <t>ment</t>
  </si>
  <si>
    <t>nyc</t>
  </si>
  <si>
    <t>nas</t>
  </si>
  <si>
    <t>suf</t>
  </si>
  <si>
    <t>west</t>
  </si>
  <si>
    <t>put</t>
  </si>
  <si>
    <t>dut</t>
  </si>
  <si>
    <t>rock</t>
  </si>
  <si>
    <t>org</t>
  </si>
  <si>
    <t>Split of PBT</t>
  </si>
  <si>
    <t xml:space="preserve">The split of PBT between catagories comes from </t>
  </si>
  <si>
    <t>Table 9 of the tax collections tables from the</t>
  </si>
  <si>
    <t>annual statistical report of NY.</t>
  </si>
  <si>
    <t>PBT Portion of MMTOA</t>
  </si>
  <si>
    <t>Total PBT</t>
  </si>
  <si>
    <t>PMT Replacement</t>
  </si>
  <si>
    <t>Total Wages %</t>
  </si>
  <si>
    <t>2016 (preliminary)</t>
  </si>
  <si>
    <t>PMT Division</t>
  </si>
  <si>
    <t>Funds by Category</t>
  </si>
  <si>
    <t>Liscense Fee</t>
  </si>
  <si>
    <t>Registration Fee</t>
  </si>
  <si>
    <t>Taxicab Tax</t>
  </si>
  <si>
    <t>Auto Rental Tax</t>
  </si>
  <si>
    <t>VEHICLE LICENSES %</t>
  </si>
  <si>
    <t>VEHICLE REGISTRATIONS %</t>
  </si>
  <si>
    <t>Lisc. Fee</t>
  </si>
  <si>
    <t>Reg. Fee</t>
  </si>
  <si>
    <t>Taxi Tax</t>
  </si>
  <si>
    <t>Auto Rent</t>
  </si>
  <si>
    <t>Fare revenue</t>
  </si>
  <si>
    <t xml:space="preserve"> ($ millions)</t>
  </si>
  <si>
    <t>Harlem</t>
  </si>
  <si>
    <t>Hudson</t>
  </si>
  <si>
    <t>New Haven</t>
  </si>
  <si>
    <t>East of Hudson Total</t>
  </si>
  <si>
    <t>EoH CDOT Portion</t>
  </si>
  <si>
    <t>EoH Less CDOT</t>
  </si>
  <si>
    <t>Fare revenue by county</t>
  </si>
  <si>
    <t>(2007 OD Study)</t>
  </si>
  <si>
    <t>$</t>
  </si>
  <si>
    <t>%</t>
  </si>
  <si>
    <t>Other</t>
  </si>
  <si>
    <t xml:space="preserve">Fare revenue </t>
  </si>
  <si>
    <t>county allocation</t>
  </si>
  <si>
    <t>(all revenue across all counties)</t>
  </si>
  <si>
    <t>(revenue less CDOT portion)</t>
  </si>
  <si>
    <t>Fare revenue by Line</t>
  </si>
  <si>
    <t>Point Jervis</t>
  </si>
  <si>
    <t>Pascack Valley</t>
  </si>
  <si>
    <t>West of Hudson Total</t>
  </si>
  <si>
    <t>2007 WEEKLY INBOUND WOH RIDERSHIP BY COUNTY AND LINE</t>
  </si>
  <si>
    <t>COUNTY</t>
  </si>
  <si>
    <t>PORT JERVIS</t>
  </si>
  <si>
    <t>PASCACK VALLEY</t>
  </si>
  <si>
    <t>MANHATTAN</t>
  </si>
  <si>
    <t>BRONX</t>
  </si>
  <si>
    <t>WESTCHESTER</t>
  </si>
  <si>
    <t>PUTNAM</t>
  </si>
  <si>
    <t>DUTCHESS</t>
  </si>
  <si>
    <t>ROCKLAND</t>
  </si>
  <si>
    <t>ORANGE</t>
  </si>
  <si>
    <t>TOTAL NY STATE</t>
  </si>
  <si>
    <t>Division of Fare Revenue</t>
  </si>
  <si>
    <t>Subway Passenger Counts (from  NY OD study)</t>
  </si>
  <si>
    <t>Local &amp; Express Bus (NYCT and MTA Bus combined)</t>
  </si>
  <si>
    <t>Grand Total</t>
  </si>
  <si>
    <t>NYCT</t>
  </si>
  <si>
    <t>Fare revenue  ($ millions)</t>
  </si>
  <si>
    <t>Subway</t>
  </si>
  <si>
    <t>Bus</t>
  </si>
  <si>
    <t>Paratransit</t>
  </si>
  <si>
    <t>Fare Media Liability</t>
  </si>
  <si>
    <t>NYCT Total</t>
  </si>
  <si>
    <t>MTA Bus</t>
  </si>
  <si>
    <t>NYCT Division</t>
  </si>
  <si>
    <t>MTA Bus Division</t>
  </si>
  <si>
    <t>LIRR Total</t>
  </si>
  <si>
    <t>Toll Revenue by Facility</t>
  </si>
  <si>
    <t>RFK-Bronx Plaza</t>
  </si>
  <si>
    <t>RFK-Manhattan Plaza</t>
  </si>
  <si>
    <t>Bronx-Whitestone Bridge</t>
  </si>
  <si>
    <t>Henry Hudson Bridge</t>
  </si>
  <si>
    <t>Marine Parkway Bridge</t>
  </si>
  <si>
    <t>Cross Bay Bridge</t>
  </si>
  <si>
    <t>Queens Midtown Tunnel</t>
  </si>
  <si>
    <t>Brooklyn-Battery Tunnel</t>
  </si>
  <si>
    <t>Throgs Neck Bridge</t>
  </si>
  <si>
    <t>Verrazano-Narrows Bridge</t>
  </si>
  <si>
    <t>Proportion of Toll Payments by County and Facility</t>
  </si>
  <si>
    <t>Bronx-Whitestone</t>
  </si>
  <si>
    <t>Brooklyn-Battery</t>
  </si>
  <si>
    <t>Cross Bay</t>
  </si>
  <si>
    <t>Henry Hudson</t>
  </si>
  <si>
    <t>Marine Parkway</t>
  </si>
  <si>
    <t>Queens Midtown</t>
  </si>
  <si>
    <t>RFK - Bronx</t>
  </si>
  <si>
    <t>RFK - Manhattan</t>
  </si>
  <si>
    <t>Throgs Neck</t>
  </si>
  <si>
    <t>Verrazano-Narrows</t>
  </si>
  <si>
    <t>Allocation of Toll Revenue to Counties</t>
  </si>
  <si>
    <t>Advertising</t>
  </si>
  <si>
    <t>Real Estate</t>
  </si>
  <si>
    <t>TAB</t>
  </si>
  <si>
    <t>AFC Trans Fees</t>
  </si>
  <si>
    <t>MetroCard Surcharge</t>
  </si>
  <si>
    <t>Insurance Reimb</t>
  </si>
  <si>
    <t>Roosevelt Is Tram</t>
  </si>
  <si>
    <t>Student Fare Reimbursement</t>
  </si>
  <si>
    <t>Elderly Fare Reimbursement</t>
  </si>
  <si>
    <t>City Paratransit Reimbursement</t>
  </si>
  <si>
    <t>Para reimburse - Urban</t>
  </si>
  <si>
    <t>Advertising Income</t>
  </si>
  <si>
    <t>Other Revenue</t>
  </si>
  <si>
    <t>SIR</t>
  </si>
  <si>
    <t>2017 Plan</t>
  </si>
  <si>
    <t>Student Reimb</t>
  </si>
  <si>
    <t>Elderly Reimb</t>
  </si>
  <si>
    <t>MNR</t>
  </si>
  <si>
    <t>Passenger Counts</t>
  </si>
  <si>
    <t>GCT Rental Income</t>
  </si>
  <si>
    <t>Other Rental Income</t>
  </si>
  <si>
    <t>Paratransit Reimbursement</t>
  </si>
  <si>
    <t>Concessions</t>
  </si>
  <si>
    <t>Parking</t>
  </si>
  <si>
    <t>All Other</t>
  </si>
  <si>
    <t>LIRR</t>
  </si>
  <si>
    <t>2017 mid-year forecast</t>
  </si>
  <si>
    <t>Rental Income</t>
  </si>
  <si>
    <t>Rental Utilities</t>
  </si>
  <si>
    <t>Federal Reimbursements</t>
  </si>
  <si>
    <t>Freight</t>
  </si>
  <si>
    <t>Special Services</t>
  </si>
  <si>
    <t>Miscellaneous Sale of Scrap</t>
  </si>
  <si>
    <t>Interagency Reimbursement of Farebox Revenue</t>
  </si>
  <si>
    <t>B&amp;T</t>
  </si>
  <si>
    <t>Bklyn-Battery Tunnel</t>
  </si>
  <si>
    <t>All B&amp;T</t>
  </si>
  <si>
    <t>HQ</t>
  </si>
  <si>
    <t>Long Island Bus</t>
  </si>
  <si>
    <t xml:space="preserve"> Before Depreciation ($ millions)</t>
  </si>
  <si>
    <t>LIRR Passenger Miles by County</t>
  </si>
  <si>
    <t>of Residence</t>
  </si>
  <si>
    <t>Division of LIRR Expenses</t>
  </si>
  <si>
    <t xml:space="preserve"> before Depreciation ($ millions)</t>
  </si>
  <si>
    <t xml:space="preserve">Proportion of Total B&amp;T Crossings by County </t>
  </si>
  <si>
    <t>Division of B&amp;T Expenses</t>
  </si>
  <si>
    <t>Agency Expenses</t>
  </si>
  <si>
    <t>Subway, Local &amp; Express Bus Passenger Miles</t>
  </si>
  <si>
    <t>$ Thousands</t>
  </si>
  <si>
    <t>Operating Expenses Before Depreciation and GASB Adjustments</t>
  </si>
  <si>
    <t>New Jersey Transit Expense Gross-Up</t>
  </si>
  <si>
    <t>Total Expenses</t>
  </si>
  <si>
    <t>Breakdown</t>
  </si>
  <si>
    <t>Subtotal CDOT General and Administrative Expenses</t>
  </si>
  <si>
    <t>East of Hudson Non-CDOT General and Administrative Expenses</t>
  </si>
  <si>
    <t>West of Hudson - Port Jervis Expenses</t>
  </si>
  <si>
    <t>West of Hudson - Pascack Valley Expenses</t>
  </si>
  <si>
    <t>CDOT Remaining Expenses</t>
  </si>
  <si>
    <t>East of Hudson Non-CDOT Remaining Expenses</t>
  </si>
  <si>
    <t>West of Hudson Passenger Counts</t>
  </si>
  <si>
    <t>PJ</t>
  </si>
  <si>
    <t>PV</t>
  </si>
  <si>
    <t>West of Hudson Breakdown</t>
  </si>
  <si>
    <t>Total ($ millions)</t>
  </si>
  <si>
    <t>East of Hudson Passenger Miles</t>
  </si>
  <si>
    <t>(excluding non MTA counties)</t>
  </si>
  <si>
    <t>East of Hudson Breakdown</t>
  </si>
  <si>
    <t>Could reasonably use one of two methodologies: 1) use all passenger miles, including those from non-MTA</t>
  </si>
  <si>
    <t>counties (most notably, New Haven) to divide up total East of Hudson expenses; 2) use passenger miles</t>
  </si>
  <si>
    <t>only from MTA counties to divide up East of Hudson Expenses less the CDOT contribution.</t>
  </si>
  <si>
    <t>HQ Expenses (excluding MTA Police)</t>
  </si>
  <si>
    <t>Note that total HQ expenditures provided in the split by Tara Infante differ slightly in 2005,</t>
  </si>
  <si>
    <t>(unscaled)</t>
  </si>
  <si>
    <t>and more dramatically in 2016, from the financial plan. In 2016, this is due to a hyperion issue.</t>
  </si>
  <si>
    <t xml:space="preserve">To account for this, the numbers are scaled so that the totals are consistent with the </t>
  </si>
  <si>
    <t>financial plans. The scaling is performed on the final numbers at the end of the calculation.</t>
  </si>
  <si>
    <t>Year</t>
  </si>
  <si>
    <t>Agency</t>
  </si>
  <si>
    <t>Expenses</t>
  </si>
  <si>
    <t>% of Total</t>
  </si>
  <si>
    <t>HQ Allocation</t>
  </si>
  <si>
    <t>LI Bus</t>
  </si>
  <si>
    <t>Scaling factors</t>
  </si>
  <si>
    <t>MNR EoH</t>
  </si>
  <si>
    <t xml:space="preserve">MNR WoH </t>
  </si>
  <si>
    <t>LI Bus %</t>
  </si>
  <si>
    <t>LI Bus Division</t>
  </si>
  <si>
    <t>MTA Bus %</t>
  </si>
  <si>
    <t>MTA Bus Div</t>
  </si>
  <si>
    <t>NYCT %</t>
  </si>
  <si>
    <t>NYCT Div</t>
  </si>
  <si>
    <t>SIR %</t>
  </si>
  <si>
    <t>SIR Div</t>
  </si>
  <si>
    <t>LIRR %</t>
  </si>
  <si>
    <t>LIRR Div</t>
  </si>
  <si>
    <t>EoH %</t>
  </si>
  <si>
    <t>EoH Div</t>
  </si>
  <si>
    <t>WoH %</t>
  </si>
  <si>
    <t>WoH Div</t>
  </si>
  <si>
    <t>B&amp;T %</t>
  </si>
  <si>
    <t>B&amp;T Div</t>
  </si>
  <si>
    <t>DED</t>
  </si>
  <si>
    <t>Admin</t>
  </si>
  <si>
    <t>Special Ops</t>
  </si>
  <si>
    <t>Eastern</t>
  </si>
  <si>
    <t>Northern</t>
  </si>
  <si>
    <t>Southern</t>
  </si>
  <si>
    <t>CDOT Exp. Recovery</t>
  </si>
  <si>
    <t>Other Exp. Recovery</t>
  </si>
  <si>
    <t>Total after exp. recovery</t>
  </si>
  <si>
    <t>Total before exp recovery</t>
  </si>
  <si>
    <t>East/North/South share of</t>
  </si>
  <si>
    <t>DED, Admin &amp; Special Ops</t>
  </si>
  <si>
    <t>East/North/South Totals</t>
  </si>
  <si>
    <t>Note: There are two approaches to handling the CDOT expense recovery.</t>
  </si>
  <si>
    <t>1) Use all passenger miles, including from non-MTA regions (including, most notably,</t>
  </si>
  <si>
    <t xml:space="preserve">CT), to divide up total Northern police expenditure; </t>
  </si>
  <si>
    <t>2) Use just passenger miles from the MTA regions to divide up Northern police</t>
  </si>
  <si>
    <r>
      <t xml:space="preserve">expenditure </t>
    </r>
    <r>
      <rPr>
        <i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>CDOT expense recovery. The first approach is taken.</t>
    </r>
  </si>
  <si>
    <t>Note also that total HQ expenditures provided in the split by Tara Infante differ slightly in 2005,</t>
  </si>
  <si>
    <t>financial plans.</t>
  </si>
  <si>
    <t>Note: 2005 numbers come from the 2005 study, which provides no justification.</t>
  </si>
  <si>
    <t>HQ %</t>
  </si>
  <si>
    <t>HQ Div</t>
  </si>
  <si>
    <t>Metro-North</t>
  </si>
  <si>
    <t>2000-2004</t>
  </si>
  <si>
    <t>2005-2009</t>
  </si>
  <si>
    <t>2010-2014</t>
  </si>
  <si>
    <t>Sandy</t>
  </si>
  <si>
    <t>All</t>
  </si>
  <si>
    <t>East of Hudson</t>
  </si>
  <si>
    <t>Orange, Rockland</t>
  </si>
  <si>
    <t>Putnam, Dutchess</t>
  </si>
  <si>
    <t>West of Hudson</t>
  </si>
  <si>
    <t>MNR/NYCT (Grand Central Work)</t>
  </si>
  <si>
    <t>MNR/NYCT Grand Central Split</t>
  </si>
  <si>
    <t>Annual Passengers Using GC in 2016</t>
  </si>
  <si>
    <t>EoH Passenger Miles Split</t>
  </si>
  <si>
    <t>Note that on the New Haven Line, CDOT pays for capital improvements.</t>
  </si>
  <si>
    <t>For shared capital improvements (e.g. rolling stock), the expenditure numbers</t>
  </si>
  <si>
    <t>exclude the CDOT portion. As such, the split of CDOT expenses amongst counties</t>
  </si>
  <si>
    <t xml:space="preserve">excludes the "other" counties (most significantly, CT). </t>
  </si>
  <si>
    <t>WoH Split</t>
  </si>
  <si>
    <t>WoH/EoH Split</t>
  </si>
  <si>
    <t xml:space="preserve">WoH </t>
  </si>
  <si>
    <t>EoH</t>
  </si>
  <si>
    <t>All Split</t>
  </si>
  <si>
    <t>Dutchess/Putnam Split</t>
  </si>
  <si>
    <t>Orange/Rockland Split</t>
  </si>
  <si>
    <t>Nassau, Suffolk</t>
  </si>
  <si>
    <t>Nassau, NYC</t>
  </si>
  <si>
    <t>NYC, Suffolk</t>
  </si>
  <si>
    <t>LIRR/NYCT (Penn Station Security Work)</t>
  </si>
  <si>
    <t>LIRR/NYCT Penn Station Split</t>
  </si>
  <si>
    <t>Nassau/Suffolk Split</t>
  </si>
  <si>
    <t>Nassau/NYC Split</t>
  </si>
  <si>
    <t>NYC/Suffolk Split</t>
  </si>
  <si>
    <t>B&amp;T Split</t>
  </si>
  <si>
    <t>MTA Police</t>
  </si>
  <si>
    <t>MTA Police Split ($) expended</t>
  </si>
  <si>
    <t>MTA Police Split %</t>
  </si>
  <si>
    <t>All Split $ expended (HQ expenses)</t>
  </si>
  <si>
    <t>All Split %</t>
  </si>
  <si>
    <t>MNR Capital Excluding Rolling Stk</t>
  </si>
  <si>
    <t>MNR less Roll Stk</t>
  </si>
  <si>
    <t>MNR Rolling Stk</t>
  </si>
  <si>
    <t>MNR Rolling Stock</t>
  </si>
  <si>
    <t>MNR All</t>
  </si>
  <si>
    <t>EoH Passenger Count Split</t>
  </si>
  <si>
    <t>All Split (Based on Passenger Miles)</t>
  </si>
  <si>
    <t>LIRR Capital Excluding Rolling Stock</t>
  </si>
  <si>
    <t>LIRR less roll stk</t>
  </si>
  <si>
    <t>LIRR Rolling Stock</t>
  </si>
  <si>
    <t>LIRR rolling stock</t>
  </si>
  <si>
    <t>All Split (passenger count)</t>
  </si>
  <si>
    <t>All Split (passenger miles)</t>
  </si>
  <si>
    <t>2000-2004 Capital Program</t>
  </si>
  <si>
    <t>2005-2009 Capital Program</t>
  </si>
  <si>
    <t>2010-2014 Capital Program</t>
  </si>
  <si>
    <t>2015-2019 Capital Program</t>
  </si>
  <si>
    <t>HYIC</t>
  </si>
  <si>
    <t>Pending / FUTURE</t>
  </si>
  <si>
    <t>Total through 2017 (excluding HYIC and Pending)</t>
  </si>
  <si>
    <t>5 year average ($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</si>
</sst>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#,##0.000"/>
    <numFmt numFmtId="166" formatCode="&quot;$&quot;#,##0"/>
    <numFmt numFmtId="167" formatCode="#,##0.000_);\(#,##0.000\)"/>
    <numFmt numFmtId="168" formatCode="&quot;$&quot;#,##0.00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1"/>
      <color theme="1"/>
      <name val="Calibri"/>
      <family val="2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rgb="FF00B050"/>
      <name val="Arial"/>
      <family val="2"/>
    </font>
    <font>
      <sz val="11"/>
      <color rgb="FF00B050"/>
      <name val="Calibri"/>
      <family val="2"/>
      <scheme val="minor"/>
    </font>
    <font>
      <sz val="9"/>
      <color rgb="FF0070C0"/>
      <name val="Arial"/>
      <family val="2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F3F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CDCD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13" fillId="0" borderId="0"/>
  </cellStyleXfs>
  <cellXfs count="22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Border="1"/>
    <xf numFmtId="3" fontId="0" fillId="0" borderId="0" xfId="0" applyNumberFormat="1"/>
    <xf numFmtId="3" fontId="1" fillId="0" borderId="0" xfId="0" applyNumberFormat="1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4" fontId="0" fillId="0" borderId="0" xfId="0" applyNumberFormat="1"/>
    <xf numFmtId="4" fontId="1" fillId="0" borderId="0" xfId="0" applyNumberFormat="1" applyFont="1"/>
    <xf numFmtId="3" fontId="0" fillId="0" borderId="0" xfId="0" applyNumberFormat="1" applyAlignment="1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ont="1"/>
    <xf numFmtId="164" fontId="0" fillId="0" borderId="0" xfId="0" applyNumberFormat="1"/>
    <xf numFmtId="0" fontId="0" fillId="0" borderId="0" xfId="0" applyBorder="1"/>
    <xf numFmtId="0" fontId="5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0" fillId="0" borderId="3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0" fontId="0" fillId="0" borderId="3" xfId="0" applyNumberFormat="1" applyBorder="1"/>
    <xf numFmtId="10" fontId="0" fillId="0" borderId="1" xfId="0" applyNumberFormat="1" applyBorder="1"/>
    <xf numFmtId="10" fontId="1" fillId="0" borderId="8" xfId="0" applyNumberFormat="1" applyFont="1" applyBorder="1" applyAlignment="1">
      <alignment horizontal="center"/>
    </xf>
    <xf numFmtId="4" fontId="1" fillId="0" borderId="3" xfId="0" applyNumberFormat="1" applyFont="1" applyBorder="1"/>
    <xf numFmtId="4" fontId="1" fillId="0" borderId="1" xfId="0" applyNumberFormat="1" applyFont="1" applyBorder="1"/>
    <xf numFmtId="2" fontId="0" fillId="0" borderId="1" xfId="0" applyNumberFormat="1" applyBorder="1"/>
    <xf numFmtId="2" fontId="0" fillId="0" borderId="0" xfId="0" applyNumberFormat="1"/>
    <xf numFmtId="0" fontId="1" fillId="0" borderId="0" xfId="0" applyFont="1" applyBorder="1" applyAlignment="1">
      <alignment horizontal="right"/>
    </xf>
    <xf numFmtId="0" fontId="0" fillId="0" borderId="0" xfId="0" applyFont="1"/>
    <xf numFmtId="0" fontId="0" fillId="0" borderId="0" xfId="0" applyAlignment="1">
      <alignment horizontal="right"/>
    </xf>
    <xf numFmtId="3" fontId="0" fillId="0" borderId="0" xfId="0" applyNumberFormat="1" applyFill="1"/>
    <xf numFmtId="165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center"/>
    </xf>
    <xf numFmtId="0" fontId="0" fillId="2" borderId="0" xfId="0" applyFill="1"/>
    <xf numFmtId="3" fontId="0" fillId="2" borderId="0" xfId="0" applyNumberFormat="1" applyFill="1"/>
    <xf numFmtId="0" fontId="1" fillId="2" borderId="0" xfId="0" applyFont="1" applyFill="1"/>
    <xf numFmtId="0" fontId="1" fillId="0" borderId="0" xfId="0" applyFont="1" applyBorder="1"/>
    <xf numFmtId="0" fontId="1" fillId="0" borderId="0" xfId="0" applyNumberFormat="1" applyFont="1"/>
    <xf numFmtId="166" fontId="8" fillId="0" borderId="0" xfId="1" applyNumberFormat="1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0" fontId="6" fillId="0" borderId="10" xfId="0" applyFont="1" applyFill="1" applyBorder="1"/>
    <xf numFmtId="0" fontId="6" fillId="0" borderId="9" xfId="0" applyFont="1" applyFill="1" applyBorder="1"/>
    <xf numFmtId="164" fontId="6" fillId="0" borderId="2" xfId="0" applyNumberFormat="1" applyFont="1" applyFill="1" applyBorder="1"/>
    <xf numFmtId="10" fontId="5" fillId="0" borderId="0" xfId="0" applyNumberFormat="1" applyFont="1" applyFill="1" applyBorder="1"/>
    <xf numFmtId="0" fontId="6" fillId="0" borderId="2" xfId="0" applyFont="1" applyFill="1" applyBorder="1"/>
    <xf numFmtId="10" fontId="6" fillId="0" borderId="0" xfId="0" applyNumberFormat="1" applyFont="1" applyFill="1" applyBorder="1"/>
    <xf numFmtId="165" fontId="5" fillId="0" borderId="0" xfId="0" applyNumberFormat="1" applyFont="1" applyFill="1" applyBorder="1"/>
    <xf numFmtId="165" fontId="6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3" fontId="0" fillId="0" borderId="0" xfId="0" applyNumberFormat="1" applyFont="1"/>
    <xf numFmtId="0" fontId="1" fillId="0" borderId="0" xfId="0" applyFont="1" applyFill="1" applyBorder="1"/>
    <xf numFmtId="0" fontId="9" fillId="0" borderId="0" xfId="0" applyFont="1" applyFill="1" applyBorder="1"/>
    <xf numFmtId="0" fontId="10" fillId="0" borderId="0" xfId="0" applyFont="1"/>
    <xf numFmtId="0" fontId="11" fillId="0" borderId="0" xfId="0" applyFont="1"/>
    <xf numFmtId="3" fontId="0" fillId="3" borderId="0" xfId="0" applyNumberFormat="1" applyFill="1"/>
    <xf numFmtId="165" fontId="0" fillId="0" borderId="4" xfId="0" applyNumberFormat="1" applyBorder="1"/>
    <xf numFmtId="165" fontId="0" fillId="0" borderId="11" xfId="0" applyNumberForma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165" fontId="0" fillId="0" borderId="13" xfId="0" applyNumberFormat="1" applyBorder="1"/>
    <xf numFmtId="165" fontId="0" fillId="0" borderId="12" xfId="0" applyNumberFormat="1" applyBorder="1"/>
    <xf numFmtId="0" fontId="1" fillId="0" borderId="2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65" fontId="1" fillId="0" borderId="12" xfId="0" applyNumberFormat="1" applyFont="1" applyBorder="1"/>
    <xf numFmtId="10" fontId="0" fillId="0" borderId="2" xfId="0" applyNumberFormat="1" applyBorder="1"/>
    <xf numFmtId="10" fontId="0" fillId="0" borderId="23" xfId="0" applyNumberFormat="1" applyBorder="1"/>
    <xf numFmtId="10" fontId="0" fillId="0" borderId="21" xfId="0" applyNumberFormat="1" applyBorder="1"/>
    <xf numFmtId="10" fontId="0" fillId="0" borderId="19" xfId="0" applyNumberFormat="1" applyBorder="1"/>
    <xf numFmtId="165" fontId="0" fillId="0" borderId="5" xfId="0" applyNumberFormat="1" applyBorder="1"/>
    <xf numFmtId="165" fontId="0" fillId="0" borderId="24" xfId="0" applyNumberFormat="1" applyBorder="1"/>
    <xf numFmtId="165" fontId="0" fillId="0" borderId="25" xfId="0" applyNumberFormat="1" applyBorder="1"/>
    <xf numFmtId="165" fontId="0" fillId="2" borderId="11" xfId="0" applyNumberFormat="1" applyFill="1" applyBorder="1"/>
    <xf numFmtId="0" fontId="6" fillId="0" borderId="14" xfId="0" applyFont="1" applyFill="1" applyBorder="1" applyAlignment="1">
      <alignment horizontal="center"/>
    </xf>
    <xf numFmtId="10" fontId="1" fillId="0" borderId="20" xfId="0" applyNumberFormat="1" applyFont="1" applyBorder="1"/>
    <xf numFmtId="3" fontId="1" fillId="0" borderId="15" xfId="0" applyNumberFormat="1" applyFont="1" applyBorder="1" applyAlignment="1">
      <alignment horizontal="center"/>
    </xf>
    <xf numFmtId="3" fontId="0" fillId="0" borderId="4" xfId="0" applyNumberFormat="1" applyBorder="1"/>
    <xf numFmtId="3" fontId="1" fillId="0" borderId="15" xfId="0" applyNumberFormat="1" applyFont="1" applyBorder="1"/>
    <xf numFmtId="3" fontId="1" fillId="0" borderId="16" xfId="0" applyNumberFormat="1" applyFont="1" applyBorder="1" applyAlignment="1">
      <alignment horizontal="center"/>
    </xf>
    <xf numFmtId="3" fontId="0" fillId="0" borderId="11" xfId="0" applyNumberFormat="1" applyBorder="1"/>
    <xf numFmtId="3" fontId="1" fillId="0" borderId="16" xfId="0" applyNumberFormat="1" applyFont="1" applyBorder="1"/>
    <xf numFmtId="3" fontId="0" fillId="2" borderId="11" xfId="0" applyNumberFormat="1" applyFill="1" applyBorder="1"/>
    <xf numFmtId="3" fontId="0" fillId="4" borderId="0" xfId="0" applyNumberFormat="1" applyFill="1"/>
    <xf numFmtId="0" fontId="0" fillId="4" borderId="0" xfId="0" applyFill="1"/>
    <xf numFmtId="3" fontId="1" fillId="4" borderId="0" xfId="0" applyNumberFormat="1" applyFont="1" applyFill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0" fillId="0" borderId="0" xfId="0" applyFill="1" applyBorder="1"/>
    <xf numFmtId="0" fontId="0" fillId="0" borderId="4" xfId="0" applyFill="1" applyBorder="1"/>
    <xf numFmtId="0" fontId="14" fillId="0" borderId="0" xfId="2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7" fillId="0" borderId="0" xfId="2" applyFont="1" applyFill="1"/>
    <xf numFmtId="0" fontId="17" fillId="0" borderId="0" xfId="2" applyFont="1"/>
    <xf numFmtId="0" fontId="19" fillId="0" borderId="0" xfId="2" applyFont="1"/>
    <xf numFmtId="0" fontId="20" fillId="0" borderId="0" xfId="0" applyFont="1"/>
    <xf numFmtId="167" fontId="17" fillId="0" borderId="0" xfId="2" applyNumberFormat="1" applyFont="1" applyBorder="1"/>
    <xf numFmtId="165" fontId="18" fillId="0" borderId="0" xfId="0" applyNumberFormat="1" applyFont="1"/>
    <xf numFmtId="165" fontId="20" fillId="0" borderId="0" xfId="0" applyNumberFormat="1" applyFont="1"/>
    <xf numFmtId="0" fontId="21" fillId="0" borderId="0" xfId="0" applyFont="1"/>
    <xf numFmtId="0" fontId="22" fillId="0" borderId="0" xfId="0" applyFont="1"/>
    <xf numFmtId="165" fontId="22" fillId="0" borderId="0" xfId="0" applyNumberFormat="1" applyFont="1"/>
    <xf numFmtId="0" fontId="23" fillId="0" borderId="0" xfId="0" applyFont="1"/>
    <xf numFmtId="0" fontId="24" fillId="0" borderId="0" xfId="0" applyFont="1"/>
    <xf numFmtId="3" fontId="20" fillId="0" borderId="0" xfId="0" applyNumberFormat="1" applyFont="1"/>
    <xf numFmtId="0" fontId="25" fillId="0" borderId="0" xfId="0" applyFont="1"/>
    <xf numFmtId="10" fontId="20" fillId="0" borderId="0" xfId="0" applyNumberFormat="1" applyFont="1"/>
    <xf numFmtId="10" fontId="18" fillId="0" borderId="0" xfId="0" applyNumberFormat="1" applyFont="1"/>
    <xf numFmtId="0" fontId="26" fillId="0" borderId="0" xfId="0" applyFont="1"/>
    <xf numFmtId="3" fontId="22" fillId="0" borderId="0" xfId="0" applyNumberFormat="1" applyFont="1"/>
    <xf numFmtId="10" fontId="22" fillId="0" borderId="0" xfId="0" applyNumberFormat="1" applyFont="1"/>
    <xf numFmtId="0" fontId="27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0" fontId="0" fillId="0" borderId="26" xfId="0" applyNumberFormat="1" applyBorder="1"/>
    <xf numFmtId="165" fontId="1" fillId="0" borderId="0" xfId="0" applyNumberFormat="1" applyFont="1" applyFill="1"/>
    <xf numFmtId="0" fontId="0" fillId="0" borderId="0" xfId="0" applyFill="1"/>
    <xf numFmtId="0" fontId="1" fillId="6" borderId="0" xfId="0" applyFont="1" applyFill="1"/>
    <xf numFmtId="165" fontId="1" fillId="6" borderId="0" xfId="0" applyNumberFormat="1" applyFont="1" applyFill="1"/>
    <xf numFmtId="0" fontId="0" fillId="5" borderId="0" xfId="0" applyFill="1"/>
    <xf numFmtId="0" fontId="0" fillId="0" borderId="0" xfId="0" applyFont="1" applyFill="1"/>
    <xf numFmtId="0" fontId="1" fillId="0" borderId="9" xfId="0" applyFont="1" applyBorder="1"/>
    <xf numFmtId="0" fontId="28" fillId="0" borderId="0" xfId="0" applyFont="1"/>
    <xf numFmtId="165" fontId="0" fillId="0" borderId="0" xfId="0" applyNumberFormat="1" applyFill="1" applyAlignment="1">
      <alignment horizontal="right"/>
    </xf>
    <xf numFmtId="0" fontId="1" fillId="7" borderId="0" xfId="0" applyFont="1" applyFill="1"/>
    <xf numFmtId="0" fontId="0" fillId="8" borderId="0" xfId="0" applyFont="1" applyFill="1"/>
    <xf numFmtId="165" fontId="0" fillId="8" borderId="0" xfId="0" applyNumberFormat="1" applyFill="1" applyAlignment="1">
      <alignment horizontal="right"/>
    </xf>
    <xf numFmtId="0" fontId="0" fillId="8" borderId="0" xfId="0" applyFill="1"/>
    <xf numFmtId="165" fontId="0" fillId="0" borderId="0" xfId="0" applyNumberFormat="1" applyAlignment="1">
      <alignment horizontal="right"/>
    </xf>
    <xf numFmtId="165" fontId="0" fillId="0" borderId="9" xfId="0" applyNumberFormat="1" applyBorder="1" applyAlignment="1">
      <alignment horizontal="right"/>
    </xf>
    <xf numFmtId="165" fontId="1" fillId="7" borderId="0" xfId="0" applyNumberFormat="1" applyFont="1" applyFill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8" borderId="0" xfId="0" applyNumberFormat="1" applyFill="1" applyBorder="1" applyAlignment="1">
      <alignment horizontal="center"/>
    </xf>
    <xf numFmtId="165" fontId="0" fillId="8" borderId="2" xfId="0" applyNumberFormat="1" applyFill="1" applyBorder="1" applyAlignment="1">
      <alignment horizontal="center"/>
    </xf>
    <xf numFmtId="165" fontId="0" fillId="8" borderId="28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3" fontId="1" fillId="0" borderId="0" xfId="0" applyNumberFormat="1" applyFont="1" applyFill="1"/>
    <xf numFmtId="43" fontId="0" fillId="0" borderId="0" xfId="1" applyFont="1"/>
    <xf numFmtId="43" fontId="1" fillId="0" borderId="0" xfId="0" applyNumberFormat="1" applyFont="1"/>
    <xf numFmtId="43" fontId="0" fillId="3" borderId="0" xfId="0" applyNumberFormat="1" applyFill="1"/>
    <xf numFmtId="8" fontId="5" fillId="0" borderId="0" xfId="0" applyNumberFormat="1" applyFont="1" applyFill="1" applyBorder="1" applyAlignment="1">
      <alignment horizontal="right"/>
    </xf>
    <xf numFmtId="8" fontId="6" fillId="0" borderId="0" xfId="0" applyNumberFormat="1" applyFont="1" applyFill="1" applyBorder="1" applyAlignment="1">
      <alignment horizontal="right"/>
    </xf>
    <xf numFmtId="168" fontId="0" fillId="0" borderId="0" xfId="0" applyNumberFormat="1"/>
    <xf numFmtId="168" fontId="6" fillId="0" borderId="0" xfId="0" applyNumberFormat="1" applyFont="1" applyFill="1" applyBorder="1"/>
    <xf numFmtId="0" fontId="0" fillId="3" borderId="0" xfId="0" applyFill="1"/>
    <xf numFmtId="0" fontId="1" fillId="0" borderId="0" xfId="0" applyFont="1" applyFill="1" applyAlignment="1">
      <alignment horizontal="right"/>
    </xf>
    <xf numFmtId="4" fontId="0" fillId="0" borderId="0" xfId="0" applyNumberFormat="1" applyFill="1"/>
    <xf numFmtId="4" fontId="1" fillId="0" borderId="0" xfId="0" applyNumberFormat="1" applyFont="1" applyFill="1"/>
    <xf numFmtId="2" fontId="1" fillId="0" borderId="4" xfId="0" applyNumberFormat="1" applyFont="1" applyFill="1" applyBorder="1"/>
    <xf numFmtId="4" fontId="1" fillId="0" borderId="4" xfId="0" applyNumberFormat="1" applyFont="1" applyFill="1" applyBorder="1"/>
    <xf numFmtId="2" fontId="1" fillId="0" borderId="0" xfId="0" applyNumberFormat="1" applyFont="1"/>
    <xf numFmtId="2" fontId="0" fillId="3" borderId="0" xfId="0" applyNumberFormat="1" applyFill="1"/>
    <xf numFmtId="44" fontId="0" fillId="0" borderId="0" xfId="0" applyNumberFormat="1"/>
    <xf numFmtId="3" fontId="0" fillId="9" borderId="0" xfId="0" applyNumberFormat="1" applyFill="1"/>
    <xf numFmtId="165" fontId="0" fillId="3" borderId="0" xfId="0" applyNumberFormat="1" applyFill="1"/>
    <xf numFmtId="0" fontId="0" fillId="8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8" borderId="0" xfId="0" applyFont="1" applyFill="1" applyAlignment="1">
      <alignment horizontal="center"/>
    </xf>
    <xf numFmtId="0" fontId="1" fillId="8" borderId="0" xfId="0" applyFont="1" applyFill="1"/>
    <xf numFmtId="165" fontId="1" fillId="8" borderId="0" xfId="0" applyNumberFormat="1" applyFont="1" applyFill="1" applyAlignment="1">
      <alignment horizontal="right"/>
    </xf>
    <xf numFmtId="165" fontId="0" fillId="8" borderId="27" xfId="0" applyNumberFormat="1" applyFill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8" borderId="27" xfId="0" applyNumberFormat="1" applyFill="1" applyBorder="1" applyAlignment="1">
      <alignment horizontal="center"/>
    </xf>
    <xf numFmtId="0" fontId="30" fillId="0" borderId="0" xfId="0" applyFont="1"/>
    <xf numFmtId="0" fontId="29" fillId="0" borderId="9" xfId="0" applyFont="1" applyBorder="1"/>
    <xf numFmtId="0" fontId="30" fillId="8" borderId="0" xfId="0" applyFont="1" applyFill="1"/>
    <xf numFmtId="165" fontId="30" fillId="8" borderId="0" xfId="0" applyNumberFormat="1" applyFont="1" applyFill="1" applyAlignment="1">
      <alignment horizontal="right"/>
    </xf>
    <xf numFmtId="165" fontId="30" fillId="0" borderId="0" xfId="0" applyNumberFormat="1" applyFont="1" applyFill="1" applyAlignment="1">
      <alignment horizontal="right"/>
    </xf>
    <xf numFmtId="165" fontId="30" fillId="0" borderId="0" xfId="0" applyNumberFormat="1" applyFont="1" applyAlignment="1">
      <alignment horizontal="right"/>
    </xf>
    <xf numFmtId="0" fontId="30" fillId="0" borderId="0" xfId="0" applyFont="1" applyFill="1"/>
    <xf numFmtId="0" fontId="29" fillId="8" borderId="0" xfId="0" applyFont="1" applyFill="1"/>
    <xf numFmtId="165" fontId="29" fillId="8" borderId="0" xfId="0" applyNumberFormat="1" applyFont="1" applyFill="1" applyAlignment="1">
      <alignment horizontal="right"/>
    </xf>
    <xf numFmtId="165" fontId="30" fillId="0" borderId="9" xfId="0" applyNumberFormat="1" applyFont="1" applyBorder="1" applyAlignment="1">
      <alignment horizontal="right"/>
    </xf>
    <xf numFmtId="0" fontId="29" fillId="7" borderId="0" xfId="0" applyFont="1" applyFill="1"/>
    <xf numFmtId="165" fontId="29" fillId="7" borderId="0" xfId="0" applyNumberFormat="1" applyFont="1" applyFill="1" applyAlignment="1">
      <alignment horizontal="right"/>
    </xf>
    <xf numFmtId="0" fontId="29" fillId="0" borderId="0" xfId="0" applyFont="1" applyFill="1"/>
    <xf numFmtId="165" fontId="29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0" fontId="31" fillId="0" borderId="0" xfId="0" applyFont="1" applyFill="1" applyBorder="1" applyAlignment="1">
      <alignment horizontal="center"/>
    </xf>
    <xf numFmtId="0" fontId="29" fillId="0" borderId="9" xfId="0" applyFont="1" applyBorder="1" applyAlignment="1">
      <alignment horizontal="right" readingOrder="1"/>
    </xf>
    <xf numFmtId="0" fontId="29" fillId="0" borderId="0" xfId="0" applyFont="1"/>
    <xf numFmtId="165" fontId="33" fillId="0" borderId="0" xfId="0" applyNumberFormat="1" applyFont="1"/>
    <xf numFmtId="165" fontId="33" fillId="0" borderId="0" xfId="0" applyNumberFormat="1" applyFont="1" applyAlignment="1">
      <alignment horizontal="center"/>
    </xf>
    <xf numFmtId="165" fontId="32" fillId="0" borderId="0" xfId="0" applyNumberFormat="1" applyFont="1"/>
    <xf numFmtId="165" fontId="33" fillId="0" borderId="0" xfId="0" applyNumberFormat="1" applyFont="1" applyAlignment="1">
      <alignment horizontal="right"/>
    </xf>
    <xf numFmtId="164" fontId="33" fillId="0" borderId="0" xfId="0" applyNumberFormat="1" applyFont="1"/>
    <xf numFmtId="165" fontId="29" fillId="0" borderId="9" xfId="0" applyNumberFormat="1" applyFont="1" applyBorder="1" applyAlignment="1">
      <alignment horizontal="center"/>
    </xf>
    <xf numFmtId="0" fontId="29" fillId="10" borderId="0" xfId="0" applyFont="1" applyFill="1"/>
    <xf numFmtId="165" fontId="33" fillId="8" borderId="0" xfId="0" applyNumberFormat="1" applyFont="1" applyFill="1"/>
    <xf numFmtId="165" fontId="33" fillId="8" borderId="0" xfId="0" applyNumberFormat="1" applyFont="1" applyFill="1" applyAlignment="1">
      <alignment horizontal="center"/>
    </xf>
    <xf numFmtId="165" fontId="32" fillId="8" borderId="0" xfId="0" applyNumberFormat="1" applyFont="1" applyFill="1"/>
    <xf numFmtId="165" fontId="33" fillId="0" borderId="9" xfId="0" applyNumberFormat="1" applyFont="1" applyBorder="1"/>
    <xf numFmtId="165" fontId="32" fillId="10" borderId="0" xfId="0" applyNumberFormat="1" applyFont="1" applyFill="1"/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2" xfId="0" applyBorder="1" applyAlignme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Normal_Summary" xfId="2" xr:uid="{00000000-0005-0000-0000-000002000000}"/>
  </cellStyles>
  <dxfs count="0"/>
  <tableStyles count="0" defaultTableStyle="TableStyleMedium2" defaultPivotStyle="PivotStyleLight16"/>
  <colors>
    <mruColors>
      <color rgb="FFDCDCDC"/>
      <color rgb="FFECECEC"/>
      <color rgb="FFEBF3FB"/>
      <color rgb="FFE2E2E2"/>
      <color rgb="FFF5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Summary'!$C$2</c:f>
              <c:strCache>
                <c:ptCount val="1"/>
                <c:pt idx="0">
                  <c:v>2005 (Revised)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'Small Summary'!$A$3:$A$11</c:f>
              <c:strCache>
                <c:ptCount val="9"/>
                <c:pt idx="0">
                  <c:v>Dutchess</c:v>
                </c:pt>
                <c:pt idx="1">
                  <c:v>Orange</c:v>
                </c:pt>
                <c:pt idx="2">
                  <c:v>Rockland</c:v>
                </c:pt>
                <c:pt idx="3">
                  <c:v>Putnam</c:v>
                </c:pt>
                <c:pt idx="4">
                  <c:v>Westchester</c:v>
                </c:pt>
                <c:pt idx="5">
                  <c:v>Nassau</c:v>
                </c:pt>
                <c:pt idx="6">
                  <c:v>Suffolk</c:v>
                </c:pt>
                <c:pt idx="7">
                  <c:v>NYC</c:v>
                </c:pt>
                <c:pt idx="8">
                  <c:v>MTA Region</c:v>
                </c:pt>
              </c:strCache>
            </c:strRef>
          </c:cat>
          <c:val>
            <c:numRef>
              <c:f>'Small Summary'!$C$3:$C$11</c:f>
              <c:numCache>
                <c:formatCode>0.000</c:formatCode>
                <c:ptCount val="9"/>
                <c:pt idx="0" formatCode="#,##0.000">
                  <c:v>1.404592223135672</c:v>
                </c:pt>
                <c:pt idx="1">
                  <c:v>1.0107938405401966</c:v>
                </c:pt>
                <c:pt idx="2">
                  <c:v>0.63178269956618505</c:v>
                </c:pt>
                <c:pt idx="3">
                  <c:v>1.4669174314139206</c:v>
                </c:pt>
                <c:pt idx="4">
                  <c:v>1.319429014355759</c:v>
                </c:pt>
                <c:pt idx="5">
                  <c:v>1.6038128303668038</c:v>
                </c:pt>
                <c:pt idx="6">
                  <c:v>1.3376527266743317</c:v>
                </c:pt>
                <c:pt idx="7">
                  <c:v>1.4370027994566112</c:v>
                </c:pt>
                <c:pt idx="8">
                  <c:v>1.424638878422767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0-482B-BC49-F5C8A90F9599}"/>
            </c:ext>
          </c:extLst>
        </c:ser>
        <c:ser>
          <c:idx val="1"/>
          <c:order val="1"/>
          <c:tx>
            <c:strRef>
              <c:f>'Small Summary'!$D$2</c:f>
              <c:strCache>
                <c:ptCount val="1"/>
                <c:pt idx="0">
                  <c:v>2011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'Small Summary'!$A$3:$A$11</c:f>
              <c:strCache>
                <c:ptCount val="9"/>
                <c:pt idx="0">
                  <c:v>Dutchess</c:v>
                </c:pt>
                <c:pt idx="1">
                  <c:v>Orange</c:v>
                </c:pt>
                <c:pt idx="2">
                  <c:v>Rockland</c:v>
                </c:pt>
                <c:pt idx="3">
                  <c:v>Putnam</c:v>
                </c:pt>
                <c:pt idx="4">
                  <c:v>Westchester</c:v>
                </c:pt>
                <c:pt idx="5">
                  <c:v>Nassau</c:v>
                </c:pt>
                <c:pt idx="6">
                  <c:v>Suffolk</c:v>
                </c:pt>
                <c:pt idx="7">
                  <c:v>NYC</c:v>
                </c:pt>
                <c:pt idx="8">
                  <c:v>MTA Region</c:v>
                </c:pt>
              </c:strCache>
            </c:strRef>
          </c:cat>
          <c:val>
            <c:numRef>
              <c:f>'Small Summary'!$D$3:$D$11</c:f>
              <c:numCache>
                <c:formatCode>0.000</c:formatCode>
                <c:ptCount val="9"/>
                <c:pt idx="0" formatCode="#,##0.000">
                  <c:v>1.0493522751798925</c:v>
                </c:pt>
                <c:pt idx="1">
                  <c:v>0.75276442068711169</c:v>
                </c:pt>
                <c:pt idx="2">
                  <c:v>0.44351916710828931</c:v>
                </c:pt>
                <c:pt idx="3">
                  <c:v>1.1638030946982851</c:v>
                </c:pt>
                <c:pt idx="4">
                  <c:v>0.99665869846716526</c:v>
                </c:pt>
                <c:pt idx="5">
                  <c:v>1.2987495498294341</c:v>
                </c:pt>
                <c:pt idx="6">
                  <c:v>1.0683472087906043</c:v>
                </c:pt>
                <c:pt idx="7">
                  <c:v>1.1902869815962442</c:v>
                </c:pt>
                <c:pt idx="8">
                  <c:v>1.1658139467566808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0-482B-BC49-F5C8A90F9599}"/>
            </c:ext>
          </c:extLst>
        </c:ser>
        <c:ser>
          <c:idx val="2"/>
          <c:order val="2"/>
          <c:tx>
            <c:strRef>
              <c:f>'Small Summary'!$E$2</c:f>
              <c:strCache>
                <c:ptCount val="1"/>
                <c:pt idx="0">
                  <c:v>2016</c:v>
                </c:pt>
              </c:strCache>
            </c:strRef>
          </c:tx>
          <c:spPr>
            <a:pattFill prst="pct25">
              <a:fgClr>
                <a:srgbClr val="FF5757"/>
              </a:fgClr>
              <a:bgClr>
                <a:schemeClr val="bg1"/>
              </a:bgClr>
            </a:pattFill>
            <a:ln>
              <a:solidFill>
                <a:srgbClr val="FF5757"/>
              </a:solidFill>
            </a:ln>
            <a:effectLst/>
          </c:spPr>
          <c:invertIfNegative val="0"/>
          <c:cat>
            <c:strRef>
              <c:f>'Small Summary'!$A$3:$A$11</c:f>
              <c:strCache>
                <c:ptCount val="9"/>
                <c:pt idx="0">
                  <c:v>Dutchess</c:v>
                </c:pt>
                <c:pt idx="1">
                  <c:v>Orange</c:v>
                </c:pt>
                <c:pt idx="2">
                  <c:v>Rockland</c:v>
                </c:pt>
                <c:pt idx="3">
                  <c:v>Putnam</c:v>
                </c:pt>
                <c:pt idx="4">
                  <c:v>Westchester</c:v>
                </c:pt>
                <c:pt idx="5">
                  <c:v>Nassau</c:v>
                </c:pt>
                <c:pt idx="6">
                  <c:v>Suffolk</c:v>
                </c:pt>
                <c:pt idx="7">
                  <c:v>NYC</c:v>
                </c:pt>
                <c:pt idx="8">
                  <c:v>MTA Region</c:v>
                </c:pt>
              </c:strCache>
            </c:strRef>
          </c:cat>
          <c:val>
            <c:numRef>
              <c:f>'Small Summary'!$E$3:$E$11</c:f>
              <c:numCache>
                <c:formatCode>0.000</c:formatCode>
                <c:ptCount val="9"/>
                <c:pt idx="0" formatCode="#,##0.000">
                  <c:v>1.0404772501855564</c:v>
                </c:pt>
                <c:pt idx="1">
                  <c:v>0.71214720865490622</c:v>
                </c:pt>
                <c:pt idx="2">
                  <c:v>0.38914190126762138</c:v>
                </c:pt>
                <c:pt idx="3">
                  <c:v>1.1659873011045598</c:v>
                </c:pt>
                <c:pt idx="4">
                  <c:v>0.92924015368073032</c:v>
                </c:pt>
                <c:pt idx="5">
                  <c:v>1.2092803644244308</c:v>
                </c:pt>
                <c:pt idx="6">
                  <c:v>1.0604983946407527</c:v>
                </c:pt>
                <c:pt idx="7">
                  <c:v>1.0512730268285433</c:v>
                </c:pt>
                <c:pt idx="8">
                  <c:v>1.048562424834391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0-482B-BC49-F5C8A90F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709464"/>
        <c:axId val="285709856"/>
      </c:barChart>
      <c:catAx>
        <c:axId val="28570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09856"/>
        <c:crosses val="autoZero"/>
        <c:auto val="1"/>
        <c:lblAlgn val="ctr"/>
        <c:lblOffset val="100"/>
        <c:noMultiLvlLbl val="0"/>
      </c:catAx>
      <c:valAx>
        <c:axId val="2857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0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Payment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Summary'!$G$2</c:f>
              <c:strCache>
                <c:ptCount val="1"/>
                <c:pt idx="0">
                  <c:v>2005 (Revised)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'Small Summary'!$A$3:$A$11</c:f>
              <c:strCache>
                <c:ptCount val="9"/>
                <c:pt idx="0">
                  <c:v>Dutchess</c:v>
                </c:pt>
                <c:pt idx="1">
                  <c:v>Orange</c:v>
                </c:pt>
                <c:pt idx="2">
                  <c:v>Rockland</c:v>
                </c:pt>
                <c:pt idx="3">
                  <c:v>Putnam</c:v>
                </c:pt>
                <c:pt idx="4">
                  <c:v>Westchester</c:v>
                </c:pt>
                <c:pt idx="5">
                  <c:v>Nassau</c:v>
                </c:pt>
                <c:pt idx="6">
                  <c:v>Suffolk</c:v>
                </c:pt>
                <c:pt idx="7">
                  <c:v>NYC</c:v>
                </c:pt>
                <c:pt idx="8">
                  <c:v>MTA Region</c:v>
                </c:pt>
              </c:strCache>
            </c:strRef>
          </c:cat>
          <c:val>
            <c:numRef>
              <c:f>'Small Summary'!$G$3:$G$11</c:f>
              <c:numCache>
                <c:formatCode>0.000</c:formatCode>
                <c:ptCount val="9"/>
                <c:pt idx="0" formatCode="#,##0.000">
                  <c:v>0.98592860577461638</c:v>
                </c:pt>
                <c:pt idx="1">
                  <c:v>0.70950881367161434</c:v>
                </c:pt>
                <c:pt idx="2">
                  <c:v>0.44346866362768256</c:v>
                </c:pt>
                <c:pt idx="3">
                  <c:v>1.0296766806181512</c:v>
                </c:pt>
                <c:pt idx="4">
                  <c:v>0.92614980142652925</c:v>
                </c:pt>
                <c:pt idx="5">
                  <c:v>1.1257679785788257</c:v>
                </c:pt>
                <c:pt idx="6">
                  <c:v>0.93894161315831937</c:v>
                </c:pt>
                <c:pt idx="7">
                  <c:v>1.0086786351412314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6-4FEB-8182-1941BF87F777}"/>
            </c:ext>
          </c:extLst>
        </c:ser>
        <c:ser>
          <c:idx val="1"/>
          <c:order val="1"/>
          <c:tx>
            <c:strRef>
              <c:f>'Small Summary'!$H$2</c:f>
              <c:strCache>
                <c:ptCount val="1"/>
                <c:pt idx="0">
                  <c:v>2011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'Small Summary'!$A$3:$A$11</c:f>
              <c:strCache>
                <c:ptCount val="9"/>
                <c:pt idx="0">
                  <c:v>Dutchess</c:v>
                </c:pt>
                <c:pt idx="1">
                  <c:v>Orange</c:v>
                </c:pt>
                <c:pt idx="2">
                  <c:v>Rockland</c:v>
                </c:pt>
                <c:pt idx="3">
                  <c:v>Putnam</c:v>
                </c:pt>
                <c:pt idx="4">
                  <c:v>Westchester</c:v>
                </c:pt>
                <c:pt idx="5">
                  <c:v>Nassau</c:v>
                </c:pt>
                <c:pt idx="6">
                  <c:v>Suffolk</c:v>
                </c:pt>
                <c:pt idx="7">
                  <c:v>NYC</c:v>
                </c:pt>
                <c:pt idx="8">
                  <c:v>MTA Region</c:v>
                </c:pt>
              </c:strCache>
            </c:strRef>
          </c:cat>
          <c:val>
            <c:numRef>
              <c:f>'Small Summary'!$H$3:$H$11</c:f>
              <c:numCache>
                <c:formatCode>0.000</c:formatCode>
                <c:ptCount val="9"/>
                <c:pt idx="0" formatCode="#,##0.000">
                  <c:v>0.90010269485899774</c:v>
                </c:pt>
                <c:pt idx="1">
                  <c:v>0.64569858919711698</c:v>
                </c:pt>
                <c:pt idx="2">
                  <c:v>0.38043734880867491</c:v>
                </c:pt>
                <c:pt idx="3">
                  <c:v>0.998275151825049</c:v>
                </c:pt>
                <c:pt idx="4">
                  <c:v>0.85490373591763158</c:v>
                </c:pt>
                <c:pt idx="5">
                  <c:v>1.1140281461227866</c:v>
                </c:pt>
                <c:pt idx="6">
                  <c:v>0.91639597532931305</c:v>
                </c:pt>
                <c:pt idx="7">
                  <c:v>1.0209922302848133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6-4FEB-8182-1941BF87F777}"/>
            </c:ext>
          </c:extLst>
        </c:ser>
        <c:ser>
          <c:idx val="2"/>
          <c:order val="2"/>
          <c:tx>
            <c:strRef>
              <c:f>'Small Summary'!$I$2</c:f>
              <c:strCache>
                <c:ptCount val="1"/>
                <c:pt idx="0">
                  <c:v>2016</c:v>
                </c:pt>
              </c:strCache>
            </c:strRef>
          </c:tx>
          <c:spPr>
            <a:pattFill prst="pct25">
              <a:fgClr>
                <a:srgbClr val="FF5757"/>
              </a:fgClr>
              <a:bgClr>
                <a:schemeClr val="bg1"/>
              </a:bgClr>
            </a:pattFill>
            <a:ln>
              <a:solidFill>
                <a:srgbClr val="FF5757"/>
              </a:solidFill>
            </a:ln>
            <a:effectLst/>
          </c:spPr>
          <c:invertIfNegative val="0"/>
          <c:cat>
            <c:strRef>
              <c:f>'Small Summary'!$A$3:$A$11</c:f>
              <c:strCache>
                <c:ptCount val="9"/>
                <c:pt idx="0">
                  <c:v>Dutchess</c:v>
                </c:pt>
                <c:pt idx="1">
                  <c:v>Orange</c:v>
                </c:pt>
                <c:pt idx="2">
                  <c:v>Rockland</c:v>
                </c:pt>
                <c:pt idx="3">
                  <c:v>Putnam</c:v>
                </c:pt>
                <c:pt idx="4">
                  <c:v>Westchester</c:v>
                </c:pt>
                <c:pt idx="5">
                  <c:v>Nassau</c:v>
                </c:pt>
                <c:pt idx="6">
                  <c:v>Suffolk</c:v>
                </c:pt>
                <c:pt idx="7">
                  <c:v>NYC</c:v>
                </c:pt>
                <c:pt idx="8">
                  <c:v>MTA Region</c:v>
                </c:pt>
              </c:strCache>
            </c:strRef>
          </c:cat>
          <c:val>
            <c:numRef>
              <c:f>'Small Summary'!$I$3:$I$11</c:f>
              <c:numCache>
                <c:formatCode>0.000</c:formatCode>
                <c:ptCount val="9"/>
                <c:pt idx="0" formatCode="#,##0.000">
                  <c:v>0.9922892767685132</c:v>
                </c:pt>
                <c:pt idx="1">
                  <c:v>0.67916529506326917</c:v>
                </c:pt>
                <c:pt idx="2">
                  <c:v>0.37111944129514474</c:v>
                </c:pt>
                <c:pt idx="3">
                  <c:v>1.1119865384158838</c:v>
                </c:pt>
                <c:pt idx="4">
                  <c:v>0.88620394138908198</c:v>
                </c:pt>
                <c:pt idx="5">
                  <c:v>1.1532745555091042</c:v>
                </c:pt>
                <c:pt idx="6">
                  <c:v>1.0113831752155784</c:v>
                </c:pt>
                <c:pt idx="7">
                  <c:v>1.002585064970815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6-4FEB-8182-1941BF87F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149904"/>
        <c:axId val="295150296"/>
      </c:barChart>
      <c:catAx>
        <c:axId val="2951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0296"/>
        <c:crosses val="autoZero"/>
        <c:auto val="1"/>
        <c:lblAlgn val="ctr"/>
        <c:lblOffset val="100"/>
        <c:noMultiLvlLbl val="0"/>
      </c:catAx>
      <c:valAx>
        <c:axId val="2951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76201</xdr:rowOff>
    </xdr:from>
    <xdr:to>
      <xdr:col>8</xdr:col>
      <xdr:colOff>304800</xdr:colOff>
      <xdr:row>42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519112</xdr:colOff>
      <xdr:row>23</xdr:row>
      <xdr:rowOff>80962</xdr:rowOff>
    </xdr:from>
    <xdr:to>
      <xdr:col>15</xdr:col>
      <xdr:colOff>119062</xdr:colOff>
      <xdr:row>42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G/County%20Benefit-Cost%20Study/2017%20Study/Data/Costs/SalesT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>
        <row r="7">
          <cell r="F7">
            <v>246.97469365615757</v>
          </cell>
        </row>
        <row r="8">
          <cell r="F8">
            <v>53.218921380403678</v>
          </cell>
        </row>
        <row r="9">
          <cell r="F9">
            <v>61.315892391807637</v>
          </cell>
        </row>
        <row r="10">
          <cell r="F10">
            <v>32.662375438178842</v>
          </cell>
        </row>
        <row r="11">
          <cell r="F11">
            <v>2.9437041372038388</v>
          </cell>
        </row>
        <row r="12">
          <cell r="F12">
            <v>9.5230439560263083</v>
          </cell>
        </row>
        <row r="13">
          <cell r="F13">
            <v>9.8423249054779696</v>
          </cell>
        </row>
        <row r="14">
          <cell r="F14">
            <v>12.031953134744089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F7">
            <v>431.12082606072386</v>
          </cell>
        </row>
        <row r="8">
          <cell r="F8">
            <v>83.687143747634138</v>
          </cell>
        </row>
        <row r="9">
          <cell r="F9">
            <v>94.414966996546681</v>
          </cell>
        </row>
        <row r="10">
          <cell r="F10">
            <v>52.515997512144736</v>
          </cell>
        </row>
        <row r="11">
          <cell r="F11">
            <v>4.8292485405577992</v>
          </cell>
        </row>
        <row r="12">
          <cell r="F12">
            <v>14.569995457805359</v>
          </cell>
        </row>
        <row r="13">
          <cell r="F13">
            <v>14.603067236313155</v>
          </cell>
        </row>
        <row r="14">
          <cell r="F14">
            <v>21.266237448274357</v>
          </cell>
        </row>
      </sheetData>
      <sheetData sheetId="8"/>
      <sheetData sheetId="9"/>
      <sheetData sheetId="10"/>
      <sheetData sheetId="11"/>
      <sheetData sheetId="12">
        <row r="7">
          <cell r="F7">
            <v>410.24947148420387</v>
          </cell>
        </row>
        <row r="8">
          <cell r="F8">
            <v>67.108818510835476</v>
          </cell>
        </row>
        <row r="9">
          <cell r="F9">
            <v>79.766924586559412</v>
          </cell>
        </row>
        <row r="10">
          <cell r="F10">
            <v>42.976856789933663</v>
          </cell>
        </row>
        <row r="11">
          <cell r="F11">
            <v>4.0307118654351468</v>
          </cell>
        </row>
        <row r="12">
          <cell r="F12">
            <v>12.003111170256023</v>
          </cell>
        </row>
        <row r="13">
          <cell r="F13">
            <v>12.79564026586902</v>
          </cell>
        </row>
        <row r="14">
          <cell r="F14">
            <v>18.196220326907419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30"/>
  <sheetViews>
    <sheetView showGridLines="0" zoomScale="85" zoomScaleNormal="85" workbookViewId="0">
      <pane ySplit="3" topLeftCell="A94" activePane="bottomLeft" state="frozen"/>
      <selection pane="bottomLeft" activeCell="T110" sqref="T110"/>
    </sheetView>
  </sheetViews>
  <sheetFormatPr defaultRowHeight="15"/>
  <cols>
    <col min="1" max="1" width="28.42578125" style="1" customWidth="1"/>
    <col min="2" max="5" width="7.28515625" customWidth="1"/>
    <col min="6" max="8" width="7.7109375" customWidth="1"/>
    <col min="9" max="10" width="8.7109375" customWidth="1"/>
  </cols>
  <sheetData>
    <row r="1" spans="1:24" ht="18.75">
      <c r="A1" s="2" t="s">
        <v>0</v>
      </c>
    </row>
    <row r="3" spans="1:24">
      <c r="A3" s="192" t="s">
        <v>1</v>
      </c>
      <c r="B3" s="208" t="s">
        <v>2</v>
      </c>
      <c r="C3" s="208" t="s">
        <v>3</v>
      </c>
      <c r="D3" s="208" t="s">
        <v>4</v>
      </c>
      <c r="E3" s="208" t="s">
        <v>5</v>
      </c>
      <c r="F3" s="208" t="s">
        <v>6</v>
      </c>
      <c r="G3" s="208" t="s">
        <v>7</v>
      </c>
      <c r="H3" s="208" t="s">
        <v>8</v>
      </c>
      <c r="I3" s="208" t="s">
        <v>9</v>
      </c>
      <c r="J3" s="208" t="s">
        <v>10</v>
      </c>
    </row>
    <row r="5" spans="1:24">
      <c r="A5" s="1" t="s">
        <v>11</v>
      </c>
      <c r="B5" s="39">
        <v>6.6854613165188601</v>
      </c>
      <c r="C5" s="39">
        <v>6.3834438692718773</v>
      </c>
      <c r="D5" s="39">
        <v>7.9084873099349036</v>
      </c>
      <c r="E5" s="41" t="s">
        <v>12</v>
      </c>
      <c r="F5" s="41" t="s">
        <v>12</v>
      </c>
      <c r="G5" s="41" t="s">
        <v>12</v>
      </c>
      <c r="H5" s="41" t="s">
        <v>12</v>
      </c>
      <c r="I5" s="41" t="s">
        <v>12</v>
      </c>
      <c r="J5" s="40">
        <f>SUM(B5:I5)</f>
        <v>20.977392495725638</v>
      </c>
      <c r="P5" s="1"/>
      <c r="Q5" s="1"/>
      <c r="R5" s="1"/>
      <c r="S5" s="1"/>
      <c r="T5" s="1"/>
      <c r="U5" s="1"/>
      <c r="V5" s="1"/>
      <c r="W5" s="1"/>
    </row>
    <row r="6" spans="1:24">
      <c r="A6" s="1" t="s">
        <v>13</v>
      </c>
      <c r="B6" s="41" t="s">
        <v>12</v>
      </c>
      <c r="C6" s="39">
        <v>25.500670559233544</v>
      </c>
      <c r="D6" s="39">
        <v>5.4111320507664535</v>
      </c>
      <c r="E6" s="41" t="s">
        <v>12</v>
      </c>
      <c r="F6" s="41" t="s">
        <v>12</v>
      </c>
      <c r="G6" s="41" t="s">
        <v>12</v>
      </c>
      <c r="H6" s="41" t="s">
        <v>12</v>
      </c>
      <c r="I6" s="41" t="s">
        <v>12</v>
      </c>
      <c r="J6" s="40">
        <f t="shared" ref="J6:J17" si="0">SUM(B6:I6)</f>
        <v>30.911802609999999</v>
      </c>
      <c r="N6" s="1"/>
      <c r="O6" s="36"/>
    </row>
    <row r="7" spans="1:24">
      <c r="A7" s="1" t="s">
        <v>14</v>
      </c>
      <c r="B7" s="39">
        <v>67.799158307149028</v>
      </c>
      <c r="C7" s="39">
        <v>16.372249528504899</v>
      </c>
      <c r="D7" s="39">
        <v>5.941117557196276</v>
      </c>
      <c r="E7" s="39">
        <v>34.361097635123144</v>
      </c>
      <c r="F7" s="39">
        <v>294.05430721988415</v>
      </c>
      <c r="G7" s="39">
        <v>0.73529048663008756</v>
      </c>
      <c r="H7" s="39">
        <v>0.18892397709333131</v>
      </c>
      <c r="I7" s="39">
        <v>112.58355528841905</v>
      </c>
      <c r="J7" s="40">
        <f t="shared" si="0"/>
        <v>532.03570000000002</v>
      </c>
      <c r="L7" s="17"/>
      <c r="M7" s="17"/>
      <c r="N7" s="1"/>
      <c r="O7" s="17"/>
      <c r="P7" s="17"/>
      <c r="Q7" s="35"/>
      <c r="R7" s="35"/>
      <c r="S7" s="35"/>
      <c r="T7" s="35"/>
      <c r="U7" s="35"/>
      <c r="V7" s="35"/>
      <c r="W7" s="17"/>
      <c r="X7" s="17"/>
    </row>
    <row r="8" spans="1:24">
      <c r="A8" s="1" t="s">
        <v>15</v>
      </c>
      <c r="B8" s="39">
        <v>1.8595799300183646</v>
      </c>
      <c r="C8" s="39">
        <v>1.2585614557120357</v>
      </c>
      <c r="D8" s="39">
        <v>0.56735648660474414</v>
      </c>
      <c r="E8" s="39">
        <v>0.89402347745943256</v>
      </c>
      <c r="F8" s="39">
        <v>8.9824340653749832</v>
      </c>
      <c r="G8" s="39">
        <v>17.848038011332889</v>
      </c>
      <c r="H8" s="39">
        <v>11.534191011813865</v>
      </c>
      <c r="I8" s="39">
        <v>129.14150803581924</v>
      </c>
      <c r="J8" s="40">
        <f t="shared" si="0"/>
        <v>172.08569247413556</v>
      </c>
      <c r="L8" s="17"/>
      <c r="M8" s="17"/>
      <c r="N8" s="1"/>
      <c r="O8" s="132"/>
      <c r="P8" s="35"/>
      <c r="Q8" s="35"/>
      <c r="R8" s="35"/>
      <c r="S8" s="35"/>
      <c r="T8" s="35"/>
      <c r="U8" s="35"/>
      <c r="V8" s="35"/>
      <c r="W8" s="35"/>
      <c r="X8" s="17"/>
    </row>
    <row r="9" spans="1:24">
      <c r="A9" s="1" t="s">
        <v>16</v>
      </c>
      <c r="B9" s="39">
        <v>4.8706675660395273</v>
      </c>
      <c r="C9" s="39">
        <v>1.1861571606576411</v>
      </c>
      <c r="D9" s="39">
        <v>0.43031843156624128</v>
      </c>
      <c r="E9" s="39">
        <v>2.4681013134447438</v>
      </c>
      <c r="F9" s="39">
        <v>21.144154559576034</v>
      </c>
      <c r="G9" s="39">
        <v>33.313305550612249</v>
      </c>
      <c r="H9" s="39">
        <v>27.224835628899225</v>
      </c>
      <c r="I9" s="39">
        <v>26.082398874035214</v>
      </c>
      <c r="J9" s="40">
        <f t="shared" si="0"/>
        <v>116.71993908483088</v>
      </c>
      <c r="L9" s="17"/>
      <c r="M9" s="35"/>
      <c r="N9" s="1"/>
      <c r="O9" s="133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 s="1" t="s">
        <v>17</v>
      </c>
      <c r="B10" s="39">
        <v>9.1528374106052528</v>
      </c>
      <c r="C10" s="39">
        <v>5.4569822213273591</v>
      </c>
      <c r="D10" s="39">
        <v>6.5048425480393952</v>
      </c>
      <c r="E10" s="39">
        <v>1.811024309910324</v>
      </c>
      <c r="F10" s="39">
        <v>52.843766695840301</v>
      </c>
      <c r="G10" s="39">
        <v>74.664964327558565</v>
      </c>
      <c r="H10" s="39">
        <v>42.976618564399743</v>
      </c>
      <c r="I10" s="39">
        <v>4378.2994154825356</v>
      </c>
      <c r="J10" s="40">
        <f t="shared" si="0"/>
        <v>4571.7104515602168</v>
      </c>
      <c r="L10" s="17"/>
      <c r="M10" s="35"/>
      <c r="N10" s="1"/>
      <c r="O10" s="133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 s="1" t="s">
        <v>18</v>
      </c>
      <c r="B11" s="41" t="s">
        <v>12</v>
      </c>
      <c r="C11" s="41" t="s">
        <v>12</v>
      </c>
      <c r="D11" s="41" t="s">
        <v>12</v>
      </c>
      <c r="E11" s="41" t="s">
        <v>12</v>
      </c>
      <c r="F11" s="41" t="s">
        <v>12</v>
      </c>
      <c r="G11" s="41" t="s">
        <v>12</v>
      </c>
      <c r="H11" s="41" t="s">
        <v>12</v>
      </c>
      <c r="I11" s="41" t="s">
        <v>12</v>
      </c>
      <c r="J11" s="40">
        <f t="shared" si="0"/>
        <v>0</v>
      </c>
      <c r="L11" s="17"/>
      <c r="M11" s="35"/>
      <c r="N11" s="1"/>
      <c r="O11" s="133"/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 s="1" t="s">
        <v>19</v>
      </c>
      <c r="B12" s="39">
        <v>7.5409927812922828E-2</v>
      </c>
      <c r="C12" s="39">
        <v>0.15330083114241644</v>
      </c>
      <c r="D12" s="39">
        <v>5.4126071361878393E-2</v>
      </c>
      <c r="E12" s="39">
        <v>3.2969337545075084E-2</v>
      </c>
      <c r="F12" s="39">
        <v>0.58961062572315803</v>
      </c>
      <c r="G12" s="39">
        <v>450.19505918466763</v>
      </c>
      <c r="H12" s="39">
        <v>368.31579502795552</v>
      </c>
      <c r="I12" s="39">
        <v>132.03517181812717</v>
      </c>
      <c r="J12" s="40">
        <f t="shared" si="0"/>
        <v>951.4514428243358</v>
      </c>
      <c r="L12" s="17"/>
      <c r="M12" s="35"/>
      <c r="N12" s="1"/>
      <c r="O12" s="133"/>
      <c r="P12" s="17"/>
      <c r="Q12" s="17"/>
      <c r="R12" s="17"/>
      <c r="S12" s="17"/>
      <c r="T12" s="17"/>
      <c r="U12" s="17"/>
      <c r="V12" s="17"/>
      <c r="W12" s="17"/>
      <c r="X12" s="17"/>
    </row>
    <row r="13" spans="1:24">
      <c r="A13" s="1" t="s">
        <v>20</v>
      </c>
      <c r="B13" s="41" t="s">
        <v>12</v>
      </c>
      <c r="C13" s="41" t="s">
        <v>12</v>
      </c>
      <c r="D13" s="41" t="s">
        <v>12</v>
      </c>
      <c r="E13" s="41" t="s">
        <v>12</v>
      </c>
      <c r="F13" s="41" t="s">
        <v>12</v>
      </c>
      <c r="G13" s="41" t="s">
        <v>12</v>
      </c>
      <c r="H13" s="41" t="s">
        <v>12</v>
      </c>
      <c r="I13" s="39">
        <v>27.336000000000006</v>
      </c>
      <c r="J13" s="40">
        <f t="shared" si="0"/>
        <v>27.336000000000006</v>
      </c>
      <c r="L13" s="17"/>
      <c r="M13" s="35"/>
      <c r="N13" s="1"/>
      <c r="O13" s="133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 s="1" t="s">
        <v>21</v>
      </c>
      <c r="B14" s="41" t="s">
        <v>12</v>
      </c>
      <c r="C14" s="41" t="s">
        <v>12</v>
      </c>
      <c r="D14" s="41" t="s">
        <v>12</v>
      </c>
      <c r="E14" s="41" t="s">
        <v>12</v>
      </c>
      <c r="F14" s="41" t="s">
        <v>12</v>
      </c>
      <c r="G14" s="39">
        <v>105.42</v>
      </c>
      <c r="H14" s="39">
        <v>2.83</v>
      </c>
      <c r="I14" s="41" t="s">
        <v>12</v>
      </c>
      <c r="J14" s="40">
        <f t="shared" si="0"/>
        <v>108.25</v>
      </c>
      <c r="L14" s="17"/>
      <c r="M14" s="35"/>
      <c r="N14" s="1"/>
      <c r="O14" s="133"/>
      <c r="P14" s="17"/>
      <c r="Q14" s="17"/>
      <c r="R14" s="17"/>
      <c r="S14" s="17"/>
      <c r="T14" s="17"/>
      <c r="U14" s="17"/>
      <c r="V14" s="17"/>
      <c r="W14" s="17"/>
      <c r="X14" s="17"/>
    </row>
    <row r="15" spans="1:24">
      <c r="A15" s="1" t="s">
        <v>22</v>
      </c>
      <c r="B15" s="39">
        <v>1.6760836198033617</v>
      </c>
      <c r="C15" s="39">
        <v>1.8225602324421892</v>
      </c>
      <c r="D15" s="39">
        <v>4.1225335947091395</v>
      </c>
      <c r="E15" s="39">
        <v>1.8698267542758118</v>
      </c>
      <c r="F15" s="39">
        <v>28.190759895350702</v>
      </c>
      <c r="G15" s="39">
        <v>37.146894151310114</v>
      </c>
      <c r="H15" s="39">
        <v>17.450275464779217</v>
      </c>
      <c r="I15" s="39">
        <v>198.69526284647242</v>
      </c>
      <c r="J15" s="40">
        <f t="shared" si="0"/>
        <v>290.97419655914297</v>
      </c>
      <c r="L15" s="17"/>
      <c r="M15" s="35"/>
      <c r="N15" s="1"/>
      <c r="O15" s="133"/>
      <c r="P15" s="17"/>
      <c r="Q15" s="17"/>
      <c r="R15" s="17"/>
      <c r="S15" s="17"/>
      <c r="T15" s="17"/>
      <c r="U15" s="17"/>
      <c r="V15" s="17"/>
      <c r="W15" s="17"/>
      <c r="X15" s="17"/>
    </row>
    <row r="16" spans="1:24">
      <c r="A16" s="134" t="s">
        <v>23</v>
      </c>
      <c r="B16" s="39">
        <v>8.6828863481260825</v>
      </c>
      <c r="C16" s="39">
        <v>2.392879376704073</v>
      </c>
      <c r="D16" s="39">
        <v>1.0796912189157744</v>
      </c>
      <c r="E16" s="39">
        <v>4.2698773578804978</v>
      </c>
      <c r="F16" s="39">
        <v>38.432342610176292</v>
      </c>
      <c r="G16" s="39">
        <v>126.32986446639676</v>
      </c>
      <c r="H16" s="39">
        <v>101.61366924148547</v>
      </c>
      <c r="I16" s="39">
        <v>260.23795815601693</v>
      </c>
      <c r="J16" s="40">
        <f t="shared" si="0"/>
        <v>543.03916877570191</v>
      </c>
      <c r="L16" s="17"/>
      <c r="M16" s="35"/>
      <c r="N16" s="17"/>
      <c r="O16" s="35"/>
      <c r="P16" s="17"/>
      <c r="Q16" s="17"/>
      <c r="R16" s="17"/>
      <c r="S16" s="17"/>
      <c r="T16" s="17"/>
      <c r="U16" s="17"/>
      <c r="V16" s="17"/>
      <c r="W16" s="17"/>
      <c r="X16" s="17"/>
    </row>
    <row r="17" spans="1:24">
      <c r="A17" s="1" t="s">
        <v>24</v>
      </c>
      <c r="B17" s="39">
        <v>36.618863394433376</v>
      </c>
      <c r="C17" s="39">
        <v>39.021497516244516</v>
      </c>
      <c r="D17" s="39">
        <v>20.968193103097153</v>
      </c>
      <c r="E17" s="39">
        <v>18.470783503469793</v>
      </c>
      <c r="F17" s="39">
        <v>267.27614814051913</v>
      </c>
      <c r="G17" s="39">
        <v>477.33827428404607</v>
      </c>
      <c r="H17" s="39">
        <v>262.70078792851137</v>
      </c>
      <c r="I17" s="39">
        <v>2939.805977362661</v>
      </c>
      <c r="J17" s="40">
        <f t="shared" si="0"/>
        <v>4062.2005252329823</v>
      </c>
      <c r="L17" s="17"/>
      <c r="M17" s="35"/>
      <c r="N17" s="17"/>
      <c r="O17" s="35"/>
      <c r="P17" s="17"/>
      <c r="Q17" s="17"/>
      <c r="R17" s="17"/>
      <c r="S17" s="17"/>
      <c r="T17" s="17"/>
      <c r="U17" s="17"/>
      <c r="V17" s="17"/>
      <c r="W17" s="17"/>
      <c r="X17" s="17"/>
    </row>
    <row r="18" spans="1:24">
      <c r="A18" s="1" t="s">
        <v>25</v>
      </c>
      <c r="B18" s="40">
        <f>SUM(B5:B17)</f>
        <v>137.4209478205068</v>
      </c>
      <c r="C18" s="40">
        <f t="shared" ref="C18:J18" si="1">SUM(C5:C17)</f>
        <v>99.548302751240556</v>
      </c>
      <c r="D18" s="40">
        <f t="shared" si="1"/>
        <v>52.987798372191961</v>
      </c>
      <c r="E18" s="40">
        <f t="shared" si="1"/>
        <v>64.177703689108824</v>
      </c>
      <c r="F18" s="40">
        <f t="shared" si="1"/>
        <v>711.51352381244476</v>
      </c>
      <c r="G18" s="40">
        <f t="shared" si="1"/>
        <v>1322.9916904625543</v>
      </c>
      <c r="H18" s="40">
        <f t="shared" si="1"/>
        <v>834.83509684493765</v>
      </c>
      <c r="I18" s="40">
        <f t="shared" si="1"/>
        <v>8204.2172478640859</v>
      </c>
      <c r="J18" s="40">
        <f t="shared" si="1"/>
        <v>11427.692311617073</v>
      </c>
      <c r="L18" s="17"/>
      <c r="M18" s="35"/>
      <c r="N18" s="17"/>
      <c r="O18" s="35"/>
      <c r="P18" s="17"/>
      <c r="Q18" s="17"/>
      <c r="R18" s="17"/>
      <c r="S18" s="17"/>
      <c r="T18" s="17"/>
      <c r="U18" s="17"/>
      <c r="V18" s="17"/>
      <c r="W18" s="17"/>
      <c r="X18" s="17"/>
    </row>
    <row r="19" spans="1:24">
      <c r="B19" s="39"/>
      <c r="C19" s="39"/>
      <c r="D19" s="39"/>
      <c r="E19" s="39"/>
      <c r="F19" s="39"/>
      <c r="G19" s="39"/>
      <c r="H19" s="39"/>
      <c r="I19" s="39"/>
      <c r="J19" s="40"/>
    </row>
    <row r="20" spans="1:24">
      <c r="A20" s="1" t="s">
        <v>26</v>
      </c>
      <c r="B20" s="39">
        <v>17.42728408</v>
      </c>
      <c r="C20" s="39">
        <v>21.668492369999996</v>
      </c>
      <c r="D20" s="39">
        <v>19.659776370000003</v>
      </c>
      <c r="E20" s="39">
        <v>7.6568718499999999</v>
      </c>
      <c r="F20" s="39">
        <v>76.936580159999991</v>
      </c>
      <c r="G20" s="39">
        <v>110.52924668</v>
      </c>
      <c r="H20" s="39">
        <v>137.14202058000001</v>
      </c>
      <c r="I20" s="39">
        <v>351.54217415000005</v>
      </c>
      <c r="J20" s="40">
        <f>SUM(B20:I20)</f>
        <v>742.5624462400001</v>
      </c>
    </row>
    <row r="21" spans="1:24">
      <c r="A21" s="1" t="s">
        <v>27</v>
      </c>
      <c r="B21" s="41" t="s">
        <v>12</v>
      </c>
      <c r="C21" s="41" t="s">
        <v>12</v>
      </c>
      <c r="D21" s="41" t="s">
        <v>12</v>
      </c>
      <c r="E21" s="41" t="s">
        <v>12</v>
      </c>
      <c r="F21" s="41" t="s">
        <v>12</v>
      </c>
      <c r="G21" s="41" t="s">
        <v>12</v>
      </c>
      <c r="H21" s="41" t="s">
        <v>12</v>
      </c>
      <c r="I21" s="39">
        <v>557.43466860000012</v>
      </c>
      <c r="J21" s="40">
        <f t="shared" ref="J21:J63" si="2">SUM(B21:I21)</f>
        <v>557.43466860000012</v>
      </c>
    </row>
    <row r="22" spans="1:24">
      <c r="A22" s="1" t="s">
        <v>28</v>
      </c>
      <c r="B22" s="41" t="s">
        <v>12</v>
      </c>
      <c r="C22" s="41" t="s">
        <v>12</v>
      </c>
      <c r="D22" s="41" t="s">
        <v>12</v>
      </c>
      <c r="E22" s="41" t="s">
        <v>12</v>
      </c>
      <c r="F22" s="41" t="s">
        <v>12</v>
      </c>
      <c r="G22" s="41" t="s">
        <v>12</v>
      </c>
      <c r="H22" s="41" t="s">
        <v>12</v>
      </c>
      <c r="I22" s="41" t="s">
        <v>12</v>
      </c>
      <c r="J22" s="40">
        <f t="shared" si="2"/>
        <v>0</v>
      </c>
    </row>
    <row r="23" spans="1:24">
      <c r="A23" s="1" t="s">
        <v>29</v>
      </c>
      <c r="B23" s="41" t="s">
        <v>12</v>
      </c>
      <c r="C23" s="41" t="s">
        <v>12</v>
      </c>
      <c r="D23" s="41" t="s">
        <v>12</v>
      </c>
      <c r="E23" s="41" t="s">
        <v>12</v>
      </c>
      <c r="F23" s="41" t="s">
        <v>12</v>
      </c>
      <c r="G23" s="41" t="s">
        <v>12</v>
      </c>
      <c r="H23" s="41" t="s">
        <v>12</v>
      </c>
      <c r="I23" s="39">
        <v>103.8699328</v>
      </c>
      <c r="J23" s="40">
        <f t="shared" si="2"/>
        <v>103.8699328</v>
      </c>
    </row>
    <row r="24" spans="1:24">
      <c r="A24" s="1" t="s">
        <v>30</v>
      </c>
      <c r="B24" s="39">
        <v>9.497901279638258</v>
      </c>
      <c r="C24" s="39">
        <v>12.000186453273338</v>
      </c>
      <c r="D24" s="39">
        <v>9.8163392656817905</v>
      </c>
      <c r="E24" s="39">
        <v>2.9359321894058827</v>
      </c>
      <c r="F24" s="39">
        <v>32.576140454963479</v>
      </c>
      <c r="G24" s="39">
        <v>53.078413143314023</v>
      </c>
      <c r="H24" s="39">
        <v>61.15400658649471</v>
      </c>
      <c r="I24" s="39">
        <v>246.32263273663352</v>
      </c>
      <c r="J24" s="40">
        <f t="shared" si="2"/>
        <v>427.38155210940499</v>
      </c>
    </row>
    <row r="25" spans="1:24">
      <c r="A25" s="1" t="s">
        <v>31</v>
      </c>
      <c r="B25" s="39">
        <v>1.1583688577283087</v>
      </c>
      <c r="C25" s="39">
        <v>1.3851508822180039</v>
      </c>
      <c r="D25" s="39">
        <v>1.1568533907721241</v>
      </c>
      <c r="E25" s="39">
        <v>0.34972639394996974</v>
      </c>
      <c r="F25" s="39">
        <v>3.7854646285110398</v>
      </c>
      <c r="G25" s="39">
        <v>5.4271322363144332</v>
      </c>
      <c r="H25" s="39">
        <v>5.8574403462784721</v>
      </c>
      <c r="I25" s="39">
        <v>32.407139750479836</v>
      </c>
      <c r="J25" s="40">
        <f t="shared" si="2"/>
        <v>51.527276486252191</v>
      </c>
    </row>
    <row r="26" spans="1:24">
      <c r="A26" s="1" t="s">
        <v>32</v>
      </c>
      <c r="B26" s="39">
        <v>7.8500822729285229</v>
      </c>
      <c r="C26" s="39">
        <v>9.733841159668394</v>
      </c>
      <c r="D26" s="39">
        <v>7.3731652620742167</v>
      </c>
      <c r="E26" s="39">
        <v>1.487986195165357</v>
      </c>
      <c r="F26" s="39">
        <v>32.550950229363991</v>
      </c>
      <c r="G26" s="39">
        <v>52.131912830324858</v>
      </c>
      <c r="H26" s="39">
        <v>44.008671343433477</v>
      </c>
      <c r="I26" s="39">
        <v>292.8137330214488</v>
      </c>
      <c r="J26" s="40">
        <f t="shared" si="2"/>
        <v>447.95034231440764</v>
      </c>
    </row>
    <row r="27" spans="1:24">
      <c r="A27" s="1" t="s">
        <v>33</v>
      </c>
      <c r="B27" s="39">
        <v>23.508311099590735</v>
      </c>
      <c r="C27" s="39">
        <v>27.852797983068367</v>
      </c>
      <c r="D27" s="39">
        <v>20.507764815507556</v>
      </c>
      <c r="E27" s="39">
        <v>8.7521254537541999</v>
      </c>
      <c r="F27" s="39">
        <v>64.699503787108796</v>
      </c>
      <c r="G27" s="39">
        <v>93.826602308862832</v>
      </c>
      <c r="H27" s="39">
        <v>117.34887643927787</v>
      </c>
      <c r="I27" s="39">
        <v>259.98092900476496</v>
      </c>
      <c r="J27" s="40">
        <f t="shared" si="2"/>
        <v>616.4769108919354</v>
      </c>
    </row>
    <row r="28" spans="1:24">
      <c r="A28" s="1" t="s">
        <v>34</v>
      </c>
      <c r="B28" s="41" t="s">
        <v>12</v>
      </c>
      <c r="C28" s="41" t="s">
        <v>12</v>
      </c>
      <c r="D28" s="41" t="s">
        <v>12</v>
      </c>
      <c r="E28" s="41" t="s">
        <v>12</v>
      </c>
      <c r="F28" s="41" t="s">
        <v>12</v>
      </c>
      <c r="G28" s="41" t="s">
        <v>12</v>
      </c>
      <c r="H28" s="41" t="s">
        <v>12</v>
      </c>
      <c r="I28" s="41" t="s">
        <v>12</v>
      </c>
      <c r="J28" s="40">
        <f t="shared" si="2"/>
        <v>0</v>
      </c>
    </row>
    <row r="29" spans="1:24">
      <c r="A29" s="1" t="s">
        <v>35</v>
      </c>
      <c r="B29" s="41" t="s">
        <v>12</v>
      </c>
      <c r="C29" s="41" t="s">
        <v>12</v>
      </c>
      <c r="D29" s="41" t="s">
        <v>12</v>
      </c>
      <c r="E29" s="41" t="s">
        <v>12</v>
      </c>
      <c r="F29" s="41" t="s">
        <v>12</v>
      </c>
      <c r="G29" s="41" t="s">
        <v>12</v>
      </c>
      <c r="H29" s="41" t="s">
        <v>12</v>
      </c>
      <c r="I29" s="41" t="s">
        <v>12</v>
      </c>
      <c r="J29" s="40">
        <f>SUM(B29:I29)</f>
        <v>0</v>
      </c>
    </row>
    <row r="30" spans="1:24">
      <c r="A30" s="1" t="s">
        <v>36</v>
      </c>
      <c r="B30" s="39">
        <v>0.380276</v>
      </c>
      <c r="C30" s="39">
        <v>0.14626</v>
      </c>
      <c r="D30" s="39">
        <v>2.9252E-2</v>
      </c>
      <c r="E30" s="39">
        <v>0.380276</v>
      </c>
      <c r="F30" s="39">
        <v>7.3422520000000002</v>
      </c>
      <c r="G30" s="39">
        <v>11.583792000000001</v>
      </c>
      <c r="H30" s="39">
        <v>7.5177639999999997</v>
      </c>
      <c r="I30" s="39">
        <v>160.544128</v>
      </c>
      <c r="J30" s="40">
        <f t="shared" si="2"/>
        <v>187.92400000000001</v>
      </c>
    </row>
    <row r="31" spans="1:24">
      <c r="A31" s="1" t="s">
        <v>37</v>
      </c>
      <c r="B31" s="39">
        <v>1.9023099999999999</v>
      </c>
      <c r="C31" s="39">
        <v>0.39353399999999999</v>
      </c>
      <c r="D31" s="39">
        <v>4.1840000000000002E-2</v>
      </c>
      <c r="E31" s="39">
        <v>0.74392800000000003</v>
      </c>
      <c r="F31" s="39">
        <v>15.957179</v>
      </c>
      <c r="G31" s="39">
        <v>23.089206000000001</v>
      </c>
      <c r="H31" s="39">
        <v>14.231237999999999</v>
      </c>
      <c r="I31" s="39">
        <v>73.879842999999994</v>
      </c>
      <c r="J31" s="40">
        <f t="shared" si="2"/>
        <v>130.23907800000001</v>
      </c>
    </row>
    <row r="32" spans="1:24">
      <c r="A32" s="134" t="s">
        <v>38</v>
      </c>
      <c r="B32" s="39">
        <v>1.3180761303125301</v>
      </c>
      <c r="C32" s="39">
        <v>0.44279382682356777</v>
      </c>
      <c r="D32" s="39">
        <v>0.61369724901812206</v>
      </c>
      <c r="E32" s="39">
        <v>0.9060621854321842</v>
      </c>
      <c r="F32" s="39">
        <v>14.355933916373981</v>
      </c>
      <c r="G32" s="39">
        <v>19.890597785103761</v>
      </c>
      <c r="H32" s="39">
        <v>7.0644476903210345</v>
      </c>
      <c r="I32" s="39">
        <v>353.87170981102247</v>
      </c>
      <c r="J32" s="40">
        <f t="shared" si="2"/>
        <v>398.46331859440767</v>
      </c>
    </row>
    <row r="33" spans="1:13">
      <c r="A33" s="1" t="s">
        <v>39</v>
      </c>
      <c r="B33" s="41" t="s">
        <v>12</v>
      </c>
      <c r="C33" s="39">
        <v>8.4362470983548032</v>
      </c>
      <c r="D33" s="39">
        <v>2.264854011645197</v>
      </c>
      <c r="E33" s="41" t="s">
        <v>12</v>
      </c>
      <c r="F33" s="41" t="s">
        <v>12</v>
      </c>
      <c r="G33" s="41" t="s">
        <v>12</v>
      </c>
      <c r="H33" s="41" t="s">
        <v>12</v>
      </c>
      <c r="I33" s="41" t="s">
        <v>12</v>
      </c>
      <c r="J33" s="40">
        <f t="shared" si="2"/>
        <v>10.70110111</v>
      </c>
    </row>
    <row r="34" spans="1:13">
      <c r="A34" s="1" t="s">
        <v>40</v>
      </c>
      <c r="B34" s="39">
        <v>23.347843341481244</v>
      </c>
      <c r="C34" s="39">
        <v>5.9972064641540745</v>
      </c>
      <c r="D34" s="39">
        <v>3.1312046379453311</v>
      </c>
      <c r="E34" s="39">
        <v>13.336314645140984</v>
      </c>
      <c r="F34" s="39">
        <v>169.6379766495057</v>
      </c>
      <c r="G34" s="39">
        <v>0.53062767019343882</v>
      </c>
      <c r="H34" s="39">
        <v>8.5979514603810647E-2</v>
      </c>
      <c r="I34" s="39">
        <v>66.687012076975392</v>
      </c>
      <c r="J34" s="40">
        <f t="shared" si="2"/>
        <v>282.754165</v>
      </c>
    </row>
    <row r="35" spans="1:13">
      <c r="A35" s="1" t="s">
        <v>41</v>
      </c>
      <c r="B35" s="39">
        <v>5.396875472116208</v>
      </c>
      <c r="C35" s="39">
        <v>3.2684162206299883</v>
      </c>
      <c r="D35" s="39">
        <v>3.4624163004762822</v>
      </c>
      <c r="E35" s="39">
        <v>1.0567206731960874</v>
      </c>
      <c r="F35" s="39">
        <v>30.016297924369624</v>
      </c>
      <c r="G35" s="39">
        <v>43.282030527944123</v>
      </c>
      <c r="H35" s="39">
        <v>24.763238285606775</v>
      </c>
      <c r="I35" s="39">
        <v>2446.6748352754307</v>
      </c>
      <c r="J35" s="40">
        <f t="shared" si="2"/>
        <v>2557.92083067977</v>
      </c>
    </row>
    <row r="36" spans="1:13">
      <c r="A36" s="1" t="s">
        <v>42</v>
      </c>
      <c r="B36" s="39">
        <v>0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40">
        <f t="shared" si="2"/>
        <v>0</v>
      </c>
    </row>
    <row r="37" spans="1:13">
      <c r="A37" s="1" t="s">
        <v>43</v>
      </c>
      <c r="B37" s="39">
        <v>2.9028274047369958E-2</v>
      </c>
      <c r="C37" s="39">
        <v>8.1231711793957606E-2</v>
      </c>
      <c r="D37" s="39">
        <v>3.1794797391284241E-2</v>
      </c>
      <c r="E37" s="39">
        <v>1.8951795643075819E-2</v>
      </c>
      <c r="F37" s="39">
        <v>0.29969305533536195</v>
      </c>
      <c r="G37" s="39">
        <v>219.04327232133537</v>
      </c>
      <c r="H37" s="39">
        <v>134.01565890224956</v>
      </c>
      <c r="I37" s="39">
        <v>82.900354291815034</v>
      </c>
      <c r="J37" s="40">
        <f t="shared" si="2"/>
        <v>436.41998514961097</v>
      </c>
    </row>
    <row r="38" spans="1:13">
      <c r="A38" s="1" t="s">
        <v>44</v>
      </c>
      <c r="B38" s="41" t="s">
        <v>12</v>
      </c>
      <c r="C38" s="41" t="s">
        <v>12</v>
      </c>
      <c r="D38" s="41" t="s">
        <v>12</v>
      </c>
      <c r="E38" s="41" t="s">
        <v>12</v>
      </c>
      <c r="F38" s="41" t="s">
        <v>12</v>
      </c>
      <c r="G38" s="41" t="s">
        <v>12</v>
      </c>
      <c r="H38" s="41" t="s">
        <v>12</v>
      </c>
      <c r="I38" s="39">
        <v>3.2559999999999998</v>
      </c>
      <c r="J38" s="40">
        <f>SUM(B38:I38)</f>
        <v>3.2559999999999998</v>
      </c>
    </row>
    <row r="39" spans="1:13">
      <c r="A39" s="1" t="s">
        <v>45</v>
      </c>
      <c r="B39" s="41" t="s">
        <v>12</v>
      </c>
      <c r="C39" s="41" t="s">
        <v>12</v>
      </c>
      <c r="D39" s="41" t="s">
        <v>12</v>
      </c>
      <c r="E39" s="41" t="s">
        <v>12</v>
      </c>
      <c r="F39" s="41" t="s">
        <v>12</v>
      </c>
      <c r="G39" s="39">
        <v>38.1</v>
      </c>
      <c r="H39" s="39">
        <v>1.02</v>
      </c>
      <c r="I39" s="41" t="s">
        <v>12</v>
      </c>
      <c r="J39" s="40">
        <f>SUM(B39:I39)</f>
        <v>39.120000000000005</v>
      </c>
    </row>
    <row r="40" spans="1:13">
      <c r="A40" s="1" t="s">
        <v>46</v>
      </c>
      <c r="B40" s="41" t="s">
        <v>12</v>
      </c>
      <c r="C40" s="41" t="s">
        <v>12</v>
      </c>
      <c r="D40" s="41" t="s">
        <v>12</v>
      </c>
      <c r="E40" s="41" t="s">
        <v>12</v>
      </c>
      <c r="F40" s="41" t="s">
        <v>12</v>
      </c>
      <c r="G40" s="39">
        <v>10.5</v>
      </c>
      <c r="H40" s="41" t="s">
        <v>12</v>
      </c>
      <c r="I40" s="41" t="s">
        <v>12</v>
      </c>
      <c r="J40" s="40">
        <f>SUM(B40:I40)</f>
        <v>10.5</v>
      </c>
    </row>
    <row r="41" spans="1:13">
      <c r="A41" s="1" t="s">
        <v>47</v>
      </c>
      <c r="B41" s="39">
        <v>6.0205424409098498</v>
      </c>
      <c r="C41" s="39">
        <v>7.0791102978557641</v>
      </c>
      <c r="D41" s="39">
        <v>15.781332125187763</v>
      </c>
      <c r="E41" s="39">
        <v>6.1251496547596975</v>
      </c>
      <c r="F41" s="39">
        <v>91.100689381221869</v>
      </c>
      <c r="G41" s="39">
        <v>143.89121104149112</v>
      </c>
      <c r="H41" s="39">
        <v>69.895166303507395</v>
      </c>
      <c r="I41" s="39">
        <v>677.07118100186335</v>
      </c>
      <c r="J41" s="40">
        <f t="shared" si="2"/>
        <v>1016.9643822467967</v>
      </c>
    </row>
    <row r="42" spans="1:13">
      <c r="A42" s="1" t="s">
        <v>25</v>
      </c>
      <c r="B42" s="40">
        <f>SUM(B20:B41)</f>
        <v>97.836899248753042</v>
      </c>
      <c r="C42" s="40">
        <f t="shared" ref="C42:J42" si="3">SUM(C20:C41)</f>
        <v>98.485268467840243</v>
      </c>
      <c r="D42" s="40">
        <f t="shared" si="3"/>
        <v>83.870290225699662</v>
      </c>
      <c r="E42" s="40">
        <f t="shared" si="3"/>
        <v>43.750045036447439</v>
      </c>
      <c r="F42" s="40">
        <f t="shared" si="3"/>
        <v>539.25866118675378</v>
      </c>
      <c r="G42" s="40">
        <f t="shared" si="3"/>
        <v>824.90404454488396</v>
      </c>
      <c r="H42" s="40">
        <f t="shared" si="3"/>
        <v>624.10450799177318</v>
      </c>
      <c r="I42" s="40">
        <f t="shared" si="3"/>
        <v>5709.2562735204356</v>
      </c>
      <c r="J42" s="40">
        <f t="shared" si="3"/>
        <v>8021.4659902225849</v>
      </c>
    </row>
    <row r="43" spans="1:13">
      <c r="B43" s="40"/>
      <c r="C43" s="40"/>
      <c r="D43" s="40"/>
      <c r="E43" s="40"/>
      <c r="F43" s="40"/>
      <c r="G43" s="40"/>
      <c r="H43" s="40"/>
      <c r="I43" s="40"/>
      <c r="J43" s="40"/>
    </row>
    <row r="44" spans="1:13">
      <c r="A44" s="135" t="s">
        <v>48</v>
      </c>
      <c r="B44" s="136">
        <f t="shared" ref="B44:J44" si="4">B18/B42</f>
        <v>1.404592223135672</v>
      </c>
      <c r="C44" s="136">
        <f t="shared" si="4"/>
        <v>1.0107938405401966</v>
      </c>
      <c r="D44" s="136">
        <f t="shared" si="4"/>
        <v>0.63178269956618505</v>
      </c>
      <c r="E44" s="136">
        <f t="shared" si="4"/>
        <v>1.4669174314139206</v>
      </c>
      <c r="F44" s="136">
        <f t="shared" si="4"/>
        <v>1.319429014355759</v>
      </c>
      <c r="G44" s="136">
        <f t="shared" si="4"/>
        <v>1.6038128303668038</v>
      </c>
      <c r="H44" s="136">
        <f t="shared" si="4"/>
        <v>1.3376527266743317</v>
      </c>
      <c r="I44" s="136">
        <f t="shared" si="4"/>
        <v>1.4370027994566112</v>
      </c>
      <c r="J44" s="136">
        <f t="shared" si="4"/>
        <v>1.424638878422767</v>
      </c>
      <c r="L44" s="138"/>
      <c r="M44" s="139"/>
    </row>
    <row r="45" spans="1:13">
      <c r="A45" s="140" t="s">
        <v>49</v>
      </c>
      <c r="B45" s="141">
        <f t="shared" ref="B45:J45" si="5">B44/$J44</f>
        <v>0.98592860577461638</v>
      </c>
      <c r="C45" s="141">
        <f t="shared" si="5"/>
        <v>0.70950881367161434</v>
      </c>
      <c r="D45" s="141">
        <f t="shared" si="5"/>
        <v>0.44346866362768256</v>
      </c>
      <c r="E45" s="141">
        <f t="shared" si="5"/>
        <v>1.0296766806181512</v>
      </c>
      <c r="F45" s="141">
        <f t="shared" si="5"/>
        <v>0.92614980142652925</v>
      </c>
      <c r="G45" s="141">
        <f t="shared" si="5"/>
        <v>1.1257679785788257</v>
      </c>
      <c r="H45" s="141">
        <f t="shared" si="5"/>
        <v>0.93894161315831937</v>
      </c>
      <c r="I45" s="141">
        <f t="shared" si="5"/>
        <v>1.0086786351412314</v>
      </c>
      <c r="J45" s="141">
        <f t="shared" si="5"/>
        <v>1</v>
      </c>
    </row>
    <row r="46" spans="1:13">
      <c r="B46" s="39"/>
      <c r="C46" s="39"/>
      <c r="D46" s="39"/>
      <c r="E46" s="39"/>
      <c r="F46" s="39"/>
      <c r="G46" s="39"/>
      <c r="H46" s="39"/>
      <c r="I46" s="39"/>
      <c r="J46" s="40"/>
    </row>
    <row r="47" spans="1:13" ht="18.75">
      <c r="A47" s="2" t="s">
        <v>50</v>
      </c>
      <c r="B47" s="39"/>
      <c r="C47" s="39"/>
      <c r="D47" s="39"/>
      <c r="E47" s="39"/>
      <c r="F47" s="39"/>
      <c r="G47" s="39"/>
      <c r="H47" s="39"/>
      <c r="I47" s="39"/>
      <c r="J47" s="40"/>
    </row>
    <row r="48" spans="1:13">
      <c r="B48" s="39"/>
      <c r="C48" s="39"/>
      <c r="D48" s="39"/>
      <c r="E48" s="39"/>
      <c r="F48" s="39"/>
      <c r="G48" s="39"/>
      <c r="H48" s="39"/>
      <c r="I48" s="39"/>
      <c r="J48" s="40"/>
    </row>
    <row r="49" spans="1:10" s="1" customFormat="1">
      <c r="A49" s="1" t="s">
        <v>51</v>
      </c>
      <c r="B49" s="40" t="s">
        <v>2</v>
      </c>
      <c r="C49" s="40" t="s">
        <v>3</v>
      </c>
      <c r="D49" s="40" t="s">
        <v>4</v>
      </c>
      <c r="E49" s="40" t="s">
        <v>5</v>
      </c>
      <c r="F49" s="40" t="s">
        <v>6</v>
      </c>
      <c r="G49" s="40" t="s">
        <v>7</v>
      </c>
      <c r="H49" s="40" t="s">
        <v>8</v>
      </c>
      <c r="I49" s="40" t="s">
        <v>9</v>
      </c>
      <c r="J49" s="40"/>
    </row>
    <row r="50" spans="1:10">
      <c r="B50" s="39"/>
      <c r="C50" s="39"/>
      <c r="D50" s="39"/>
      <c r="E50" s="39"/>
      <c r="F50" s="39"/>
      <c r="G50" s="39"/>
      <c r="H50" s="39"/>
      <c r="I50" s="39"/>
      <c r="J50" s="40"/>
    </row>
    <row r="51" spans="1:10">
      <c r="A51" s="1" t="s">
        <v>11</v>
      </c>
      <c r="B51" s="39">
        <v>1.9438579235745732</v>
      </c>
      <c r="C51" s="39">
        <v>2.6848351865343489</v>
      </c>
      <c r="D51" s="39">
        <v>1.6856060857906128</v>
      </c>
      <c r="E51" s="41" t="s">
        <v>12</v>
      </c>
      <c r="F51" s="41" t="s">
        <v>12</v>
      </c>
      <c r="G51" s="41" t="s">
        <v>12</v>
      </c>
      <c r="H51" s="41" t="s">
        <v>12</v>
      </c>
      <c r="I51" s="41" t="s">
        <v>12</v>
      </c>
      <c r="J51" s="40">
        <f t="shared" si="2"/>
        <v>6.3142991958995349</v>
      </c>
    </row>
    <row r="52" spans="1:10">
      <c r="A52" s="1" t="s">
        <v>13</v>
      </c>
      <c r="B52" s="41" t="s">
        <v>12</v>
      </c>
      <c r="C52" s="39">
        <v>38.702720954989836</v>
      </c>
      <c r="D52" s="39">
        <v>12.391259285010172</v>
      </c>
      <c r="E52" s="41" t="s">
        <v>12</v>
      </c>
      <c r="F52" s="41" t="s">
        <v>12</v>
      </c>
      <c r="G52" s="41" t="s">
        <v>12</v>
      </c>
      <c r="H52" s="41" t="s">
        <v>12</v>
      </c>
      <c r="I52" s="41" t="s">
        <v>12</v>
      </c>
      <c r="J52" s="40">
        <f t="shared" si="2"/>
        <v>51.093980240000008</v>
      </c>
    </row>
    <row r="53" spans="1:10">
      <c r="A53" s="1" t="s">
        <v>14</v>
      </c>
      <c r="B53" s="39">
        <v>81.468867590768923</v>
      </c>
      <c r="C53" s="39">
        <v>19.67323285870571</v>
      </c>
      <c r="D53" s="39">
        <v>7.1389694458401438</v>
      </c>
      <c r="E53" s="39">
        <v>41.289003925792898</v>
      </c>
      <c r="F53" s="39">
        <v>353.34172307661191</v>
      </c>
      <c r="G53" s="39">
        <v>0.88354022073017668</v>
      </c>
      <c r="H53" s="39">
        <v>0.22701494913566103</v>
      </c>
      <c r="I53" s="39">
        <v>135.28272308541452</v>
      </c>
      <c r="J53" s="40">
        <f t="shared" si="2"/>
        <v>639.30507515299996</v>
      </c>
    </row>
    <row r="54" spans="1:10">
      <c r="A54" s="1" t="s">
        <v>15</v>
      </c>
      <c r="B54" s="39">
        <v>2.043492069179262</v>
      </c>
      <c r="C54" s="39">
        <v>1.5249221896264735</v>
      </c>
      <c r="D54" s="39">
        <v>0.75091132214828726</v>
      </c>
      <c r="E54" s="39">
        <v>0.96441100907395017</v>
      </c>
      <c r="F54" s="39">
        <v>9.813193211047448</v>
      </c>
      <c r="G54" s="39">
        <v>15.554497506834489</v>
      </c>
      <c r="H54" s="39">
        <v>11.794999378192955</v>
      </c>
      <c r="I54" s="39">
        <v>159.67690540284502</v>
      </c>
      <c r="J54" s="40">
        <f t="shared" si="2"/>
        <v>202.1233320889479</v>
      </c>
    </row>
    <row r="55" spans="1:10">
      <c r="A55" s="1" t="s">
        <v>16</v>
      </c>
      <c r="B55" s="39">
        <v>5.0216600890252838</v>
      </c>
      <c r="C55" s="39">
        <v>1.2221791682535537</v>
      </c>
      <c r="D55" s="39">
        <v>0.44339489550502797</v>
      </c>
      <c r="E55" s="39">
        <v>2.5446424951224311</v>
      </c>
      <c r="F55" s="39">
        <v>21.798175013131193</v>
      </c>
      <c r="G55" s="39">
        <v>31.848931583295862</v>
      </c>
      <c r="H55" s="39">
        <v>26.025874342845206</v>
      </c>
      <c r="I55" s="39">
        <v>27.757199115140295</v>
      </c>
      <c r="J55" s="40">
        <f t="shared" si="2"/>
        <v>116.66205670231885</v>
      </c>
    </row>
    <row r="56" spans="1:10">
      <c r="A56" s="1" t="s">
        <v>17</v>
      </c>
      <c r="B56" s="39">
        <v>12.467567407308341</v>
      </c>
      <c r="C56" s="39">
        <v>7.4332461763223936</v>
      </c>
      <c r="D56" s="39">
        <v>8.8605925467046625</v>
      </c>
      <c r="E56" s="39">
        <v>2.466892685531485</v>
      </c>
      <c r="F56" s="39">
        <v>71.981309596200688</v>
      </c>
      <c r="G56" s="39">
        <v>101.70512530240082</v>
      </c>
      <c r="H56" s="39">
        <v>58.540741504813958</v>
      </c>
      <c r="I56" s="39">
        <v>5963.9148652043559</v>
      </c>
      <c r="J56" s="40">
        <f t="shared" si="2"/>
        <v>6227.3703404236385</v>
      </c>
    </row>
    <row r="57" spans="1:10">
      <c r="A57" s="1" t="s">
        <v>18</v>
      </c>
      <c r="B57" s="39">
        <v>1.0548693697250138</v>
      </c>
      <c r="C57" s="39">
        <v>0.62892009747079525</v>
      </c>
      <c r="D57" s="39">
        <v>0.74968655630877412</v>
      </c>
      <c r="E57" s="39">
        <v>0.20872151297457084</v>
      </c>
      <c r="F57" s="39">
        <v>6.0902721601661867</v>
      </c>
      <c r="G57" s="39">
        <v>8.6051767695001633</v>
      </c>
      <c r="H57" s="39">
        <v>4.9530781007223004</v>
      </c>
      <c r="I57" s="39">
        <v>504.60133155277441</v>
      </c>
      <c r="J57" s="40">
        <f t="shared" si="2"/>
        <v>526.89205611964223</v>
      </c>
    </row>
    <row r="58" spans="1:10">
      <c r="A58" s="1" t="s">
        <v>19</v>
      </c>
      <c r="B58" s="39">
        <v>8.8911036687653502E-2</v>
      </c>
      <c r="C58" s="39">
        <v>0.18074723338503709</v>
      </c>
      <c r="D58" s="39">
        <v>6.3816598903968583E-2</v>
      </c>
      <c r="E58" s="39">
        <v>3.887204331119206E-2</v>
      </c>
      <c r="F58" s="39">
        <v>0.69517228693220479</v>
      </c>
      <c r="G58" s="39">
        <v>530.79628352208738</v>
      </c>
      <c r="H58" s="39">
        <v>434.25766492725626</v>
      </c>
      <c r="I58" s="39">
        <v>155.67425067300471</v>
      </c>
      <c r="J58" s="40">
        <f t="shared" si="2"/>
        <v>1121.7957183215685</v>
      </c>
    </row>
    <row r="59" spans="1:10">
      <c r="A59" s="1" t="s">
        <v>20</v>
      </c>
      <c r="B59" s="41" t="s">
        <v>12</v>
      </c>
      <c r="C59" s="41" t="s">
        <v>12</v>
      </c>
      <c r="D59" s="41" t="s">
        <v>12</v>
      </c>
      <c r="E59" s="41" t="s">
        <v>12</v>
      </c>
      <c r="F59" s="41" t="s">
        <v>12</v>
      </c>
      <c r="G59" s="41" t="s">
        <v>12</v>
      </c>
      <c r="H59" s="41" t="s">
        <v>12</v>
      </c>
      <c r="I59" s="39">
        <v>33.227000000000004</v>
      </c>
      <c r="J59" s="40">
        <f t="shared" si="2"/>
        <v>33.227000000000004</v>
      </c>
    </row>
    <row r="60" spans="1:10">
      <c r="A60" s="1" t="s">
        <v>21</v>
      </c>
      <c r="B60" s="41" t="s">
        <v>12</v>
      </c>
      <c r="C60" s="41" t="s">
        <v>12</v>
      </c>
      <c r="D60" s="41" t="s">
        <v>12</v>
      </c>
      <c r="E60" s="41" t="s">
        <v>12</v>
      </c>
      <c r="F60" s="41" t="s">
        <v>12</v>
      </c>
      <c r="G60" s="41" t="s">
        <v>12</v>
      </c>
      <c r="H60" s="41" t="s">
        <v>12</v>
      </c>
      <c r="I60" s="41" t="s">
        <v>12</v>
      </c>
      <c r="J60" s="40">
        <f t="shared" si="2"/>
        <v>0</v>
      </c>
    </row>
    <row r="61" spans="1:10">
      <c r="A61" s="1" t="s">
        <v>22</v>
      </c>
      <c r="B61" s="39">
        <v>1.7508896740885351</v>
      </c>
      <c r="C61" s="39">
        <v>1.9039037513902857</v>
      </c>
      <c r="D61" s="39">
        <v>4.3065282762599582</v>
      </c>
      <c r="E61" s="39">
        <v>1.9532798469685475</v>
      </c>
      <c r="F61" s="39">
        <v>29.448954588118657</v>
      </c>
      <c r="G61" s="39">
        <v>38.804814166502737</v>
      </c>
      <c r="H61" s="39">
        <v>18.229106686733793</v>
      </c>
      <c r="I61" s="39">
        <v>207.56332195944427</v>
      </c>
      <c r="J61" s="40">
        <f t="shared" si="2"/>
        <v>303.96079894950674</v>
      </c>
    </row>
    <row r="62" spans="1:10">
      <c r="A62" s="134" t="s">
        <v>23</v>
      </c>
      <c r="B62" s="41" t="s">
        <v>12</v>
      </c>
      <c r="C62" s="41" t="s">
        <v>12</v>
      </c>
      <c r="D62" s="41" t="s">
        <v>12</v>
      </c>
      <c r="E62" s="41" t="s">
        <v>12</v>
      </c>
      <c r="F62" s="41" t="s">
        <v>12</v>
      </c>
      <c r="G62" s="41" t="s">
        <v>12</v>
      </c>
      <c r="H62" s="41" t="s">
        <v>12</v>
      </c>
      <c r="I62" s="41" t="s">
        <v>12</v>
      </c>
      <c r="J62" s="40">
        <f t="shared" si="2"/>
        <v>0</v>
      </c>
    </row>
    <row r="63" spans="1:10">
      <c r="A63" s="1" t="s">
        <v>24</v>
      </c>
      <c r="B63" s="39">
        <v>31.294857703990871</v>
      </c>
      <c r="C63" s="39">
        <v>20.892887117556441</v>
      </c>
      <c r="D63" s="39">
        <v>13.634151156556815</v>
      </c>
      <c r="E63" s="39">
        <v>14.45221189333571</v>
      </c>
      <c r="F63" s="39">
        <v>233.81736041135807</v>
      </c>
      <c r="G63" s="39">
        <v>578.12596608957506</v>
      </c>
      <c r="H63" s="39">
        <v>294.73226714936402</v>
      </c>
      <c r="I63" s="39">
        <v>3315.4314385662187</v>
      </c>
      <c r="J63" s="40">
        <f t="shared" si="2"/>
        <v>4502.3811400879558</v>
      </c>
    </row>
    <row r="64" spans="1:10">
      <c r="A64" s="1" t="s">
        <v>25</v>
      </c>
      <c r="B64" s="40">
        <f>SUM(B51:B63)</f>
        <v>137.13497286434847</v>
      </c>
      <c r="C64" s="40">
        <f t="shared" ref="C64:J64" si="6">SUM(C51:C63)</f>
        <v>94.847594734234875</v>
      </c>
      <c r="D64" s="40">
        <f t="shared" si="6"/>
        <v>50.02491616902843</v>
      </c>
      <c r="E64" s="40">
        <f t="shared" si="6"/>
        <v>63.918035412110783</v>
      </c>
      <c r="F64" s="40">
        <f t="shared" si="6"/>
        <v>726.98616034356633</v>
      </c>
      <c r="G64" s="40">
        <f t="shared" si="6"/>
        <v>1306.3243351609267</v>
      </c>
      <c r="H64" s="40">
        <f t="shared" si="6"/>
        <v>848.76074703906409</v>
      </c>
      <c r="I64" s="40">
        <f t="shared" si="6"/>
        <v>10503.129035559197</v>
      </c>
      <c r="J64" s="40">
        <f t="shared" si="6"/>
        <v>13731.125797282479</v>
      </c>
    </row>
    <row r="65" spans="1:12">
      <c r="B65" s="39"/>
      <c r="C65" s="39"/>
      <c r="D65" s="39"/>
      <c r="E65" s="39"/>
      <c r="F65" s="39"/>
      <c r="G65" s="39"/>
      <c r="H65" s="39"/>
      <c r="I65" s="39"/>
      <c r="J65" s="39"/>
    </row>
    <row r="66" spans="1:12">
      <c r="A66" s="1" t="s">
        <v>26</v>
      </c>
      <c r="B66" s="39">
        <v>4.9495661000000002</v>
      </c>
      <c r="C66" s="39">
        <v>5.2924726700000004</v>
      </c>
      <c r="D66" s="39">
        <v>6.5663249300000004</v>
      </c>
      <c r="E66" s="39">
        <v>2.2551980300000003</v>
      </c>
      <c r="F66" s="39">
        <v>26.113743420000006</v>
      </c>
      <c r="G66" s="39">
        <v>34.726000479999996</v>
      </c>
      <c r="H66" s="39">
        <v>42.259821439999996</v>
      </c>
      <c r="I66" s="39">
        <v>123.64209292</v>
      </c>
      <c r="J66" s="40">
        <f>SUM(B66:I66)</f>
        <v>245.80521999000001</v>
      </c>
    </row>
    <row r="67" spans="1:12">
      <c r="A67" s="1" t="s">
        <v>52</v>
      </c>
      <c r="B67" s="41" t="s">
        <v>12</v>
      </c>
      <c r="C67" s="41" t="s">
        <v>12</v>
      </c>
      <c r="D67" s="41" t="s">
        <v>12</v>
      </c>
      <c r="E67" s="41" t="s">
        <v>12</v>
      </c>
      <c r="F67" s="41" t="s">
        <v>12</v>
      </c>
      <c r="G67" s="41" t="s">
        <v>12</v>
      </c>
      <c r="H67" s="41" t="s">
        <v>12</v>
      </c>
      <c r="I67" s="39">
        <v>346.97342520000001</v>
      </c>
      <c r="J67" s="40">
        <f t="shared" ref="J67:J108" si="7">SUM(B67:I67)</f>
        <v>346.97342520000001</v>
      </c>
    </row>
    <row r="68" spans="1:12">
      <c r="A68" s="1" t="s">
        <v>28</v>
      </c>
      <c r="B68" s="41" t="s">
        <v>12</v>
      </c>
      <c r="C68" s="41" t="s">
        <v>12</v>
      </c>
      <c r="D68" s="41" t="s">
        <v>12</v>
      </c>
      <c r="E68" s="41" t="s">
        <v>12</v>
      </c>
      <c r="F68" s="41" t="s">
        <v>12</v>
      </c>
      <c r="G68" s="41" t="s">
        <v>12</v>
      </c>
      <c r="H68" s="41" t="s">
        <v>12</v>
      </c>
      <c r="I68" s="39">
        <v>281.42071495836024</v>
      </c>
      <c r="J68" s="40">
        <f t="shared" si="7"/>
        <v>281.42071495836024</v>
      </c>
    </row>
    <row r="69" spans="1:12">
      <c r="A69" s="1" t="s">
        <v>29</v>
      </c>
      <c r="B69" s="41" t="s">
        <v>12</v>
      </c>
      <c r="C69" s="41" t="s">
        <v>12</v>
      </c>
      <c r="D69" s="41" t="s">
        <v>12</v>
      </c>
      <c r="E69" s="41" t="s">
        <v>12</v>
      </c>
      <c r="F69" s="41" t="s">
        <v>12</v>
      </c>
      <c r="G69" s="41" t="s">
        <v>12</v>
      </c>
      <c r="H69" s="41" t="s">
        <v>12</v>
      </c>
      <c r="I69" s="39">
        <v>565.813007814</v>
      </c>
      <c r="J69" s="40">
        <f t="shared" si="7"/>
        <v>565.813007814</v>
      </c>
    </row>
    <row r="70" spans="1:12">
      <c r="A70" s="1" t="s">
        <v>30</v>
      </c>
      <c r="B70" s="39">
        <v>11.232363170559752</v>
      </c>
      <c r="C70" s="39">
        <v>16.394658665621566</v>
      </c>
      <c r="D70" s="39">
        <v>11.257859007395917</v>
      </c>
      <c r="E70" s="39">
        <v>3.7229849251175726</v>
      </c>
      <c r="F70" s="39">
        <v>40.485857255680571</v>
      </c>
      <c r="G70" s="39">
        <v>64.516450537168254</v>
      </c>
      <c r="H70" s="39">
        <v>72.78678988698644</v>
      </c>
      <c r="I70" s="39">
        <v>332.36150983915172</v>
      </c>
      <c r="J70" s="40">
        <f t="shared" si="7"/>
        <v>552.7584732876818</v>
      </c>
      <c r="L70" s="39"/>
    </row>
    <row r="71" spans="1:12">
      <c r="A71" s="1" t="s">
        <v>31</v>
      </c>
      <c r="B71" s="39">
        <v>1.0058158167747548</v>
      </c>
      <c r="C71" s="39">
        <v>1.2411795297150288</v>
      </c>
      <c r="D71" s="39">
        <v>1.0594302222511836</v>
      </c>
      <c r="E71" s="39">
        <v>0.30715378911439772</v>
      </c>
      <c r="F71" s="39">
        <v>3.3547739873888465</v>
      </c>
      <c r="G71" s="39">
        <v>4.7671930494499453</v>
      </c>
      <c r="H71" s="39">
        <v>5.1994898707517452</v>
      </c>
      <c r="I71" s="39">
        <v>29.467263571438146</v>
      </c>
      <c r="J71" s="40">
        <f t="shared" si="7"/>
        <v>46.402299836884048</v>
      </c>
    </row>
    <row r="72" spans="1:12">
      <c r="A72" s="1" t="s">
        <v>32</v>
      </c>
      <c r="B72" s="39">
        <v>8.5253183938632553</v>
      </c>
      <c r="C72" s="39">
        <v>11.287639752823672</v>
      </c>
      <c r="D72" s="39">
        <v>9.3837267748377435</v>
      </c>
      <c r="E72" s="39">
        <v>1.8612471073106021</v>
      </c>
      <c r="F72" s="39">
        <v>40.829704955631399</v>
      </c>
      <c r="G72" s="39">
        <v>63.856177384921487</v>
      </c>
      <c r="H72" s="39">
        <v>54.904943250200397</v>
      </c>
      <c r="I72" s="39">
        <v>421.86160022728086</v>
      </c>
      <c r="J72" s="40">
        <f t="shared" si="7"/>
        <v>612.5103578468694</v>
      </c>
    </row>
    <row r="73" spans="1:12">
      <c r="A73" s="1" t="s">
        <v>33</v>
      </c>
      <c r="B73" s="39">
        <v>27.277067964403606</v>
      </c>
      <c r="C73" s="39">
        <v>32.363218730375962</v>
      </c>
      <c r="D73" s="39">
        <v>24.083065214926332</v>
      </c>
      <c r="E73" s="39">
        <v>10.200375194716923</v>
      </c>
      <c r="F73" s="39">
        <v>74.808883585422308</v>
      </c>
      <c r="G73" s="39">
        <v>110.86476957032693</v>
      </c>
      <c r="H73" s="39">
        <v>138.66224763786045</v>
      </c>
      <c r="I73" s="39">
        <v>252.00026707776627</v>
      </c>
      <c r="J73" s="40">
        <f t="shared" si="7"/>
        <v>670.25989497579872</v>
      </c>
    </row>
    <row r="74" spans="1:12">
      <c r="A74" s="1" t="s">
        <v>34</v>
      </c>
      <c r="B74" s="39">
        <v>18.994704236167465</v>
      </c>
      <c r="C74" s="39">
        <v>18.78688801969146</v>
      </c>
      <c r="D74" s="39">
        <v>20.652795418056353</v>
      </c>
      <c r="E74" s="39">
        <v>4.1548160932569935</v>
      </c>
      <c r="F74" s="39">
        <v>92.034287048562234</v>
      </c>
      <c r="G74" s="39">
        <v>111.79976499137842</v>
      </c>
      <c r="H74" s="39">
        <v>113.05913753042176</v>
      </c>
      <c r="I74" s="39">
        <v>1035.5606066624653</v>
      </c>
      <c r="J74" s="40">
        <f t="shared" si="7"/>
        <v>1415.0429999999999</v>
      </c>
    </row>
    <row r="75" spans="1:12">
      <c r="A75" s="134" t="s">
        <v>35</v>
      </c>
      <c r="B75" s="39">
        <v>7.4497303423408985</v>
      </c>
      <c r="C75" s="39">
        <v>8.8020091418211219</v>
      </c>
      <c r="D75" s="39">
        <v>6.645299429690076</v>
      </c>
      <c r="E75" s="39">
        <v>2.7810295791232784</v>
      </c>
      <c r="F75" s="39">
        <v>20.453154241142428</v>
      </c>
      <c r="G75" s="39">
        <v>30.754975969691465</v>
      </c>
      <c r="H75" s="39">
        <v>37.815397689367273</v>
      </c>
      <c r="I75" s="39">
        <v>188.54140417682345</v>
      </c>
      <c r="J75" s="40">
        <f t="shared" si="7"/>
        <v>303.24300056999999</v>
      </c>
    </row>
    <row r="76" spans="1:12">
      <c r="A76" s="1" t="s">
        <v>36</v>
      </c>
      <c r="B76" s="39">
        <v>0.380276</v>
      </c>
      <c r="C76" s="39">
        <v>0.14626</v>
      </c>
      <c r="D76" s="39">
        <v>2.9252E-2</v>
      </c>
      <c r="E76" s="39">
        <v>0.380276</v>
      </c>
      <c r="F76" s="39">
        <v>7.3422520000000002</v>
      </c>
      <c r="G76" s="39">
        <v>11.583792000000001</v>
      </c>
      <c r="H76" s="39">
        <v>7.5177639999999997</v>
      </c>
      <c r="I76" s="39">
        <v>160.544128</v>
      </c>
      <c r="J76" s="40">
        <f t="shared" si="7"/>
        <v>187.92400000000001</v>
      </c>
    </row>
    <row r="77" spans="1:12">
      <c r="A77" s="1" t="s">
        <v>37</v>
      </c>
      <c r="B77" s="39">
        <v>2.23697554</v>
      </c>
      <c r="C77" s="39">
        <v>0.46276782999999999</v>
      </c>
      <c r="D77" s="39">
        <v>4.9200480000000005E-2</v>
      </c>
      <c r="E77" s="39">
        <v>0.87480347999999997</v>
      </c>
      <c r="F77" s="39">
        <v>18.764459420000001</v>
      </c>
      <c r="G77" s="39">
        <v>27.151193829999997</v>
      </c>
      <c r="H77" s="39">
        <v>16.73488034</v>
      </c>
      <c r="I77" s="39">
        <v>86.877217999999999</v>
      </c>
      <c r="J77" s="40">
        <f t="shared" si="7"/>
        <v>153.15149891999999</v>
      </c>
    </row>
    <row r="78" spans="1:12">
      <c r="A78" s="134" t="s">
        <v>38</v>
      </c>
      <c r="B78" s="39">
        <v>1.8456461126743029</v>
      </c>
      <c r="C78" s="39">
        <v>0.53235418124912615</v>
      </c>
      <c r="D78" s="39">
        <v>0.59121783851616438</v>
      </c>
      <c r="E78" s="39">
        <v>1.2643846122672802</v>
      </c>
      <c r="F78" s="39">
        <v>20.016834594603782</v>
      </c>
      <c r="G78" s="39">
        <v>18.368336524087784</v>
      </c>
      <c r="H78" s="39">
        <v>8.3266335181580153</v>
      </c>
      <c r="I78" s="39">
        <v>434.61486468357543</v>
      </c>
      <c r="J78" s="40">
        <f t="shared" si="7"/>
        <v>485.56027206513193</v>
      </c>
    </row>
    <row r="79" spans="1:12">
      <c r="A79" s="1" t="s">
        <v>39</v>
      </c>
      <c r="B79" s="41" t="s">
        <v>12</v>
      </c>
      <c r="C79" s="39">
        <v>9.0043721950504239</v>
      </c>
      <c r="D79" s="39">
        <v>3.8617576649495771</v>
      </c>
      <c r="E79" s="41" t="s">
        <v>12</v>
      </c>
      <c r="F79" s="41" t="s">
        <v>12</v>
      </c>
      <c r="G79" s="41" t="s">
        <v>12</v>
      </c>
      <c r="H79" s="41" t="s">
        <v>12</v>
      </c>
      <c r="I79" s="41" t="s">
        <v>12</v>
      </c>
      <c r="J79" s="40">
        <f t="shared" si="7"/>
        <v>12.866129860000001</v>
      </c>
    </row>
    <row r="80" spans="1:12">
      <c r="A80" s="1" t="s">
        <v>40</v>
      </c>
      <c r="B80" s="39">
        <v>31.293946119588202</v>
      </c>
      <c r="C80" s="39">
        <v>8.0382694543716706</v>
      </c>
      <c r="D80" s="39">
        <v>4.1968651149536669</v>
      </c>
      <c r="E80" s="39">
        <v>17.875137580584756</v>
      </c>
      <c r="F80" s="39">
        <v>227.37182289012225</v>
      </c>
      <c r="G80" s="39">
        <v>0.71121916820016662</v>
      </c>
      <c r="H80" s="39">
        <v>0.11524140615675797</v>
      </c>
      <c r="I80" s="39">
        <v>89.382977789022533</v>
      </c>
      <c r="J80" s="40">
        <f t="shared" si="7"/>
        <v>378.98547952299998</v>
      </c>
    </row>
    <row r="81" spans="1:10">
      <c r="A81" s="1" t="s">
        <v>41</v>
      </c>
      <c r="B81" s="39">
        <v>7.7970732347141709</v>
      </c>
      <c r="C81" s="39">
        <v>4.7895795097031346</v>
      </c>
      <c r="D81" s="39">
        <v>4.5056424343126311</v>
      </c>
      <c r="E81" s="39">
        <v>1.5118680351869425</v>
      </c>
      <c r="F81" s="39">
        <v>41.844898454707291</v>
      </c>
      <c r="G81" s="39">
        <v>61.541656263542151</v>
      </c>
      <c r="H81" s="39">
        <v>35.007697354447039</v>
      </c>
      <c r="I81" s="39">
        <v>3350.0552486772513</v>
      </c>
      <c r="J81" s="40">
        <f t="shared" si="7"/>
        <v>3507.0536639638644</v>
      </c>
    </row>
    <row r="82" spans="1:10">
      <c r="A82" s="1" t="s">
        <v>42</v>
      </c>
      <c r="B82" s="39">
        <v>8.0483653262528168E-2</v>
      </c>
      <c r="C82" s="39">
        <v>0</v>
      </c>
      <c r="D82" s="39">
        <v>0.40987456927359522</v>
      </c>
      <c r="E82" s="39">
        <v>2.6446633093650786E-2</v>
      </c>
      <c r="F82" s="39">
        <v>1.5446188933559304</v>
      </c>
      <c r="G82" s="39">
        <v>1.3592528011987788</v>
      </c>
      <c r="H82" s="39">
        <v>0.92377704680481054</v>
      </c>
      <c r="I82" s="39">
        <v>172.77753025300149</v>
      </c>
      <c r="J82" s="40">
        <f t="shared" si="7"/>
        <v>177.12198384999078</v>
      </c>
    </row>
    <row r="83" spans="1:10">
      <c r="A83" s="1" t="s">
        <v>43</v>
      </c>
      <c r="B83" s="39">
        <v>3.752327516071996E-2</v>
      </c>
      <c r="C83" s="39">
        <v>0.10500382724949285</v>
      </c>
      <c r="D83" s="39">
        <v>4.1099409811469409E-2</v>
      </c>
      <c r="E83" s="39">
        <v>2.4497958147439301E-2</v>
      </c>
      <c r="F83" s="39">
        <v>0.3873969551463749</v>
      </c>
      <c r="G83" s="39">
        <v>283.14535566273753</v>
      </c>
      <c r="H83" s="39">
        <v>173.2347722991789</v>
      </c>
      <c r="I83" s="39">
        <v>107.16079088742049</v>
      </c>
      <c r="J83" s="40">
        <f t="shared" si="7"/>
        <v>564.13644027485236</v>
      </c>
    </row>
    <row r="84" spans="1:10">
      <c r="A84" s="1" t="s">
        <v>44</v>
      </c>
      <c r="B84" s="41" t="s">
        <v>12</v>
      </c>
      <c r="C84" s="41" t="s">
        <v>12</v>
      </c>
      <c r="D84" s="41" t="s">
        <v>12</v>
      </c>
      <c r="E84" s="41" t="s">
        <v>12</v>
      </c>
      <c r="F84" s="41" t="s">
        <v>12</v>
      </c>
      <c r="G84" s="41" t="s">
        <v>12</v>
      </c>
      <c r="H84" s="41" t="s">
        <v>12</v>
      </c>
      <c r="I84" s="39">
        <v>5.5860000000000003</v>
      </c>
      <c r="J84" s="40">
        <f t="shared" si="7"/>
        <v>5.5860000000000003</v>
      </c>
    </row>
    <row r="85" spans="1:10">
      <c r="A85" s="1" t="s">
        <v>45</v>
      </c>
      <c r="B85" s="41" t="s">
        <v>12</v>
      </c>
      <c r="C85" s="41" t="s">
        <v>12</v>
      </c>
      <c r="D85" s="41" t="s">
        <v>12</v>
      </c>
      <c r="E85" s="41" t="s">
        <v>12</v>
      </c>
      <c r="F85" s="41" t="s">
        <v>12</v>
      </c>
      <c r="G85" s="41" t="s">
        <v>12</v>
      </c>
      <c r="H85" s="41" t="s">
        <v>12</v>
      </c>
      <c r="I85" s="41" t="s">
        <v>12</v>
      </c>
      <c r="J85" s="40">
        <f t="shared" si="7"/>
        <v>0</v>
      </c>
    </row>
    <row r="86" spans="1:10">
      <c r="A86" s="1" t="s">
        <v>46</v>
      </c>
      <c r="B86" s="41" t="s">
        <v>12</v>
      </c>
      <c r="C86" s="41" t="s">
        <v>12</v>
      </c>
      <c r="D86" s="41" t="s">
        <v>12</v>
      </c>
      <c r="E86" s="41" t="s">
        <v>12</v>
      </c>
      <c r="F86" s="41" t="s">
        <v>12</v>
      </c>
      <c r="G86" s="41" t="s">
        <v>12</v>
      </c>
      <c r="H86" s="41" t="s">
        <v>12</v>
      </c>
      <c r="I86" s="41" t="s">
        <v>12</v>
      </c>
      <c r="J86" s="40">
        <f t="shared" si="7"/>
        <v>0</v>
      </c>
    </row>
    <row r="87" spans="1:10">
      <c r="A87" s="1" t="s">
        <v>47</v>
      </c>
      <c r="B87" s="39">
        <v>7.5788633846179358</v>
      </c>
      <c r="C87" s="39">
        <v>8.7523669991295545</v>
      </c>
      <c r="D87" s="39">
        <v>19.457467267936316</v>
      </c>
      <c r="E87" s="39">
        <v>7.6814732368008656</v>
      </c>
      <c r="F87" s="39">
        <v>114.07069611222603</v>
      </c>
      <c r="G87" s="39">
        <v>180.68622978042725</v>
      </c>
      <c r="H87" s="39">
        <v>87.912926407227488</v>
      </c>
      <c r="I87" s="39">
        <v>839.39019052552123</v>
      </c>
      <c r="J87" s="40">
        <f t="shared" si="7"/>
        <v>1265.5302137138867</v>
      </c>
    </row>
    <row r="88" spans="1:10">
      <c r="A88" s="1" t="s">
        <v>25</v>
      </c>
      <c r="B88" s="40">
        <f>SUM(B66:B87)</f>
        <v>130.68535334412761</v>
      </c>
      <c r="C88" s="40">
        <f t="shared" ref="C88:J88" si="8">SUM(C66:C87)</f>
        <v>125.9990405068022</v>
      </c>
      <c r="D88" s="40">
        <f t="shared" si="8"/>
        <v>112.790877776911</v>
      </c>
      <c r="E88" s="40">
        <f t="shared" si="8"/>
        <v>54.921692254720696</v>
      </c>
      <c r="F88" s="40">
        <f t="shared" si="8"/>
        <v>729.42338381398952</v>
      </c>
      <c r="G88" s="40">
        <f t="shared" si="8"/>
        <v>1005.8323680131302</v>
      </c>
      <c r="H88" s="40">
        <f t="shared" si="8"/>
        <v>794.46151967756111</v>
      </c>
      <c r="I88" s="40">
        <f t="shared" si="8"/>
        <v>8824.0308412630784</v>
      </c>
      <c r="J88" s="40">
        <f t="shared" si="8"/>
        <v>11778.14507665032</v>
      </c>
    </row>
    <row r="89" spans="1:10">
      <c r="B89" s="40"/>
      <c r="C89" s="40"/>
      <c r="D89" s="40"/>
      <c r="E89" s="40"/>
      <c r="F89" s="40"/>
      <c r="G89" s="40"/>
      <c r="H89" s="40"/>
      <c r="I89" s="40"/>
      <c r="J89" s="40"/>
    </row>
    <row r="90" spans="1:10">
      <c r="A90" s="135" t="s">
        <v>48</v>
      </c>
      <c r="B90" s="136">
        <f t="shared" ref="B90:J90" si="9">B64/B88</f>
        <v>1.0493522751798925</v>
      </c>
      <c r="C90" s="136">
        <f t="shared" si="9"/>
        <v>0.75276442068711169</v>
      </c>
      <c r="D90" s="136">
        <f t="shared" si="9"/>
        <v>0.44351916710828931</v>
      </c>
      <c r="E90" s="136">
        <f t="shared" si="9"/>
        <v>1.1638030946982851</v>
      </c>
      <c r="F90" s="136">
        <f t="shared" si="9"/>
        <v>0.99665869846716526</v>
      </c>
      <c r="G90" s="136">
        <f t="shared" si="9"/>
        <v>1.2987495498294341</v>
      </c>
      <c r="H90" s="136">
        <f t="shared" si="9"/>
        <v>1.0683472087906043</v>
      </c>
      <c r="I90" s="136">
        <f t="shared" si="9"/>
        <v>1.1902869815962442</v>
      </c>
      <c r="J90" s="136">
        <f t="shared" si="9"/>
        <v>1.1658139467566808</v>
      </c>
    </row>
    <row r="91" spans="1:10">
      <c r="A91" s="140" t="s">
        <v>49</v>
      </c>
      <c r="B91" s="141">
        <f t="shared" ref="B91:J91" si="10">B90/$J90</f>
        <v>0.90010269485899774</v>
      </c>
      <c r="C91" s="141">
        <f t="shared" si="10"/>
        <v>0.64569858919711698</v>
      </c>
      <c r="D91" s="141">
        <f t="shared" si="10"/>
        <v>0.38043734880867491</v>
      </c>
      <c r="E91" s="141">
        <f t="shared" si="10"/>
        <v>0.998275151825049</v>
      </c>
      <c r="F91" s="141">
        <f t="shared" si="10"/>
        <v>0.85490373591763158</v>
      </c>
      <c r="G91" s="141">
        <f t="shared" si="10"/>
        <v>1.1140281461227866</v>
      </c>
      <c r="H91" s="141">
        <f t="shared" si="10"/>
        <v>0.91639597532931305</v>
      </c>
      <c r="I91" s="141">
        <f t="shared" si="10"/>
        <v>1.0209922302848133</v>
      </c>
      <c r="J91" s="141">
        <f t="shared" si="10"/>
        <v>1</v>
      </c>
    </row>
    <row r="92" spans="1:10">
      <c r="B92" s="39"/>
      <c r="C92" s="39"/>
      <c r="D92" s="39"/>
      <c r="E92" s="39"/>
      <c r="F92" s="39"/>
      <c r="G92" s="39"/>
      <c r="H92" s="39"/>
      <c r="I92" s="39"/>
      <c r="J92" s="40"/>
    </row>
    <row r="93" spans="1:10" ht="15.75">
      <c r="B93" s="39"/>
      <c r="C93" s="39"/>
      <c r="D93" s="145"/>
      <c r="E93" s="39"/>
      <c r="F93" s="39"/>
      <c r="G93" s="39"/>
      <c r="H93" s="39"/>
      <c r="I93" s="39"/>
      <c r="J93" s="40"/>
    </row>
    <row r="94" spans="1:10">
      <c r="B94" s="39"/>
      <c r="C94" s="39"/>
      <c r="D94" s="39"/>
      <c r="E94" s="39"/>
      <c r="F94" s="39"/>
      <c r="G94" s="39"/>
      <c r="H94" s="39"/>
      <c r="I94" s="39"/>
      <c r="J94" s="40"/>
    </row>
    <row r="95" spans="1:10" s="1" customFormat="1" ht="13.5" customHeight="1">
      <c r="A95" s="192" t="s">
        <v>53</v>
      </c>
      <c r="B95" s="214" t="s">
        <v>54</v>
      </c>
      <c r="C95" s="214" t="s">
        <v>3</v>
      </c>
      <c r="D95" s="214" t="s">
        <v>55</v>
      </c>
      <c r="E95" s="214" t="s">
        <v>5</v>
      </c>
      <c r="F95" s="214" t="s">
        <v>56</v>
      </c>
      <c r="G95" s="214" t="s">
        <v>7</v>
      </c>
      <c r="H95" s="214" t="s">
        <v>8</v>
      </c>
      <c r="I95" s="214" t="s">
        <v>9</v>
      </c>
      <c r="J95" s="214" t="s">
        <v>10</v>
      </c>
    </row>
    <row r="96" spans="1:10" ht="13.5" customHeight="1">
      <c r="A96" s="198" t="s">
        <v>11</v>
      </c>
      <c r="B96" s="216">
        <v>2.4023978800000001</v>
      </c>
      <c r="C96" s="216">
        <v>3.8725772300000001</v>
      </c>
      <c r="D96" s="216">
        <v>2.34895845</v>
      </c>
      <c r="E96" s="217" t="s">
        <v>12</v>
      </c>
      <c r="F96" s="217" t="s">
        <v>12</v>
      </c>
      <c r="G96" s="217" t="s">
        <v>12</v>
      </c>
      <c r="H96" s="217" t="s">
        <v>12</v>
      </c>
      <c r="I96" s="217" t="s">
        <v>12</v>
      </c>
      <c r="J96" s="218">
        <f t="shared" si="7"/>
        <v>8.6239335599999993</v>
      </c>
    </row>
    <row r="97" spans="1:21" ht="13.5" customHeight="1">
      <c r="A97" s="208" t="s">
        <v>13</v>
      </c>
      <c r="B97" s="210" t="s">
        <v>12</v>
      </c>
      <c r="C97" s="209">
        <v>36.33588857021693</v>
      </c>
      <c r="D97" s="209">
        <v>9.6283315997830758</v>
      </c>
      <c r="E97" s="210" t="s">
        <v>12</v>
      </c>
      <c r="F97" s="210" t="s">
        <v>12</v>
      </c>
      <c r="G97" s="210" t="s">
        <v>12</v>
      </c>
      <c r="H97" s="210" t="s">
        <v>12</v>
      </c>
      <c r="I97" s="210" t="s">
        <v>12</v>
      </c>
      <c r="J97" s="211">
        <f t="shared" si="7"/>
        <v>45.964220170000004</v>
      </c>
    </row>
    <row r="98" spans="1:21" ht="13.5" customHeight="1">
      <c r="A98" s="198" t="s">
        <v>14</v>
      </c>
      <c r="B98" s="216">
        <v>104.85226995397973</v>
      </c>
      <c r="C98" s="216">
        <v>25.319894378920345</v>
      </c>
      <c r="D98" s="216">
        <v>9.1880146817366501</v>
      </c>
      <c r="E98" s="216">
        <v>53.13987924202722</v>
      </c>
      <c r="F98" s="216">
        <v>454.75876650372373</v>
      </c>
      <c r="G98" s="216">
        <v>1.1371361905329385</v>
      </c>
      <c r="H98" s="216">
        <v>0.29217335939819039</v>
      </c>
      <c r="I98" s="216">
        <v>174.11191563768111</v>
      </c>
      <c r="J98" s="218">
        <f t="shared" si="7"/>
        <v>822.80004994799992</v>
      </c>
    </row>
    <row r="99" spans="1:21" ht="13.5" customHeight="1">
      <c r="A99" s="208" t="s">
        <v>15</v>
      </c>
      <c r="B99" s="209">
        <v>4.4732364220563516</v>
      </c>
      <c r="C99" s="209">
        <v>2.8186343452871494</v>
      </c>
      <c r="D99" s="209">
        <v>1.3931723097220701</v>
      </c>
      <c r="E99" s="209">
        <v>2.116757931703376</v>
      </c>
      <c r="F99" s="209">
        <v>21.471381845747757</v>
      </c>
      <c r="G99" s="209">
        <v>32.581426515587985</v>
      </c>
      <c r="H99" s="209">
        <v>24.641725973268795</v>
      </c>
      <c r="I99" s="209">
        <v>342.46827065888493</v>
      </c>
      <c r="J99" s="211">
        <f t="shared" si="7"/>
        <v>431.96460600225839</v>
      </c>
    </row>
    <row r="100" spans="1:21" ht="13.5" customHeight="1">
      <c r="A100" s="198" t="s">
        <v>16</v>
      </c>
      <c r="B100" s="216">
        <v>5.4833701662733176</v>
      </c>
      <c r="C100" s="216">
        <v>1.3347608303410767</v>
      </c>
      <c r="D100" s="216">
        <v>0.48423612577955455</v>
      </c>
      <c r="E100" s="216">
        <v>2.7785982176107162</v>
      </c>
      <c r="F100" s="216">
        <v>23.802788250158585</v>
      </c>
      <c r="G100" s="216">
        <v>35.476974576677435</v>
      </c>
      <c r="H100" s="216">
        <v>28.991260371632258</v>
      </c>
      <c r="I100" s="216">
        <v>27.128027590918233</v>
      </c>
      <c r="J100" s="218">
        <f t="shared" si="7"/>
        <v>125.48001612939117</v>
      </c>
    </row>
    <row r="101" spans="1:21" ht="13.5" customHeight="1">
      <c r="A101" s="208" t="s">
        <v>57</v>
      </c>
      <c r="B101" s="209">
        <v>15.48688024042241</v>
      </c>
      <c r="C101" s="209">
        <v>9.2333804638426908</v>
      </c>
      <c r="D101" s="209">
        <v>11.006392117002394</v>
      </c>
      <c r="E101" s="209">
        <v>3.0643084042525501</v>
      </c>
      <c r="F101" s="209">
        <v>89.413266024265951</v>
      </c>
      <c r="G101" s="209">
        <v>126.33539839312473</v>
      </c>
      <c r="H101" s="209">
        <v>72.717750243654848</v>
      </c>
      <c r="I101" s="209">
        <v>7408.2162352980786</v>
      </c>
      <c r="J101" s="211">
        <f t="shared" si="7"/>
        <v>7735.4736111846441</v>
      </c>
      <c r="N101" s="142" t="s">
        <v>58</v>
      </c>
      <c r="O101" s="142"/>
      <c r="P101" s="142"/>
      <c r="Q101" s="142"/>
      <c r="R101" s="142"/>
      <c r="S101" s="142"/>
      <c r="T101" s="142"/>
      <c r="U101" s="142"/>
    </row>
    <row r="102" spans="1:21" ht="13.5" customHeight="1">
      <c r="A102" s="198" t="s">
        <v>59</v>
      </c>
      <c r="B102" s="216">
        <v>1.3919454130385203</v>
      </c>
      <c r="C102" s="216">
        <v>0.82988706466130491</v>
      </c>
      <c r="D102" s="216">
        <v>0.98924359093171021</v>
      </c>
      <c r="E102" s="216">
        <v>0.27541699562586575</v>
      </c>
      <c r="F102" s="216">
        <v>8.0363755369154521</v>
      </c>
      <c r="G102" s="216">
        <v>11.354900119826045</v>
      </c>
      <c r="H102" s="216">
        <v>6.5357991620509432</v>
      </c>
      <c r="I102" s="216">
        <v>665.84311671796058</v>
      </c>
      <c r="J102" s="218">
        <f t="shared" si="7"/>
        <v>695.25668460101042</v>
      </c>
    </row>
    <row r="103" spans="1:21" ht="13.5" customHeight="1">
      <c r="A103" s="208" t="s">
        <v>60</v>
      </c>
      <c r="B103" s="209">
        <v>0.10784185122566896</v>
      </c>
      <c r="C103" s="209">
        <v>0.21923168347071109</v>
      </c>
      <c r="D103" s="209">
        <v>7.7404340575928085E-2</v>
      </c>
      <c r="E103" s="209">
        <v>4.7148624825172632E-2</v>
      </c>
      <c r="F103" s="209">
        <v>0.84318740548395044</v>
      </c>
      <c r="G103" s="209">
        <v>643.8126915539134</v>
      </c>
      <c r="H103" s="209">
        <v>526.71920426718748</v>
      </c>
      <c r="I103" s="209">
        <v>188.82019607670301</v>
      </c>
      <c r="J103" s="211">
        <f t="shared" si="7"/>
        <v>1360.6469058033854</v>
      </c>
    </row>
    <row r="104" spans="1:21" ht="13.5" customHeight="1">
      <c r="A104" s="198" t="s">
        <v>61</v>
      </c>
      <c r="B104" s="217" t="s">
        <v>12</v>
      </c>
      <c r="C104" s="217" t="s">
        <v>12</v>
      </c>
      <c r="D104" s="217" t="s">
        <v>12</v>
      </c>
      <c r="E104" s="217" t="s">
        <v>12</v>
      </c>
      <c r="F104" s="217" t="s">
        <v>12</v>
      </c>
      <c r="G104" s="217" t="s">
        <v>12</v>
      </c>
      <c r="H104" s="217" t="s">
        <v>12</v>
      </c>
      <c r="I104" s="216">
        <v>63.944999999999993</v>
      </c>
      <c r="J104" s="218">
        <f t="shared" si="7"/>
        <v>63.944999999999993</v>
      </c>
    </row>
    <row r="105" spans="1:21" ht="13.5" customHeight="1">
      <c r="A105" s="208" t="s">
        <v>62</v>
      </c>
      <c r="B105" s="210" t="s">
        <v>12</v>
      </c>
      <c r="C105" s="210" t="s">
        <v>12</v>
      </c>
      <c r="D105" s="210" t="s">
        <v>12</v>
      </c>
      <c r="E105" s="210" t="s">
        <v>12</v>
      </c>
      <c r="F105" s="210" t="s">
        <v>12</v>
      </c>
      <c r="G105" s="210" t="s">
        <v>12</v>
      </c>
      <c r="H105" s="210" t="s">
        <v>12</v>
      </c>
      <c r="I105" s="210" t="s">
        <v>12</v>
      </c>
      <c r="J105" s="211">
        <f t="shared" si="7"/>
        <v>0</v>
      </c>
    </row>
    <row r="106" spans="1:21" ht="13.5" customHeight="1">
      <c r="A106" s="198" t="s">
        <v>63</v>
      </c>
      <c r="B106" s="216">
        <v>2.2670860973110543</v>
      </c>
      <c r="C106" s="216">
        <v>2.4652117088086842</v>
      </c>
      <c r="D106" s="216">
        <v>5.5761768015842454</v>
      </c>
      <c r="E106" s="216">
        <v>2.5291448403369472</v>
      </c>
      <c r="F106" s="216">
        <v>38.131080738609946</v>
      </c>
      <c r="G106" s="216">
        <v>50.245230186427456</v>
      </c>
      <c r="H106" s="216">
        <v>23.603402857126238</v>
      </c>
      <c r="I106" s="216">
        <v>268.75703734498114</v>
      </c>
      <c r="J106" s="218">
        <f t="shared" si="7"/>
        <v>393.57437057518575</v>
      </c>
    </row>
    <row r="107" spans="1:21" ht="13.5" customHeight="1">
      <c r="A107" s="203" t="s">
        <v>23</v>
      </c>
      <c r="B107" s="212">
        <v>1.136206517181727E-2</v>
      </c>
      <c r="C107" s="212">
        <v>2.3097940614065927E-2</v>
      </c>
      <c r="D107" s="212">
        <v>8.1552120277020891E-3</v>
      </c>
      <c r="E107" s="212">
        <v>4.9675125374485608E-3</v>
      </c>
      <c r="F107" s="212">
        <v>8.8837034456283562E-2</v>
      </c>
      <c r="G107" s="212">
        <v>67.831196114866927</v>
      </c>
      <c r="H107" s="212">
        <v>55.494391631020463</v>
      </c>
      <c r="I107" s="212">
        <v>19.893829243429764</v>
      </c>
      <c r="J107" s="211">
        <f t="shared" si="7"/>
        <v>143.35583675412448</v>
      </c>
    </row>
    <row r="108" spans="1:21" ht="13.5" customHeight="1">
      <c r="A108" s="198" t="s">
        <v>24</v>
      </c>
      <c r="B108" s="216">
        <v>19.79355778029128</v>
      </c>
      <c r="C108" s="216">
        <v>22.931081805356666</v>
      </c>
      <c r="D108" s="216">
        <v>11.935960882762082</v>
      </c>
      <c r="E108" s="216">
        <v>11.320944360973062</v>
      </c>
      <c r="F108" s="216">
        <v>174.09409300529549</v>
      </c>
      <c r="G108" s="216">
        <v>505.89452778116396</v>
      </c>
      <c r="H108" s="216">
        <v>270.68398856371817</v>
      </c>
      <c r="I108" s="216">
        <v>2223.956973889462</v>
      </c>
      <c r="J108" s="218">
        <f t="shared" si="7"/>
        <v>3240.6111280690229</v>
      </c>
    </row>
    <row r="109" spans="1:21" ht="13.5" customHeight="1">
      <c r="A109" s="208" t="s">
        <v>25</v>
      </c>
      <c r="B109" s="211">
        <f>SUM(B96:B108)</f>
        <v>156.26994786977014</v>
      </c>
      <c r="C109" s="211">
        <f t="shared" ref="C109:J109" si="11">SUM(C96:C108)</f>
        <v>105.38364602151964</v>
      </c>
      <c r="D109" s="211">
        <f t="shared" si="11"/>
        <v>52.636046111905408</v>
      </c>
      <c r="E109" s="211">
        <f t="shared" si="11"/>
        <v>75.27716612989235</v>
      </c>
      <c r="F109" s="211">
        <f t="shared" si="11"/>
        <v>810.63977634465721</v>
      </c>
      <c r="G109" s="211">
        <f t="shared" si="11"/>
        <v>1474.6694814321208</v>
      </c>
      <c r="H109" s="211">
        <f t="shared" si="11"/>
        <v>1009.6796964290572</v>
      </c>
      <c r="I109" s="211">
        <f t="shared" si="11"/>
        <v>11383.140602458101</v>
      </c>
      <c r="J109" s="211">
        <f t="shared" si="11"/>
        <v>15067.696362797022</v>
      </c>
      <c r="L109" s="40"/>
    </row>
    <row r="110" spans="1:21" ht="13.5" customHeight="1">
      <c r="A110" s="208"/>
      <c r="B110" s="211"/>
      <c r="C110" s="211"/>
      <c r="D110" s="211"/>
      <c r="E110" s="211"/>
      <c r="F110" s="211"/>
      <c r="G110" s="211"/>
      <c r="H110" s="211"/>
      <c r="I110" s="211"/>
      <c r="J110" s="211"/>
      <c r="L110" s="40"/>
    </row>
    <row r="111" spans="1:21" ht="13.5" customHeight="1">
      <c r="A111" s="192" t="s">
        <v>64</v>
      </c>
      <c r="B111" s="219"/>
      <c r="C111" s="219"/>
      <c r="D111" s="219"/>
      <c r="E111" s="219"/>
      <c r="F111" s="219"/>
      <c r="G111" s="219"/>
      <c r="H111" s="219"/>
      <c r="I111" s="219"/>
      <c r="J111" s="219"/>
    </row>
    <row r="112" spans="1:21" ht="13.5" customHeight="1">
      <c r="A112" s="198" t="s">
        <v>26</v>
      </c>
      <c r="B112" s="216">
        <v>6.7359933600000002</v>
      </c>
      <c r="C112" s="216">
        <v>7.9278017900000002</v>
      </c>
      <c r="D112" s="216">
        <v>9.7867518399999991</v>
      </c>
      <c r="E112" s="216">
        <v>2.8271205300000002</v>
      </c>
      <c r="F112" s="216">
        <v>37.859870380000004</v>
      </c>
      <c r="G112" s="216">
        <v>53.979819989999996</v>
      </c>
      <c r="H112" s="216">
        <v>60.460233899999999</v>
      </c>
      <c r="I112" s="216">
        <v>280.54118614999999</v>
      </c>
      <c r="J112" s="218">
        <f>SUM(B112:I112)</f>
        <v>460.11877793999997</v>
      </c>
    </row>
    <row r="113" spans="1:10" ht="13.5" customHeight="1">
      <c r="A113" s="208" t="s">
        <v>52</v>
      </c>
      <c r="B113" s="210" t="s">
        <v>12</v>
      </c>
      <c r="C113" s="210" t="s">
        <v>12</v>
      </c>
      <c r="D113" s="210" t="s">
        <v>12</v>
      </c>
      <c r="E113" s="210" t="s">
        <v>12</v>
      </c>
      <c r="F113" s="210" t="s">
        <v>12</v>
      </c>
      <c r="G113" s="210" t="s">
        <v>12</v>
      </c>
      <c r="H113" s="210" t="s">
        <v>12</v>
      </c>
      <c r="I113" s="209">
        <v>771.47626860000003</v>
      </c>
      <c r="J113" s="211">
        <f t="shared" ref="J113:J133" si="12">SUM(B113:I113)</f>
        <v>771.47626860000003</v>
      </c>
    </row>
    <row r="114" spans="1:10" ht="13.5" customHeight="1">
      <c r="A114" s="198" t="s">
        <v>28</v>
      </c>
      <c r="B114" s="217" t="s">
        <v>12</v>
      </c>
      <c r="C114" s="217" t="s">
        <v>12</v>
      </c>
      <c r="D114" s="217" t="s">
        <v>12</v>
      </c>
      <c r="E114" s="217" t="s">
        <v>12</v>
      </c>
      <c r="F114" s="217" t="s">
        <v>12</v>
      </c>
      <c r="G114" s="217" t="s">
        <v>12</v>
      </c>
      <c r="H114" s="217" t="s">
        <v>12</v>
      </c>
      <c r="I114" s="216">
        <v>486.2511484641422</v>
      </c>
      <c r="J114" s="218">
        <f t="shared" si="12"/>
        <v>486.2511484641422</v>
      </c>
    </row>
    <row r="115" spans="1:10" ht="13.5" customHeight="1">
      <c r="A115" s="208" t="s">
        <v>29</v>
      </c>
      <c r="B115" s="210" t="s">
        <v>12</v>
      </c>
      <c r="C115" s="210" t="s">
        <v>12</v>
      </c>
      <c r="D115" s="210" t="s">
        <v>12</v>
      </c>
      <c r="E115" s="210" t="s">
        <v>12</v>
      </c>
      <c r="F115" s="210" t="s">
        <v>12</v>
      </c>
      <c r="G115" s="210" t="s">
        <v>12</v>
      </c>
      <c r="H115" s="210" t="s">
        <v>12</v>
      </c>
      <c r="I115" s="209">
        <v>133.84326194600001</v>
      </c>
      <c r="J115" s="211">
        <f t="shared" si="12"/>
        <v>133.84326194600001</v>
      </c>
    </row>
    <row r="116" spans="1:10" ht="13.5" customHeight="1">
      <c r="A116" s="198" t="s">
        <v>30</v>
      </c>
      <c r="B116" s="216">
        <v>13.229927235762583</v>
      </c>
      <c r="C116" s="216">
        <v>20.056022765783847</v>
      </c>
      <c r="D116" s="216">
        <v>14.103459282451192</v>
      </c>
      <c r="E116" s="216">
        <v>4.4426835619230891</v>
      </c>
      <c r="F116" s="216">
        <v>47.369442812590705</v>
      </c>
      <c r="G116" s="216">
        <v>73.967888256875398</v>
      </c>
      <c r="H116" s="216">
        <v>87.919756230853338</v>
      </c>
      <c r="I116" s="216">
        <v>452.18032052354181</v>
      </c>
      <c r="J116" s="218">
        <f t="shared" si="12"/>
        <v>713.26950066978202</v>
      </c>
    </row>
    <row r="117" spans="1:10" ht="13.5" customHeight="1">
      <c r="A117" s="208" t="s">
        <v>31</v>
      </c>
      <c r="B117" s="209">
        <v>0.89193767761034726</v>
      </c>
      <c r="C117" s="209">
        <v>1.1448609288339042</v>
      </c>
      <c r="D117" s="209">
        <v>0.9888324303439634</v>
      </c>
      <c r="E117" s="209">
        <v>0.27596263096294638</v>
      </c>
      <c r="F117" s="209">
        <v>3.082610290389165</v>
      </c>
      <c r="G117" s="209">
        <v>4.3782194459551658</v>
      </c>
      <c r="H117" s="209">
        <v>4.7250794381416403</v>
      </c>
      <c r="I117" s="209">
        <v>28.041499054571549</v>
      </c>
      <c r="J117" s="211">
        <f t="shared" si="12"/>
        <v>43.52900189680868</v>
      </c>
    </row>
    <row r="118" spans="1:10" ht="13.5" customHeight="1">
      <c r="A118" s="198" t="s">
        <v>32</v>
      </c>
      <c r="B118" s="216">
        <v>12.981682645398424</v>
      </c>
      <c r="C118" s="216">
        <v>17.625990706260836</v>
      </c>
      <c r="D118" s="216">
        <v>15.23751206518194</v>
      </c>
      <c r="E118" s="216">
        <v>3.0159859583986268</v>
      </c>
      <c r="F118" s="216">
        <v>58.380233772798618</v>
      </c>
      <c r="G118" s="216">
        <v>94.994655566375386</v>
      </c>
      <c r="H118" s="216">
        <v>83.887562857020214</v>
      </c>
      <c r="I118" s="216">
        <v>557.33625087929329</v>
      </c>
      <c r="J118" s="218">
        <f t="shared" si="12"/>
        <v>843.45987445072728</v>
      </c>
    </row>
    <row r="119" spans="1:10" ht="13.5" customHeight="1">
      <c r="A119" s="208" t="s">
        <v>33</v>
      </c>
      <c r="B119" s="209">
        <v>27.140647896321841</v>
      </c>
      <c r="C119" s="209">
        <v>32.63725260725446</v>
      </c>
      <c r="D119" s="209">
        <v>24.417467588925231</v>
      </c>
      <c r="E119" s="209">
        <v>10.197675280363875</v>
      </c>
      <c r="F119" s="209">
        <v>75.304224841644015</v>
      </c>
      <c r="G119" s="209">
        <v>112.53166017085078</v>
      </c>
      <c r="H119" s="209">
        <v>141.4909067577573</v>
      </c>
      <c r="I119" s="209">
        <v>264.58684333780838</v>
      </c>
      <c r="J119" s="211">
        <f t="shared" si="12"/>
        <v>688.30667848092594</v>
      </c>
    </row>
    <row r="120" spans="1:10" ht="13.5" customHeight="1">
      <c r="A120" s="198" t="s">
        <v>65</v>
      </c>
      <c r="B120" s="216">
        <v>19.697297844451672</v>
      </c>
      <c r="C120" s="216">
        <v>22.016933608395227</v>
      </c>
      <c r="D120" s="216">
        <v>22.155652748352917</v>
      </c>
      <c r="E120" s="216">
        <v>4.661530903936872</v>
      </c>
      <c r="F120" s="216">
        <v>102.35197038231301</v>
      </c>
      <c r="G120" s="216">
        <v>130.21209292137408</v>
      </c>
      <c r="H120" s="216">
        <v>130.33141164432737</v>
      </c>
      <c r="I120" s="216">
        <v>1250.6001099468488</v>
      </c>
      <c r="J120" s="218">
        <f t="shared" si="12"/>
        <v>1682.027</v>
      </c>
    </row>
    <row r="121" spans="1:10" ht="13.5" customHeight="1">
      <c r="A121" s="203" t="s">
        <v>35</v>
      </c>
      <c r="B121" s="209">
        <v>7.3619983549521013</v>
      </c>
      <c r="C121" s="209">
        <v>8.8317188457929436</v>
      </c>
      <c r="D121" s="209">
        <v>6.6522882923819449</v>
      </c>
      <c r="E121" s="209">
        <v>2.7654466322035818</v>
      </c>
      <c r="F121" s="209">
        <v>20.41216606263502</v>
      </c>
      <c r="G121" s="209">
        <v>30.722188903360479</v>
      </c>
      <c r="H121" s="209">
        <v>38.305072505221986</v>
      </c>
      <c r="I121" s="209">
        <v>185.26012040345194</v>
      </c>
      <c r="J121" s="211">
        <f t="shared" si="12"/>
        <v>300.31099999999998</v>
      </c>
    </row>
    <row r="122" spans="1:10" ht="13.5" customHeight="1">
      <c r="A122" s="198" t="s">
        <v>36</v>
      </c>
      <c r="B122" s="216">
        <v>0.380276</v>
      </c>
      <c r="C122" s="216">
        <v>0.14626</v>
      </c>
      <c r="D122" s="216">
        <v>2.9252E-2</v>
      </c>
      <c r="E122" s="216">
        <v>0.380276</v>
      </c>
      <c r="F122" s="216">
        <v>7.3422520000000002</v>
      </c>
      <c r="G122" s="216">
        <v>11.583792000000001</v>
      </c>
      <c r="H122" s="216">
        <v>7.5177639999999997</v>
      </c>
      <c r="I122" s="216">
        <v>160.544128</v>
      </c>
      <c r="J122" s="218">
        <f t="shared" si="12"/>
        <v>187.92400000000001</v>
      </c>
    </row>
    <row r="123" spans="1:10" ht="13.5" customHeight="1">
      <c r="A123" s="208" t="s">
        <v>37</v>
      </c>
      <c r="B123" s="209">
        <v>2.3696280000000001</v>
      </c>
      <c r="C123" s="209">
        <v>0.49020999999999998</v>
      </c>
      <c r="D123" s="209">
        <v>5.2117999999999998E-2</v>
      </c>
      <c r="E123" s="209">
        <v>0.92667900000000003</v>
      </c>
      <c r="F123" s="209">
        <v>19.877184</v>
      </c>
      <c r="G123" s="209">
        <v>28.76125</v>
      </c>
      <c r="H123" s="209">
        <v>17.727250999999999</v>
      </c>
      <c r="I123" s="209">
        <v>92.029003000000003</v>
      </c>
      <c r="J123" s="211">
        <f t="shared" si="12"/>
        <v>162.23332299999998</v>
      </c>
    </row>
    <row r="124" spans="1:10" ht="13.5" customHeight="1">
      <c r="A124" s="198" t="s">
        <v>38</v>
      </c>
      <c r="B124" s="216">
        <v>2.4028906222707977</v>
      </c>
      <c r="C124" s="216">
        <v>0.72294993903376215</v>
      </c>
      <c r="D124" s="216">
        <v>0.83834203864288226</v>
      </c>
      <c r="E124" s="216">
        <v>1.628851821067328</v>
      </c>
      <c r="F124" s="216">
        <v>25.891867025357779</v>
      </c>
      <c r="G124" s="216">
        <v>25.211479097180195</v>
      </c>
      <c r="H124" s="216">
        <v>11.943418043073116</v>
      </c>
      <c r="I124" s="216">
        <v>602.72190408467407</v>
      </c>
      <c r="J124" s="218">
        <f t="shared" si="12"/>
        <v>671.36170267129989</v>
      </c>
    </row>
    <row r="125" spans="1:10" ht="13.5" customHeight="1">
      <c r="A125" s="208" t="s">
        <v>39</v>
      </c>
      <c r="B125" s="210" t="s">
        <v>12</v>
      </c>
      <c r="C125" s="209">
        <v>9.5021342072587398</v>
      </c>
      <c r="D125" s="209">
        <v>5.1081846027412583</v>
      </c>
      <c r="E125" s="210" t="s">
        <v>12</v>
      </c>
      <c r="F125" s="210" t="s">
        <v>12</v>
      </c>
      <c r="G125" s="210" t="s">
        <v>12</v>
      </c>
      <c r="H125" s="210" t="s">
        <v>12</v>
      </c>
      <c r="I125" s="210" t="s">
        <v>12</v>
      </c>
      <c r="J125" s="211">
        <f t="shared" si="12"/>
        <v>14.610318809999999</v>
      </c>
    </row>
    <row r="126" spans="1:10" ht="13.5" customHeight="1">
      <c r="A126" s="198" t="s">
        <v>40</v>
      </c>
      <c r="B126" s="216">
        <v>37.557479080379935</v>
      </c>
      <c r="C126" s="216">
        <v>9.6471418376364788</v>
      </c>
      <c r="D126" s="216">
        <v>5.0368743256506523</v>
      </c>
      <c r="E126" s="216">
        <v>21.452874724594157</v>
      </c>
      <c r="F126" s="216">
        <v>272.88065394598402</v>
      </c>
      <c r="G126" s="216">
        <v>0.85357081299897364</v>
      </c>
      <c r="H126" s="216">
        <v>0.13830715641888375</v>
      </c>
      <c r="I126" s="216">
        <v>107.27312259133694</v>
      </c>
      <c r="J126" s="218">
        <f t="shared" si="12"/>
        <v>454.84002447500006</v>
      </c>
    </row>
    <row r="127" spans="1:10" ht="13.5" customHeight="1">
      <c r="A127" s="208" t="s">
        <v>41</v>
      </c>
      <c r="B127" s="209">
        <v>9.6883046098516878</v>
      </c>
      <c r="C127" s="209">
        <v>5.9840068668280262</v>
      </c>
      <c r="D127" s="209">
        <v>5.3583020657241551</v>
      </c>
      <c r="E127" s="209">
        <v>1.8714150153047713</v>
      </c>
      <c r="F127" s="209">
        <v>51.259082104731434</v>
      </c>
      <c r="G127" s="209">
        <v>75.990367268018531</v>
      </c>
      <c r="H127" s="209">
        <v>43.127242279331632</v>
      </c>
      <c r="I127" s="209">
        <v>4070.6366846233841</v>
      </c>
      <c r="J127" s="211">
        <f t="shared" si="12"/>
        <v>4263.9154048331748</v>
      </c>
    </row>
    <row r="128" spans="1:10" ht="13.5" customHeight="1">
      <c r="A128" s="198" t="s">
        <v>42</v>
      </c>
      <c r="B128" s="216">
        <v>9.5516407328277528E-2</v>
      </c>
      <c r="C128" s="216">
        <v>0</v>
      </c>
      <c r="D128" s="216">
        <v>0.48643102947299344</v>
      </c>
      <c r="E128" s="216">
        <v>3.1386340910679766E-2</v>
      </c>
      <c r="F128" s="216">
        <v>1.8331231424534351</v>
      </c>
      <c r="G128" s="216">
        <v>1.6131343317370497</v>
      </c>
      <c r="H128" s="216">
        <v>1.0963203222809308</v>
      </c>
      <c r="I128" s="216">
        <v>205.04895451239466</v>
      </c>
      <c r="J128" s="218">
        <f t="shared" si="12"/>
        <v>210.20486608657802</v>
      </c>
    </row>
    <row r="129" spans="1:12" ht="13.5" customHeight="1">
      <c r="A129" s="208" t="s">
        <v>43</v>
      </c>
      <c r="B129" s="209">
        <v>4.6754046040602695E-2</v>
      </c>
      <c r="C129" s="209">
        <v>0.13083489521195849</v>
      </c>
      <c r="D129" s="209">
        <v>5.1209914122277003E-2</v>
      </c>
      <c r="E129" s="209">
        <v>3.0524485355295904E-2</v>
      </c>
      <c r="F129" s="209">
        <v>0.48269707266553513</v>
      </c>
      <c r="G129" s="209">
        <v>352.79945415576179</v>
      </c>
      <c r="H129" s="209">
        <v>215.85073491633162</v>
      </c>
      <c r="I129" s="209">
        <v>133.52247450250886</v>
      </c>
      <c r="J129" s="211">
        <f t="shared" si="12"/>
        <v>702.91468398799793</v>
      </c>
    </row>
    <row r="130" spans="1:12" ht="13.5" customHeight="1">
      <c r="A130" s="198" t="s">
        <v>44</v>
      </c>
      <c r="B130" s="217" t="s">
        <v>12</v>
      </c>
      <c r="C130" s="217" t="s">
        <v>12</v>
      </c>
      <c r="D130" s="217" t="s">
        <v>12</v>
      </c>
      <c r="E130" s="217" t="s">
        <v>12</v>
      </c>
      <c r="F130" s="217" t="s">
        <v>12</v>
      </c>
      <c r="G130" s="217" t="s">
        <v>12</v>
      </c>
      <c r="H130" s="217" t="s">
        <v>12</v>
      </c>
      <c r="I130" s="216">
        <v>6.5220000000000002</v>
      </c>
      <c r="J130" s="218">
        <f t="shared" si="12"/>
        <v>6.5220000000000002</v>
      </c>
    </row>
    <row r="131" spans="1:12" ht="13.5" customHeight="1">
      <c r="A131" s="208" t="s">
        <v>45</v>
      </c>
      <c r="B131" s="210" t="s">
        <v>12</v>
      </c>
      <c r="C131" s="210" t="s">
        <v>12</v>
      </c>
      <c r="D131" s="210" t="s">
        <v>12</v>
      </c>
      <c r="E131" s="210" t="s">
        <v>12</v>
      </c>
      <c r="F131" s="210" t="s">
        <v>12</v>
      </c>
      <c r="G131" s="210" t="s">
        <v>12</v>
      </c>
      <c r="H131" s="210" t="s">
        <v>12</v>
      </c>
      <c r="I131" s="210" t="s">
        <v>12</v>
      </c>
      <c r="J131" s="211">
        <f t="shared" si="12"/>
        <v>0</v>
      </c>
    </row>
    <row r="132" spans="1:12" ht="13.5" customHeight="1">
      <c r="A132" s="198" t="s">
        <v>46</v>
      </c>
      <c r="B132" s="217" t="s">
        <v>12</v>
      </c>
      <c r="C132" s="217" t="s">
        <v>12</v>
      </c>
      <c r="D132" s="217" t="s">
        <v>12</v>
      </c>
      <c r="E132" s="217" t="s">
        <v>12</v>
      </c>
      <c r="F132" s="217" t="s">
        <v>12</v>
      </c>
      <c r="G132" s="217" t="s">
        <v>12</v>
      </c>
      <c r="H132" s="217" t="s">
        <v>12</v>
      </c>
      <c r="I132" s="217" t="s">
        <v>12</v>
      </c>
      <c r="J132" s="218">
        <f t="shared" si="12"/>
        <v>0</v>
      </c>
    </row>
    <row r="133" spans="1:12" ht="13.5" customHeight="1">
      <c r="A133" s="208" t="s">
        <v>47</v>
      </c>
      <c r="B133" s="209">
        <v>9.6103098323597571</v>
      </c>
      <c r="C133" s="209">
        <v>11.116024349553287</v>
      </c>
      <c r="D133" s="209">
        <v>24.959152846999956</v>
      </c>
      <c r="E133" s="209">
        <v>10.052467030721424</v>
      </c>
      <c r="F133" s="209">
        <v>148.0410547333083</v>
      </c>
      <c r="G133" s="209">
        <v>221.86079773888741</v>
      </c>
      <c r="H133" s="209">
        <v>107.55930185360002</v>
      </c>
      <c r="I133" s="209">
        <v>1039.5431202518921</v>
      </c>
      <c r="J133" s="211">
        <f t="shared" si="12"/>
        <v>1572.7422286373221</v>
      </c>
    </row>
    <row r="134" spans="1:12" ht="13.5" customHeight="1">
      <c r="A134" s="198" t="s">
        <v>25</v>
      </c>
      <c r="B134" s="218">
        <f>SUM(B112:B133)</f>
        <v>150.19064361272802</v>
      </c>
      <c r="C134" s="218">
        <f t="shared" ref="C134:J134" si="13">SUM(C112:C133)</f>
        <v>147.98014334784349</v>
      </c>
      <c r="D134" s="218">
        <f t="shared" si="13"/>
        <v>135.26183107099138</v>
      </c>
      <c r="E134" s="218">
        <f t="shared" si="13"/>
        <v>64.560879915742646</v>
      </c>
      <c r="F134" s="218">
        <f t="shared" si="13"/>
        <v>872.36843256687121</v>
      </c>
      <c r="G134" s="218">
        <f t="shared" si="13"/>
        <v>1219.4603706593753</v>
      </c>
      <c r="H134" s="218">
        <f t="shared" si="13"/>
        <v>952.08036290435825</v>
      </c>
      <c r="I134" s="218">
        <f t="shared" si="13"/>
        <v>10827.958400871848</v>
      </c>
      <c r="J134" s="218">
        <f t="shared" si="13"/>
        <v>14369.861064949759</v>
      </c>
      <c r="L134" s="40"/>
    </row>
    <row r="135" spans="1:12" ht="13.5" customHeight="1">
      <c r="A135" s="208"/>
      <c r="B135" s="213"/>
      <c r="C135" s="213"/>
      <c r="D135" s="213"/>
      <c r="E135" s="213"/>
      <c r="F135" s="213"/>
      <c r="G135" s="213"/>
      <c r="H135" s="213"/>
      <c r="I135" s="213"/>
      <c r="J135" s="213"/>
    </row>
    <row r="136" spans="1:12" ht="13.5" customHeight="1">
      <c r="A136" s="215" t="s">
        <v>66</v>
      </c>
      <c r="B136" s="220">
        <f t="shared" ref="B136:J136" si="14">B109/B134</f>
        <v>1.0404772501855564</v>
      </c>
      <c r="C136" s="220">
        <f t="shared" si="14"/>
        <v>0.71214720865490622</v>
      </c>
      <c r="D136" s="220">
        <f t="shared" si="14"/>
        <v>0.38914190126762138</v>
      </c>
      <c r="E136" s="220">
        <f t="shared" si="14"/>
        <v>1.1659873011045598</v>
      </c>
      <c r="F136" s="220">
        <f t="shared" si="14"/>
        <v>0.92924015368073032</v>
      </c>
      <c r="G136" s="220">
        <f t="shared" si="14"/>
        <v>1.2092803644244308</v>
      </c>
      <c r="H136" s="220">
        <f t="shared" si="14"/>
        <v>1.0604983946407527</v>
      </c>
      <c r="I136" s="220">
        <f t="shared" si="14"/>
        <v>1.0512730268285433</v>
      </c>
      <c r="J136" s="220">
        <f t="shared" si="14"/>
        <v>1.048562424834391</v>
      </c>
    </row>
    <row r="137" spans="1:12" ht="13.5" customHeight="1">
      <c r="A137" s="215" t="s">
        <v>49</v>
      </c>
      <c r="B137" s="220">
        <f>B136/$J136</f>
        <v>0.9922892767685132</v>
      </c>
      <c r="C137" s="220">
        <f t="shared" ref="C137:J137" si="15">C136/$J136</f>
        <v>0.67916529506326917</v>
      </c>
      <c r="D137" s="220">
        <f t="shared" si="15"/>
        <v>0.37111944129514474</v>
      </c>
      <c r="E137" s="220">
        <f t="shared" si="15"/>
        <v>1.1119865384158838</v>
      </c>
      <c r="F137" s="220">
        <f t="shared" si="15"/>
        <v>0.88620394138908198</v>
      </c>
      <c r="G137" s="220">
        <f>G136/$J136</f>
        <v>1.1532745555091042</v>
      </c>
      <c r="H137" s="220">
        <f t="shared" si="15"/>
        <v>1.0113831752155784</v>
      </c>
      <c r="I137" s="220">
        <f t="shared" si="15"/>
        <v>1.002585064970815</v>
      </c>
      <c r="J137" s="220">
        <f t="shared" si="15"/>
        <v>1</v>
      </c>
    </row>
    <row r="138" spans="1:12">
      <c r="A138" s="36"/>
      <c r="B138" s="16"/>
      <c r="C138" s="16"/>
      <c r="D138" s="16"/>
      <c r="E138" s="16"/>
      <c r="F138" s="16"/>
      <c r="G138" s="16"/>
      <c r="H138" s="16"/>
      <c r="I138" s="16"/>
      <c r="J138" s="16"/>
    </row>
    <row r="139" spans="1:12">
      <c r="A139" s="36"/>
      <c r="B139" s="16"/>
      <c r="C139" s="16"/>
      <c r="D139" s="16"/>
      <c r="E139" s="16"/>
      <c r="F139" s="16"/>
      <c r="G139" s="16"/>
      <c r="H139" s="16"/>
      <c r="I139" s="16"/>
      <c r="J139" s="16"/>
    </row>
    <row r="140" spans="1:12">
      <c r="A140" s="36"/>
      <c r="B140" s="16"/>
      <c r="C140" s="16"/>
      <c r="D140" s="16"/>
      <c r="E140" s="16"/>
      <c r="F140" s="16"/>
      <c r="G140" s="16"/>
      <c r="H140" s="16"/>
      <c r="I140" s="16"/>
      <c r="J140" s="16"/>
    </row>
    <row r="141" spans="1:12">
      <c r="A141" s="36"/>
      <c r="B141" s="16"/>
      <c r="C141" s="16"/>
      <c r="D141" s="16"/>
      <c r="E141" s="16"/>
      <c r="F141" s="16"/>
      <c r="G141" s="16"/>
      <c r="H141" s="16"/>
      <c r="I141" s="16"/>
      <c r="J141" s="16"/>
    </row>
    <row r="142" spans="1:12">
      <c r="A142" s="36"/>
      <c r="B142" s="16"/>
      <c r="C142" s="16"/>
      <c r="D142" s="16"/>
      <c r="E142" s="16"/>
      <c r="F142" s="16"/>
      <c r="G142" s="16"/>
      <c r="H142" s="16"/>
      <c r="I142" s="16"/>
      <c r="J142" s="16"/>
    </row>
    <row r="143" spans="1:12">
      <c r="A143" s="36"/>
      <c r="B143" s="16"/>
      <c r="C143" s="16"/>
      <c r="D143" s="16"/>
      <c r="E143" s="16"/>
      <c r="F143" s="16"/>
      <c r="G143" s="16"/>
      <c r="H143" s="16"/>
      <c r="I143" s="16"/>
      <c r="J143" s="16"/>
    </row>
    <row r="144" spans="1:12">
      <c r="A144" s="36"/>
      <c r="B144" s="16"/>
      <c r="C144" s="16"/>
      <c r="D144" s="16"/>
      <c r="E144" s="16"/>
      <c r="F144" s="16"/>
      <c r="G144" s="16"/>
      <c r="H144" s="16"/>
      <c r="I144" s="16"/>
      <c r="J144" s="16"/>
    </row>
    <row r="145" spans="1:10">
      <c r="A145" s="36"/>
      <c r="B145" s="16"/>
      <c r="C145" s="16"/>
      <c r="D145" s="16"/>
      <c r="E145" s="16"/>
      <c r="F145" s="16"/>
      <c r="G145" s="16"/>
      <c r="H145" s="16"/>
      <c r="I145" s="16"/>
      <c r="J145" s="16"/>
    </row>
    <row r="146" spans="1:10">
      <c r="A146" s="36"/>
      <c r="B146" s="16"/>
      <c r="C146" s="16"/>
      <c r="D146" s="16"/>
      <c r="E146" s="16"/>
      <c r="F146" s="16"/>
      <c r="G146" s="16"/>
      <c r="H146" s="16"/>
      <c r="I146" s="16"/>
      <c r="J146" s="16"/>
    </row>
    <row r="147" spans="1:10">
      <c r="A147" s="36"/>
      <c r="B147" s="16"/>
      <c r="C147" s="16"/>
      <c r="D147" s="16"/>
      <c r="E147" s="16"/>
      <c r="F147" s="16"/>
      <c r="G147" s="16"/>
      <c r="H147" s="16"/>
      <c r="I147" s="16"/>
      <c r="J147" s="16"/>
    </row>
    <row r="148" spans="1:10">
      <c r="A148" s="36"/>
      <c r="B148" s="16"/>
      <c r="C148" s="16"/>
      <c r="D148" s="16"/>
      <c r="E148" s="16"/>
      <c r="F148" s="16"/>
      <c r="G148" s="16"/>
      <c r="H148" s="16"/>
      <c r="I148" s="16"/>
      <c r="J148" s="16"/>
    </row>
    <row r="149" spans="1:10">
      <c r="B149" s="16"/>
      <c r="C149" s="16"/>
      <c r="D149" s="16"/>
      <c r="E149" s="16"/>
      <c r="F149" s="16"/>
      <c r="G149" s="16"/>
      <c r="H149" s="16"/>
      <c r="I149" s="16"/>
      <c r="J149" s="16"/>
    </row>
    <row r="150" spans="1:10">
      <c r="B150" s="16"/>
      <c r="C150" s="16"/>
      <c r="D150" s="16"/>
      <c r="E150" s="16"/>
      <c r="F150" s="16"/>
      <c r="G150" s="16"/>
      <c r="H150" s="16"/>
      <c r="I150" s="16"/>
      <c r="J150" s="16"/>
    </row>
    <row r="151" spans="1:10">
      <c r="B151" s="16"/>
      <c r="C151" s="16"/>
      <c r="D151" s="16"/>
      <c r="E151" s="16"/>
      <c r="F151" s="16"/>
      <c r="G151" s="16"/>
      <c r="H151" s="16"/>
      <c r="I151" s="16"/>
      <c r="J151" s="16"/>
    </row>
    <row r="152" spans="1:10">
      <c r="B152" s="16"/>
      <c r="C152" s="16"/>
      <c r="D152" s="16"/>
      <c r="E152" s="16"/>
      <c r="F152" s="16"/>
      <c r="G152" s="16"/>
      <c r="H152" s="16"/>
      <c r="I152" s="16"/>
      <c r="J152" s="16"/>
    </row>
    <row r="153" spans="1:10">
      <c r="B153" s="16"/>
      <c r="C153" s="16"/>
      <c r="D153" s="16"/>
      <c r="E153" s="16"/>
      <c r="F153" s="16"/>
      <c r="G153" s="16"/>
      <c r="H153" s="16"/>
      <c r="I153" s="16"/>
      <c r="J153" s="16"/>
    </row>
    <row r="154" spans="1:10">
      <c r="B154" s="16"/>
      <c r="C154" s="16"/>
      <c r="D154" s="16"/>
      <c r="E154" s="16"/>
      <c r="F154" s="16"/>
      <c r="G154" s="16"/>
      <c r="H154" s="16"/>
      <c r="I154" s="16"/>
      <c r="J154" s="16"/>
    </row>
    <row r="155" spans="1:10">
      <c r="B155" s="16"/>
      <c r="C155" s="16"/>
      <c r="D155" s="16"/>
      <c r="E155" s="16"/>
      <c r="F155" s="16"/>
      <c r="G155" s="16"/>
      <c r="H155" s="16"/>
      <c r="I155" s="16"/>
      <c r="J155" s="16"/>
    </row>
    <row r="156" spans="1:10">
      <c r="B156" s="16"/>
      <c r="C156" s="16"/>
      <c r="D156" s="16"/>
      <c r="E156" s="16"/>
      <c r="F156" s="16"/>
      <c r="G156" s="16"/>
      <c r="H156" s="16"/>
      <c r="I156" s="16"/>
      <c r="J156" s="16"/>
    </row>
    <row r="157" spans="1:10">
      <c r="B157" s="16"/>
      <c r="C157" s="16"/>
      <c r="D157" s="16"/>
      <c r="E157" s="16"/>
      <c r="F157" s="16"/>
      <c r="G157" s="16"/>
      <c r="H157" s="16"/>
      <c r="I157" s="16"/>
      <c r="J157" s="16"/>
    </row>
    <row r="158" spans="1:10">
      <c r="B158" s="16"/>
      <c r="C158" s="16"/>
      <c r="D158" s="16"/>
      <c r="E158" s="16"/>
      <c r="F158" s="16"/>
      <c r="G158" s="16"/>
      <c r="H158" s="16"/>
      <c r="I158" s="16"/>
      <c r="J158" s="16"/>
    </row>
    <row r="159" spans="1:10">
      <c r="B159" s="16"/>
      <c r="C159" s="16"/>
      <c r="D159" s="16"/>
      <c r="E159" s="16"/>
      <c r="F159" s="16"/>
      <c r="G159" s="16"/>
      <c r="H159" s="16"/>
      <c r="I159" s="16"/>
      <c r="J159" s="16"/>
    </row>
    <row r="160" spans="1:10">
      <c r="B160" s="16"/>
      <c r="C160" s="16"/>
      <c r="D160" s="16"/>
      <c r="E160" s="16"/>
      <c r="F160" s="16"/>
      <c r="G160" s="16"/>
      <c r="H160" s="16"/>
      <c r="I160" s="16"/>
      <c r="J160" s="16"/>
    </row>
    <row r="161" spans="2:10">
      <c r="B161" s="16"/>
      <c r="C161" s="16"/>
      <c r="D161" s="16"/>
      <c r="E161" s="16"/>
      <c r="F161" s="16"/>
      <c r="G161" s="16"/>
      <c r="H161" s="16"/>
      <c r="I161" s="16"/>
      <c r="J161" s="16"/>
    </row>
    <row r="162" spans="2:10">
      <c r="B162" s="16"/>
      <c r="C162" s="16"/>
      <c r="D162" s="16"/>
      <c r="E162" s="16"/>
      <c r="F162" s="16"/>
      <c r="G162" s="16"/>
      <c r="H162" s="16"/>
      <c r="I162" s="16"/>
      <c r="J162" s="16"/>
    </row>
    <row r="163" spans="2:10">
      <c r="B163" s="16"/>
      <c r="C163" s="16"/>
      <c r="D163" s="16"/>
      <c r="E163" s="16"/>
      <c r="F163" s="16"/>
      <c r="G163" s="16"/>
      <c r="H163" s="16"/>
      <c r="I163" s="16"/>
      <c r="J163" s="16"/>
    </row>
    <row r="164" spans="2:10">
      <c r="B164" s="16"/>
      <c r="C164" s="16"/>
      <c r="D164" s="16"/>
      <c r="E164" s="16"/>
      <c r="F164" s="16"/>
      <c r="G164" s="16"/>
      <c r="H164" s="16"/>
      <c r="I164" s="16"/>
      <c r="J164" s="16"/>
    </row>
    <row r="165" spans="2:10">
      <c r="B165" s="16"/>
      <c r="C165" s="16"/>
      <c r="D165" s="16"/>
      <c r="E165" s="16"/>
      <c r="F165" s="16"/>
      <c r="G165" s="16"/>
      <c r="H165" s="16"/>
      <c r="I165" s="16"/>
      <c r="J165" s="16"/>
    </row>
    <row r="166" spans="2:10">
      <c r="B166" s="16"/>
      <c r="C166" s="16"/>
      <c r="D166" s="16"/>
      <c r="E166" s="16"/>
      <c r="F166" s="16"/>
      <c r="G166" s="16"/>
      <c r="H166" s="16"/>
      <c r="I166" s="16"/>
      <c r="J166" s="16"/>
    </row>
    <row r="167" spans="2:10">
      <c r="B167" s="16"/>
      <c r="C167" s="16"/>
      <c r="D167" s="16"/>
      <c r="E167" s="16"/>
      <c r="F167" s="16"/>
      <c r="G167" s="16"/>
      <c r="H167" s="16"/>
      <c r="I167" s="16"/>
      <c r="J167" s="16"/>
    </row>
    <row r="168" spans="2:10">
      <c r="B168" s="16"/>
      <c r="C168" s="16"/>
      <c r="D168" s="16"/>
      <c r="E168" s="16"/>
      <c r="F168" s="16"/>
      <c r="G168" s="16"/>
      <c r="H168" s="16"/>
      <c r="I168" s="16"/>
      <c r="J168" s="16"/>
    </row>
    <row r="169" spans="2:10">
      <c r="B169" s="16"/>
      <c r="C169" s="16"/>
      <c r="D169" s="16"/>
      <c r="E169" s="16"/>
      <c r="F169" s="16"/>
      <c r="G169" s="16"/>
      <c r="H169" s="16"/>
      <c r="I169" s="16"/>
      <c r="J169" s="16"/>
    </row>
    <row r="170" spans="2:10">
      <c r="B170" s="16"/>
      <c r="C170" s="16"/>
      <c r="D170" s="16"/>
      <c r="E170" s="16"/>
      <c r="F170" s="16"/>
      <c r="G170" s="16"/>
      <c r="H170" s="16"/>
      <c r="I170" s="16"/>
      <c r="J170" s="16"/>
    </row>
    <row r="171" spans="2:10">
      <c r="B171" s="16"/>
      <c r="C171" s="16"/>
      <c r="D171" s="16"/>
      <c r="E171" s="16"/>
      <c r="F171" s="16"/>
      <c r="G171" s="16"/>
      <c r="H171" s="16"/>
      <c r="I171" s="16"/>
      <c r="J171" s="16"/>
    </row>
    <row r="172" spans="2:10">
      <c r="B172" s="16"/>
      <c r="C172" s="16"/>
      <c r="D172" s="16"/>
      <c r="E172" s="16"/>
      <c r="F172" s="16"/>
      <c r="G172" s="16"/>
      <c r="H172" s="16"/>
      <c r="I172" s="16"/>
      <c r="J172" s="16"/>
    </row>
    <row r="173" spans="2:10">
      <c r="B173" s="16"/>
      <c r="C173" s="16"/>
      <c r="D173" s="16"/>
      <c r="E173" s="16"/>
      <c r="F173" s="16"/>
      <c r="G173" s="16"/>
      <c r="H173" s="16"/>
      <c r="I173" s="16"/>
      <c r="J173" s="16"/>
    </row>
    <row r="174" spans="2:10">
      <c r="B174" s="16"/>
      <c r="C174" s="16"/>
      <c r="D174" s="16"/>
      <c r="E174" s="16"/>
      <c r="F174" s="16"/>
      <c r="G174" s="16"/>
      <c r="H174" s="16"/>
      <c r="I174" s="16"/>
      <c r="J174" s="16"/>
    </row>
    <row r="175" spans="2:10">
      <c r="B175" s="16"/>
      <c r="C175" s="16"/>
      <c r="D175" s="16"/>
      <c r="E175" s="16"/>
      <c r="F175" s="16"/>
      <c r="G175" s="16"/>
      <c r="H175" s="16"/>
      <c r="I175" s="16"/>
      <c r="J175" s="16"/>
    </row>
    <row r="176" spans="2:10">
      <c r="B176" s="16"/>
      <c r="C176" s="16"/>
      <c r="D176" s="16"/>
      <c r="E176" s="16"/>
      <c r="F176" s="16"/>
      <c r="G176" s="16"/>
      <c r="H176" s="16"/>
      <c r="I176" s="16"/>
      <c r="J176" s="16"/>
    </row>
    <row r="177" spans="2:10">
      <c r="B177" s="16"/>
      <c r="C177" s="16"/>
      <c r="D177" s="16"/>
      <c r="E177" s="16"/>
      <c r="F177" s="16"/>
      <c r="G177" s="16"/>
      <c r="H177" s="16"/>
      <c r="I177" s="16"/>
      <c r="J177" s="16"/>
    </row>
    <row r="178" spans="2:10">
      <c r="B178" s="16"/>
      <c r="C178" s="16"/>
      <c r="D178" s="16"/>
      <c r="E178" s="16"/>
      <c r="F178" s="16"/>
      <c r="G178" s="16"/>
      <c r="H178" s="16"/>
      <c r="I178" s="16"/>
      <c r="J178" s="16"/>
    </row>
    <row r="179" spans="2:10">
      <c r="B179" s="16"/>
      <c r="C179" s="16"/>
      <c r="D179" s="16"/>
      <c r="E179" s="16"/>
      <c r="F179" s="16"/>
      <c r="G179" s="16"/>
      <c r="H179" s="16"/>
      <c r="I179" s="16"/>
      <c r="J179" s="16"/>
    </row>
    <row r="180" spans="2:10">
      <c r="B180" s="16"/>
      <c r="C180" s="16"/>
      <c r="D180" s="16"/>
      <c r="E180" s="16"/>
      <c r="F180" s="16"/>
      <c r="G180" s="16"/>
      <c r="H180" s="16"/>
      <c r="I180" s="16"/>
      <c r="J180" s="16"/>
    </row>
    <row r="181" spans="2:10">
      <c r="B181" s="16"/>
      <c r="C181" s="16"/>
      <c r="D181" s="16"/>
      <c r="E181" s="16"/>
      <c r="F181" s="16"/>
      <c r="G181" s="16"/>
      <c r="H181" s="16"/>
      <c r="I181" s="16"/>
      <c r="J181" s="16"/>
    </row>
    <row r="182" spans="2:10">
      <c r="B182" s="16"/>
      <c r="C182" s="16"/>
      <c r="D182" s="16"/>
      <c r="E182" s="16"/>
      <c r="F182" s="16"/>
      <c r="G182" s="16"/>
      <c r="H182" s="16"/>
      <c r="I182" s="16"/>
      <c r="J182" s="16"/>
    </row>
    <row r="183" spans="2:10">
      <c r="B183" s="16"/>
      <c r="C183" s="16"/>
      <c r="D183" s="16"/>
      <c r="E183" s="16"/>
      <c r="F183" s="16"/>
      <c r="G183" s="16"/>
      <c r="H183" s="16"/>
      <c r="I183" s="16"/>
      <c r="J183" s="16"/>
    </row>
    <row r="184" spans="2:10">
      <c r="B184" s="16"/>
      <c r="C184" s="16"/>
      <c r="D184" s="16"/>
      <c r="E184" s="16"/>
      <c r="F184" s="16"/>
      <c r="G184" s="16"/>
      <c r="H184" s="16"/>
      <c r="I184" s="16"/>
      <c r="J184" s="16"/>
    </row>
    <row r="185" spans="2:10">
      <c r="B185" s="16"/>
      <c r="C185" s="16"/>
      <c r="D185" s="16"/>
      <c r="E185" s="16"/>
      <c r="F185" s="16"/>
      <c r="G185" s="16"/>
      <c r="H185" s="16"/>
      <c r="I185" s="16"/>
      <c r="J185" s="16"/>
    </row>
    <row r="186" spans="2:10">
      <c r="B186" s="16"/>
      <c r="C186" s="16"/>
      <c r="D186" s="16"/>
      <c r="E186" s="16"/>
      <c r="F186" s="16"/>
      <c r="G186" s="16"/>
      <c r="H186" s="16"/>
      <c r="I186" s="16"/>
      <c r="J186" s="16"/>
    </row>
    <row r="187" spans="2:10">
      <c r="B187" s="16"/>
      <c r="C187" s="16"/>
      <c r="D187" s="16"/>
      <c r="E187" s="16"/>
      <c r="F187" s="16"/>
      <c r="G187" s="16"/>
      <c r="H187" s="16"/>
      <c r="I187" s="16"/>
      <c r="J187" s="16"/>
    </row>
    <row r="188" spans="2:10">
      <c r="B188" s="16"/>
      <c r="C188" s="16"/>
      <c r="D188" s="16"/>
      <c r="E188" s="16"/>
      <c r="F188" s="16"/>
      <c r="G188" s="16"/>
      <c r="H188" s="16"/>
      <c r="I188" s="16"/>
      <c r="J188" s="16"/>
    </row>
    <row r="189" spans="2:10">
      <c r="B189" s="16"/>
      <c r="C189" s="16"/>
      <c r="D189" s="16"/>
      <c r="E189" s="16"/>
      <c r="F189" s="16"/>
      <c r="G189" s="16"/>
      <c r="H189" s="16"/>
      <c r="I189" s="16"/>
      <c r="J189" s="16"/>
    </row>
    <row r="190" spans="2:10">
      <c r="B190" s="16"/>
      <c r="C190" s="16"/>
      <c r="D190" s="16"/>
      <c r="E190" s="16"/>
      <c r="F190" s="16"/>
      <c r="G190" s="16"/>
      <c r="H190" s="16"/>
      <c r="I190" s="16"/>
      <c r="J190" s="16"/>
    </row>
    <row r="191" spans="2:10">
      <c r="B191" s="16"/>
      <c r="C191" s="16"/>
      <c r="D191" s="16"/>
      <c r="E191" s="16"/>
      <c r="F191" s="16"/>
      <c r="G191" s="16"/>
      <c r="H191" s="16"/>
      <c r="I191" s="16"/>
      <c r="J191" s="16"/>
    </row>
    <row r="192" spans="2:10">
      <c r="B192" s="16"/>
      <c r="C192" s="16"/>
      <c r="D192" s="16"/>
      <c r="E192" s="16"/>
      <c r="F192" s="16"/>
      <c r="G192" s="16"/>
      <c r="H192" s="16"/>
      <c r="I192" s="16"/>
      <c r="J192" s="16"/>
    </row>
    <row r="193" spans="2:10">
      <c r="B193" s="16"/>
      <c r="C193" s="16"/>
      <c r="D193" s="16"/>
      <c r="E193" s="16"/>
      <c r="F193" s="16"/>
      <c r="G193" s="16"/>
      <c r="H193" s="16"/>
      <c r="I193" s="16"/>
      <c r="J193" s="16"/>
    </row>
    <row r="194" spans="2:10">
      <c r="B194" s="16"/>
      <c r="C194" s="16"/>
      <c r="D194" s="16"/>
      <c r="E194" s="16"/>
      <c r="F194" s="16"/>
      <c r="G194" s="16"/>
      <c r="H194" s="16"/>
      <c r="I194" s="16"/>
      <c r="J194" s="16"/>
    </row>
    <row r="195" spans="2:10">
      <c r="B195" s="16"/>
      <c r="C195" s="16"/>
      <c r="D195" s="16"/>
      <c r="E195" s="16"/>
      <c r="F195" s="16"/>
      <c r="G195" s="16"/>
      <c r="H195" s="16"/>
      <c r="I195" s="16"/>
      <c r="J195" s="16"/>
    </row>
    <row r="196" spans="2:10">
      <c r="B196" s="16"/>
      <c r="C196" s="16"/>
      <c r="D196" s="16"/>
      <c r="E196" s="16"/>
      <c r="F196" s="16"/>
      <c r="G196" s="16"/>
      <c r="H196" s="16"/>
      <c r="I196" s="16"/>
      <c r="J196" s="16"/>
    </row>
    <row r="197" spans="2:10">
      <c r="B197" s="16"/>
      <c r="C197" s="16"/>
      <c r="D197" s="16"/>
      <c r="E197" s="16"/>
      <c r="F197" s="16"/>
      <c r="G197" s="16"/>
      <c r="H197" s="16"/>
      <c r="I197" s="16"/>
      <c r="J197" s="16"/>
    </row>
    <row r="198" spans="2:10">
      <c r="B198" s="16"/>
      <c r="C198" s="16"/>
      <c r="D198" s="16"/>
      <c r="E198" s="16"/>
      <c r="F198" s="16"/>
      <c r="G198" s="16"/>
      <c r="H198" s="16"/>
      <c r="I198" s="16"/>
      <c r="J198" s="16"/>
    </row>
    <row r="199" spans="2:10">
      <c r="B199" s="16"/>
      <c r="C199" s="16"/>
      <c r="D199" s="16"/>
      <c r="E199" s="16"/>
      <c r="F199" s="16"/>
      <c r="G199" s="16"/>
      <c r="H199" s="16"/>
      <c r="I199" s="16"/>
      <c r="J199" s="16"/>
    </row>
    <row r="200" spans="2:10">
      <c r="B200" s="16"/>
      <c r="C200" s="16"/>
      <c r="D200" s="16"/>
      <c r="E200" s="16"/>
      <c r="F200" s="16"/>
      <c r="G200" s="16"/>
      <c r="H200" s="16"/>
      <c r="I200" s="16"/>
      <c r="J200" s="16"/>
    </row>
    <row r="201" spans="2:10">
      <c r="B201" s="16"/>
      <c r="C201" s="16"/>
      <c r="D201" s="16"/>
      <c r="E201" s="16"/>
      <c r="F201" s="16"/>
      <c r="G201" s="16"/>
      <c r="H201" s="16"/>
      <c r="I201" s="16"/>
      <c r="J201" s="16"/>
    </row>
    <row r="202" spans="2:10">
      <c r="B202" s="16"/>
      <c r="C202" s="16"/>
      <c r="D202" s="16"/>
      <c r="E202" s="16"/>
      <c r="F202" s="16"/>
      <c r="G202" s="16"/>
      <c r="H202" s="16"/>
      <c r="I202" s="16"/>
      <c r="J202" s="16"/>
    </row>
    <row r="203" spans="2:10">
      <c r="B203" s="16"/>
      <c r="C203" s="16"/>
      <c r="D203" s="16"/>
      <c r="E203" s="16"/>
      <c r="F203" s="16"/>
      <c r="G203" s="16"/>
      <c r="H203" s="16"/>
      <c r="I203" s="16"/>
      <c r="J203" s="16"/>
    </row>
    <row r="204" spans="2:10">
      <c r="B204" s="16"/>
      <c r="C204" s="16"/>
      <c r="D204" s="16"/>
      <c r="E204" s="16"/>
      <c r="F204" s="16"/>
      <c r="G204" s="16"/>
      <c r="H204" s="16"/>
      <c r="I204" s="16"/>
      <c r="J204" s="16"/>
    </row>
    <row r="205" spans="2:10">
      <c r="B205" s="16"/>
      <c r="C205" s="16"/>
      <c r="D205" s="16"/>
      <c r="E205" s="16"/>
      <c r="F205" s="16"/>
      <c r="G205" s="16"/>
      <c r="H205" s="16"/>
      <c r="I205" s="16"/>
      <c r="J205" s="16"/>
    </row>
    <row r="206" spans="2:10">
      <c r="B206" s="16"/>
      <c r="C206" s="16"/>
      <c r="D206" s="16"/>
      <c r="E206" s="16"/>
      <c r="F206" s="16"/>
      <c r="G206" s="16"/>
      <c r="H206" s="16"/>
      <c r="I206" s="16"/>
      <c r="J206" s="16"/>
    </row>
    <row r="207" spans="2:10">
      <c r="B207" s="16"/>
      <c r="C207" s="16"/>
      <c r="D207" s="16"/>
      <c r="E207" s="16"/>
      <c r="F207" s="16"/>
      <c r="G207" s="16"/>
      <c r="H207" s="16"/>
      <c r="I207" s="16"/>
      <c r="J207" s="16"/>
    </row>
    <row r="208" spans="2:10">
      <c r="B208" s="16"/>
      <c r="C208" s="16"/>
      <c r="D208" s="16"/>
      <c r="E208" s="16"/>
      <c r="F208" s="16"/>
      <c r="G208" s="16"/>
      <c r="H208" s="16"/>
      <c r="I208" s="16"/>
      <c r="J208" s="16"/>
    </row>
    <row r="209" spans="2:10">
      <c r="B209" s="16"/>
      <c r="C209" s="16"/>
      <c r="D209" s="16"/>
      <c r="E209" s="16"/>
      <c r="F209" s="16"/>
      <c r="G209" s="16"/>
      <c r="H209" s="16"/>
      <c r="I209" s="16"/>
      <c r="J209" s="16"/>
    </row>
    <row r="210" spans="2:10">
      <c r="B210" s="16"/>
      <c r="C210" s="16"/>
      <c r="D210" s="16"/>
      <c r="E210" s="16"/>
      <c r="F210" s="16"/>
      <c r="G210" s="16"/>
      <c r="H210" s="16"/>
      <c r="I210" s="16"/>
      <c r="J210" s="16"/>
    </row>
    <row r="211" spans="2:10">
      <c r="B211" s="16"/>
      <c r="C211" s="16"/>
      <c r="D211" s="16"/>
      <c r="E211" s="16"/>
      <c r="F211" s="16"/>
      <c r="G211" s="16"/>
      <c r="H211" s="16"/>
      <c r="I211" s="16"/>
      <c r="J211" s="16"/>
    </row>
    <row r="212" spans="2:10">
      <c r="B212" s="16"/>
      <c r="C212" s="16"/>
      <c r="D212" s="16"/>
      <c r="E212" s="16"/>
      <c r="F212" s="16"/>
      <c r="G212" s="16"/>
      <c r="H212" s="16"/>
      <c r="I212" s="16"/>
      <c r="J212" s="16"/>
    </row>
    <row r="213" spans="2:10">
      <c r="B213" s="16"/>
      <c r="C213" s="16"/>
      <c r="D213" s="16"/>
      <c r="E213" s="16"/>
      <c r="F213" s="16"/>
      <c r="G213" s="16"/>
      <c r="H213" s="16"/>
      <c r="I213" s="16"/>
      <c r="J213" s="16"/>
    </row>
    <row r="214" spans="2:10">
      <c r="B214" s="16"/>
      <c r="C214" s="16"/>
      <c r="D214" s="16"/>
      <c r="E214" s="16"/>
      <c r="F214" s="16"/>
      <c r="G214" s="16"/>
      <c r="H214" s="16"/>
      <c r="I214" s="16"/>
      <c r="J214" s="16"/>
    </row>
    <row r="215" spans="2:10">
      <c r="B215" s="16"/>
      <c r="C215" s="16"/>
      <c r="D215" s="16"/>
      <c r="E215" s="16"/>
      <c r="F215" s="16"/>
      <c r="G215" s="16"/>
      <c r="H215" s="16"/>
      <c r="I215" s="16"/>
      <c r="J215" s="16"/>
    </row>
    <row r="216" spans="2:10">
      <c r="B216" s="16"/>
      <c r="C216" s="16"/>
      <c r="D216" s="16"/>
      <c r="E216" s="16"/>
      <c r="F216" s="16"/>
      <c r="G216" s="16"/>
      <c r="H216" s="16"/>
      <c r="I216" s="16"/>
      <c r="J216" s="16"/>
    </row>
    <row r="217" spans="2:10">
      <c r="B217" s="16"/>
      <c r="C217" s="16"/>
      <c r="D217" s="16"/>
      <c r="E217" s="16"/>
      <c r="F217" s="16"/>
      <c r="G217" s="16"/>
      <c r="H217" s="16"/>
      <c r="I217" s="16"/>
      <c r="J217" s="16"/>
    </row>
    <row r="218" spans="2:10">
      <c r="B218" s="16"/>
      <c r="C218" s="16"/>
      <c r="D218" s="16"/>
      <c r="E218" s="16"/>
      <c r="F218" s="16"/>
      <c r="G218" s="16"/>
      <c r="H218" s="16"/>
      <c r="I218" s="16"/>
      <c r="J218" s="16"/>
    </row>
    <row r="219" spans="2:10">
      <c r="B219" s="16"/>
      <c r="C219" s="16"/>
      <c r="D219" s="16"/>
      <c r="E219" s="16"/>
      <c r="F219" s="16"/>
      <c r="G219" s="16"/>
      <c r="H219" s="16"/>
      <c r="I219" s="16"/>
      <c r="J219" s="16"/>
    </row>
    <row r="220" spans="2:10">
      <c r="B220" s="16"/>
      <c r="C220" s="16"/>
      <c r="D220" s="16"/>
      <c r="E220" s="16"/>
      <c r="F220" s="16"/>
      <c r="G220" s="16"/>
      <c r="H220" s="16"/>
      <c r="I220" s="16"/>
      <c r="J220" s="16"/>
    </row>
    <row r="221" spans="2:10">
      <c r="B221" s="16"/>
      <c r="C221" s="16"/>
      <c r="D221" s="16"/>
      <c r="E221" s="16"/>
      <c r="F221" s="16"/>
      <c r="G221" s="16"/>
      <c r="H221" s="16"/>
      <c r="I221" s="16"/>
      <c r="J221" s="16"/>
    </row>
    <row r="222" spans="2:10">
      <c r="B222" s="16"/>
      <c r="C222" s="16"/>
      <c r="D222" s="16"/>
      <c r="E222" s="16"/>
      <c r="F222" s="16"/>
      <c r="G222" s="16"/>
      <c r="H222" s="16"/>
      <c r="I222" s="16"/>
      <c r="J222" s="16"/>
    </row>
    <row r="223" spans="2:10">
      <c r="B223" s="16"/>
      <c r="C223" s="16"/>
      <c r="D223" s="16"/>
      <c r="E223" s="16"/>
      <c r="F223" s="16"/>
      <c r="G223" s="16"/>
      <c r="H223" s="16"/>
      <c r="I223" s="16"/>
      <c r="J223" s="16"/>
    </row>
    <row r="224" spans="2:10">
      <c r="B224" s="16"/>
      <c r="C224" s="16"/>
      <c r="D224" s="16"/>
      <c r="E224" s="16"/>
      <c r="F224" s="16"/>
      <c r="G224" s="16"/>
      <c r="H224" s="16"/>
      <c r="I224" s="16"/>
      <c r="J224" s="16"/>
    </row>
    <row r="225" spans="2:10">
      <c r="B225" s="16"/>
      <c r="C225" s="16"/>
      <c r="D225" s="16"/>
      <c r="E225" s="16"/>
      <c r="F225" s="16"/>
      <c r="G225" s="16"/>
      <c r="H225" s="16"/>
      <c r="I225" s="16"/>
      <c r="J225" s="16"/>
    </row>
    <row r="226" spans="2:10">
      <c r="B226" s="16"/>
      <c r="C226" s="16"/>
      <c r="D226" s="16"/>
      <c r="E226" s="16"/>
      <c r="F226" s="16"/>
      <c r="G226" s="16"/>
      <c r="H226" s="16"/>
      <c r="I226" s="16"/>
      <c r="J226" s="16"/>
    </row>
    <row r="227" spans="2:10">
      <c r="B227" s="16"/>
      <c r="C227" s="16"/>
      <c r="D227" s="16"/>
      <c r="E227" s="16"/>
      <c r="F227" s="16"/>
      <c r="G227" s="16"/>
      <c r="H227" s="16"/>
      <c r="I227" s="16"/>
      <c r="J227" s="16"/>
    </row>
    <row r="228" spans="2:10">
      <c r="B228" s="16"/>
      <c r="C228" s="16"/>
      <c r="D228" s="16"/>
      <c r="E228" s="16"/>
      <c r="F228" s="16"/>
      <c r="G228" s="16"/>
      <c r="H228" s="16"/>
      <c r="I228" s="16"/>
      <c r="J228" s="16"/>
    </row>
    <row r="229" spans="2:10">
      <c r="B229" s="16"/>
      <c r="C229" s="16"/>
      <c r="D229" s="16"/>
      <c r="E229" s="16"/>
      <c r="F229" s="16"/>
      <c r="G229" s="16"/>
      <c r="H229" s="16"/>
      <c r="I229" s="16"/>
      <c r="J229" s="16"/>
    </row>
    <row r="230" spans="2:10">
      <c r="B230" s="16"/>
      <c r="C230" s="16"/>
      <c r="D230" s="16"/>
      <c r="E230" s="16"/>
      <c r="F230" s="16"/>
      <c r="G230" s="16"/>
      <c r="H230" s="16"/>
      <c r="I230" s="16"/>
      <c r="J230" s="16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4"/>
  <sheetViews>
    <sheetView showGridLines="0" zoomScale="85" zoomScaleNormal="85" workbookViewId="0">
      <selection activeCell="B2" sqref="B2"/>
    </sheetView>
  </sheetViews>
  <sheetFormatPr defaultRowHeight="15"/>
  <cols>
    <col min="1" max="1" width="28.7109375" customWidth="1"/>
    <col min="2" max="4" width="10.28515625" customWidth="1"/>
  </cols>
  <sheetData>
    <row r="1" spans="1:9" ht="14.1" customHeight="1">
      <c r="A1" s="145" t="s">
        <v>91</v>
      </c>
    </row>
    <row r="2" spans="1:9" ht="14.1" customHeight="1">
      <c r="A2" s="144" t="s">
        <v>73</v>
      </c>
      <c r="B2" s="207" t="s">
        <v>74</v>
      </c>
      <c r="C2" s="144">
        <v>2011</v>
      </c>
      <c r="D2" s="144">
        <v>2016</v>
      </c>
      <c r="F2" t="s">
        <v>75</v>
      </c>
      <c r="H2" t="s">
        <v>75</v>
      </c>
    </row>
    <row r="3" spans="1:9" ht="14.1" customHeight="1">
      <c r="A3" s="150" t="s">
        <v>11</v>
      </c>
      <c r="B3" s="149" t="str">
        <f>'Big Summary'!H5</f>
        <v>-</v>
      </c>
      <c r="C3" s="149" t="str">
        <f>'Big Summary'!H51</f>
        <v>-</v>
      </c>
      <c r="D3" s="149" t="str">
        <f>'Big Summary'!H96</f>
        <v>-</v>
      </c>
      <c r="F3" s="7"/>
      <c r="H3" s="7"/>
    </row>
    <row r="4" spans="1:9" ht="14.1" customHeight="1">
      <c r="A4" t="s">
        <v>13</v>
      </c>
      <c r="B4" s="146" t="str">
        <f>'Big Summary'!H6</f>
        <v>-</v>
      </c>
      <c r="C4" s="151" t="str">
        <f>'Big Summary'!H52</f>
        <v>-</v>
      </c>
      <c r="D4" s="151" t="str">
        <f>'Big Summary'!H97</f>
        <v>-</v>
      </c>
      <c r="F4" s="7"/>
      <c r="H4" s="7"/>
    </row>
    <row r="5" spans="1:9" ht="14.1" customHeight="1">
      <c r="A5" s="150" t="s">
        <v>14</v>
      </c>
      <c r="B5" s="149">
        <f>'Big Summary'!H7</f>
        <v>0.18892397709333131</v>
      </c>
      <c r="C5" s="149">
        <f>'Big Summary'!H53</f>
        <v>0.22701494913566103</v>
      </c>
      <c r="D5" s="149">
        <f>'Big Summary'!H98</f>
        <v>0.29217335939819039</v>
      </c>
      <c r="F5" s="7">
        <f>(D5-B5)/B5</f>
        <v>0.5465128560884166</v>
      </c>
      <c r="H5" s="7">
        <f>(D5-C5)/D5</f>
        <v>0.22301283866790808</v>
      </c>
    </row>
    <row r="6" spans="1:9" ht="14.1" customHeight="1">
      <c r="A6" t="s">
        <v>15</v>
      </c>
      <c r="B6" s="146">
        <f>'Big Summary'!H8</f>
        <v>11.534191011813865</v>
      </c>
      <c r="C6" s="151">
        <f>'Big Summary'!H54</f>
        <v>11.794999378192955</v>
      </c>
      <c r="D6" s="151">
        <f>'Big Summary'!H99</f>
        <v>24.641725973268795</v>
      </c>
      <c r="F6" s="7">
        <f>(D6-B6)/B6</f>
        <v>1.1364069615311183</v>
      </c>
      <c r="H6" s="7">
        <f>(D6-C6)/D6</f>
        <v>0.52134037238348874</v>
      </c>
    </row>
    <row r="7" spans="1:9" ht="14.1" customHeight="1">
      <c r="A7" s="150" t="s">
        <v>16</v>
      </c>
      <c r="B7" s="149">
        <f>'Big Summary'!H9</f>
        <v>27.224835628899225</v>
      </c>
      <c r="C7" s="149">
        <f>'Big Summary'!H55</f>
        <v>26.025874342845206</v>
      </c>
      <c r="D7" s="149">
        <f>'Big Summary'!H100</f>
        <v>28.991260371632258</v>
      </c>
      <c r="F7" s="7">
        <f>(D7-B7)/B7</f>
        <v>6.4882843254266312E-2</v>
      </c>
      <c r="H7" s="7">
        <f t="shared" ref="H7:H44" si="0">(D7-C7)/D7</f>
        <v>0.1022855160753432</v>
      </c>
    </row>
    <row r="8" spans="1:9" ht="14.1" customHeight="1">
      <c r="A8" t="s">
        <v>76</v>
      </c>
      <c r="B8" s="146">
        <f>'Big Summary'!H10</f>
        <v>42.976618564399743</v>
      </c>
      <c r="C8" s="151">
        <f>'Big Summary'!H56</f>
        <v>58.540741504813958</v>
      </c>
      <c r="D8" s="151">
        <f>'Big Summary'!H101</f>
        <v>72.717750243654848</v>
      </c>
      <c r="F8" s="7">
        <f>(D8-B8)/B8</f>
        <v>0.69203051968103346</v>
      </c>
      <c r="H8" s="7">
        <f t="shared" si="0"/>
        <v>0.19495939700194365</v>
      </c>
    </row>
    <row r="9" spans="1:9" ht="14.1" customHeight="1">
      <c r="A9" s="150" t="s">
        <v>77</v>
      </c>
      <c r="B9" s="149" t="str">
        <f>'Big Summary'!H11</f>
        <v>-</v>
      </c>
      <c r="C9" s="149">
        <f>'Big Summary'!H57</f>
        <v>4.9530781007223004</v>
      </c>
      <c r="D9" s="149">
        <f>'Big Summary'!H102</f>
        <v>6.5357991620509432</v>
      </c>
      <c r="F9" s="7"/>
      <c r="H9" s="7">
        <f t="shared" si="0"/>
        <v>0.24216182628720537</v>
      </c>
    </row>
    <row r="10" spans="1:9" ht="14.1" customHeight="1">
      <c r="A10" t="s">
        <v>78</v>
      </c>
      <c r="B10" s="146">
        <f>'Big Summary'!H12</f>
        <v>368.31579502795552</v>
      </c>
      <c r="C10" s="151">
        <f>'Big Summary'!H58</f>
        <v>434.25766492725626</v>
      </c>
      <c r="D10" s="151">
        <f>'Big Summary'!H103</f>
        <v>526.71920426718748</v>
      </c>
      <c r="F10" s="7">
        <f>(D10-B10)/B10</f>
        <v>0.43007498287497825</v>
      </c>
      <c r="H10" s="7">
        <f t="shared" si="0"/>
        <v>0.17554237360411201</v>
      </c>
    </row>
    <row r="11" spans="1:9" ht="14.1" customHeight="1">
      <c r="A11" s="150" t="s">
        <v>79</v>
      </c>
      <c r="B11" s="149" t="str">
        <f>'Big Summary'!H13</f>
        <v>-</v>
      </c>
      <c r="C11" s="149" t="str">
        <f>'Big Summary'!H59</f>
        <v>-</v>
      </c>
      <c r="D11" s="149" t="str">
        <f>'Big Summary'!H104</f>
        <v>-</v>
      </c>
      <c r="F11" s="7"/>
      <c r="H11" s="7"/>
    </row>
    <row r="12" spans="1:9" ht="14.1" customHeight="1">
      <c r="A12" t="s">
        <v>80</v>
      </c>
      <c r="B12" s="146">
        <f>'Big Summary'!H14</f>
        <v>2.83</v>
      </c>
      <c r="C12" s="151" t="str">
        <f>'Big Summary'!H60</f>
        <v>-</v>
      </c>
      <c r="D12" s="151" t="str">
        <f>'Big Summary'!H105</f>
        <v>-</v>
      </c>
      <c r="F12" s="7"/>
      <c r="H12" s="7"/>
    </row>
    <row r="13" spans="1:9" ht="14.1" customHeight="1">
      <c r="A13" s="150" t="s">
        <v>81</v>
      </c>
      <c r="B13" s="149">
        <f>'Big Summary'!H15</f>
        <v>17.450275464779217</v>
      </c>
      <c r="C13" s="149">
        <f>'Big Summary'!H61</f>
        <v>18.229106686733793</v>
      </c>
      <c r="D13" s="149">
        <f>'Big Summary'!H106</f>
        <v>23.603402857126238</v>
      </c>
      <c r="F13" s="7">
        <f>(D13-B13)/B13</f>
        <v>0.35260918400779356</v>
      </c>
      <c r="G13" s="8">
        <f>(SUM(D4:D13)-SUM(B4:B13))/SUM(B4:B13)</f>
        <v>0.45264895649745651</v>
      </c>
      <c r="H13" s="7">
        <f>(D13-C13)/D13</f>
        <v>0.22769158340954471</v>
      </c>
      <c r="I13" s="8">
        <f>(SUM(D4:D13)-SUM(C4:C13))/SUM(C4:C13)</f>
        <v>0.23369346711272854</v>
      </c>
    </row>
    <row r="14" spans="1:9" ht="14.1" customHeight="1">
      <c r="A14" s="139" t="s">
        <v>86</v>
      </c>
      <c r="B14" s="146">
        <f>'Big Summary'!H16</f>
        <v>101.61366924148547</v>
      </c>
      <c r="C14" s="146" t="str">
        <f>'Big Summary'!H62</f>
        <v>-</v>
      </c>
      <c r="D14" s="146">
        <f>'Big Summary'!H107</f>
        <v>55.494391631020463</v>
      </c>
      <c r="F14" s="7">
        <f>(D14-B14)/B14</f>
        <v>-0.45386883432840397</v>
      </c>
      <c r="H14" s="7"/>
    </row>
    <row r="15" spans="1:9" ht="14.1" customHeight="1">
      <c r="A15" s="150" t="s">
        <v>24</v>
      </c>
      <c r="B15" s="149">
        <f>'Big Summary'!H17</f>
        <v>262.70078792851137</v>
      </c>
      <c r="C15" s="149">
        <f>'Big Summary'!H63</f>
        <v>294.73226714936402</v>
      </c>
      <c r="D15" s="149">
        <f>'Big Summary'!H108</f>
        <v>270.68398856371817</v>
      </c>
      <c r="E15" s="139"/>
      <c r="F15" s="7">
        <f>(D15-B15)/B15</f>
        <v>3.0388948195234432E-2</v>
      </c>
      <c r="H15" s="8">
        <f t="shared" si="0"/>
        <v>-8.8842634221731789E-2</v>
      </c>
    </row>
    <row r="16" spans="1:9" ht="14.1" customHeight="1">
      <c r="A16" s="134" t="s">
        <v>25</v>
      </c>
      <c r="B16" s="205">
        <f>'Big Summary'!H18</f>
        <v>834.83509684493765</v>
      </c>
      <c r="C16" s="205">
        <f>'Big Summary'!H64</f>
        <v>848.76074703906409</v>
      </c>
      <c r="D16" s="205">
        <f>'Big Summary'!H109</f>
        <v>1009.6796964290572</v>
      </c>
      <c r="F16" s="7">
        <f>(D16-B16)/B16</f>
        <v>0.20943609132498561</v>
      </c>
      <c r="H16" s="7">
        <f t="shared" si="0"/>
        <v>0.15937623580935276</v>
      </c>
    </row>
    <row r="17" spans="1:8" ht="14.1" customHeight="1">
      <c r="B17" s="151"/>
      <c r="C17" s="151"/>
      <c r="D17" s="151"/>
      <c r="F17" s="7"/>
      <c r="H17" s="7"/>
    </row>
    <row r="18" spans="1:8" ht="14.1" customHeight="1">
      <c r="A18" s="144" t="s">
        <v>83</v>
      </c>
      <c r="B18" s="152"/>
      <c r="C18" s="152"/>
      <c r="D18" s="152"/>
      <c r="F18" s="7"/>
      <c r="H18" s="7"/>
    </row>
    <row r="19" spans="1:8" ht="14.1" customHeight="1">
      <c r="A19" s="148" t="s">
        <v>26</v>
      </c>
      <c r="B19" s="149">
        <f>'Big Summary'!H20</f>
        <v>137.14202058000001</v>
      </c>
      <c r="C19" s="149">
        <f>'Big Summary'!H66</f>
        <v>42.259821439999996</v>
      </c>
      <c r="D19" s="149">
        <f>'Big Summary'!H112</f>
        <v>60.460233899999999</v>
      </c>
      <c r="F19" s="7"/>
      <c r="H19" s="7"/>
    </row>
    <row r="20" spans="1:8" ht="14.1" customHeight="1">
      <c r="A20" s="36" t="s">
        <v>27</v>
      </c>
      <c r="B20" s="146" t="str">
        <f>'Big Summary'!H21</f>
        <v>-</v>
      </c>
      <c r="C20" s="151" t="str">
        <f>'Big Summary'!H67</f>
        <v>-</v>
      </c>
      <c r="D20" s="151" t="str">
        <f>'Big Summary'!H113</f>
        <v>-</v>
      </c>
      <c r="F20" s="7"/>
      <c r="H20" s="7"/>
    </row>
    <row r="21" spans="1:8" ht="14.1" customHeight="1">
      <c r="A21" s="148" t="s">
        <v>84</v>
      </c>
      <c r="B21" s="149" t="str">
        <f>'Big Summary'!H22</f>
        <v>-</v>
      </c>
      <c r="C21" s="149" t="str">
        <f>'Big Summary'!H68</f>
        <v>-</v>
      </c>
      <c r="D21" s="149" t="str">
        <f>'Big Summary'!H114</f>
        <v>-</v>
      </c>
      <c r="F21" s="7"/>
      <c r="H21" s="7"/>
    </row>
    <row r="22" spans="1:8" ht="14.1" customHeight="1">
      <c r="A22" s="143" t="s">
        <v>29</v>
      </c>
      <c r="B22" s="146"/>
      <c r="C22" s="146" t="str">
        <f>'Big Summary'!H69</f>
        <v>-</v>
      </c>
      <c r="D22" s="146" t="str">
        <f>'Big Summary'!H115</f>
        <v>-</v>
      </c>
      <c r="F22" s="7"/>
      <c r="H22" s="7"/>
    </row>
    <row r="23" spans="1:8" ht="14.1" customHeight="1">
      <c r="A23" s="148" t="s">
        <v>30</v>
      </c>
      <c r="B23" s="149">
        <f>'Big Summary'!H24</f>
        <v>61.15400658649471</v>
      </c>
      <c r="C23" s="149">
        <f>'Big Summary'!H70</f>
        <v>72.78678988698644</v>
      </c>
      <c r="D23" s="149">
        <f>'Big Summary'!H116</f>
        <v>87.919756230853338</v>
      </c>
      <c r="F23" s="7"/>
      <c r="H23" s="7"/>
    </row>
    <row r="24" spans="1:8" ht="14.1" customHeight="1">
      <c r="A24" s="143" t="s">
        <v>31</v>
      </c>
      <c r="B24" s="146">
        <f>'Big Summary'!H25</f>
        <v>5.8574403462784721</v>
      </c>
      <c r="C24" s="146">
        <f>'Big Summary'!H71</f>
        <v>5.1994898707517452</v>
      </c>
      <c r="D24" s="146">
        <f>'Big Summary'!H117</f>
        <v>4.7250794381416403</v>
      </c>
      <c r="F24" s="7"/>
      <c r="H24" s="7"/>
    </row>
    <row r="25" spans="1:8" ht="14.1" customHeight="1">
      <c r="A25" s="148" t="s">
        <v>32</v>
      </c>
      <c r="B25" s="149">
        <f>'Big Summary'!H26</f>
        <v>44.008671343433477</v>
      </c>
      <c r="C25" s="149">
        <f>'Big Summary'!H72</f>
        <v>54.904943250200397</v>
      </c>
      <c r="D25" s="149">
        <f>'Big Summary'!H118</f>
        <v>83.887562857020214</v>
      </c>
      <c r="F25" s="7"/>
      <c r="H25" s="7"/>
    </row>
    <row r="26" spans="1:8" ht="14.1" customHeight="1">
      <c r="A26" s="143" t="s">
        <v>33</v>
      </c>
      <c r="B26" s="146">
        <f>'Big Summary'!H27</f>
        <v>117.34887643927787</v>
      </c>
      <c r="C26" s="146">
        <f>'Big Summary'!H73</f>
        <v>138.66224763786045</v>
      </c>
      <c r="D26" s="146">
        <f>'Big Summary'!H119</f>
        <v>141.4909067577573</v>
      </c>
      <c r="F26" s="7"/>
      <c r="H26" s="7"/>
    </row>
    <row r="27" spans="1:8" ht="14.1" customHeight="1">
      <c r="A27" s="148" t="s">
        <v>34</v>
      </c>
      <c r="B27" s="149" t="str">
        <f>'Big Summary'!H28</f>
        <v>-</v>
      </c>
      <c r="C27" s="149">
        <f>'Big Summary'!H74</f>
        <v>113.05913753042176</v>
      </c>
      <c r="D27" s="149">
        <f>'Big Summary'!H120</f>
        <v>130.33141164432737</v>
      </c>
      <c r="F27" s="7"/>
      <c r="H27" s="7"/>
    </row>
    <row r="28" spans="1:8" ht="14.1" customHeight="1">
      <c r="A28" s="143" t="s">
        <v>35</v>
      </c>
      <c r="B28" s="146" t="str">
        <f>'Big Summary'!H29</f>
        <v>-</v>
      </c>
      <c r="C28" s="146">
        <f>'Big Summary'!H75</f>
        <v>37.815397689367273</v>
      </c>
      <c r="D28" s="146">
        <f>'Big Summary'!H121</f>
        <v>38.305072505221986</v>
      </c>
      <c r="F28" s="8">
        <f>(SUM(D19:D28)-SUM(B19:B28))/SUM(B19:B28)</f>
        <v>0.49686329669441531</v>
      </c>
      <c r="H28" s="8">
        <f>(SUM(D19:D28)-SUM(C19:C28))/SUM(C19:C28)</f>
        <v>0.17739263045839321</v>
      </c>
    </row>
    <row r="29" spans="1:8" ht="14.1" customHeight="1">
      <c r="A29" s="148" t="s">
        <v>36</v>
      </c>
      <c r="B29" s="149">
        <f>'Big Summary'!H30</f>
        <v>7.5177639999999997</v>
      </c>
      <c r="C29" s="149">
        <f>'Big Summary'!H76</f>
        <v>7.5177639999999997</v>
      </c>
      <c r="D29" s="149">
        <f>'Big Summary'!H122</f>
        <v>7.5177639999999997</v>
      </c>
      <c r="F29" s="7">
        <f>(D29-B29)/B29</f>
        <v>0</v>
      </c>
      <c r="H29" s="7">
        <f t="shared" si="0"/>
        <v>0</v>
      </c>
    </row>
    <row r="30" spans="1:8" ht="14.1" customHeight="1">
      <c r="A30" s="143" t="s">
        <v>37</v>
      </c>
      <c r="B30" s="146">
        <f>'Big Summary'!H31</f>
        <v>14.231237999999999</v>
      </c>
      <c r="C30" s="146">
        <f>'Big Summary'!H77</f>
        <v>16.73488034</v>
      </c>
      <c r="D30" s="146">
        <f>'Big Summary'!H123</f>
        <v>17.727250999999999</v>
      </c>
      <c r="F30" s="7">
        <f>(D30-B30)/B30</f>
        <v>0.2456576862814043</v>
      </c>
      <c r="H30" s="7">
        <f t="shared" si="0"/>
        <v>5.59799519959411E-2</v>
      </c>
    </row>
    <row r="31" spans="1:8" ht="14.1" customHeight="1">
      <c r="A31" s="148" t="s">
        <v>38</v>
      </c>
      <c r="B31" s="149">
        <f>'Big Summary'!H32</f>
        <v>7.0644476903210345</v>
      </c>
      <c r="C31" s="149">
        <f>'Big Summary'!H78</f>
        <v>8.3266335181580153</v>
      </c>
      <c r="D31" s="149">
        <f>'Big Summary'!H124</f>
        <v>11.943418043073116</v>
      </c>
      <c r="F31" s="7">
        <f>(D31-B31)/B31</f>
        <v>0.69063719722020667</v>
      </c>
      <c r="H31" s="7">
        <f t="shared" si="0"/>
        <v>0.30282658715213817</v>
      </c>
    </row>
    <row r="32" spans="1:8" ht="14.1" customHeight="1">
      <c r="A32" s="143" t="s">
        <v>39</v>
      </c>
      <c r="B32" s="146" t="str">
        <f>'Big Summary'!H33</f>
        <v>-</v>
      </c>
      <c r="C32" s="146" t="str">
        <f>'Big Summary'!H79</f>
        <v>-</v>
      </c>
      <c r="D32" s="146" t="str">
        <f>'Big Summary'!H125</f>
        <v>-</v>
      </c>
      <c r="F32" s="7"/>
      <c r="H32" s="7"/>
    </row>
    <row r="33" spans="1:9" ht="14.1" customHeight="1">
      <c r="A33" s="148" t="s">
        <v>40</v>
      </c>
      <c r="B33" s="149">
        <f>'Big Summary'!H34</f>
        <v>8.5979514603810647E-2</v>
      </c>
      <c r="C33" s="149">
        <f>'Big Summary'!H80</f>
        <v>0.11524140615675797</v>
      </c>
      <c r="D33" s="149">
        <f>'Big Summary'!H126</f>
        <v>0.13830715641888375</v>
      </c>
      <c r="F33" s="7">
        <f>(D33-B33)/B33</f>
        <v>0.60860592265723168</v>
      </c>
      <c r="H33" s="7">
        <f t="shared" si="0"/>
        <v>0.16677192170929844</v>
      </c>
    </row>
    <row r="34" spans="1:9" ht="14.1" customHeight="1">
      <c r="A34" s="143" t="s">
        <v>41</v>
      </c>
      <c r="B34" s="146">
        <f>'Big Summary'!H35</f>
        <v>24.763238285606775</v>
      </c>
      <c r="C34" s="146">
        <f>'Big Summary'!H81</f>
        <v>35.007697354447039</v>
      </c>
      <c r="D34" s="146">
        <f>'Big Summary'!H127</f>
        <v>43.127242279331632</v>
      </c>
      <c r="F34" s="7">
        <f>(D34-B34)/B34</f>
        <v>0.74158330109833137</v>
      </c>
      <c r="H34" s="7">
        <f t="shared" si="0"/>
        <v>0.18826951355467997</v>
      </c>
    </row>
    <row r="35" spans="1:9" ht="14.1" customHeight="1">
      <c r="A35" s="148" t="s">
        <v>42</v>
      </c>
      <c r="B35" s="149">
        <f>'Big Summary'!H36</f>
        <v>0</v>
      </c>
      <c r="C35" s="149">
        <f>'Big Summary'!H82</f>
        <v>0.92377704680481054</v>
      </c>
      <c r="D35" s="149">
        <f>'Big Summary'!H128</f>
        <v>1.0963203222809308</v>
      </c>
      <c r="F35" s="7"/>
      <c r="H35" s="7">
        <f t="shared" si="0"/>
        <v>0.1573839980610213</v>
      </c>
    </row>
    <row r="36" spans="1:9" ht="14.1" customHeight="1">
      <c r="A36" s="143" t="s">
        <v>43</v>
      </c>
      <c r="B36" s="146">
        <f>'Big Summary'!H37</f>
        <v>134.01565890224956</v>
      </c>
      <c r="C36" s="146">
        <f>'Big Summary'!H83</f>
        <v>173.2347722991789</v>
      </c>
      <c r="D36" s="146">
        <f>'Big Summary'!H129</f>
        <v>215.85073491633162</v>
      </c>
      <c r="F36" s="7">
        <f>(D36-B36)/B36</f>
        <v>0.61063816485633382</v>
      </c>
      <c r="H36" s="7">
        <f t="shared" si="0"/>
        <v>0.1974325574275741</v>
      </c>
    </row>
    <row r="37" spans="1:9" ht="14.1" customHeight="1">
      <c r="A37" s="148" t="s">
        <v>44</v>
      </c>
      <c r="B37" s="149" t="str">
        <f>'Big Summary'!H38</f>
        <v>-</v>
      </c>
      <c r="C37" s="149" t="str">
        <f>'Big Summary'!H84</f>
        <v>-</v>
      </c>
      <c r="D37" s="149" t="str">
        <f>'Big Summary'!H130</f>
        <v>-</v>
      </c>
      <c r="F37" s="7"/>
      <c r="G37" s="8">
        <f>(SUM(D32:D37)-SUM(B32:B37))/SUM(B32:B37)</f>
        <v>0.63794924388301555</v>
      </c>
      <c r="H37" s="7"/>
      <c r="I37" s="8">
        <f>(SUM(D32:D37)-SUM(C32:C37))/SUM(C32:C37)</f>
        <v>0.24336178526137126</v>
      </c>
    </row>
    <row r="38" spans="1:9" ht="14.1" customHeight="1">
      <c r="A38" s="143" t="s">
        <v>45</v>
      </c>
      <c r="B38" s="146">
        <f>'Big Summary'!H39</f>
        <v>1.02</v>
      </c>
      <c r="C38" s="146" t="str">
        <f>'Big Summary'!H85</f>
        <v>-</v>
      </c>
      <c r="D38" s="146" t="str">
        <f>'Big Summary'!H131</f>
        <v>-</v>
      </c>
      <c r="F38" s="7"/>
      <c r="H38" s="7"/>
    </row>
    <row r="39" spans="1:9" ht="14.1" customHeight="1">
      <c r="A39" s="148" t="s">
        <v>46</v>
      </c>
      <c r="B39" s="149" t="str">
        <f>'Big Summary'!H40</f>
        <v>-</v>
      </c>
      <c r="C39" s="149" t="str">
        <f>'Big Summary'!H86</f>
        <v>-</v>
      </c>
      <c r="D39" s="149" t="str">
        <f>'Big Summary'!H132</f>
        <v>-</v>
      </c>
      <c r="F39" s="7"/>
      <c r="H39" s="7"/>
    </row>
    <row r="40" spans="1:9" ht="14.1" customHeight="1">
      <c r="A40" s="143" t="s">
        <v>47</v>
      </c>
      <c r="B40" s="146">
        <f>'Big Summary'!H41</f>
        <v>69.895166303507395</v>
      </c>
      <c r="C40" s="146">
        <f>'Big Summary'!H87</f>
        <v>87.912926407227488</v>
      </c>
      <c r="D40" s="146">
        <f>'Big Summary'!H133</f>
        <v>107.55930185360002</v>
      </c>
      <c r="F40" s="7">
        <f>(D40-B40)/B40</f>
        <v>0.53886609821547282</v>
      </c>
      <c r="H40" s="7">
        <f t="shared" si="0"/>
        <v>0.1826562194789382</v>
      </c>
    </row>
    <row r="41" spans="1:9" ht="14.1" customHeight="1">
      <c r="A41" s="186" t="s">
        <v>25</v>
      </c>
      <c r="B41" s="187">
        <f>'Big Summary'!H42</f>
        <v>624.10450799177318</v>
      </c>
      <c r="C41" s="187">
        <f>'Big Summary'!H88</f>
        <v>794.46151967756111</v>
      </c>
      <c r="D41" s="187">
        <f>'Big Summary'!H134</f>
        <v>952.08036290435825</v>
      </c>
      <c r="F41" s="7">
        <f>(D41-B41)/B41</f>
        <v>0.52551431805537996</v>
      </c>
      <c r="H41" s="7">
        <f t="shared" si="0"/>
        <v>0.165552036748216</v>
      </c>
    </row>
    <row r="42" spans="1:9" ht="14.1" customHeight="1">
      <c r="B42" s="151"/>
      <c r="C42" s="151"/>
      <c r="D42" s="151"/>
      <c r="F42" s="7"/>
      <c r="H42" s="7"/>
    </row>
    <row r="43" spans="1:9" ht="14.1" customHeight="1">
      <c r="A43" s="147" t="s">
        <v>48</v>
      </c>
      <c r="B43" s="153">
        <f>'Big Summary'!H44</f>
        <v>1.3376527266743317</v>
      </c>
      <c r="C43" s="153">
        <f>'Big Summary'!H90</f>
        <v>1.0683472087906043</v>
      </c>
      <c r="D43" s="153">
        <f>'Big Summary'!H136</f>
        <v>1.0604983946407527</v>
      </c>
      <c r="F43" s="7">
        <f>(D43-B43)/B43</f>
        <v>-0.20719453301055146</v>
      </c>
      <c r="H43" s="7">
        <f t="shared" si="0"/>
        <v>-7.4010617927530425E-3</v>
      </c>
    </row>
    <row r="44" spans="1:9" ht="14.1" customHeight="1">
      <c r="A44" s="147" t="s">
        <v>49</v>
      </c>
      <c r="B44" s="153">
        <f>'Big Summary'!H45</f>
        <v>0.93894161315831937</v>
      </c>
      <c r="C44" s="153">
        <f>'Big Summary'!H91</f>
        <v>0.91639597532931305</v>
      </c>
      <c r="D44" s="153">
        <f>'Big Summary'!H137</f>
        <v>1.0113831752155784</v>
      </c>
      <c r="F44" s="7">
        <f>(D44-B44)/B44</f>
        <v>7.7152360745400606E-2</v>
      </c>
      <c r="H44" s="7">
        <f t="shared" si="0"/>
        <v>9.3918113543878801E-2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5"/>
  <sheetViews>
    <sheetView showGridLines="0" zoomScale="85" zoomScaleNormal="85" workbookViewId="0">
      <selection activeCell="B2" sqref="B2"/>
    </sheetView>
  </sheetViews>
  <sheetFormatPr defaultRowHeight="15"/>
  <cols>
    <col min="1" max="1" width="28.85546875" customWidth="1"/>
    <col min="2" max="4" width="10.28515625" customWidth="1"/>
    <col min="6" max="6" width="10.28515625" customWidth="1"/>
  </cols>
  <sheetData>
    <row r="1" spans="1:9" ht="14.1" customHeight="1">
      <c r="A1" s="145" t="s">
        <v>92</v>
      </c>
    </row>
    <row r="2" spans="1:9" ht="14.1" customHeight="1">
      <c r="A2" s="144" t="s">
        <v>73</v>
      </c>
      <c r="B2" s="207" t="s">
        <v>74</v>
      </c>
      <c r="C2" s="144">
        <v>2011</v>
      </c>
      <c r="D2" s="144">
        <v>2016</v>
      </c>
      <c r="F2" t="s">
        <v>75</v>
      </c>
      <c r="H2" t="s">
        <v>75</v>
      </c>
    </row>
    <row r="3" spans="1:9" ht="14.1" customHeight="1">
      <c r="A3" s="150" t="s">
        <v>11</v>
      </c>
      <c r="B3" s="149" t="str">
        <f>'Big Summary'!I5</f>
        <v>-</v>
      </c>
      <c r="C3" s="149" t="str">
        <f>'Big Summary'!I51</f>
        <v>-</v>
      </c>
      <c r="D3" s="149" t="str">
        <f>'Big Summary'!I96</f>
        <v>-</v>
      </c>
      <c r="F3" s="7"/>
      <c r="H3" s="7"/>
    </row>
    <row r="4" spans="1:9" ht="14.1" customHeight="1">
      <c r="A4" t="s">
        <v>13</v>
      </c>
      <c r="B4" s="146" t="str">
        <f>'Big Summary'!I6</f>
        <v>-</v>
      </c>
      <c r="C4" s="151" t="str">
        <f>'Big Summary'!I52</f>
        <v>-</v>
      </c>
      <c r="D4" s="151" t="str">
        <f>'Big Summary'!I97</f>
        <v>-</v>
      </c>
      <c r="F4" s="7"/>
      <c r="H4" s="7"/>
    </row>
    <row r="5" spans="1:9" ht="14.1" customHeight="1">
      <c r="A5" s="150" t="s">
        <v>14</v>
      </c>
      <c r="B5" s="149">
        <f>'Big Summary'!I7</f>
        <v>112.58355528841905</v>
      </c>
      <c r="C5" s="149">
        <f>'Big Summary'!I53</f>
        <v>135.28272308541452</v>
      </c>
      <c r="D5" s="149">
        <f>'Big Summary'!I98</f>
        <v>174.11191563768111</v>
      </c>
      <c r="F5" s="7">
        <f>(D5-B5)/B5</f>
        <v>0.5465128560884166</v>
      </c>
      <c r="H5" s="7">
        <f>(D5-C5)/D5</f>
        <v>0.22301283866790803</v>
      </c>
    </row>
    <row r="6" spans="1:9" ht="14.1" customHeight="1">
      <c r="A6" t="s">
        <v>15</v>
      </c>
      <c r="B6" s="146">
        <f>'Big Summary'!I8</f>
        <v>129.14150803581924</v>
      </c>
      <c r="C6" s="151">
        <f>'Big Summary'!I54</f>
        <v>159.67690540284502</v>
      </c>
      <c r="D6" s="151">
        <f>'Big Summary'!I99</f>
        <v>342.46827065888493</v>
      </c>
      <c r="F6" s="7">
        <f>(D6-B6)/B6</f>
        <v>1.6518837813470202</v>
      </c>
      <c r="H6" s="7">
        <f>(D6-C6)/D6</f>
        <v>0.53374686333528698</v>
      </c>
    </row>
    <row r="7" spans="1:9" ht="14.1" customHeight="1">
      <c r="A7" s="150" t="s">
        <v>16</v>
      </c>
      <c r="B7" s="149">
        <f>'Big Summary'!I9</f>
        <v>26.082398874035214</v>
      </c>
      <c r="C7" s="149">
        <f>'Big Summary'!I55</f>
        <v>27.757199115140295</v>
      </c>
      <c r="D7" s="149">
        <f>'Big Summary'!I100</f>
        <v>27.128027590918233</v>
      </c>
      <c r="F7" s="7">
        <f>(D7-B7)/B7</f>
        <v>4.0089438166055084E-2</v>
      </c>
      <c r="H7" s="7">
        <f t="shared" ref="H7:H44" si="0">(D7-C7)/D7</f>
        <v>-2.3192674886274925E-2</v>
      </c>
    </row>
    <row r="8" spans="1:9" ht="14.1" customHeight="1">
      <c r="A8" t="s">
        <v>76</v>
      </c>
      <c r="B8" s="146">
        <f>'Big Summary'!I10</f>
        <v>4378.2994154825356</v>
      </c>
      <c r="C8" s="151">
        <f>'Big Summary'!I56</f>
        <v>5963.9148652043559</v>
      </c>
      <c r="D8" s="151">
        <f>'Big Summary'!I101</f>
        <v>7408.2162352980786</v>
      </c>
      <c r="F8" s="7">
        <f>(D8-B8)/B8</f>
        <v>0.69203051968103324</v>
      </c>
      <c r="H8" s="7">
        <f t="shared" si="0"/>
        <v>0.19495939700194367</v>
      </c>
    </row>
    <row r="9" spans="1:9" ht="14.1" customHeight="1">
      <c r="A9" s="150" t="s">
        <v>77</v>
      </c>
      <c r="B9" s="149" t="str">
        <f>'Big Summary'!I11</f>
        <v>-</v>
      </c>
      <c r="C9" s="149">
        <f>'Big Summary'!I57</f>
        <v>504.60133155277441</v>
      </c>
      <c r="D9" s="149">
        <f>'Big Summary'!I102</f>
        <v>665.84311671796058</v>
      </c>
      <c r="F9" s="7"/>
      <c r="H9" s="7">
        <f t="shared" si="0"/>
        <v>0.24216182628720537</v>
      </c>
    </row>
    <row r="10" spans="1:9" ht="14.1" customHeight="1">
      <c r="A10" t="s">
        <v>78</v>
      </c>
      <c r="B10" s="146">
        <f>'Big Summary'!I12</f>
        <v>132.03517181812717</v>
      </c>
      <c r="C10" s="151">
        <f>'Big Summary'!I58</f>
        <v>155.67425067300471</v>
      </c>
      <c r="D10" s="151">
        <f>'Big Summary'!I103</f>
        <v>188.82019607670301</v>
      </c>
      <c r="F10" s="7">
        <f>(D10-B10)/B10</f>
        <v>0.4300749828749782</v>
      </c>
      <c r="H10" s="7">
        <f t="shared" si="0"/>
        <v>0.17554237360411212</v>
      </c>
    </row>
    <row r="11" spans="1:9" ht="14.1" customHeight="1">
      <c r="A11" s="150" t="s">
        <v>79</v>
      </c>
      <c r="B11" s="149">
        <f>'Big Summary'!I13</f>
        <v>27.336000000000006</v>
      </c>
      <c r="C11" s="149">
        <f>'Big Summary'!I59</f>
        <v>33.227000000000004</v>
      </c>
      <c r="D11" s="149">
        <f>'Big Summary'!I104</f>
        <v>63.944999999999993</v>
      </c>
      <c r="F11" s="7">
        <f>(D11-B11)/B11</f>
        <v>1.3392230026338887</v>
      </c>
      <c r="H11" s="7"/>
    </row>
    <row r="12" spans="1:9" ht="14.1" customHeight="1">
      <c r="A12" t="s">
        <v>80</v>
      </c>
      <c r="B12" s="146" t="str">
        <f>'Big Summary'!I14</f>
        <v>-</v>
      </c>
      <c r="C12" s="151" t="str">
        <f>'Big Summary'!I60</f>
        <v>-</v>
      </c>
      <c r="D12" s="151" t="str">
        <f>'Big Summary'!I105</f>
        <v>-</v>
      </c>
      <c r="F12" s="7"/>
      <c r="H12" s="7"/>
    </row>
    <row r="13" spans="1:9" ht="14.1" customHeight="1">
      <c r="A13" s="150" t="s">
        <v>81</v>
      </c>
      <c r="B13" s="149">
        <f>'Big Summary'!I15</f>
        <v>198.69526284647242</v>
      </c>
      <c r="C13" s="149">
        <f>'Big Summary'!I61</f>
        <v>207.56332195944427</v>
      </c>
      <c r="D13" s="149">
        <f>'Big Summary'!I106</f>
        <v>268.75703734498114</v>
      </c>
      <c r="F13" s="7">
        <f>(D13-B13)/B13</f>
        <v>0.35260918400779367</v>
      </c>
      <c r="G13" s="8">
        <f>(SUM(D4:D13)-SUM(B4:B13))/SUM(B4:B13)</f>
        <v>0.82633358776331223</v>
      </c>
      <c r="H13" s="7">
        <f>(D13-C13)/D13</f>
        <v>0.22769158340954462</v>
      </c>
      <c r="I13" s="8">
        <f>(SUM(D4:D13)-SUM(C4:C13))/SUM(C4:C13)</f>
        <v>0.27151840711115766</v>
      </c>
    </row>
    <row r="14" spans="1:9" ht="14.1" customHeight="1">
      <c r="A14" s="139" t="s">
        <v>86</v>
      </c>
      <c r="B14" s="146">
        <f>'Big Summary'!I16</f>
        <v>260.23795815601693</v>
      </c>
      <c r="C14" s="146" t="str">
        <f>'Big Summary'!I62</f>
        <v>-</v>
      </c>
      <c r="D14" s="146">
        <f>'Big Summary'!I107</f>
        <v>19.893829243429764</v>
      </c>
      <c r="F14" s="7">
        <f>(D14-B14)/B14</f>
        <v>-0.92355523619846769</v>
      </c>
      <c r="H14" s="7"/>
    </row>
    <row r="15" spans="1:9" ht="14.1" customHeight="1">
      <c r="A15" s="150" t="s">
        <v>24</v>
      </c>
      <c r="B15" s="149">
        <f>'Big Summary'!I17</f>
        <v>2939.805977362661</v>
      </c>
      <c r="C15" s="149">
        <f>'Big Summary'!I63</f>
        <v>3315.4314385662187</v>
      </c>
      <c r="D15" s="149">
        <f>'Big Summary'!I108</f>
        <v>2223.956973889462</v>
      </c>
      <c r="E15" s="139"/>
      <c r="F15" s="8">
        <f>(D15-B15)/B15</f>
        <v>-0.24350212530535659</v>
      </c>
      <c r="H15" s="8">
        <f>(D15-C15)/C15</f>
        <v>-0.32921038631061916</v>
      </c>
    </row>
    <row r="16" spans="1:9" ht="14.1" customHeight="1">
      <c r="A16" s="134" t="s">
        <v>25</v>
      </c>
      <c r="B16" s="205">
        <f>'Big Summary'!I18</f>
        <v>8204.2172478640859</v>
      </c>
      <c r="C16" s="205">
        <f>'Big Summary'!I64</f>
        <v>10503.129035559197</v>
      </c>
      <c r="D16" s="205">
        <f>'Big Summary'!I109</f>
        <v>11383.140602458101</v>
      </c>
      <c r="F16" s="7">
        <f>(D16-B16)/B16</f>
        <v>0.38747430236828834</v>
      </c>
      <c r="H16" s="7">
        <f t="shared" si="0"/>
        <v>7.7308327959058343E-2</v>
      </c>
    </row>
    <row r="17" spans="1:8" ht="14.1" customHeight="1">
      <c r="B17" s="151"/>
      <c r="C17" s="151"/>
      <c r="D17" s="151"/>
      <c r="F17" s="7"/>
      <c r="H17" s="7"/>
    </row>
    <row r="18" spans="1:8" ht="14.1" customHeight="1">
      <c r="A18" s="144" t="s">
        <v>83</v>
      </c>
      <c r="B18" s="152"/>
      <c r="C18" s="152"/>
      <c r="D18" s="152"/>
      <c r="F18" s="7"/>
      <c r="H18" s="7"/>
    </row>
    <row r="19" spans="1:8" ht="14.1" customHeight="1">
      <c r="A19" s="148" t="s">
        <v>26</v>
      </c>
      <c r="B19" s="149">
        <f>'Big Summary'!I20</f>
        <v>351.54217415000005</v>
      </c>
      <c r="C19" s="149">
        <f>'Big Summary'!I66</f>
        <v>123.64209292</v>
      </c>
      <c r="D19" s="149">
        <f>'Big Summary'!I112</f>
        <v>280.54118614999999</v>
      </c>
      <c r="F19" s="7"/>
      <c r="H19" s="7"/>
    </row>
    <row r="20" spans="1:8" ht="14.1" customHeight="1">
      <c r="A20" s="36" t="s">
        <v>27</v>
      </c>
      <c r="B20" s="146">
        <f>'Big Summary'!I21</f>
        <v>557.43466860000012</v>
      </c>
      <c r="C20" s="151">
        <f>'Big Summary'!I67</f>
        <v>346.97342520000001</v>
      </c>
      <c r="D20" s="151">
        <f>'Big Summary'!I113</f>
        <v>771.47626860000003</v>
      </c>
      <c r="F20" s="7"/>
      <c r="H20" s="7"/>
    </row>
    <row r="21" spans="1:8" ht="14.1" customHeight="1">
      <c r="A21" s="148" t="s">
        <v>84</v>
      </c>
      <c r="B21" s="149" t="str">
        <f>'Big Summary'!I22</f>
        <v>-</v>
      </c>
      <c r="C21" s="149">
        <f>'Big Summary'!I68</f>
        <v>281.42071495836024</v>
      </c>
      <c r="D21" s="149">
        <f>'Big Summary'!I114</f>
        <v>486.2511484641422</v>
      </c>
      <c r="F21" s="7"/>
      <c r="H21" s="7"/>
    </row>
    <row r="22" spans="1:8" ht="14.1" customHeight="1">
      <c r="A22" s="143" t="s">
        <v>29</v>
      </c>
      <c r="B22" s="146"/>
      <c r="C22" s="146">
        <f>'Big Summary'!I69</f>
        <v>565.813007814</v>
      </c>
      <c r="D22" s="146">
        <f>'Big Summary'!I115</f>
        <v>133.84326194600001</v>
      </c>
      <c r="F22" s="7"/>
      <c r="H22" s="7"/>
    </row>
    <row r="23" spans="1:8" ht="14.1" customHeight="1">
      <c r="A23" s="148" t="s">
        <v>30</v>
      </c>
      <c r="B23" s="149">
        <f>'Big Summary'!I24</f>
        <v>246.32263273663352</v>
      </c>
      <c r="C23" s="149">
        <f>'Big Summary'!I70</f>
        <v>332.36150983915172</v>
      </c>
      <c r="D23" s="149">
        <f>'Big Summary'!I116</f>
        <v>452.18032052354181</v>
      </c>
      <c r="F23" s="7"/>
      <c r="H23" s="7"/>
    </row>
    <row r="24" spans="1:8" ht="14.1" customHeight="1">
      <c r="A24" s="143" t="s">
        <v>31</v>
      </c>
      <c r="B24" s="146">
        <f>'Big Summary'!I25</f>
        <v>32.407139750479836</v>
      </c>
      <c r="C24" s="146">
        <f>'Big Summary'!I71</f>
        <v>29.467263571438146</v>
      </c>
      <c r="D24" s="146">
        <f>'Big Summary'!I117</f>
        <v>28.041499054571549</v>
      </c>
      <c r="F24" s="7"/>
      <c r="H24" s="7"/>
    </row>
    <row r="25" spans="1:8" ht="14.1" customHeight="1">
      <c r="A25" s="148" t="s">
        <v>32</v>
      </c>
      <c r="B25" s="149">
        <f>'Big Summary'!I26</f>
        <v>292.8137330214488</v>
      </c>
      <c r="C25" s="149">
        <f>'Big Summary'!I72</f>
        <v>421.86160022728086</v>
      </c>
      <c r="D25" s="149">
        <f>'Big Summary'!I118</f>
        <v>557.33625087929329</v>
      </c>
      <c r="F25" s="7"/>
      <c r="H25" s="7"/>
    </row>
    <row r="26" spans="1:8" ht="14.1" customHeight="1">
      <c r="A26" s="143" t="s">
        <v>33</v>
      </c>
      <c r="B26" s="146">
        <f>'Big Summary'!I27</f>
        <v>259.98092900476496</v>
      </c>
      <c r="C26" s="146">
        <f>'Big Summary'!I73</f>
        <v>252.00026707776627</v>
      </c>
      <c r="D26" s="146">
        <f>'Big Summary'!I119</f>
        <v>264.58684333780838</v>
      </c>
      <c r="F26" s="7"/>
      <c r="H26" s="7"/>
    </row>
    <row r="27" spans="1:8" ht="14.1" customHeight="1">
      <c r="A27" s="148" t="s">
        <v>34</v>
      </c>
      <c r="B27" s="149" t="str">
        <f>'Big Summary'!I28</f>
        <v>-</v>
      </c>
      <c r="C27" s="149">
        <f>'Big Summary'!I74</f>
        <v>1035.5606066624653</v>
      </c>
      <c r="D27" s="149">
        <f>'Big Summary'!I120</f>
        <v>1250.6001099468488</v>
      </c>
      <c r="F27" s="7"/>
      <c r="H27" s="7"/>
    </row>
    <row r="28" spans="1:8" ht="14.1" customHeight="1">
      <c r="A28" s="143" t="s">
        <v>35</v>
      </c>
      <c r="B28" s="146" t="str">
        <f>'Big Summary'!I29</f>
        <v>-</v>
      </c>
      <c r="C28" s="146">
        <f>'Big Summary'!I75</f>
        <v>188.54140417682345</v>
      </c>
      <c r="D28" s="146">
        <f>'Big Summary'!I121</f>
        <v>185.26012040345194</v>
      </c>
      <c r="F28" s="8">
        <f>(SUM(D19:D28)-SUM(B19:B28))/SUM(B19:B28)</f>
        <v>1.5338200361679104</v>
      </c>
      <c r="H28" s="8">
        <f>(SUM(D19:D28)-SUM(C19:C28))/SUM(C19:C28)</f>
        <v>0.23268821807341844</v>
      </c>
    </row>
    <row r="29" spans="1:8" ht="14.1" customHeight="1">
      <c r="A29" s="148" t="s">
        <v>36</v>
      </c>
      <c r="B29" s="149">
        <f>'Big Summary'!I30</f>
        <v>160.544128</v>
      </c>
      <c r="C29" s="149">
        <f>'Big Summary'!I76</f>
        <v>160.544128</v>
      </c>
      <c r="D29" s="149">
        <f>'Big Summary'!I122</f>
        <v>160.544128</v>
      </c>
      <c r="F29" s="7">
        <f>(D29-B29)/B29</f>
        <v>0</v>
      </c>
      <c r="H29" s="7">
        <f t="shared" si="0"/>
        <v>0</v>
      </c>
    </row>
    <row r="30" spans="1:8" ht="14.1" customHeight="1">
      <c r="A30" s="143" t="s">
        <v>37</v>
      </c>
      <c r="B30" s="146">
        <f>'Big Summary'!I31</f>
        <v>73.879842999999994</v>
      </c>
      <c r="C30" s="146">
        <f>'Big Summary'!I77</f>
        <v>86.877217999999999</v>
      </c>
      <c r="D30" s="146">
        <f>'Big Summary'!I123</f>
        <v>92.029003000000003</v>
      </c>
      <c r="F30" s="7">
        <f>(D30-B30)/B30</f>
        <v>0.24565780411850646</v>
      </c>
      <c r="H30" s="7">
        <f t="shared" si="0"/>
        <v>5.5980015343641221E-2</v>
      </c>
    </row>
    <row r="31" spans="1:8" ht="14.1" customHeight="1">
      <c r="A31" s="148" t="s">
        <v>38</v>
      </c>
      <c r="B31" s="149">
        <f>'Big Summary'!I32</f>
        <v>353.87170981102247</v>
      </c>
      <c r="C31" s="149">
        <f>'Big Summary'!I78</f>
        <v>434.61486468357543</v>
      </c>
      <c r="D31" s="149">
        <f>'Big Summary'!I124</f>
        <v>602.72190408467407</v>
      </c>
      <c r="F31" s="7">
        <f>(D31-B31)/B31</f>
        <v>0.7032214991318313</v>
      </c>
      <c r="H31" s="7">
        <f t="shared" si="0"/>
        <v>0.2789131077895618</v>
      </c>
    </row>
    <row r="32" spans="1:8" ht="14.1" customHeight="1">
      <c r="A32" s="143" t="s">
        <v>39</v>
      </c>
      <c r="B32" s="146" t="str">
        <f>'Big Summary'!I33</f>
        <v>-</v>
      </c>
      <c r="C32" s="146" t="str">
        <f>'Big Summary'!I79</f>
        <v>-</v>
      </c>
      <c r="D32" s="146" t="str">
        <f>'Big Summary'!I125</f>
        <v>-</v>
      </c>
      <c r="F32" s="7"/>
      <c r="H32" s="7"/>
    </row>
    <row r="33" spans="1:9" ht="14.1" customHeight="1">
      <c r="A33" s="148" t="s">
        <v>40</v>
      </c>
      <c r="B33" s="149">
        <f>'Big Summary'!I34</f>
        <v>66.687012076975392</v>
      </c>
      <c r="C33" s="149">
        <f>'Big Summary'!I80</f>
        <v>89.382977789022533</v>
      </c>
      <c r="D33" s="149">
        <f>'Big Summary'!I126</f>
        <v>107.27312259133694</v>
      </c>
      <c r="F33" s="7">
        <f>(D33-B33)/B33</f>
        <v>0.60860592265723157</v>
      </c>
      <c r="H33" s="7">
        <f t="shared" si="0"/>
        <v>0.16677192170929836</v>
      </c>
    </row>
    <row r="34" spans="1:9" ht="14.1" customHeight="1">
      <c r="A34" s="143" t="s">
        <v>41</v>
      </c>
      <c r="B34" s="146">
        <f>'Big Summary'!I35</f>
        <v>2446.6748352754307</v>
      </c>
      <c r="C34" s="146">
        <f>'Big Summary'!I81</f>
        <v>3350.0552486772513</v>
      </c>
      <c r="D34" s="146">
        <f>'Big Summary'!I127</f>
        <v>4070.6366846233841</v>
      </c>
      <c r="F34" s="7">
        <f>(D34-B34)/B34</f>
        <v>0.6637424090582672</v>
      </c>
      <c r="H34" s="7">
        <f t="shared" si="0"/>
        <v>0.17701934409132883</v>
      </c>
    </row>
    <row r="35" spans="1:9" ht="14.1" customHeight="1">
      <c r="A35" s="148" t="s">
        <v>42</v>
      </c>
      <c r="B35" s="149">
        <f>'Big Summary'!I36</f>
        <v>0</v>
      </c>
      <c r="C35" s="149">
        <f>'Big Summary'!I82</f>
        <v>172.77753025300149</v>
      </c>
      <c r="D35" s="149">
        <f>'Big Summary'!I128</f>
        <v>205.04895451239466</v>
      </c>
      <c r="F35" s="7"/>
      <c r="H35" s="7">
        <f t="shared" si="0"/>
        <v>0.15738399806102132</v>
      </c>
    </row>
    <row r="36" spans="1:9" ht="14.1" customHeight="1">
      <c r="A36" s="143" t="s">
        <v>43</v>
      </c>
      <c r="B36" s="146">
        <f>'Big Summary'!I37</f>
        <v>82.900354291815034</v>
      </c>
      <c r="C36" s="146">
        <f>'Big Summary'!I83</f>
        <v>107.16079088742049</v>
      </c>
      <c r="D36" s="146">
        <f>'Big Summary'!I129</f>
        <v>133.52247450250886</v>
      </c>
      <c r="F36" s="7">
        <f>(D36-B36)/B36</f>
        <v>0.61063816485633371</v>
      </c>
      <c r="H36" s="7">
        <f t="shared" si="0"/>
        <v>0.19743255742757401</v>
      </c>
    </row>
    <row r="37" spans="1:9" ht="14.1" customHeight="1">
      <c r="A37" s="148" t="s">
        <v>44</v>
      </c>
      <c r="B37" s="149">
        <f>'Big Summary'!I38</f>
        <v>3.2559999999999998</v>
      </c>
      <c r="C37" s="149">
        <f>'Big Summary'!I84</f>
        <v>5.5860000000000003</v>
      </c>
      <c r="D37" s="149">
        <f>'Big Summary'!I130</f>
        <v>6.5220000000000002</v>
      </c>
      <c r="F37" s="7">
        <f>(D37-B37)/B37</f>
        <v>1.0030712530712533</v>
      </c>
      <c r="G37" s="8">
        <f>(SUM(D32:D37)-SUM(B32:B37))/SUM(B32:B37)</f>
        <v>0.73993905230930102</v>
      </c>
      <c r="H37" s="7"/>
      <c r="I37" s="8">
        <f>(SUM(D32:D37)-SUM(C32:C37))/SUM(C32:C37)</f>
        <v>0.21424126509289965</v>
      </c>
    </row>
    <row r="38" spans="1:9" ht="14.1" customHeight="1">
      <c r="A38" s="143" t="s">
        <v>45</v>
      </c>
      <c r="B38" s="146" t="str">
        <f>'Big Summary'!I39</f>
        <v>-</v>
      </c>
      <c r="C38" s="146" t="str">
        <f>'Big Summary'!I85</f>
        <v>-</v>
      </c>
      <c r="D38" s="146" t="str">
        <f>'Big Summary'!I131</f>
        <v>-</v>
      </c>
      <c r="F38" s="7"/>
      <c r="H38" s="7"/>
    </row>
    <row r="39" spans="1:9" ht="14.1" customHeight="1">
      <c r="A39" s="148" t="s">
        <v>46</v>
      </c>
      <c r="B39" s="149" t="str">
        <f>'Big Summary'!I40</f>
        <v>-</v>
      </c>
      <c r="C39" s="149" t="str">
        <f>'Big Summary'!I86</f>
        <v>-</v>
      </c>
      <c r="D39" s="149" t="str">
        <f>'Big Summary'!I132</f>
        <v>-</v>
      </c>
      <c r="F39" s="7"/>
      <c r="H39" s="7"/>
    </row>
    <row r="40" spans="1:9" ht="14.1" customHeight="1">
      <c r="A40" s="143" t="s">
        <v>47</v>
      </c>
      <c r="B40" s="146">
        <f>'Big Summary'!I41</f>
        <v>677.07118100186335</v>
      </c>
      <c r="C40" s="146">
        <f>'Big Summary'!I87</f>
        <v>839.39019052552123</v>
      </c>
      <c r="D40" s="146">
        <f>'Big Summary'!I133</f>
        <v>1039.5431202518921</v>
      </c>
      <c r="F40" s="7">
        <f>(D40-B40)/B40</f>
        <v>0.53535278035860046</v>
      </c>
      <c r="H40" s="7">
        <f t="shared" si="0"/>
        <v>0.19253932408101718</v>
      </c>
    </row>
    <row r="41" spans="1:9" ht="14.1" customHeight="1">
      <c r="A41" s="186" t="s">
        <v>25</v>
      </c>
      <c r="B41" s="187">
        <f>'Big Summary'!I42</f>
        <v>5709.2562735204356</v>
      </c>
      <c r="C41" s="187">
        <f>'Big Summary'!I88</f>
        <v>8824.0308412630784</v>
      </c>
      <c r="D41" s="187">
        <f>'Big Summary'!I134</f>
        <v>10827.958400871848</v>
      </c>
      <c r="F41" s="7">
        <f>(D41-B41)/B41</f>
        <v>0.89656198322923142</v>
      </c>
      <c r="H41" s="7">
        <f t="shared" si="0"/>
        <v>0.18506975049400054</v>
      </c>
    </row>
    <row r="42" spans="1:9" ht="14.1" customHeight="1">
      <c r="B42" s="151"/>
      <c r="C42" s="151"/>
      <c r="D42" s="151"/>
      <c r="F42" s="7"/>
      <c r="H42" s="7"/>
    </row>
    <row r="43" spans="1:9" ht="14.1" customHeight="1">
      <c r="A43" s="147" t="s">
        <v>48</v>
      </c>
      <c r="B43" s="153">
        <f>'Big Summary'!I44</f>
        <v>1.4370027994566112</v>
      </c>
      <c r="C43" s="153">
        <f>'Big Summary'!I90</f>
        <v>1.1902869815962442</v>
      </c>
      <c r="D43" s="153">
        <f>'Big Summary'!I136</f>
        <v>1.0512730268285433</v>
      </c>
      <c r="F43" s="7">
        <f>(D43-B43)/B43</f>
        <v>-0.26842659789801937</v>
      </c>
      <c r="H43" s="7">
        <f t="shared" si="0"/>
        <v>-0.13223392136967035</v>
      </c>
    </row>
    <row r="44" spans="1:9" ht="14.1" customHeight="1">
      <c r="A44" s="147" t="s">
        <v>49</v>
      </c>
      <c r="B44" s="153">
        <f>'Big Summary'!I45</f>
        <v>1.0086786351412314</v>
      </c>
      <c r="C44" s="153">
        <f>'Big Summary'!I91</f>
        <v>1.0209922302848133</v>
      </c>
      <c r="D44" s="153">
        <f>'Big Summary'!I137</f>
        <v>1.002585064970815</v>
      </c>
      <c r="F44" s="7">
        <f>(D44-B44)/B44</f>
        <v>-6.0411413091575415E-3</v>
      </c>
      <c r="H44" s="7">
        <f t="shared" si="0"/>
        <v>-1.8359704285575169E-2</v>
      </c>
    </row>
    <row r="45" spans="1:9">
      <c r="F45" s="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28"/>
  <sheetViews>
    <sheetView workbookViewId="0">
      <selection activeCell="C23" sqref="C23:C27"/>
    </sheetView>
  </sheetViews>
  <sheetFormatPr defaultRowHeight="15"/>
  <cols>
    <col min="1" max="1" width="37.140625" customWidth="1"/>
  </cols>
  <sheetData>
    <row r="4" spans="1:4">
      <c r="A4" s="1" t="s">
        <v>93</v>
      </c>
    </row>
    <row r="7" spans="1:4">
      <c r="B7" s="1">
        <v>2005</v>
      </c>
      <c r="C7" s="1">
        <v>2011</v>
      </c>
      <c r="D7" s="1">
        <v>2016</v>
      </c>
    </row>
    <row r="8" spans="1:4">
      <c r="A8" t="s">
        <v>94</v>
      </c>
      <c r="B8">
        <v>982.10708180199993</v>
      </c>
      <c r="C8">
        <v>1306.5550260834841</v>
      </c>
      <c r="D8">
        <v>1668.0029999999726</v>
      </c>
    </row>
    <row r="9" spans="1:4">
      <c r="A9" t="s">
        <v>95</v>
      </c>
      <c r="C9">
        <v>44.234000136250003</v>
      </c>
    </row>
    <row r="11" spans="1:4">
      <c r="A11" s="1" t="s">
        <v>96</v>
      </c>
      <c r="B11" s="1">
        <v>2005</v>
      </c>
      <c r="C11" s="1">
        <v>2011</v>
      </c>
      <c r="D11" s="1">
        <v>2016</v>
      </c>
    </row>
    <row r="12" spans="1:4">
      <c r="A12" t="s">
        <v>97</v>
      </c>
      <c r="B12">
        <v>608.80000000000007</v>
      </c>
      <c r="C12">
        <v>774.3</v>
      </c>
      <c r="D12">
        <v>923</v>
      </c>
    </row>
    <row r="13" spans="1:4">
      <c r="A13" t="s">
        <v>33</v>
      </c>
      <c r="B13">
        <v>143.09090909090909</v>
      </c>
      <c r="C13">
        <v>129</v>
      </c>
      <c r="D13">
        <v>128.4</v>
      </c>
    </row>
    <row r="14" spans="1:4">
      <c r="A14" t="s">
        <v>98</v>
      </c>
      <c r="B14">
        <v>73.400000000000006</v>
      </c>
      <c r="C14">
        <v>65</v>
      </c>
      <c r="D14">
        <v>57.3</v>
      </c>
    </row>
    <row r="15" spans="1:4">
      <c r="A15" t="s">
        <v>99</v>
      </c>
      <c r="B15">
        <v>638.1</v>
      </c>
      <c r="C15">
        <v>858</v>
      </c>
      <c r="D15">
        <v>1110.3</v>
      </c>
    </row>
    <row r="16" spans="1:4">
      <c r="A16" t="s">
        <v>100</v>
      </c>
      <c r="B16">
        <v>0</v>
      </c>
      <c r="C16">
        <v>0</v>
      </c>
      <c r="D16">
        <v>17.5</v>
      </c>
    </row>
    <row r="17" spans="1:4">
      <c r="A17" t="s">
        <v>101</v>
      </c>
      <c r="B17">
        <v>-64.390909090909091</v>
      </c>
      <c r="C17">
        <v>-58.050000000000004</v>
      </c>
      <c r="D17">
        <v>-57.78</v>
      </c>
    </row>
    <row r="18" spans="1:4">
      <c r="A18" t="s">
        <v>102</v>
      </c>
      <c r="B18">
        <v>0</v>
      </c>
      <c r="C18">
        <v>0</v>
      </c>
      <c r="D18">
        <v>-19.799999999999997</v>
      </c>
    </row>
    <row r="19" spans="1:4">
      <c r="A19" t="s">
        <v>103</v>
      </c>
      <c r="B19">
        <v>0</v>
      </c>
      <c r="C19">
        <v>0</v>
      </c>
      <c r="D19">
        <v>-0.45567823343848585</v>
      </c>
    </row>
    <row r="20" spans="1:4">
      <c r="A20" s="1" t="s">
        <v>10</v>
      </c>
      <c r="B20">
        <f>SUM(B12:B19)</f>
        <v>1399</v>
      </c>
      <c r="C20">
        <f>SUM(C12:C19)</f>
        <v>1768.25</v>
      </c>
      <c r="D20">
        <f>SUM(D12:D19)</f>
        <v>2158.4643217665612</v>
      </c>
    </row>
    <row r="22" spans="1:4">
      <c r="A22" s="1" t="s">
        <v>104</v>
      </c>
    </row>
    <row r="23" spans="1:4">
      <c r="A23" t="s">
        <v>97</v>
      </c>
      <c r="B23">
        <f>(B8/B20)*B12</f>
        <v>427.38155210940505</v>
      </c>
      <c r="C23">
        <f>((C8-C9)/C20)*C12</f>
        <v>552.7584732876818</v>
      </c>
      <c r="D23">
        <f>(D8/D20)*D12</f>
        <v>713.26950066978202</v>
      </c>
    </row>
    <row r="24" spans="1:4">
      <c r="A24" t="s">
        <v>105</v>
      </c>
      <c r="B24">
        <f>(B8/B20)*(B13+B17)</f>
        <v>55.247910891935241</v>
      </c>
      <c r="C24">
        <f>((C8-C9)/C20)*(C13+C17)</f>
        <v>50.649894975798809</v>
      </c>
      <c r="D24">
        <f>(D8/D20)*(D13+D17)</f>
        <v>54.573230917984837</v>
      </c>
    </row>
    <row r="25" spans="1:4">
      <c r="A25" t="s">
        <v>98</v>
      </c>
      <c r="B25">
        <f>(B8/B20)*(B14+((B14/(B14+B15))*B18))</f>
        <v>51.527276486252184</v>
      </c>
      <c r="C25">
        <f>((C8-C9)/C20)*(C14+((C14/(C14+C15))*C18))</f>
        <v>46.402299836884048</v>
      </c>
      <c r="D25">
        <f>(D8/D20)*(D14+((D14/(D14+D15))*D18))</f>
        <v>43.52900189680868</v>
      </c>
    </row>
    <row r="26" spans="1:4">
      <c r="A26" t="s">
        <v>99</v>
      </c>
      <c r="B26">
        <f>(B8/B20)*(B15+(B15/(B14+B15))*B18)</f>
        <v>447.95034231440758</v>
      </c>
      <c r="C26">
        <f>((C8-C9)/C20)*(C15+(C15/(C14+C15))*C18)</f>
        <v>612.5103578468694</v>
      </c>
      <c r="D26">
        <f>(D8/D20)*(D15+(D15/(D14+D15))*D18)</f>
        <v>843.45987445072728</v>
      </c>
    </row>
    <row r="27" spans="1:4">
      <c r="A27" t="s">
        <v>100</v>
      </c>
      <c r="B27">
        <f>(B16+B19)*(B8/B20)</f>
        <v>0</v>
      </c>
      <c r="C27">
        <f>(C16+C19)*(C8/C20)</f>
        <v>0</v>
      </c>
      <c r="D27">
        <f>(D16+D19)*(D8/D20)</f>
        <v>13.171392064670018</v>
      </c>
    </row>
    <row r="28" spans="1:4">
      <c r="B28" s="1">
        <f>SUM(B23:B27)</f>
        <v>982.10708180200004</v>
      </c>
      <c r="C28" s="1">
        <f>SUM(C23:C27)</f>
        <v>1262.3210259472339</v>
      </c>
      <c r="D28" s="1">
        <f>SUM(D23:D27)</f>
        <v>1668.0029999999729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4"/>
  <sheetViews>
    <sheetView workbookViewId="0">
      <selection activeCell="C16" sqref="C16:C23"/>
    </sheetView>
  </sheetViews>
  <sheetFormatPr defaultRowHeight="15"/>
  <cols>
    <col min="1" max="1" width="30.7109375" customWidth="1"/>
    <col min="2" max="2" width="9.140625" customWidth="1"/>
  </cols>
  <sheetData>
    <row r="1" spans="1:4">
      <c r="A1" s="57"/>
      <c r="B1" s="58">
        <v>2005</v>
      </c>
      <c r="C1" s="58">
        <v>2011</v>
      </c>
      <c r="D1" s="58">
        <v>2016</v>
      </c>
    </row>
    <row r="2" spans="1:4">
      <c r="A2" s="57"/>
      <c r="B2" s="57"/>
      <c r="C2" s="57"/>
      <c r="D2" s="57"/>
    </row>
    <row r="3" spans="1:4">
      <c r="A3" s="19" t="s">
        <v>106</v>
      </c>
      <c r="B3" s="19"/>
      <c r="C3" s="57"/>
      <c r="D3" s="57"/>
    </row>
    <row r="4" spans="1:4">
      <c r="A4" s="18" t="s">
        <v>107</v>
      </c>
      <c r="B4" s="168">
        <f>'[1]2005'!F7</f>
        <v>246.97469365615757</v>
      </c>
      <c r="C4" s="170">
        <f>'[1]2011'!F7</f>
        <v>431.12082606072386</v>
      </c>
      <c r="D4" s="170">
        <f>'[1]2016'!F7</f>
        <v>410.24947148420387</v>
      </c>
    </row>
    <row r="5" spans="1:4">
      <c r="A5" s="18" t="s">
        <v>7</v>
      </c>
      <c r="B5" s="168">
        <f>'[1]2005'!F8</f>
        <v>53.218921380403678</v>
      </c>
      <c r="C5" s="170">
        <f>'[1]2011'!F8</f>
        <v>83.687143747634138</v>
      </c>
      <c r="D5" s="170">
        <f>'[1]2016'!F8</f>
        <v>67.108818510835476</v>
      </c>
    </row>
    <row r="6" spans="1:4">
      <c r="A6" s="18" t="s">
        <v>8</v>
      </c>
      <c r="B6" s="168">
        <f>'[1]2005'!F9</f>
        <v>61.315892391807637</v>
      </c>
      <c r="C6" s="170">
        <f>'[1]2011'!F9</f>
        <v>94.414966996546681</v>
      </c>
      <c r="D6" s="170">
        <f>'[1]2016'!F9</f>
        <v>79.766924586559412</v>
      </c>
    </row>
    <row r="7" spans="1:4">
      <c r="A7" s="18" t="s">
        <v>6</v>
      </c>
      <c r="B7" s="168">
        <f>'[1]2005'!F10</f>
        <v>32.662375438178842</v>
      </c>
      <c r="C7" s="170">
        <f>'[1]2011'!F10</f>
        <v>52.515997512144736</v>
      </c>
      <c r="D7" s="170">
        <f>'[1]2016'!F10</f>
        <v>42.976856789933663</v>
      </c>
    </row>
    <row r="8" spans="1:4">
      <c r="A8" s="18" t="s">
        <v>5</v>
      </c>
      <c r="B8" s="168">
        <f>'[1]2005'!F11</f>
        <v>2.9437041372038388</v>
      </c>
      <c r="C8" s="170">
        <f>'[1]2011'!F11</f>
        <v>4.8292485405577992</v>
      </c>
      <c r="D8" s="170">
        <f>'[1]2016'!F11</f>
        <v>4.0307118654351468</v>
      </c>
    </row>
    <row r="9" spans="1:4">
      <c r="A9" s="18" t="s">
        <v>2</v>
      </c>
      <c r="B9" s="168">
        <f>'[1]2005'!F12</f>
        <v>9.5230439560263083</v>
      </c>
      <c r="C9" s="170">
        <f>'[1]2011'!F12</f>
        <v>14.569995457805359</v>
      </c>
      <c r="D9" s="170">
        <f>'[1]2016'!F12</f>
        <v>12.003111170256023</v>
      </c>
    </row>
    <row r="10" spans="1:4">
      <c r="A10" s="18" t="s">
        <v>4</v>
      </c>
      <c r="B10" s="168">
        <f>'[1]2005'!F13</f>
        <v>9.8423249054779696</v>
      </c>
      <c r="C10" s="170">
        <f>'[1]2011'!F13</f>
        <v>14.603067236313155</v>
      </c>
      <c r="D10" s="170">
        <f>'[1]2016'!F13</f>
        <v>12.79564026586902</v>
      </c>
    </row>
    <row r="11" spans="1:4">
      <c r="A11" s="18" t="s">
        <v>3</v>
      </c>
      <c r="B11" s="168">
        <f>'[1]2005'!F14</f>
        <v>12.031953134744089</v>
      </c>
      <c r="C11" s="170">
        <f>'[1]2011'!F14</f>
        <v>21.266237448274357</v>
      </c>
      <c r="D11" s="170">
        <f>'[1]2016'!F14</f>
        <v>18.196220326907419</v>
      </c>
    </row>
    <row r="12" spans="1:4">
      <c r="A12" s="19" t="s">
        <v>10</v>
      </c>
      <c r="B12" s="169">
        <f>SUM(B4:B11)</f>
        <v>428.51290899999998</v>
      </c>
      <c r="C12" s="171">
        <f>SUM(C4:C11)</f>
        <v>717.00748300000009</v>
      </c>
      <c r="D12" s="171">
        <f>SUM(D4:D11)</f>
        <v>647.12775500000009</v>
      </c>
    </row>
    <row r="14" spans="1:4">
      <c r="A14" s="1" t="s">
        <v>108</v>
      </c>
    </row>
    <row r="15" spans="1:4">
      <c r="A15" s="19" t="s">
        <v>106</v>
      </c>
      <c r="B15" s="58">
        <v>2005</v>
      </c>
      <c r="C15" s="58">
        <v>2011</v>
      </c>
      <c r="D15" s="58">
        <v>2016</v>
      </c>
    </row>
    <row r="16" spans="1:4">
      <c r="A16" s="18" t="s">
        <v>107</v>
      </c>
      <c r="B16" s="172">
        <f>(B4/B$12)*B$24</f>
        <v>246.32263273663352</v>
      </c>
      <c r="C16" s="172">
        <f>(C4/C$12)*C$24</f>
        <v>332.36150983915172</v>
      </c>
      <c r="D16" s="172">
        <f>(D4/D$12)*D$24</f>
        <v>452.18032052354181</v>
      </c>
    </row>
    <row r="17" spans="1:4">
      <c r="A17" s="18" t="s">
        <v>7</v>
      </c>
      <c r="B17" s="172">
        <f t="shared" ref="B17:D23" si="0">(B5/B$12)*B$24</f>
        <v>53.078413143314023</v>
      </c>
      <c r="C17" s="172">
        <f t="shared" si="0"/>
        <v>64.516450537168254</v>
      </c>
      <c r="D17" s="172">
        <f t="shared" si="0"/>
        <v>73.967888256875398</v>
      </c>
    </row>
    <row r="18" spans="1:4">
      <c r="A18" s="18" t="s">
        <v>8</v>
      </c>
      <c r="B18" s="172">
        <f t="shared" si="0"/>
        <v>61.15400658649471</v>
      </c>
      <c r="C18" s="172">
        <f t="shared" si="0"/>
        <v>72.78678988698644</v>
      </c>
      <c r="D18" s="172">
        <f t="shared" si="0"/>
        <v>87.919756230853338</v>
      </c>
    </row>
    <row r="19" spans="1:4">
      <c r="A19" s="18" t="s">
        <v>6</v>
      </c>
      <c r="B19" s="172">
        <f t="shared" si="0"/>
        <v>32.576140454963479</v>
      </c>
      <c r="C19" s="172">
        <f t="shared" si="0"/>
        <v>40.485857255680571</v>
      </c>
      <c r="D19" s="172">
        <f t="shared" si="0"/>
        <v>47.369442812590705</v>
      </c>
    </row>
    <row r="20" spans="1:4">
      <c r="A20" s="18" t="s">
        <v>5</v>
      </c>
      <c r="B20" s="172">
        <f t="shared" si="0"/>
        <v>2.9359321894058827</v>
      </c>
      <c r="C20" s="172">
        <f t="shared" si="0"/>
        <v>3.7229849251175726</v>
      </c>
      <c r="D20" s="172">
        <f t="shared" si="0"/>
        <v>4.4426835619230891</v>
      </c>
    </row>
    <row r="21" spans="1:4">
      <c r="A21" s="18" t="s">
        <v>2</v>
      </c>
      <c r="B21" s="172">
        <f t="shared" si="0"/>
        <v>9.497901279638258</v>
      </c>
      <c r="C21" s="172">
        <f t="shared" si="0"/>
        <v>11.232363170559752</v>
      </c>
      <c r="D21" s="172">
        <f t="shared" si="0"/>
        <v>13.229927235762583</v>
      </c>
    </row>
    <row r="22" spans="1:4">
      <c r="A22" s="18" t="s">
        <v>4</v>
      </c>
      <c r="B22" s="172">
        <f t="shared" si="0"/>
        <v>9.8163392656817905</v>
      </c>
      <c r="C22" s="172">
        <f t="shared" si="0"/>
        <v>11.257859007395917</v>
      </c>
      <c r="D22" s="172">
        <f t="shared" si="0"/>
        <v>14.103459282451192</v>
      </c>
    </row>
    <row r="23" spans="1:4">
      <c r="A23" s="18" t="s">
        <v>3</v>
      </c>
      <c r="B23" s="172">
        <f t="shared" si="0"/>
        <v>12.000186453273338</v>
      </c>
      <c r="C23" s="172">
        <f t="shared" si="0"/>
        <v>16.394658665621566</v>
      </c>
      <c r="D23" s="172">
        <f t="shared" si="0"/>
        <v>20.056022765783847</v>
      </c>
    </row>
    <row r="24" spans="1:4">
      <c r="A24" s="19" t="s">
        <v>10</v>
      </c>
      <c r="B24" s="1">
        <f>'MMTOA Breakout'!B23</f>
        <v>427.38155210940505</v>
      </c>
      <c r="C24" s="1">
        <f>'MMTOA Breakout'!C23</f>
        <v>552.7584732876818</v>
      </c>
      <c r="D24" s="1">
        <f>'MMTOA Breakout'!D23</f>
        <v>713.26950066978202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"/>
  <dimension ref="A1:T40"/>
  <sheetViews>
    <sheetView workbookViewId="0">
      <selection activeCell="F18" sqref="F18:F25"/>
    </sheetView>
  </sheetViews>
  <sheetFormatPr defaultRowHeight="15"/>
  <cols>
    <col min="1" max="1" width="12.5703125" customWidth="1"/>
    <col min="2" max="2" width="21" customWidth="1"/>
    <col min="3" max="3" width="10.42578125" customWidth="1"/>
    <col min="4" max="4" width="27.42578125" customWidth="1"/>
    <col min="5" max="5" width="34.85546875" customWidth="1"/>
  </cols>
  <sheetData>
    <row r="1" spans="1:20">
      <c r="A1" s="1">
        <v>2005</v>
      </c>
    </row>
    <row r="3" spans="1:20">
      <c r="B3" s="1" t="s">
        <v>109</v>
      </c>
      <c r="C3" s="1" t="s">
        <v>110</v>
      </c>
      <c r="D3" s="1" t="s">
        <v>111</v>
      </c>
      <c r="E3" s="1" t="s">
        <v>112</v>
      </c>
      <c r="F3" s="1" t="s">
        <v>113</v>
      </c>
      <c r="M3" s="1"/>
      <c r="N3" s="1"/>
      <c r="O3" s="1"/>
      <c r="P3" s="1"/>
      <c r="Q3" s="1"/>
      <c r="R3" s="1"/>
      <c r="S3" s="1"/>
      <c r="T3" s="1"/>
    </row>
    <row r="4" spans="1:20">
      <c r="A4" s="1" t="s">
        <v>2</v>
      </c>
      <c r="B4" s="5">
        <v>116866</v>
      </c>
      <c r="C4" s="4">
        <v>294362</v>
      </c>
      <c r="D4" s="5">
        <f>SUM(B4:C4)</f>
        <v>411228</v>
      </c>
      <c r="E4" s="7">
        <f>D4/D$12</f>
        <v>2.2480692493758506E-2</v>
      </c>
      <c r="F4" s="172">
        <f>E4*F$12</f>
        <v>1.1583688577283087</v>
      </c>
      <c r="K4" s="18"/>
    </row>
    <row r="5" spans="1:20">
      <c r="A5" s="1" t="s">
        <v>3</v>
      </c>
      <c r="B5" s="5">
        <v>127215</v>
      </c>
      <c r="C5" s="4">
        <v>364522</v>
      </c>
      <c r="D5" s="5">
        <f t="shared" ref="D5:D12" si="0">SUM(B5:C5)</f>
        <v>491737</v>
      </c>
      <c r="E5" s="7">
        <f t="shared" ref="E5:E12" si="1">D5/D$12</f>
        <v>2.6881895894256536E-2</v>
      </c>
      <c r="F5" s="172">
        <f t="shared" ref="F5:F11" si="2">E5*F$12</f>
        <v>1.3851508822180039</v>
      </c>
      <c r="K5" s="18"/>
    </row>
    <row r="6" spans="1:20">
      <c r="A6" s="1" t="s">
        <v>4</v>
      </c>
      <c r="B6" s="5">
        <v>111953</v>
      </c>
      <c r="C6" s="4">
        <v>298737</v>
      </c>
      <c r="D6" s="5">
        <f t="shared" si="0"/>
        <v>410690</v>
      </c>
      <c r="E6" s="7">
        <f t="shared" si="1"/>
        <v>2.2451281528158784E-2</v>
      </c>
      <c r="F6" s="172">
        <f t="shared" si="2"/>
        <v>1.1568533907721241</v>
      </c>
      <c r="K6" s="18"/>
    </row>
    <row r="7" spans="1:20">
      <c r="A7" s="1" t="s">
        <v>5</v>
      </c>
      <c r="B7" s="5">
        <v>24580</v>
      </c>
      <c r="C7" s="4">
        <v>99575</v>
      </c>
      <c r="D7" s="5">
        <f t="shared" si="0"/>
        <v>124155</v>
      </c>
      <c r="E7" s="7">
        <f t="shared" si="1"/>
        <v>6.7872089851921252E-3</v>
      </c>
      <c r="F7" s="172">
        <f t="shared" si="2"/>
        <v>0.34972639394996974</v>
      </c>
      <c r="K7" s="18"/>
    </row>
    <row r="8" spans="1:20">
      <c r="A8" s="1" t="s">
        <v>6</v>
      </c>
      <c r="B8" s="5">
        <v>410462</v>
      </c>
      <c r="C8" s="5">
        <v>933401</v>
      </c>
      <c r="D8" s="5">
        <f t="shared" si="0"/>
        <v>1343863</v>
      </c>
      <c r="E8" s="7">
        <f t="shared" si="1"/>
        <v>7.3465257367542544E-2</v>
      </c>
      <c r="F8" s="172">
        <f t="shared" si="2"/>
        <v>3.7854646285110398</v>
      </c>
      <c r="K8" s="18"/>
    </row>
    <row r="9" spans="1:20">
      <c r="A9" s="1" t="s">
        <v>7</v>
      </c>
      <c r="B9" s="5">
        <v>594347</v>
      </c>
      <c r="C9" s="4">
        <v>1332318</v>
      </c>
      <c r="D9" s="5">
        <f t="shared" si="0"/>
        <v>1926665</v>
      </c>
      <c r="E9" s="7">
        <f t="shared" si="1"/>
        <v>0.10532542386094146</v>
      </c>
      <c r="F9" s="172">
        <f t="shared" si="2"/>
        <v>5.4271322363144332</v>
      </c>
      <c r="K9" s="18"/>
    </row>
    <row r="10" spans="1:20">
      <c r="A10" s="1" t="s">
        <v>8</v>
      </c>
      <c r="B10" s="5">
        <v>601740</v>
      </c>
      <c r="C10" s="4">
        <v>1477687</v>
      </c>
      <c r="D10" s="5">
        <f t="shared" si="0"/>
        <v>2079427</v>
      </c>
      <c r="E10" s="7">
        <f t="shared" si="1"/>
        <v>0.1136764980745931</v>
      </c>
      <c r="F10" s="172">
        <f t="shared" si="2"/>
        <v>5.8574403462784721</v>
      </c>
      <c r="K10" s="18"/>
    </row>
    <row r="11" spans="1:20">
      <c r="A11" s="1" t="s">
        <v>9</v>
      </c>
      <c r="B11" s="5">
        <v>3491364</v>
      </c>
      <c r="C11" s="5">
        <v>8013368</v>
      </c>
      <c r="D11" s="5">
        <f t="shared" si="0"/>
        <v>11504732</v>
      </c>
      <c r="E11" s="7">
        <f t="shared" si="1"/>
        <v>0.628931741795557</v>
      </c>
      <c r="F11" s="172">
        <f t="shared" si="2"/>
        <v>32.407139750479836</v>
      </c>
      <c r="K11" s="18"/>
    </row>
    <row r="12" spans="1:20">
      <c r="A12" s="1" t="s">
        <v>10</v>
      </c>
      <c r="B12" s="6">
        <f>SUM(B4:B11)</f>
        <v>5478527</v>
      </c>
      <c r="C12" s="6">
        <f>SUM(C4:C11)</f>
        <v>12813970</v>
      </c>
      <c r="D12" s="6">
        <f t="shared" si="0"/>
        <v>18292497</v>
      </c>
      <c r="E12" s="8">
        <f t="shared" si="1"/>
        <v>1</v>
      </c>
      <c r="F12" s="173">
        <f>'MMTOA Breakout'!B25</f>
        <v>51.527276486252184</v>
      </c>
    </row>
    <row r="13" spans="1:20">
      <c r="F13" s="139"/>
    </row>
    <row r="14" spans="1:20">
      <c r="F14" s="139"/>
    </row>
    <row r="15" spans="1:20">
      <c r="A15" s="1">
        <v>2011</v>
      </c>
      <c r="F15" s="139"/>
    </row>
    <row r="16" spans="1:20">
      <c r="F16" s="139"/>
    </row>
    <row r="17" spans="1:6">
      <c r="B17" s="1" t="s">
        <v>109</v>
      </c>
      <c r="C17" s="1" t="s">
        <v>110</v>
      </c>
      <c r="D17" s="1" t="s">
        <v>111</v>
      </c>
      <c r="E17" s="1"/>
      <c r="F17" s="134" t="s">
        <v>113</v>
      </c>
    </row>
    <row r="18" spans="1:6">
      <c r="A18" s="1" t="s">
        <v>2</v>
      </c>
      <c r="B18" s="5">
        <v>109501</v>
      </c>
      <c r="C18" s="5">
        <v>298289</v>
      </c>
      <c r="D18" s="5">
        <f>SUM(B18:C18)</f>
        <v>407790</v>
      </c>
      <c r="E18" s="7">
        <f>D18/D$26</f>
        <v>2.1675990636465321E-2</v>
      </c>
      <c r="F18" s="172">
        <f>E18*F$26</f>
        <v>1.0058158167747548</v>
      </c>
    </row>
    <row r="19" spans="1:6">
      <c r="A19" s="1" t="s">
        <v>3</v>
      </c>
      <c r="B19" s="5">
        <v>128856</v>
      </c>
      <c r="C19" s="5">
        <v>374358</v>
      </c>
      <c r="D19" s="5">
        <f t="shared" ref="D19:D26" si="3">SUM(B19:C19)</f>
        <v>503214</v>
      </c>
      <c r="E19" s="7">
        <f t="shared" ref="E19:E26" si="4">D19/D$26</f>
        <v>2.6748233041855515E-2</v>
      </c>
      <c r="F19" s="172">
        <f t="shared" ref="F19:F25" si="5">E19*F$26</f>
        <v>1.2411795297150288</v>
      </c>
    </row>
    <row r="20" spans="1:6">
      <c r="A20" s="1" t="s">
        <v>4</v>
      </c>
      <c r="B20" s="5">
        <v>113755</v>
      </c>
      <c r="C20" s="5">
        <v>315772</v>
      </c>
      <c r="D20" s="5">
        <f t="shared" si="3"/>
        <v>429527</v>
      </c>
      <c r="E20" s="7">
        <f t="shared" si="4"/>
        <v>2.2831416243922216E-2</v>
      </c>
      <c r="F20" s="172">
        <f t="shared" si="5"/>
        <v>1.0594302222511836</v>
      </c>
    </row>
    <row r="21" spans="1:6">
      <c r="A21" s="1" t="s">
        <v>5</v>
      </c>
      <c r="B21" s="5">
        <v>24572</v>
      </c>
      <c r="C21" s="5">
        <v>99958</v>
      </c>
      <c r="D21" s="5">
        <f t="shared" si="3"/>
        <v>124530</v>
      </c>
      <c r="E21" s="7">
        <f t="shared" si="4"/>
        <v>6.6193656390765507E-3</v>
      </c>
      <c r="F21" s="172">
        <f t="shared" si="5"/>
        <v>0.30715378911439772</v>
      </c>
    </row>
    <row r="22" spans="1:6">
      <c r="A22" s="1" t="s">
        <v>6</v>
      </c>
      <c r="B22" s="5">
        <v>403081</v>
      </c>
      <c r="C22" s="5">
        <v>957052</v>
      </c>
      <c r="D22" s="5">
        <f t="shared" si="3"/>
        <v>1360133</v>
      </c>
      <c r="E22" s="7">
        <f t="shared" si="4"/>
        <v>7.2297580059215494E-2</v>
      </c>
      <c r="F22" s="172">
        <f t="shared" si="5"/>
        <v>3.3547739873888465</v>
      </c>
    </row>
    <row r="23" spans="1:6">
      <c r="A23" s="1" t="s">
        <v>7</v>
      </c>
      <c r="B23" s="5">
        <v>585958</v>
      </c>
      <c r="C23" s="5">
        <v>1346815</v>
      </c>
      <c r="D23" s="5">
        <f t="shared" si="3"/>
        <v>1932773</v>
      </c>
      <c r="E23" s="7">
        <f t="shared" si="4"/>
        <v>0.10273613735111942</v>
      </c>
      <c r="F23" s="172">
        <f t="shared" si="5"/>
        <v>4.7671930494499453</v>
      </c>
    </row>
    <row r="24" spans="1:6">
      <c r="A24" s="1" t="s">
        <v>8</v>
      </c>
      <c r="B24" s="5">
        <v>607781</v>
      </c>
      <c r="C24" s="5">
        <v>1500259</v>
      </c>
      <c r="D24" s="5">
        <f t="shared" si="3"/>
        <v>2108040</v>
      </c>
      <c r="E24" s="7">
        <f t="shared" si="4"/>
        <v>0.11205241742390533</v>
      </c>
      <c r="F24" s="172">
        <f t="shared" si="5"/>
        <v>5.1994898707517452</v>
      </c>
    </row>
    <row r="25" spans="1:6">
      <c r="A25" s="1" t="s">
        <v>9</v>
      </c>
      <c r="B25" s="5">
        <v>3662876</v>
      </c>
      <c r="C25" s="4">
        <v>8284098</v>
      </c>
      <c r="D25" s="5">
        <f t="shared" si="3"/>
        <v>11946974</v>
      </c>
      <c r="E25" s="7">
        <f t="shared" si="4"/>
        <v>0.63503885960444018</v>
      </c>
      <c r="F25" s="172">
        <f t="shared" si="5"/>
        <v>29.467263571438146</v>
      </c>
    </row>
    <row r="26" spans="1:6">
      <c r="A26" s="1" t="s">
        <v>10</v>
      </c>
      <c r="B26" s="6">
        <f>SUM(B18:B25)</f>
        <v>5636380</v>
      </c>
      <c r="C26" s="6">
        <f>SUM(C18:C25)</f>
        <v>13176601</v>
      </c>
      <c r="D26" s="6">
        <f t="shared" si="3"/>
        <v>18812981</v>
      </c>
      <c r="E26" s="8">
        <f t="shared" si="4"/>
        <v>1</v>
      </c>
      <c r="F26" s="173">
        <f>'MMTOA Breakout'!C25</f>
        <v>46.402299836884048</v>
      </c>
    </row>
    <row r="27" spans="1:6">
      <c r="F27" s="139"/>
    </row>
    <row r="28" spans="1:6">
      <c r="F28" s="139"/>
    </row>
    <row r="29" spans="1:6">
      <c r="A29" s="1">
        <v>2016</v>
      </c>
      <c r="F29" s="139"/>
    </row>
    <row r="30" spans="1:6">
      <c r="F30" s="139"/>
    </row>
    <row r="31" spans="1:6">
      <c r="B31" s="1" t="s">
        <v>109</v>
      </c>
      <c r="C31" s="1" t="s">
        <v>110</v>
      </c>
      <c r="D31" s="1" t="s">
        <v>111</v>
      </c>
      <c r="E31" s="1"/>
      <c r="F31" s="134" t="s">
        <v>113</v>
      </c>
    </row>
    <row r="32" spans="1:6">
      <c r="A32" s="1" t="s">
        <v>2</v>
      </c>
      <c r="B32" s="5">
        <v>109581</v>
      </c>
      <c r="C32" s="5">
        <v>294473</v>
      </c>
      <c r="D32" s="5">
        <f>SUM(B32:C32)</f>
        <v>404054</v>
      </c>
      <c r="E32" s="7">
        <f>D32/D$40</f>
        <v>2.0490653098934011E-2</v>
      </c>
      <c r="F32" s="172">
        <f>E32*F$40</f>
        <v>0.89193767761034726</v>
      </c>
    </row>
    <row r="33" spans="1:6">
      <c r="A33" s="1" t="s">
        <v>3</v>
      </c>
      <c r="B33" s="5">
        <v>139420</v>
      </c>
      <c r="C33" s="5">
        <v>379210</v>
      </c>
      <c r="D33" s="5">
        <f t="shared" ref="D33:D40" si="6">SUM(B33:C33)</f>
        <v>518630</v>
      </c>
      <c r="E33" s="7">
        <f t="shared" ref="E33:E40" si="7">D33/D$40</f>
        <v>2.6301106824088229E-2</v>
      </c>
      <c r="F33" s="172">
        <f t="shared" ref="F33:F39" si="8">E33*F$40</f>
        <v>1.1448609288339042</v>
      </c>
    </row>
    <row r="34" spans="1:6">
      <c r="A34" s="1" t="s">
        <v>4</v>
      </c>
      <c r="B34" s="5">
        <v>121168</v>
      </c>
      <c r="C34" s="5">
        <v>326780</v>
      </c>
      <c r="D34" s="5">
        <f t="shared" si="6"/>
        <v>447948</v>
      </c>
      <c r="E34" s="7">
        <f t="shared" si="7"/>
        <v>2.2716634594290099E-2</v>
      </c>
      <c r="F34" s="172">
        <f t="shared" si="8"/>
        <v>0.9888324303439634</v>
      </c>
    </row>
    <row r="35" spans="1:6">
      <c r="A35" s="1" t="s">
        <v>5</v>
      </c>
      <c r="B35" s="5">
        <v>26113</v>
      </c>
      <c r="C35" s="5">
        <v>98900</v>
      </c>
      <c r="D35" s="5">
        <f t="shared" si="6"/>
        <v>125013</v>
      </c>
      <c r="E35" s="7">
        <f t="shared" si="7"/>
        <v>6.3397417569360463E-3</v>
      </c>
      <c r="F35" s="172">
        <f t="shared" si="8"/>
        <v>0.27596263096294638</v>
      </c>
    </row>
    <row r="36" spans="1:6">
      <c r="A36" s="1" t="s">
        <v>6</v>
      </c>
      <c r="B36" s="5">
        <v>421902</v>
      </c>
      <c r="C36" s="5">
        <v>974542</v>
      </c>
      <c r="D36" s="5">
        <f t="shared" si="6"/>
        <v>1396444</v>
      </c>
      <c r="E36" s="7">
        <f t="shared" si="7"/>
        <v>7.0817389695654057E-2</v>
      </c>
      <c r="F36" s="172">
        <f t="shared" si="8"/>
        <v>3.082610290389165</v>
      </c>
    </row>
    <row r="37" spans="1:6">
      <c r="A37" s="1" t="s">
        <v>7</v>
      </c>
      <c r="B37" s="5">
        <v>621864</v>
      </c>
      <c r="C37" s="5">
        <v>1361500</v>
      </c>
      <c r="D37" s="5">
        <f t="shared" si="6"/>
        <v>1983364</v>
      </c>
      <c r="E37" s="7">
        <f t="shared" si="7"/>
        <v>0.10058166406696667</v>
      </c>
      <c r="F37" s="172">
        <f t="shared" si="8"/>
        <v>4.3782194459551658</v>
      </c>
    </row>
    <row r="38" spans="1:6">
      <c r="A38" s="1" t="s">
        <v>8</v>
      </c>
      <c r="B38" s="5">
        <v>647911</v>
      </c>
      <c r="C38" s="5">
        <v>1492583</v>
      </c>
      <c r="D38" s="5">
        <f t="shared" si="6"/>
        <v>2140494</v>
      </c>
      <c r="E38" s="7">
        <f t="shared" si="7"/>
        <v>0.10855014432315892</v>
      </c>
      <c r="F38" s="172">
        <f t="shared" si="8"/>
        <v>4.7250794381416403</v>
      </c>
    </row>
    <row r="39" spans="1:6">
      <c r="A39" s="1" t="s">
        <v>9</v>
      </c>
      <c r="B39" s="5">
        <v>4165322</v>
      </c>
      <c r="C39" s="4">
        <v>8537673</v>
      </c>
      <c r="D39" s="5">
        <f t="shared" si="6"/>
        <v>12702995</v>
      </c>
      <c r="E39" s="7">
        <f t="shared" si="7"/>
        <v>0.64420266563997197</v>
      </c>
      <c r="F39" s="172">
        <f t="shared" si="8"/>
        <v>28.041499054571549</v>
      </c>
    </row>
    <row r="40" spans="1:6">
      <c r="A40" s="1" t="s">
        <v>10</v>
      </c>
      <c r="B40" s="6">
        <f>SUM(B32:B39)</f>
        <v>6253281</v>
      </c>
      <c r="C40" s="6">
        <f>SUM(C32:C39)</f>
        <v>13465661</v>
      </c>
      <c r="D40" s="6">
        <f t="shared" si="6"/>
        <v>19718942</v>
      </c>
      <c r="E40" s="8">
        <f t="shared" si="7"/>
        <v>1</v>
      </c>
      <c r="F40" s="173">
        <f>'MMTOA Breakout'!D25</f>
        <v>43.52900189680868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"/>
  <dimension ref="A1:O40"/>
  <sheetViews>
    <sheetView topLeftCell="C1" zoomScale="85" zoomScaleNormal="85" workbookViewId="0">
      <selection activeCell="O18" sqref="O18:O25"/>
    </sheetView>
  </sheetViews>
  <sheetFormatPr defaultRowHeight="15"/>
  <cols>
    <col min="1" max="1" width="12.7109375" customWidth="1"/>
    <col min="2" max="4" width="20.28515625" customWidth="1"/>
    <col min="5" max="5" width="24.5703125" customWidth="1"/>
    <col min="6" max="6" width="22.7109375" customWidth="1"/>
    <col min="7" max="14" width="20.28515625" customWidth="1"/>
    <col min="15" max="15" width="19.7109375" customWidth="1"/>
  </cols>
  <sheetData>
    <row r="1" spans="1:15">
      <c r="A1" s="1">
        <v>2005</v>
      </c>
      <c r="O1" s="9" t="s">
        <v>114</v>
      </c>
    </row>
    <row r="2" spans="1:15">
      <c r="B2" s="9" t="s">
        <v>115</v>
      </c>
      <c r="C2" s="9" t="s">
        <v>116</v>
      </c>
      <c r="D2" s="9" t="s">
        <v>117</v>
      </c>
      <c r="E2" s="9" t="s">
        <v>118</v>
      </c>
      <c r="F2" s="9" t="s">
        <v>119</v>
      </c>
      <c r="G2" s="9" t="s">
        <v>120</v>
      </c>
      <c r="H2" s="9" t="s">
        <v>121</v>
      </c>
      <c r="I2" s="9" t="s">
        <v>122</v>
      </c>
      <c r="J2" s="9" t="s">
        <v>123</v>
      </c>
      <c r="K2" s="9" t="s">
        <v>124</v>
      </c>
      <c r="L2" s="9" t="s">
        <v>125</v>
      </c>
      <c r="M2" s="9" t="s">
        <v>126</v>
      </c>
      <c r="N2" s="9" t="s">
        <v>127</v>
      </c>
      <c r="O2" s="9" t="s">
        <v>127</v>
      </c>
    </row>
    <row r="3" spans="1:15">
      <c r="B3" s="9" t="s">
        <v>128</v>
      </c>
      <c r="C3" s="9" t="s">
        <v>129</v>
      </c>
      <c r="D3" s="9"/>
      <c r="E3" s="9" t="s">
        <v>130</v>
      </c>
      <c r="F3" s="9" t="s">
        <v>130</v>
      </c>
      <c r="G3" s="9"/>
      <c r="H3" s="9"/>
      <c r="I3" s="9"/>
      <c r="J3" s="9"/>
      <c r="K3" s="9"/>
      <c r="L3" s="9"/>
      <c r="M3" s="9"/>
      <c r="N3" s="9" t="s">
        <v>131</v>
      </c>
      <c r="O3" s="9" t="s">
        <v>131</v>
      </c>
    </row>
    <row r="4" spans="1:15">
      <c r="A4" s="1" t="s">
        <v>2</v>
      </c>
      <c r="B4" s="5">
        <v>4016</v>
      </c>
      <c r="C4" s="7">
        <f>B4/B$12</f>
        <v>2.2557615722927773E-2</v>
      </c>
      <c r="D4" s="10">
        <f>C4*D$12</f>
        <v>2.9102348024943692</v>
      </c>
      <c r="E4" s="5">
        <v>88087</v>
      </c>
      <c r="F4" s="7">
        <f>E4/E$12</f>
        <v>2.188879744432318E-2</v>
      </c>
      <c r="G4" s="10">
        <f>F4*G$12</f>
        <v>5.5310006291263338</v>
      </c>
      <c r="H4" s="5">
        <v>2059</v>
      </c>
      <c r="I4" s="7">
        <f>H4/H$12</f>
        <v>6.4453118886109865E-3</v>
      </c>
      <c r="J4" s="10">
        <f>I4*J$12</f>
        <v>0.57168264028698712</v>
      </c>
      <c r="K4" s="5">
        <v>946</v>
      </c>
      <c r="L4" s="7">
        <f>K4/K$12</f>
        <v>9.9042035282416382E-3</v>
      </c>
      <c r="M4" s="10">
        <f>L4*M$12</f>
        <v>1.0000935932973876</v>
      </c>
      <c r="N4" s="174">
        <f>D4+G4+J4+M4</f>
        <v>10.013011665205077</v>
      </c>
      <c r="O4" s="172">
        <f>(N4/N$12)*O$12</f>
        <v>7.8500822729285229</v>
      </c>
    </row>
    <row r="5" spans="1:15">
      <c r="A5" s="1" t="s">
        <v>3</v>
      </c>
      <c r="B5" s="5">
        <v>5275</v>
      </c>
      <c r="C5" s="7">
        <f t="shared" ref="C5:C12" si="0">B5/B$12</f>
        <v>2.9629338381086653E-2</v>
      </c>
      <c r="D5" s="10">
        <f t="shared" ref="D5:D11" si="1">C5*D$12</f>
        <v>3.8225818185153879</v>
      </c>
      <c r="E5" s="5">
        <v>91694</v>
      </c>
      <c r="F5" s="7">
        <f t="shared" ref="F5:F11" si="2">E5/E$12</f>
        <v>2.2785103282661118E-2</v>
      </c>
      <c r="G5" s="10">
        <f t="shared" ref="G5:G11" si="3">F5*G$12</f>
        <v>5.7574848920625072</v>
      </c>
      <c r="H5" s="5">
        <v>1631</v>
      </c>
      <c r="I5" s="7">
        <f t="shared" ref="I5:I11" si="4">H5/H$12</f>
        <v>5.1055384605752886E-3</v>
      </c>
      <c r="J5" s="10">
        <f t="shared" ref="J5:J11" si="5">I5*J$12</f>
        <v>0.45284817207774458</v>
      </c>
      <c r="K5" s="5">
        <v>2254</v>
      </c>
      <c r="L5" s="7">
        <f t="shared" ref="L5:L12" si="6">K5/K$12</f>
        <v>2.3598387687797727E-2</v>
      </c>
      <c r="M5" s="10">
        <f t="shared" ref="M5:M11" si="7">L5*M$12</f>
        <v>2.3828868491462067</v>
      </c>
      <c r="N5" s="174">
        <f t="shared" ref="N5:N11" si="8">D5+G5+J5+M5</f>
        <v>12.415801731801848</v>
      </c>
      <c r="O5" s="172">
        <f t="shared" ref="O5:O11" si="9">(N5/N$12)*O$12</f>
        <v>9.733841159668394</v>
      </c>
    </row>
    <row r="6" spans="1:15">
      <c r="A6" s="1" t="s">
        <v>4</v>
      </c>
      <c r="B6" s="5">
        <v>3282</v>
      </c>
      <c r="C6" s="7">
        <f t="shared" si="0"/>
        <v>1.8434784562412588E-2</v>
      </c>
      <c r="D6" s="10">
        <f t="shared" si="1"/>
        <v>2.3783343181739345</v>
      </c>
      <c r="E6" s="5">
        <v>85613</v>
      </c>
      <c r="F6" s="7">
        <f t="shared" si="2"/>
        <v>2.1274031532471767E-2</v>
      </c>
      <c r="G6" s="10">
        <f t="shared" si="3"/>
        <v>5.3756576664138054</v>
      </c>
      <c r="H6" s="5">
        <v>1517</v>
      </c>
      <c r="I6" s="7">
        <f t="shared" si="4"/>
        <v>4.7486829213321353E-3</v>
      </c>
      <c r="J6" s="10">
        <f t="shared" si="5"/>
        <v>0.42119600063883417</v>
      </c>
      <c r="K6" s="5">
        <v>1163</v>
      </c>
      <c r="L6" s="7">
        <f t="shared" si="6"/>
        <v>1.2176097995079307E-2</v>
      </c>
      <c r="M6" s="10">
        <f t="shared" si="7"/>
        <v>1.2295019545505939</v>
      </c>
      <c r="N6" s="174">
        <f t="shared" si="8"/>
        <v>9.4046899397771693</v>
      </c>
      <c r="O6" s="172">
        <f t="shared" si="9"/>
        <v>7.3731652620742167</v>
      </c>
    </row>
    <row r="7" spans="1:15">
      <c r="A7" s="1" t="s">
        <v>5</v>
      </c>
      <c r="B7" s="12">
        <v>301</v>
      </c>
      <c r="C7" s="7">
        <f t="shared" si="0"/>
        <v>1.6906977919823854E-3</v>
      </c>
      <c r="D7" s="10">
        <f t="shared" si="1"/>
        <v>0.21812267817500128</v>
      </c>
      <c r="E7" s="5">
        <v>18956</v>
      </c>
      <c r="F7" s="7">
        <f t="shared" si="2"/>
        <v>4.7103890966270871E-3</v>
      </c>
      <c r="G7" s="10">
        <f t="shared" si="3"/>
        <v>1.1902510918264759</v>
      </c>
      <c r="H7" s="5">
        <v>583</v>
      </c>
      <c r="I7" s="7">
        <f t="shared" si="4"/>
        <v>1.8249717489364765E-3</v>
      </c>
      <c r="J7" s="10">
        <f t="shared" si="5"/>
        <v>0.16187031534109447</v>
      </c>
      <c r="K7" s="5">
        <v>310</v>
      </c>
      <c r="L7" s="7">
        <f t="shared" si="6"/>
        <v>3.2455635240538137E-3</v>
      </c>
      <c r="M7" s="10">
        <f t="shared" si="7"/>
        <v>0.32772623036172321</v>
      </c>
      <c r="N7" s="174">
        <f t="shared" si="8"/>
        <v>1.8979703157042949</v>
      </c>
      <c r="O7" s="172">
        <f t="shared" si="9"/>
        <v>1.487986195165357</v>
      </c>
    </row>
    <row r="8" spans="1:15">
      <c r="A8" s="1" t="s">
        <v>6</v>
      </c>
      <c r="B8" s="5">
        <v>14597</v>
      </c>
      <c r="C8" s="7">
        <f t="shared" si="0"/>
        <v>8.1990417506866711E-2</v>
      </c>
      <c r="D8" s="10">
        <f t="shared" si="1"/>
        <v>10.577862901396989</v>
      </c>
      <c r="E8" s="5">
        <v>312213</v>
      </c>
      <c r="F8" s="7">
        <f t="shared" si="2"/>
        <v>7.7582016829775946E-2</v>
      </c>
      <c r="G8" s="10">
        <f t="shared" si="3"/>
        <v>19.603917711142625</v>
      </c>
      <c r="H8" s="5">
        <v>13569</v>
      </c>
      <c r="I8" s="7">
        <f t="shared" si="4"/>
        <v>4.2475200105178475E-2</v>
      </c>
      <c r="J8" s="10">
        <f t="shared" si="5"/>
        <v>3.7674413531103101</v>
      </c>
      <c r="K8" s="5">
        <v>7161</v>
      </c>
      <c r="L8" s="7">
        <f t="shared" si="6"/>
        <v>7.4972517405643091E-2</v>
      </c>
      <c r="M8" s="10">
        <f t="shared" si="7"/>
        <v>7.5704759213558059</v>
      </c>
      <c r="N8" s="174">
        <f t="shared" si="8"/>
        <v>41.519697887005726</v>
      </c>
      <c r="O8" s="172">
        <f t="shared" si="9"/>
        <v>32.550950229363991</v>
      </c>
    </row>
    <row r="9" spans="1:15">
      <c r="A9" s="1" t="s">
        <v>7</v>
      </c>
      <c r="B9" s="5">
        <v>17167</v>
      </c>
      <c r="C9" s="7">
        <f t="shared" si="0"/>
        <v>9.6425943504855838E-2</v>
      </c>
      <c r="D9" s="10">
        <f t="shared" si="1"/>
        <v>12.440239256578893</v>
      </c>
      <c r="E9" s="5">
        <v>454987</v>
      </c>
      <c r="F9" s="7">
        <f t="shared" si="2"/>
        <v>0.11306002341776052</v>
      </c>
      <c r="G9" s="10">
        <f t="shared" si="3"/>
        <v>28.568726182572949</v>
      </c>
      <c r="H9" s="5">
        <v>21316</v>
      </c>
      <c r="I9" s="7">
        <f t="shared" si="4"/>
        <v>6.6725725214974163E-2</v>
      </c>
      <c r="J9" s="10">
        <f t="shared" si="5"/>
        <v>5.9184007578229334</v>
      </c>
      <c r="K9" s="5">
        <v>18510</v>
      </c>
      <c r="L9" s="7">
        <f t="shared" si="6"/>
        <v>0.19379155106527771</v>
      </c>
      <c r="M9" s="10">
        <f t="shared" si="7"/>
        <v>19.568427496759664</v>
      </c>
      <c r="N9" s="174">
        <f t="shared" si="8"/>
        <v>66.495793693734441</v>
      </c>
      <c r="O9" s="172">
        <f t="shared" si="9"/>
        <v>52.131912830324858</v>
      </c>
    </row>
    <row r="10" spans="1:15">
      <c r="A10" s="1" t="s">
        <v>8</v>
      </c>
      <c r="B10" s="5">
        <v>18911</v>
      </c>
      <c r="C10" s="7">
        <f t="shared" si="0"/>
        <v>0.10622188021321889</v>
      </c>
      <c r="D10" s="10">
        <f t="shared" si="1"/>
        <v>13.704046401885211</v>
      </c>
      <c r="E10" s="5">
        <v>461478</v>
      </c>
      <c r="F10" s="7">
        <f t="shared" si="2"/>
        <v>0.11467297634170051</v>
      </c>
      <c r="G10" s="10">
        <f t="shared" si="3"/>
        <v>28.976297391532942</v>
      </c>
      <c r="H10" s="5">
        <v>12848</v>
      </c>
      <c r="I10" s="7">
        <f t="shared" si="4"/>
        <v>4.0218245335052916E-2</v>
      </c>
      <c r="J10" s="10">
        <f t="shared" si="5"/>
        <v>3.5672552512905344</v>
      </c>
      <c r="K10" s="5">
        <v>9352</v>
      </c>
      <c r="L10" s="7">
        <f t="shared" si="6"/>
        <v>9.7911322828875047E-2</v>
      </c>
      <c r="M10" s="10">
        <f t="shared" si="7"/>
        <v>9.8867603430414039</v>
      </c>
      <c r="N10" s="174">
        <f t="shared" si="8"/>
        <v>56.134359387750088</v>
      </c>
      <c r="O10" s="172">
        <f t="shared" si="9"/>
        <v>44.008671343433477</v>
      </c>
    </row>
    <row r="11" spans="1:15">
      <c r="A11" s="1" t="s">
        <v>9</v>
      </c>
      <c r="B11" s="5">
        <v>114484</v>
      </c>
      <c r="C11" s="7">
        <f t="shared" si="0"/>
        <v>0.64304932231664913</v>
      </c>
      <c r="D11" s="10">
        <f t="shared" si="1"/>
        <v>82.961982352780211</v>
      </c>
      <c r="E11" s="5">
        <v>2511268</v>
      </c>
      <c r="F11" s="7">
        <f t="shared" si="2"/>
        <v>0.62402666205467983</v>
      </c>
      <c r="G11" s="10">
        <f t="shared" si="3"/>
        <v>157.68302800532234</v>
      </c>
      <c r="H11" s="5">
        <v>265934</v>
      </c>
      <c r="I11" s="7">
        <f t="shared" si="4"/>
        <v>0.83245632432533956</v>
      </c>
      <c r="J11" s="10">
        <f t="shared" si="5"/>
        <v>73.836741749431596</v>
      </c>
      <c r="K11" s="5">
        <v>55819</v>
      </c>
      <c r="L11" s="7">
        <f t="shared" si="6"/>
        <v>0.5844003559650317</v>
      </c>
      <c r="M11" s="10">
        <f t="shared" si="7"/>
        <v>59.010807911487184</v>
      </c>
      <c r="N11" s="174">
        <f t="shared" si="8"/>
        <v>373.49256001902131</v>
      </c>
      <c r="O11" s="172">
        <f t="shared" si="9"/>
        <v>292.8137330214488</v>
      </c>
    </row>
    <row r="12" spans="1:15">
      <c r="A12" s="1" t="s">
        <v>10</v>
      </c>
      <c r="B12" s="6">
        <f>SUM(B4:B11)</f>
        <v>178033</v>
      </c>
      <c r="C12" s="8">
        <f t="shared" si="0"/>
        <v>1</v>
      </c>
      <c r="D12" s="11">
        <v>129.01340453</v>
      </c>
      <c r="E12" s="6">
        <f t="shared" ref="E12:N12" si="10">SUM(E4:E11)</f>
        <v>4024296</v>
      </c>
      <c r="F12" s="8">
        <f t="shared" si="10"/>
        <v>0.99999999999999989</v>
      </c>
      <c r="G12" s="11">
        <v>252.68636357</v>
      </c>
      <c r="H12" s="6">
        <f t="shared" si="10"/>
        <v>319457</v>
      </c>
      <c r="I12" s="8">
        <f t="shared" si="10"/>
        <v>1</v>
      </c>
      <c r="J12" s="11">
        <v>88.69743624000003</v>
      </c>
      <c r="K12" s="6">
        <f>SUM(K4:K11)</f>
        <v>95515</v>
      </c>
      <c r="L12" s="8">
        <f t="shared" si="6"/>
        <v>1</v>
      </c>
      <c r="M12" s="11">
        <v>100.97668029999997</v>
      </c>
      <c r="N12" s="175">
        <f t="shared" si="10"/>
        <v>571.37388463999991</v>
      </c>
      <c r="O12" s="1">
        <f>'MMTOA Breakout'!B26</f>
        <v>447.95034231440758</v>
      </c>
    </row>
    <row r="13" spans="1:15">
      <c r="N13" s="139"/>
    </row>
    <row r="14" spans="1:15">
      <c r="N14" s="139"/>
    </row>
    <row r="15" spans="1:15">
      <c r="A15" s="1">
        <v>2011</v>
      </c>
      <c r="N15" s="139"/>
    </row>
    <row r="16" spans="1:15">
      <c r="N16" s="139"/>
    </row>
    <row r="17" spans="1:15">
      <c r="N17" s="139"/>
    </row>
    <row r="18" spans="1:15">
      <c r="A18" s="1" t="s">
        <v>2</v>
      </c>
      <c r="B18" s="5">
        <v>2630</v>
      </c>
      <c r="C18" s="7">
        <f>B18/B$26</f>
        <v>1.4683467978315365E-2</v>
      </c>
      <c r="D18" s="10">
        <f>C18*D$26</f>
        <v>1.6961222359181076</v>
      </c>
      <c r="E18" s="5">
        <v>84245</v>
      </c>
      <c r="F18" s="7">
        <f>E18/E$26</f>
        <v>1.9547319851185602E-2</v>
      </c>
      <c r="G18" s="10">
        <f>F18*G$26</f>
        <v>7.3036634769225506</v>
      </c>
      <c r="H18" s="5">
        <v>1928</v>
      </c>
      <c r="I18" s="7">
        <f>H18/H$26</f>
        <v>6.2496353298886866E-3</v>
      </c>
      <c r="J18" s="10">
        <f>I18*J$26</f>
        <v>1.2804795849692376</v>
      </c>
      <c r="K18" s="5">
        <v>809</v>
      </c>
      <c r="L18" s="7">
        <f>K18/K$26</f>
        <v>9.2807158426064015E-3</v>
      </c>
      <c r="M18" s="10">
        <f>L18*M$26</f>
        <v>1.240942431736836</v>
      </c>
      <c r="N18" s="174">
        <f>D18+G18+J18+M18</f>
        <v>11.521207729546731</v>
      </c>
      <c r="O18" s="172">
        <f>(N18/N$26)*O$26</f>
        <v>8.5253183938632553</v>
      </c>
    </row>
    <row r="19" spans="1:15">
      <c r="A19" s="1" t="s">
        <v>3</v>
      </c>
      <c r="B19" s="5">
        <v>5466</v>
      </c>
      <c r="C19" s="7">
        <f t="shared" ref="C19:C26" si="11">B19/B$26</f>
        <v>3.0517047897137561E-2</v>
      </c>
      <c r="D19" s="10">
        <f t="shared" ref="D19:D25" si="12">C19*D$26</f>
        <v>3.5250966317598387</v>
      </c>
      <c r="E19" s="5">
        <v>96703</v>
      </c>
      <c r="F19" s="7">
        <f t="shared" ref="F19:F26" si="13">E19/E$26</f>
        <v>2.243794256714584E-2</v>
      </c>
      <c r="G19" s="10">
        <f t="shared" ref="G19:G25" si="14">F19*G$26</f>
        <v>8.3837161755456275</v>
      </c>
      <c r="H19" s="5">
        <v>1776</v>
      </c>
      <c r="I19" s="7">
        <f t="shared" ref="I19:I26" si="15">H19/H$26</f>
        <v>5.7569254906028565E-3</v>
      </c>
      <c r="J19" s="10">
        <f t="shared" ref="J19:J25" si="16">I19*J$26</f>
        <v>1.1795289122953143</v>
      </c>
      <c r="K19" s="5">
        <v>1412</v>
      </c>
      <c r="L19" s="7">
        <f t="shared" ref="L19:L26" si="17">K19/K$26</f>
        <v>1.6198233337157277E-2</v>
      </c>
      <c r="M19" s="10">
        <f t="shared" ref="M19:M25" si="18">L19*M$26</f>
        <v>2.1658970502007566</v>
      </c>
      <c r="N19" s="174">
        <f t="shared" ref="N19:N25" si="19">D19+G19+J19+M19</f>
        <v>15.254238769801537</v>
      </c>
      <c r="O19" s="172">
        <f t="shared" ref="O19:O25" si="20">(N19/N$26)*O$26</f>
        <v>11.287639752823672</v>
      </c>
    </row>
    <row r="20" spans="1:15">
      <c r="A20" s="1" t="s">
        <v>4</v>
      </c>
      <c r="B20" s="5">
        <v>3526</v>
      </c>
      <c r="C20" s="7">
        <f t="shared" si="11"/>
        <v>1.9685896612752843E-2</v>
      </c>
      <c r="D20" s="10">
        <f t="shared" si="12"/>
        <v>2.2739646402461018</v>
      </c>
      <c r="E20" s="5">
        <v>88033</v>
      </c>
      <c r="F20" s="7">
        <f t="shared" si="13"/>
        <v>2.0426247355444502E-2</v>
      </c>
      <c r="G20" s="10">
        <f t="shared" si="14"/>
        <v>7.6320660794578057</v>
      </c>
      <c r="H20" s="5">
        <v>1548</v>
      </c>
      <c r="I20" s="7">
        <f t="shared" si="15"/>
        <v>5.0178607316741109E-3</v>
      </c>
      <c r="J20" s="10">
        <f t="shared" si="16"/>
        <v>1.0281029032844293</v>
      </c>
      <c r="K20" s="5">
        <v>1139</v>
      </c>
      <c r="L20" s="7">
        <f t="shared" si="17"/>
        <v>1.3066421934151657E-2</v>
      </c>
      <c r="M20" s="10">
        <f t="shared" si="18"/>
        <v>1.7471365015429619</v>
      </c>
      <c r="N20" s="174">
        <f t="shared" si="19"/>
        <v>12.681270124531297</v>
      </c>
      <c r="O20" s="172">
        <f t="shared" si="20"/>
        <v>9.3837267748377435</v>
      </c>
    </row>
    <row r="21" spans="1:15">
      <c r="A21" s="1" t="s">
        <v>5</v>
      </c>
      <c r="B21" s="5">
        <v>266</v>
      </c>
      <c r="C21" s="7">
        <f t="shared" si="11"/>
        <v>1.4850960008486263E-3</v>
      </c>
      <c r="D21" s="10">
        <f t="shared" si="12"/>
        <v>0.17154696378487325</v>
      </c>
      <c r="E21" s="5">
        <v>19485</v>
      </c>
      <c r="F21" s="7">
        <f t="shared" si="13"/>
        <v>4.5210935640139054E-3</v>
      </c>
      <c r="G21" s="10">
        <f t="shared" si="14"/>
        <v>1.6892620671593079</v>
      </c>
      <c r="H21" s="5">
        <v>415</v>
      </c>
      <c r="I21" s="7">
        <f t="shared" si="15"/>
        <v>1.3452275217343387E-3</v>
      </c>
      <c r="J21" s="10">
        <f t="shared" si="16"/>
        <v>0.27562190236630379</v>
      </c>
      <c r="K21" s="5">
        <v>247</v>
      </c>
      <c r="L21" s="7">
        <f t="shared" si="17"/>
        <v>2.833543650338419E-3</v>
      </c>
      <c r="M21" s="10">
        <f t="shared" si="18"/>
        <v>0.37887859164276694</v>
      </c>
      <c r="N21" s="174">
        <f t="shared" si="19"/>
        <v>2.5153095249532518</v>
      </c>
      <c r="O21" s="172">
        <f t="shared" si="20"/>
        <v>1.8612471073106021</v>
      </c>
    </row>
    <row r="22" spans="1:15">
      <c r="A22" s="1" t="s">
        <v>6</v>
      </c>
      <c r="B22" s="5">
        <v>13737</v>
      </c>
      <c r="C22" s="7">
        <f t="shared" si="11"/>
        <v>7.6694600615254058E-2</v>
      </c>
      <c r="D22" s="10">
        <f t="shared" si="12"/>
        <v>8.8591753440330958</v>
      </c>
      <c r="E22" s="5">
        <v>317187</v>
      </c>
      <c r="F22" s="7">
        <f t="shared" si="13"/>
        <v>7.3596720774384325E-2</v>
      </c>
      <c r="G22" s="10">
        <f t="shared" si="14"/>
        <v>27.498689622584521</v>
      </c>
      <c r="H22" s="5">
        <v>10957</v>
      </c>
      <c r="I22" s="7">
        <f t="shared" si="15"/>
        <v>3.5517248085887104E-2</v>
      </c>
      <c r="J22" s="10">
        <f t="shared" si="16"/>
        <v>7.2770823716327477</v>
      </c>
      <c r="K22" s="5">
        <v>7525</v>
      </c>
      <c r="L22" s="7">
        <f t="shared" si="17"/>
        <v>8.6325570723872896E-2</v>
      </c>
      <c r="M22" s="10">
        <f t="shared" si="18"/>
        <v>11.542758713003327</v>
      </c>
      <c r="N22" s="174">
        <f t="shared" si="19"/>
        <v>55.177706051253693</v>
      </c>
      <c r="O22" s="172">
        <f t="shared" si="20"/>
        <v>40.829704955631399</v>
      </c>
    </row>
    <row r="23" spans="1:15">
      <c r="A23" s="1" t="s">
        <v>7</v>
      </c>
      <c r="B23" s="5">
        <v>17446</v>
      </c>
      <c r="C23" s="7">
        <f t="shared" si="11"/>
        <v>9.7402198612049379E-2</v>
      </c>
      <c r="D23" s="10">
        <f t="shared" si="12"/>
        <v>11.25115913605601</v>
      </c>
      <c r="E23" s="5">
        <v>475549</v>
      </c>
      <c r="F23" s="7">
        <f t="shared" si="13"/>
        <v>0.11034136634710026</v>
      </c>
      <c r="G23" s="10">
        <f t="shared" si="14"/>
        <v>41.227964422660598</v>
      </c>
      <c r="H23" s="5">
        <v>14823</v>
      </c>
      <c r="I23" s="7">
        <f t="shared" si="15"/>
        <v>4.8048933866670127E-2</v>
      </c>
      <c r="J23" s="10">
        <f t="shared" si="16"/>
        <v>9.8446830331945083</v>
      </c>
      <c r="K23" s="5">
        <v>15628</v>
      </c>
      <c r="L23" s="7">
        <f t="shared" si="17"/>
        <v>0.1792818630262705</v>
      </c>
      <c r="M23" s="10">
        <f t="shared" si="18"/>
        <v>23.972124008879199</v>
      </c>
      <c r="N23" s="174">
        <f t="shared" si="19"/>
        <v>86.295930600790314</v>
      </c>
      <c r="O23" s="172">
        <f t="shared" si="20"/>
        <v>63.856177384921487</v>
      </c>
    </row>
    <row r="24" spans="1:15">
      <c r="A24" s="1" t="s">
        <v>8</v>
      </c>
      <c r="B24" s="5">
        <v>17500</v>
      </c>
      <c r="C24" s="7">
        <f t="shared" si="11"/>
        <v>9.7703684266356991E-2</v>
      </c>
      <c r="D24" s="10">
        <f t="shared" si="12"/>
        <v>11.285984459531134</v>
      </c>
      <c r="E24" s="5">
        <v>476682</v>
      </c>
      <c r="F24" s="7">
        <f t="shared" si="13"/>
        <v>0.11060425569829491</v>
      </c>
      <c r="G24" s="10">
        <f t="shared" si="14"/>
        <v>41.326190438677607</v>
      </c>
      <c r="H24" s="5">
        <v>13509</v>
      </c>
      <c r="I24" s="7">
        <f t="shared" si="15"/>
        <v>4.3789586966528148E-2</v>
      </c>
      <c r="J24" s="10">
        <f t="shared" si="16"/>
        <v>8.971991033894934</v>
      </c>
      <c r="K24" s="5">
        <v>8224</v>
      </c>
      <c r="L24" s="7">
        <f t="shared" si="17"/>
        <v>9.4344384535964207E-2</v>
      </c>
      <c r="M24" s="10">
        <f t="shared" si="18"/>
        <v>12.61496978813812</v>
      </c>
      <c r="N24" s="174">
        <f t="shared" si="19"/>
        <v>74.199135720241799</v>
      </c>
      <c r="O24" s="172">
        <f t="shared" si="20"/>
        <v>54.904943250200397</v>
      </c>
    </row>
    <row r="25" spans="1:15">
      <c r="A25" s="1" t="s">
        <v>9</v>
      </c>
      <c r="B25" s="5">
        <v>118542</v>
      </c>
      <c r="C25" s="7">
        <f t="shared" si="11"/>
        <v>0.66182800801728514</v>
      </c>
      <c r="D25" s="10">
        <f t="shared" si="12"/>
        <v>76.449323988670841</v>
      </c>
      <c r="E25" s="5">
        <v>2751914</v>
      </c>
      <c r="F25" s="7">
        <f t="shared" si="13"/>
        <v>0.63852505384243063</v>
      </c>
      <c r="G25" s="10">
        <f t="shared" si="14"/>
        <v>238.57859544699201</v>
      </c>
      <c r="H25" s="5">
        <v>263542</v>
      </c>
      <c r="I25" s="7">
        <f t="shared" si="15"/>
        <v>0.85427458200701467</v>
      </c>
      <c r="J25" s="10">
        <f t="shared" si="16"/>
        <v>175.03119853836247</v>
      </c>
      <c r="K25" s="5">
        <v>52186</v>
      </c>
      <c r="L25" s="7">
        <f t="shared" si="17"/>
        <v>0.59866926694963862</v>
      </c>
      <c r="M25" s="10">
        <f t="shared" si="18"/>
        <v>80.04922341485603</v>
      </c>
      <c r="N25" s="174">
        <f t="shared" si="19"/>
        <v>570.10834138888129</v>
      </c>
      <c r="O25" s="172">
        <f t="shared" si="20"/>
        <v>421.86160022728086</v>
      </c>
    </row>
    <row r="26" spans="1:15" s="1" customFormat="1">
      <c r="A26" s="1" t="s">
        <v>10</v>
      </c>
      <c r="B26" s="6">
        <f>SUM(B18:B25)</f>
        <v>179113</v>
      </c>
      <c r="C26" s="8">
        <f t="shared" si="11"/>
        <v>1</v>
      </c>
      <c r="D26" s="11">
        <v>115.5123734</v>
      </c>
      <c r="E26" s="6">
        <f>SUM(E18:E25)</f>
        <v>4309798</v>
      </c>
      <c r="F26" s="8">
        <f t="shared" si="13"/>
        <v>1</v>
      </c>
      <c r="G26" s="11">
        <v>373.64014773000002</v>
      </c>
      <c r="H26" s="6">
        <f>SUM(H18:H25)</f>
        <v>308498</v>
      </c>
      <c r="I26" s="8">
        <f t="shared" si="15"/>
        <v>1</v>
      </c>
      <c r="J26" s="11">
        <v>204.88868827999994</v>
      </c>
      <c r="K26" s="6">
        <f>SUM(K18:K25)</f>
        <v>87170</v>
      </c>
      <c r="L26" s="8">
        <f t="shared" si="17"/>
        <v>1</v>
      </c>
      <c r="M26" s="11">
        <v>133.71193049999999</v>
      </c>
      <c r="N26" s="175">
        <f>SUM(N18:N25)</f>
        <v>827.75313990999985</v>
      </c>
      <c r="O26" s="1">
        <f>'MMTOA Breakout'!C26</f>
        <v>612.5103578468694</v>
      </c>
    </row>
    <row r="29" spans="1:15">
      <c r="A29" s="1">
        <v>2016</v>
      </c>
    </row>
    <row r="30" spans="1:15">
      <c r="B30" s="9" t="s">
        <v>115</v>
      </c>
      <c r="C30" s="9" t="s">
        <v>116</v>
      </c>
      <c r="D30" s="9" t="s">
        <v>117</v>
      </c>
      <c r="E30" s="9" t="s">
        <v>118</v>
      </c>
      <c r="F30" s="9" t="s">
        <v>132</v>
      </c>
      <c r="G30" s="9" t="s">
        <v>133</v>
      </c>
      <c r="H30" s="9" t="s">
        <v>124</v>
      </c>
      <c r="I30" s="9" t="s">
        <v>125</v>
      </c>
      <c r="J30" s="9" t="s">
        <v>126</v>
      </c>
      <c r="K30" s="9" t="s">
        <v>127</v>
      </c>
    </row>
    <row r="31" spans="1:15">
      <c r="B31" s="9" t="s">
        <v>128</v>
      </c>
      <c r="C31" s="9" t="s">
        <v>129</v>
      </c>
      <c r="D31" s="9"/>
      <c r="E31" s="9" t="s">
        <v>134</v>
      </c>
      <c r="F31" s="9" t="s">
        <v>134</v>
      </c>
      <c r="G31" s="9" t="s">
        <v>135</v>
      </c>
      <c r="H31" s="9"/>
      <c r="I31" s="9"/>
      <c r="J31" s="9"/>
      <c r="K31" s="9" t="s">
        <v>131</v>
      </c>
    </row>
    <row r="32" spans="1:15">
      <c r="A32" s="1" t="s">
        <v>2</v>
      </c>
      <c r="B32" s="13">
        <v>3016</v>
      </c>
      <c r="C32" s="7">
        <f>B32/B$40</f>
        <v>1.5207515013387253E-2</v>
      </c>
      <c r="D32" s="10">
        <f>C32*D$40</f>
        <v>1.629102162312188</v>
      </c>
      <c r="E32" s="13">
        <v>86956</v>
      </c>
      <c r="F32" s="7">
        <f>E32/E$40</f>
        <v>1.6953564087361664E-2</v>
      </c>
      <c r="G32" s="10">
        <f>F32*G$40</f>
        <v>13.087280962822438</v>
      </c>
      <c r="H32" s="13">
        <v>738</v>
      </c>
      <c r="I32" s="7">
        <f>H32/H$40</f>
        <v>8.0041647686601158E-3</v>
      </c>
      <c r="J32" s="10">
        <f>I32*J$40</f>
        <v>1.2857375002661546</v>
      </c>
      <c r="K32" s="174">
        <f>D32+G32+J32</f>
        <v>16.002120625400782</v>
      </c>
      <c r="L32" s="172">
        <f>(K32/K$40)*L$40</f>
        <v>12.981682645398424</v>
      </c>
    </row>
    <row r="33" spans="1:12">
      <c r="A33" s="1" t="s">
        <v>3</v>
      </c>
      <c r="B33" s="13">
        <v>6335</v>
      </c>
      <c r="C33" s="7">
        <f t="shared" ref="C33:C39" si="21">B33/B$40</f>
        <v>3.1942840719432444E-2</v>
      </c>
      <c r="D33" s="10">
        <f t="shared" ref="D33:D39" si="22">C33*D$40</f>
        <v>3.4218707553871721</v>
      </c>
      <c r="E33" s="13">
        <v>106843</v>
      </c>
      <c r="F33" s="7">
        <f t="shared" ref="F33:F40" si="23">E33/E$40</f>
        <v>2.0830875934794404E-2</v>
      </c>
      <c r="G33" s="10">
        <f t="shared" ref="G33:G39" si="24">F33*G$40</f>
        <v>16.08036662117436</v>
      </c>
      <c r="H33" s="13">
        <v>1277</v>
      </c>
      <c r="I33" s="7">
        <f t="shared" ref="I33:I40" si="25">H33/H$40</f>
        <v>1.3850024945228953E-2</v>
      </c>
      <c r="J33" s="10">
        <f t="shared" ref="J33:J39" si="26">I33*J$40</f>
        <v>2.2247788453114898</v>
      </c>
      <c r="K33" s="174">
        <f t="shared" ref="K33:K39" si="27">D33+G33+J33</f>
        <v>21.727016221873022</v>
      </c>
      <c r="L33" s="172">
        <f t="shared" ref="L33:L39" si="28">(K33/K$40)*L$40</f>
        <v>17.625990706260836</v>
      </c>
    </row>
    <row r="34" spans="1:12">
      <c r="A34" s="1" t="s">
        <v>4</v>
      </c>
      <c r="B34" s="13">
        <v>4171</v>
      </c>
      <c r="C34" s="7">
        <f t="shared" si="21"/>
        <v>2.1031347851736812E-2</v>
      </c>
      <c r="D34" s="10">
        <f t="shared" si="22"/>
        <v>2.2529791508634398</v>
      </c>
      <c r="E34" s="13">
        <v>98219</v>
      </c>
      <c r="F34" s="7">
        <f t="shared" si="23"/>
        <v>1.9149479174485663E-2</v>
      </c>
      <c r="G34" s="10">
        <f t="shared" si="24"/>
        <v>14.782414656693698</v>
      </c>
      <c r="H34" s="13">
        <v>1003</v>
      </c>
      <c r="I34" s="7">
        <f t="shared" si="25"/>
        <v>1.0878288974208802E-2</v>
      </c>
      <c r="J34" s="10">
        <f t="shared" si="26"/>
        <v>1.7474183099823213</v>
      </c>
      <c r="K34" s="174">
        <f t="shared" si="27"/>
        <v>18.782812117539461</v>
      </c>
      <c r="L34" s="172">
        <f t="shared" si="28"/>
        <v>15.23751206518194</v>
      </c>
    </row>
    <row r="35" spans="1:12">
      <c r="A35" s="1" t="s">
        <v>5</v>
      </c>
      <c r="B35" s="13">
        <v>361</v>
      </c>
      <c r="C35" s="7">
        <f t="shared" si="21"/>
        <v>1.8202629044538456E-3</v>
      </c>
      <c r="D35" s="10">
        <f t="shared" si="22"/>
        <v>0.19499531849956891</v>
      </c>
      <c r="E35" s="13">
        <v>20952</v>
      </c>
      <c r="F35" s="7">
        <f t="shared" si="23"/>
        <v>4.0849518694328346E-3</v>
      </c>
      <c r="G35" s="10">
        <f t="shared" si="24"/>
        <v>3.1533730936687028</v>
      </c>
      <c r="H35" s="13">
        <v>212</v>
      </c>
      <c r="I35" s="7">
        <f t="shared" si="25"/>
        <v>2.2992993644389494E-3</v>
      </c>
      <c r="J35" s="10">
        <f t="shared" si="26"/>
        <v>0.36934464777293335</v>
      </c>
      <c r="K35" s="174">
        <f t="shared" si="27"/>
        <v>3.7177130599412052</v>
      </c>
      <c r="L35" s="172">
        <f t="shared" si="28"/>
        <v>3.0159859583986268</v>
      </c>
    </row>
    <row r="36" spans="1:12">
      <c r="A36" s="1" t="s">
        <v>6</v>
      </c>
      <c r="B36" s="13">
        <v>13691</v>
      </c>
      <c r="C36" s="7">
        <f t="shared" si="21"/>
        <v>6.9033848822375621E-2</v>
      </c>
      <c r="D36" s="10">
        <f t="shared" si="22"/>
        <v>7.3952379655889136</v>
      </c>
      <c r="E36" s="13">
        <v>341523</v>
      </c>
      <c r="F36" s="7">
        <f t="shared" si="23"/>
        <v>6.6585768294401965E-2</v>
      </c>
      <c r="G36" s="10">
        <f t="shared" si="24"/>
        <v>51.400794151823995</v>
      </c>
      <c r="H36" s="13">
        <v>7558</v>
      </c>
      <c r="I36" s="7">
        <f t="shared" si="25"/>
        <v>8.1972191492592356E-2</v>
      </c>
      <c r="J36" s="10">
        <f t="shared" si="26"/>
        <v>13.167485131452029</v>
      </c>
      <c r="K36" s="174">
        <f t="shared" si="27"/>
        <v>71.963517248864932</v>
      </c>
      <c r="L36" s="172">
        <f t="shared" si="28"/>
        <v>58.380233772798618</v>
      </c>
    </row>
    <row r="37" spans="1:12">
      <c r="A37" s="1" t="s">
        <v>7</v>
      </c>
      <c r="B37" s="13">
        <v>19419</v>
      </c>
      <c r="C37" s="7">
        <f t="shared" si="21"/>
        <v>9.7916025876978466E-2</v>
      </c>
      <c r="D37" s="10">
        <f t="shared" si="22"/>
        <v>10.489235706213652</v>
      </c>
      <c r="E37" s="13">
        <v>513540</v>
      </c>
      <c r="F37" s="7">
        <f t="shared" si="23"/>
        <v>0.10012343370697489</v>
      </c>
      <c r="G37" s="10">
        <f t="shared" si="24"/>
        <v>77.290149795848876</v>
      </c>
      <c r="H37" s="13">
        <v>16828</v>
      </c>
      <c r="I37" s="7">
        <f t="shared" si="25"/>
        <v>0.18251230992820111</v>
      </c>
      <c r="J37" s="10">
        <f t="shared" si="26"/>
        <v>29.317602512843969</v>
      </c>
      <c r="K37" s="174">
        <f t="shared" si="27"/>
        <v>117.09698801490649</v>
      </c>
      <c r="L37" s="172">
        <f t="shared" si="28"/>
        <v>94.994655566375386</v>
      </c>
    </row>
    <row r="38" spans="1:12">
      <c r="A38" s="1" t="s">
        <v>8</v>
      </c>
      <c r="B38" s="13">
        <v>20023</v>
      </c>
      <c r="C38" s="7">
        <f t="shared" si="21"/>
        <v>0.10096156270326689</v>
      </c>
      <c r="D38" s="10">
        <f t="shared" si="22"/>
        <v>10.815488261265562</v>
      </c>
      <c r="E38" s="13">
        <v>521979</v>
      </c>
      <c r="F38" s="7">
        <f t="shared" si="23"/>
        <v>0.10176876154327423</v>
      </c>
      <c r="G38" s="10">
        <f t="shared" si="24"/>
        <v>78.560258403020995</v>
      </c>
      <c r="H38" s="13">
        <v>8053</v>
      </c>
      <c r="I38" s="7">
        <f t="shared" si="25"/>
        <v>8.7340838593522915E-2</v>
      </c>
      <c r="J38" s="10">
        <f t="shared" si="26"/>
        <v>14.029870040167133</v>
      </c>
      <c r="K38" s="174">
        <f t="shared" si="27"/>
        <v>103.40561670445368</v>
      </c>
      <c r="L38" s="172">
        <f t="shared" si="28"/>
        <v>83.887562857020214</v>
      </c>
    </row>
    <row r="39" spans="1:12">
      <c r="A39" s="1" t="s">
        <v>9</v>
      </c>
      <c r="B39" s="13">
        <v>131307</v>
      </c>
      <c r="C39" s="7">
        <f t="shared" si="21"/>
        <v>0.66208659610836862</v>
      </c>
      <c r="D39" s="10">
        <f t="shared" si="22"/>
        <v>70.925901069869511</v>
      </c>
      <c r="E39" s="13">
        <v>3439057</v>
      </c>
      <c r="F39" s="7">
        <f t="shared" si="23"/>
        <v>0.67050316538927435</v>
      </c>
      <c r="G39" s="10">
        <f t="shared" si="24"/>
        <v>517.59401543494698</v>
      </c>
      <c r="H39" s="15">
        <v>56533</v>
      </c>
      <c r="I39" s="7">
        <f t="shared" si="25"/>
        <v>0.61314288193314681</v>
      </c>
      <c r="J39" s="10">
        <f t="shared" si="26"/>
        <v>98.491325342203965</v>
      </c>
      <c r="K39" s="174">
        <f t="shared" si="27"/>
        <v>687.01124184702041</v>
      </c>
      <c r="L39" s="172">
        <f t="shared" si="28"/>
        <v>557.33625087929329</v>
      </c>
    </row>
    <row r="40" spans="1:12" s="1" customFormat="1">
      <c r="A40" s="1" t="s">
        <v>10</v>
      </c>
      <c r="B40" s="14">
        <f>SUM(B32:B39)</f>
        <v>198323</v>
      </c>
      <c r="C40" s="8">
        <f>SUM(C32:C39)</f>
        <v>1</v>
      </c>
      <c r="D40" s="11">
        <v>107.12481039000001</v>
      </c>
      <c r="E40" s="14">
        <f>SUM(E32:E39)</f>
        <v>5129069</v>
      </c>
      <c r="F40" s="8">
        <f t="shared" si="23"/>
        <v>1</v>
      </c>
      <c r="G40" s="11">
        <f>764.34418407 + 7.60446905</f>
        <v>771.94865312000002</v>
      </c>
      <c r="H40" s="14">
        <f>SUM(H32:H39)</f>
        <v>92202</v>
      </c>
      <c r="I40" s="8">
        <f t="shared" si="25"/>
        <v>1</v>
      </c>
      <c r="J40" s="11">
        <v>160.63356232999999</v>
      </c>
      <c r="K40" s="175">
        <f>SUM(K32:K39)</f>
        <v>1039.7070258399999</v>
      </c>
      <c r="L40" s="1">
        <f>'MMTOA Breakout'!D26</f>
        <v>843.45987445072728</v>
      </c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/>
  <dimension ref="A1:W51"/>
  <sheetViews>
    <sheetView topLeftCell="A16" workbookViewId="0">
      <selection activeCell="J20" sqref="J20:Q20"/>
    </sheetView>
  </sheetViews>
  <sheetFormatPr defaultRowHeight="15"/>
  <cols>
    <col min="1" max="1" width="10.7109375" customWidth="1"/>
    <col min="2" max="22" width="10.140625" customWidth="1"/>
  </cols>
  <sheetData>
    <row r="1" spans="1:22">
      <c r="A1" t="s">
        <v>136</v>
      </c>
    </row>
    <row r="3" spans="1:22">
      <c r="B3" s="20"/>
      <c r="E3" s="9">
        <v>2005</v>
      </c>
      <c r="H3" s="22"/>
      <c r="I3" s="20"/>
      <c r="L3" s="9">
        <v>2011</v>
      </c>
      <c r="O3" s="22"/>
      <c r="P3" s="20"/>
      <c r="S3" s="9">
        <v>2016</v>
      </c>
      <c r="V3" s="22"/>
    </row>
    <row r="4" spans="1:22">
      <c r="B4" s="21" t="s">
        <v>137</v>
      </c>
      <c r="C4" s="23" t="s">
        <v>138</v>
      </c>
      <c r="D4" s="23" t="s">
        <v>139</v>
      </c>
      <c r="E4" s="23" t="s">
        <v>140</v>
      </c>
      <c r="F4" s="23" t="s">
        <v>141</v>
      </c>
      <c r="G4" s="23" t="s">
        <v>142</v>
      </c>
      <c r="H4" s="22"/>
      <c r="I4" s="21" t="s">
        <v>137</v>
      </c>
      <c r="J4" s="23" t="s">
        <v>138</v>
      </c>
      <c r="K4" s="23" t="s">
        <v>139</v>
      </c>
      <c r="L4" s="23" t="s">
        <v>140</v>
      </c>
      <c r="M4" s="23" t="s">
        <v>141</v>
      </c>
      <c r="N4" s="23" t="s">
        <v>142</v>
      </c>
      <c r="O4" s="22"/>
      <c r="P4" s="21" t="s">
        <v>137</v>
      </c>
      <c r="Q4" s="23" t="s">
        <v>138</v>
      </c>
      <c r="R4" s="23" t="s">
        <v>139</v>
      </c>
      <c r="S4" s="23" t="s">
        <v>140</v>
      </c>
      <c r="T4" s="23" t="s">
        <v>141</v>
      </c>
      <c r="U4" s="23" t="s">
        <v>142</v>
      </c>
      <c r="V4" s="22"/>
    </row>
    <row r="5" spans="1:22" ht="15.75" thickBot="1">
      <c r="A5" s="24"/>
      <c r="B5" s="25" t="s">
        <v>143</v>
      </c>
      <c r="C5" s="26" t="s">
        <v>144</v>
      </c>
      <c r="D5" s="26" t="s">
        <v>145</v>
      </c>
      <c r="E5" s="26" t="s">
        <v>144</v>
      </c>
      <c r="F5" s="26" t="s">
        <v>146</v>
      </c>
      <c r="G5" s="26" t="s">
        <v>144</v>
      </c>
      <c r="H5" s="27" t="s">
        <v>10</v>
      </c>
      <c r="I5" s="25" t="s">
        <v>143</v>
      </c>
      <c r="J5" s="26" t="s">
        <v>144</v>
      </c>
      <c r="K5" s="26" t="s">
        <v>145</v>
      </c>
      <c r="L5" s="26" t="s">
        <v>144</v>
      </c>
      <c r="M5" s="26" t="s">
        <v>146</v>
      </c>
      <c r="N5" s="26" t="s">
        <v>144</v>
      </c>
      <c r="O5" s="27" t="s">
        <v>10</v>
      </c>
      <c r="P5" s="25" t="s">
        <v>143</v>
      </c>
      <c r="Q5" s="26" t="s">
        <v>144</v>
      </c>
      <c r="R5" s="30" t="s">
        <v>145</v>
      </c>
      <c r="S5" s="26" t="s">
        <v>144</v>
      </c>
      <c r="T5" s="26" t="s">
        <v>146</v>
      </c>
      <c r="U5" s="26" t="s">
        <v>144</v>
      </c>
      <c r="V5" s="27" t="s">
        <v>10</v>
      </c>
    </row>
    <row r="6" spans="1:22">
      <c r="A6" s="18" t="s">
        <v>147</v>
      </c>
      <c r="B6" s="28">
        <v>0.33836910206038878</v>
      </c>
      <c r="C6" s="33">
        <f>B6*C$14</f>
        <v>150.60276121575799</v>
      </c>
      <c r="D6" s="29">
        <v>0.57019307063513403</v>
      </c>
      <c r="E6" s="33">
        <f>D6*E$14</f>
        <v>36.489733213146103</v>
      </c>
      <c r="F6" s="29">
        <v>0.95090865465978969</v>
      </c>
      <c r="G6" s="33">
        <f t="shared" ref="G6:G13" si="0">F6*G$14</f>
        <v>49.589259950688884</v>
      </c>
      <c r="H6" s="176">
        <f>C6+E6+G6</f>
        <v>236.68175437959297</v>
      </c>
      <c r="I6" s="28">
        <v>0.34898373039830338</v>
      </c>
      <c r="J6" s="33">
        <f t="shared" ref="J6:J13" si="1">I6*J$14</f>
        <v>204.51194143611994</v>
      </c>
      <c r="K6" s="29">
        <v>0.57586502039233844</v>
      </c>
      <c r="L6" s="33">
        <f t="shared" ref="L6:L13" si="2">K6*L$14</f>
        <v>5.248577330983097</v>
      </c>
      <c r="M6" s="29">
        <v>0.94779740742987506</v>
      </c>
      <c r="N6" s="33">
        <f t="shared" ref="N6:N13" si="3">M6*N$14</f>
        <v>23.196706712861854</v>
      </c>
      <c r="O6" s="176">
        <f>J6+L6+N6</f>
        <v>232.9572254799649</v>
      </c>
      <c r="P6" s="28">
        <v>0.36115829926238391</v>
      </c>
      <c r="Q6" s="33">
        <f t="shared" ref="Q6:Q13" si="4">P6*Q$14</f>
        <v>219.7053630270116</v>
      </c>
      <c r="R6" s="29">
        <v>0.5823453851151762</v>
      </c>
      <c r="S6" s="33">
        <f t="shared" ref="S6:S13" si="5">R6*S$14</f>
        <v>0.99245806620711707</v>
      </c>
      <c r="T6" s="29">
        <v>0.96695706825841998</v>
      </c>
      <c r="U6" s="33">
        <f t="shared" ref="U6:U13" si="6">T6*U$14</f>
        <v>22.910933042837044</v>
      </c>
      <c r="V6" s="176">
        <f>Q6+S6+U6</f>
        <v>243.60875413605578</v>
      </c>
    </row>
    <row r="7" spans="1:22">
      <c r="A7" s="18" t="s">
        <v>148</v>
      </c>
      <c r="B7" s="28">
        <v>0.17558149431997438</v>
      </c>
      <c r="C7" s="33">
        <f t="shared" ref="C7:E13" si="7">B7*C$14</f>
        <v>78.14855937483847</v>
      </c>
      <c r="D7" s="29">
        <v>0.11359280583040238</v>
      </c>
      <c r="E7" s="33">
        <f t="shared" si="7"/>
        <v>7.2694169626913139</v>
      </c>
      <c r="F7" s="29">
        <v>0</v>
      </c>
      <c r="G7" s="33">
        <f t="shared" si="0"/>
        <v>0</v>
      </c>
      <c r="H7" s="176">
        <f t="shared" ref="H7:H13" si="8">C7+E7+G7</f>
        <v>85.41797633752978</v>
      </c>
      <c r="I7" s="28">
        <v>0.17312249771490359</v>
      </c>
      <c r="J7" s="33">
        <f t="shared" si="1"/>
        <v>101.45349203968878</v>
      </c>
      <c r="K7" s="29">
        <v>0.11339376459327186</v>
      </c>
      <c r="L7" s="33">
        <f t="shared" si="2"/>
        <v>1.0334990340507206</v>
      </c>
      <c r="M7" s="29">
        <v>0</v>
      </c>
      <c r="N7" s="33">
        <f t="shared" si="3"/>
        <v>0</v>
      </c>
      <c r="O7" s="176">
        <f t="shared" ref="O7:O13" si="9">J7+L7+N7</f>
        <v>102.4869910737395</v>
      </c>
      <c r="P7" s="28">
        <v>0.17000010522340683</v>
      </c>
      <c r="Q7" s="33">
        <f t="shared" si="4"/>
        <v>103.41707475370458</v>
      </c>
      <c r="R7" s="29">
        <v>0.11288065871239961</v>
      </c>
      <c r="S7" s="33">
        <f t="shared" si="5"/>
        <v>0.19237607633095011</v>
      </c>
      <c r="T7" s="29">
        <v>0</v>
      </c>
      <c r="U7" s="33">
        <f t="shared" si="6"/>
        <v>0</v>
      </c>
      <c r="V7" s="176">
        <f t="shared" ref="V7:V13" si="10">Q7+S7+U7</f>
        <v>103.60945083003553</v>
      </c>
    </row>
    <row r="8" spans="1:22">
      <c r="A8" s="18" t="s">
        <v>149</v>
      </c>
      <c r="B8" s="28">
        <v>0.21798871923163776</v>
      </c>
      <c r="C8" s="33">
        <f t="shared" si="7"/>
        <v>97.023347670533255</v>
      </c>
      <c r="D8" s="29">
        <v>0.12868672432189374</v>
      </c>
      <c r="E8" s="33">
        <f t="shared" si="7"/>
        <v>8.2353583030201083</v>
      </c>
      <c r="F8" s="29">
        <v>3.0173092509932557E-2</v>
      </c>
      <c r="G8" s="33">
        <f t="shared" si="0"/>
        <v>1.5735068985427969</v>
      </c>
      <c r="H8" s="176">
        <f t="shared" si="8"/>
        <v>106.83221287209616</v>
      </c>
      <c r="I8" s="28">
        <v>0.21587039264157143</v>
      </c>
      <c r="J8" s="33">
        <f t="shared" si="1"/>
        <v>126.50467415004714</v>
      </c>
      <c r="K8" s="29">
        <v>0.12846123499953696</v>
      </c>
      <c r="L8" s="33">
        <f t="shared" si="2"/>
        <v>1.1708277149205926</v>
      </c>
      <c r="M8" s="29">
        <v>2.0771971656188562E-2</v>
      </c>
      <c r="N8" s="33">
        <f t="shared" si="3"/>
        <v>0.50838009323436084</v>
      </c>
      <c r="O8" s="176">
        <f t="shared" si="9"/>
        <v>128.18388195820208</v>
      </c>
      <c r="P8" s="28">
        <v>0.21329469351678507</v>
      </c>
      <c r="Q8" s="33">
        <f t="shared" si="4"/>
        <v>129.75470359271708</v>
      </c>
      <c r="R8" s="29">
        <v>0.12146633418681888</v>
      </c>
      <c r="S8" s="33">
        <f t="shared" si="5"/>
        <v>0.20700815395398947</v>
      </c>
      <c r="T8" s="29">
        <v>1.312225204165442E-2</v>
      </c>
      <c r="U8" s="33">
        <f t="shared" si="6"/>
        <v>0.31091663504674755</v>
      </c>
      <c r="V8" s="176">
        <f t="shared" si="10"/>
        <v>130.27262838171779</v>
      </c>
    </row>
    <row r="9" spans="1:22">
      <c r="A9" s="18" t="s">
        <v>150</v>
      </c>
      <c r="B9" s="28">
        <v>0.11767346500608838</v>
      </c>
      <c r="C9" s="33">
        <f t="shared" si="7"/>
        <v>52.374607030697334</v>
      </c>
      <c r="D9" s="29">
        <v>9.1220707587408856E-2</v>
      </c>
      <c r="E9" s="33">
        <f t="shared" si="7"/>
        <v>5.8377056032463459</v>
      </c>
      <c r="F9" s="29">
        <v>1.321014427605091E-2</v>
      </c>
      <c r="G9" s="33">
        <f t="shared" si="0"/>
        <v>0.68890032210881946</v>
      </c>
      <c r="H9" s="176">
        <f t="shared" si="8"/>
        <v>58.901212956052504</v>
      </c>
      <c r="I9" s="28">
        <v>0.11555034569589615</v>
      </c>
      <c r="J9" s="33">
        <f t="shared" si="1"/>
        <v>67.714977729510252</v>
      </c>
      <c r="K9" s="29">
        <v>8.8668156364315812E-2</v>
      </c>
      <c r="L9" s="33">
        <f t="shared" si="2"/>
        <v>0.80814367776106066</v>
      </c>
      <c r="M9" s="29">
        <v>2.5849062010687172E-2</v>
      </c>
      <c r="N9" s="33">
        <f t="shared" si="3"/>
        <v>0.63263847902944725</v>
      </c>
      <c r="O9" s="176">
        <f t="shared" si="9"/>
        <v>69.155759886300771</v>
      </c>
      <c r="P9" s="28">
        <v>0.11306856340486911</v>
      </c>
      <c r="Q9" s="33">
        <f t="shared" si="4"/>
        <v>68.783604919353479</v>
      </c>
      <c r="R9" s="29">
        <v>8.8662107401540374E-2</v>
      </c>
      <c r="S9" s="33">
        <f t="shared" si="5"/>
        <v>0.15110177895576032</v>
      </c>
      <c r="T9" s="29">
        <v>1.6836912123018435E-2</v>
      </c>
      <c r="U9" s="33">
        <f t="shared" si="6"/>
        <v>0.3989312234858341</v>
      </c>
      <c r="V9" s="176">
        <f>Q9+S9+U9</f>
        <v>69.333637921795074</v>
      </c>
    </row>
    <row r="10" spans="1:22">
      <c r="A10" s="18" t="s">
        <v>151</v>
      </c>
      <c r="B10" s="28">
        <v>1.6574677268579214E-2</v>
      </c>
      <c r="C10" s="33">
        <f t="shared" si="7"/>
        <v>7.377127957926227</v>
      </c>
      <c r="D10" s="29">
        <v>9.2294550115757223E-3</v>
      </c>
      <c r="E10" s="33">
        <f t="shared" si="7"/>
        <v>0.59064265845951991</v>
      </c>
      <c r="F10" s="29">
        <v>0</v>
      </c>
      <c r="G10" s="33">
        <f t="shared" si="0"/>
        <v>0</v>
      </c>
      <c r="H10" s="176">
        <f t="shared" si="8"/>
        <v>7.9677706163857467</v>
      </c>
      <c r="I10" s="28">
        <v>1.5951280694889942E-2</v>
      </c>
      <c r="J10" s="33">
        <f t="shared" si="1"/>
        <v>9.3477921723777353</v>
      </c>
      <c r="K10" s="29">
        <v>8.9711950473487893E-3</v>
      </c>
      <c r="L10" s="33">
        <f t="shared" si="2"/>
        <v>8.176570774391341E-2</v>
      </c>
      <c r="M10" s="29">
        <v>0</v>
      </c>
      <c r="N10" s="33">
        <f t="shared" si="3"/>
        <v>0</v>
      </c>
      <c r="O10" s="176">
        <f t="shared" si="9"/>
        <v>9.4295578801216493</v>
      </c>
      <c r="P10" s="28">
        <v>1.5409383355761508E-2</v>
      </c>
      <c r="Q10" s="33">
        <f t="shared" si="4"/>
        <v>9.3740727296435917</v>
      </c>
      <c r="R10" s="29">
        <v>8.8411577674249887E-3</v>
      </c>
      <c r="S10" s="33">
        <f t="shared" si="5"/>
        <v>1.5067481541311127E-2</v>
      </c>
      <c r="T10" s="29">
        <v>0</v>
      </c>
      <c r="U10" s="33">
        <f t="shared" si="6"/>
        <v>0</v>
      </c>
      <c r="V10" s="176">
        <f t="shared" si="10"/>
        <v>9.3891402111849036</v>
      </c>
    </row>
    <row r="11" spans="1:22">
      <c r="A11" s="18" t="s">
        <v>152</v>
      </c>
      <c r="B11" s="28">
        <v>4.4021314881869431E-2</v>
      </c>
      <c r="C11" s="33">
        <f t="shared" si="7"/>
        <v>19.593194334790848</v>
      </c>
      <c r="D11" s="29">
        <v>2.8257195666762391E-2</v>
      </c>
      <c r="E11" s="33">
        <f t="shared" si="7"/>
        <v>1.8083305187895311</v>
      </c>
      <c r="F11" s="29">
        <v>0</v>
      </c>
      <c r="G11" s="33">
        <f t="shared" si="0"/>
        <v>0</v>
      </c>
      <c r="H11" s="176">
        <f t="shared" si="8"/>
        <v>21.40152485358038</v>
      </c>
      <c r="I11" s="28">
        <v>4.2601634522295193E-2</v>
      </c>
      <c r="J11" s="33">
        <f t="shared" si="1"/>
        <v>24.965470380417987</v>
      </c>
      <c r="K11" s="29">
        <v>2.7466498671880391E-2</v>
      </c>
      <c r="L11" s="33">
        <f t="shared" si="2"/>
        <v>0.25033651495708509</v>
      </c>
      <c r="M11" s="29">
        <v>0</v>
      </c>
      <c r="N11" s="33">
        <f t="shared" si="3"/>
        <v>0</v>
      </c>
      <c r="O11" s="176">
        <f t="shared" si="9"/>
        <v>25.215806895375071</v>
      </c>
      <c r="P11" s="28">
        <v>4.0999715896801563E-2</v>
      </c>
      <c r="Q11" s="33">
        <f t="shared" si="4"/>
        <v>24.941576819661719</v>
      </c>
      <c r="R11" s="29">
        <v>2.7690796596824101E-2</v>
      </c>
      <c r="S11" s="33">
        <f t="shared" si="5"/>
        <v>4.719184721758083E-2</v>
      </c>
      <c r="T11" s="29">
        <v>0</v>
      </c>
      <c r="U11" s="33">
        <f t="shared" si="6"/>
        <v>0</v>
      </c>
      <c r="V11" s="176">
        <f t="shared" si="10"/>
        <v>24.988768666879299</v>
      </c>
    </row>
    <row r="12" spans="1:22">
      <c r="A12" s="18" t="s">
        <v>153</v>
      </c>
      <c r="B12" s="28">
        <v>3.8226921438690734E-2</v>
      </c>
      <c r="C12" s="33">
        <f t="shared" si="7"/>
        <v>17.014201020095545</v>
      </c>
      <c r="D12" s="29">
        <v>2.5871904490703691E-2</v>
      </c>
      <c r="E12" s="33">
        <f t="shared" si="7"/>
        <v>1.6556828576155682</v>
      </c>
      <c r="F12" s="29">
        <v>0</v>
      </c>
      <c r="G12" s="33">
        <f t="shared" si="0"/>
        <v>0</v>
      </c>
      <c r="H12" s="176">
        <f t="shared" si="8"/>
        <v>18.669883877711111</v>
      </c>
      <c r="I12" s="28">
        <v>3.7599244000965815E-2</v>
      </c>
      <c r="J12" s="33">
        <f t="shared" si="1"/>
        <v>22.033962380973183</v>
      </c>
      <c r="K12" s="29">
        <v>2.5147953063466493E-2</v>
      </c>
      <c r="L12" s="33">
        <f t="shared" si="2"/>
        <v>0.22920471238140377</v>
      </c>
      <c r="M12" s="29">
        <v>0</v>
      </c>
      <c r="N12" s="33">
        <f t="shared" si="3"/>
        <v>0</v>
      </c>
      <c r="O12" s="176">
        <f t="shared" si="9"/>
        <v>22.263167093354586</v>
      </c>
      <c r="P12" s="28">
        <v>3.688397749822498E-2</v>
      </c>
      <c r="Q12" s="33">
        <f t="shared" si="4"/>
        <v>22.437827630371913</v>
      </c>
      <c r="R12" s="29">
        <v>2.5625093410624623E-2</v>
      </c>
      <c r="S12" s="33">
        <f t="shared" si="5"/>
        <v>4.3671386951328453E-2</v>
      </c>
      <c r="T12" s="29">
        <v>0</v>
      </c>
      <c r="U12" s="33">
        <f t="shared" si="6"/>
        <v>0</v>
      </c>
      <c r="V12" s="176">
        <f t="shared" si="10"/>
        <v>22.481499017323241</v>
      </c>
    </row>
    <row r="13" spans="1:22">
      <c r="A13" s="18" t="s">
        <v>154</v>
      </c>
      <c r="B13" s="28">
        <v>5.1564305792771332E-2</v>
      </c>
      <c r="C13" s="33">
        <f t="shared" si="7"/>
        <v>22.950460858506865</v>
      </c>
      <c r="D13" s="29">
        <v>3.2948136456119187E-2</v>
      </c>
      <c r="E13" s="33">
        <f t="shared" si="7"/>
        <v>2.1085291475305437</v>
      </c>
      <c r="F13" s="29">
        <v>5.7081085542268458E-3</v>
      </c>
      <c r="G13" s="33">
        <f t="shared" si="0"/>
        <v>0.29767410101402192</v>
      </c>
      <c r="H13" s="176">
        <f t="shared" si="8"/>
        <v>25.356664107051429</v>
      </c>
      <c r="I13" s="28">
        <v>5.0320874331174478E-2</v>
      </c>
      <c r="J13" s="33">
        <f t="shared" si="1"/>
        <v>29.489110258767344</v>
      </c>
      <c r="K13" s="29">
        <v>3.2026176867841309E-2</v>
      </c>
      <c r="L13" s="33">
        <f t="shared" si="2"/>
        <v>0.29189455854096796</v>
      </c>
      <c r="M13" s="29">
        <v>5.5815589032491685E-3</v>
      </c>
      <c r="N13" s="33">
        <f t="shared" si="3"/>
        <v>0.13660491563310512</v>
      </c>
      <c r="O13" s="176">
        <f t="shared" si="9"/>
        <v>29.917609732941415</v>
      </c>
      <c r="P13" s="28">
        <v>4.9185261841767046E-2</v>
      </c>
      <c r="Q13" s="33">
        <f t="shared" si="4"/>
        <v>29.921133836864222</v>
      </c>
      <c r="R13" s="29">
        <v>3.2488466809191208E-2</v>
      </c>
      <c r="S13" s="33">
        <f t="shared" si="5"/>
        <v>5.5368243258434868E-2</v>
      </c>
      <c r="T13" s="29">
        <v>3.0837675769071235E-3</v>
      </c>
      <c r="U13" s="33">
        <f t="shared" si="6"/>
        <v>7.3066317826748786E-2</v>
      </c>
      <c r="V13" s="176">
        <f t="shared" si="10"/>
        <v>30.049568397949407</v>
      </c>
    </row>
    <row r="14" spans="1:22">
      <c r="A14" s="19" t="s">
        <v>10</v>
      </c>
      <c r="B14" s="31"/>
      <c r="C14" s="32">
        <f>B20*H14</f>
        <v>445.08425946314651</v>
      </c>
      <c r="D14" s="32"/>
      <c r="E14" s="32">
        <f>B21*H14</f>
        <v>63.995399264499035</v>
      </c>
      <c r="F14" s="32"/>
      <c r="G14" s="32">
        <f>B22*H14</f>
        <v>52.149341272354519</v>
      </c>
      <c r="H14" s="177">
        <v>561.22900000000004</v>
      </c>
      <c r="I14" s="31"/>
      <c r="J14" s="32">
        <f>C20*O14</f>
        <v>586.02142054790238</v>
      </c>
      <c r="K14" s="32"/>
      <c r="L14" s="32">
        <f>C21*O14</f>
        <v>9.1142492513388405</v>
      </c>
      <c r="M14" s="32"/>
      <c r="N14" s="32">
        <f>C22*O14</f>
        <v>24.474330200758768</v>
      </c>
      <c r="O14" s="177">
        <v>619.61</v>
      </c>
      <c r="P14" s="31"/>
      <c r="Q14" s="32">
        <f>D20*V14</f>
        <v>608.33535730932817</v>
      </c>
      <c r="R14" s="32"/>
      <c r="S14" s="32">
        <f>D21*V14</f>
        <v>1.7042430344164723</v>
      </c>
      <c r="T14" s="32"/>
      <c r="U14" s="32">
        <f>D22*V14</f>
        <v>23.693847219196375</v>
      </c>
      <c r="V14" s="177">
        <v>633.73344756294102</v>
      </c>
    </row>
    <row r="15" spans="1:22">
      <c r="O15" s="139"/>
    </row>
    <row r="19" spans="1:23">
      <c r="A19" s="1" t="s">
        <v>155</v>
      </c>
      <c r="B19" s="1">
        <v>2005</v>
      </c>
      <c r="C19" s="1">
        <v>2011</v>
      </c>
      <c r="D19" s="1">
        <v>2016</v>
      </c>
      <c r="J19" s="1" t="s">
        <v>2</v>
      </c>
      <c r="K19" s="1" t="s">
        <v>3</v>
      </c>
      <c r="L19" s="1" t="s">
        <v>4</v>
      </c>
      <c r="M19" s="1" t="s">
        <v>5</v>
      </c>
      <c r="N19" s="1" t="s">
        <v>6</v>
      </c>
      <c r="O19" s="1" t="s">
        <v>7</v>
      </c>
      <c r="P19" s="1" t="s">
        <v>8</v>
      </c>
      <c r="Q19" s="1" t="s">
        <v>9</v>
      </c>
    </row>
    <row r="20" spans="1:23">
      <c r="A20" t="s">
        <v>138</v>
      </c>
      <c r="B20" s="7">
        <v>0.79305285269140846</v>
      </c>
      <c r="C20" s="7">
        <v>0.94579077249867238</v>
      </c>
      <c r="D20" s="7">
        <v>0.95992307120401699</v>
      </c>
      <c r="H20" s="18" t="s">
        <v>147</v>
      </c>
      <c r="I20">
        <v>252.00026707776627</v>
      </c>
      <c r="J20">
        <f>I25</f>
        <v>27.277067964403606</v>
      </c>
      <c r="K20">
        <f>I27</f>
        <v>32.363218730375962</v>
      </c>
      <c r="L20">
        <f>I26</f>
        <v>24.083065214926332</v>
      </c>
      <c r="M20">
        <f>I24</f>
        <v>10.200375194716923</v>
      </c>
      <c r="N20">
        <f>I23</f>
        <v>74.808883585422308</v>
      </c>
      <c r="O20">
        <f>I21</f>
        <v>110.86476957032693</v>
      </c>
      <c r="P20">
        <f>I22</f>
        <v>138.66224763786045</v>
      </c>
      <c r="Q20">
        <f>I20</f>
        <v>252.00026707776627</v>
      </c>
    </row>
    <row r="21" spans="1:23">
      <c r="A21" t="s">
        <v>140</v>
      </c>
      <c r="B21" s="7">
        <v>0.11402724959775605</v>
      </c>
      <c r="C21" s="7">
        <v>1.4709654865703975E-2</v>
      </c>
      <c r="D21" s="7">
        <v>2.6892111201803192E-3</v>
      </c>
      <c r="H21" s="18" t="s">
        <v>148</v>
      </c>
      <c r="I21">
        <v>110.86476957032693</v>
      </c>
    </row>
    <row r="22" spans="1:23">
      <c r="A22" t="s">
        <v>142</v>
      </c>
      <c r="B22" s="7">
        <v>9.2919897710835531E-2</v>
      </c>
      <c r="C22" s="7">
        <v>3.9499572635623648E-2</v>
      </c>
      <c r="D22" s="7">
        <v>3.7387717675802734E-2</v>
      </c>
      <c r="H22" s="18" t="s">
        <v>149</v>
      </c>
      <c r="I22">
        <v>138.66224763786045</v>
      </c>
    </row>
    <row r="23" spans="1:23">
      <c r="H23" s="18" t="s">
        <v>150</v>
      </c>
      <c r="I23">
        <v>74.808883585422308</v>
      </c>
    </row>
    <row r="24" spans="1:23">
      <c r="A24" t="s">
        <v>156</v>
      </c>
      <c r="H24" s="18" t="s">
        <v>151</v>
      </c>
      <c r="I24">
        <v>10.200375194716923</v>
      </c>
    </row>
    <row r="25" spans="1:23">
      <c r="A25" t="s">
        <v>157</v>
      </c>
      <c r="H25" s="18" t="s">
        <v>152</v>
      </c>
      <c r="I25">
        <v>27.277067964403606</v>
      </c>
    </row>
    <row r="26" spans="1:23">
      <c r="A26" t="s">
        <v>158</v>
      </c>
      <c r="H26" s="18" t="s">
        <v>153</v>
      </c>
      <c r="I26">
        <v>24.083065214926332</v>
      </c>
    </row>
    <row r="27" spans="1:23">
      <c r="H27" s="18" t="s">
        <v>154</v>
      </c>
      <c r="I27">
        <v>32.363218730375962</v>
      </c>
    </row>
    <row r="29" spans="1:23">
      <c r="A29" t="s">
        <v>159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:23">
      <c r="B30">
        <v>2005</v>
      </c>
      <c r="C30">
        <v>2011</v>
      </c>
      <c r="D30">
        <v>2016</v>
      </c>
    </row>
    <row r="31" spans="1:23">
      <c r="A31" s="18" t="s">
        <v>147</v>
      </c>
      <c r="B31">
        <f>(H6/H$14)*B$39</f>
        <v>23.299174625171997</v>
      </c>
      <c r="C31">
        <f>(O6/O$14)*C$39</f>
        <v>19.043041597801366</v>
      </c>
      <c r="D31">
        <f>(V6/V$14)*D$39</f>
        <v>20.978089201752574</v>
      </c>
    </row>
    <row r="32" spans="1:23">
      <c r="A32" s="18" t="s">
        <v>148</v>
      </c>
      <c r="B32">
        <f t="shared" ref="B32:B38" si="11">(H7/H$14)*B$39</f>
        <v>8.408625971333052</v>
      </c>
      <c r="C32">
        <f t="shared" ref="C32:C38" si="12">(O7/O$14)*C$39</f>
        <v>8.3777784965874265</v>
      </c>
      <c r="D32">
        <f t="shared" ref="D32:D38" si="13">(V7/V$14)*D$39</f>
        <v>8.9222093408152503</v>
      </c>
    </row>
    <row r="33" spans="1:4">
      <c r="A33" s="18" t="s">
        <v>149</v>
      </c>
      <c r="B33">
        <f t="shared" si="11"/>
        <v>10.516663567181713</v>
      </c>
      <c r="C33">
        <f t="shared" si="12"/>
        <v>10.478365679658378</v>
      </c>
      <c r="D33">
        <f t="shared" si="13"/>
        <v>11.218278376039512</v>
      </c>
    </row>
    <row r="34" spans="1:4">
      <c r="A34" s="18" t="s">
        <v>150</v>
      </c>
      <c r="B34">
        <f t="shared" si="11"/>
        <v>5.7982908310562893</v>
      </c>
      <c r="C34">
        <f t="shared" si="12"/>
        <v>5.6531236991215348</v>
      </c>
      <c r="D34">
        <f t="shared" si="13"/>
        <v>5.9705869198489445</v>
      </c>
    </row>
    <row r="35" spans="1:4">
      <c r="A35" s="18" t="s">
        <v>151</v>
      </c>
      <c r="B35">
        <f t="shared" si="11"/>
        <v>0.78435483736845324</v>
      </c>
      <c r="C35">
        <f t="shared" si="12"/>
        <v>0.77081731459527369</v>
      </c>
      <c r="D35">
        <f t="shared" si="13"/>
        <v>0.80853506917897155</v>
      </c>
    </row>
    <row r="36" spans="1:4">
      <c r="A36" s="18" t="s">
        <v>152</v>
      </c>
      <c r="B36">
        <f t="shared" si="11"/>
        <v>2.1067862460103561</v>
      </c>
      <c r="C36">
        <f t="shared" si="12"/>
        <v>2.0612610690285353</v>
      </c>
      <c r="D36">
        <f t="shared" si="13"/>
        <v>2.1518792294425437</v>
      </c>
    </row>
    <row r="37" spans="1:4">
      <c r="A37" s="18" t="s">
        <v>153</v>
      </c>
      <c r="B37">
        <f t="shared" si="11"/>
        <v>1.8378809377964465</v>
      </c>
      <c r="C37">
        <f t="shared" si="12"/>
        <v>1.8198981215717462</v>
      </c>
      <c r="D37">
        <f t="shared" si="13"/>
        <v>1.9359685716019883</v>
      </c>
    </row>
    <row r="38" spans="1:4">
      <c r="A38" s="18" t="s">
        <v>154</v>
      </c>
      <c r="B38">
        <f t="shared" si="11"/>
        <v>2.4961338760169376</v>
      </c>
      <c r="C38">
        <f t="shared" si="12"/>
        <v>2.4456089974345456</v>
      </c>
      <c r="D38">
        <f t="shared" si="13"/>
        <v>2.5876842093050505</v>
      </c>
    </row>
    <row r="39" spans="1:4">
      <c r="A39" s="19" t="s">
        <v>10</v>
      </c>
      <c r="B39">
        <f>'MMTOA Breakout'!B24</f>
        <v>55.247910891935241</v>
      </c>
      <c r="C39">
        <f>'MMTOA Breakout'!C24</f>
        <v>50.649894975798809</v>
      </c>
      <c r="D39">
        <f>'MMTOA Breakout'!D24</f>
        <v>54.573230917984837</v>
      </c>
    </row>
    <row r="42" spans="1:4">
      <c r="A42" t="s">
        <v>160</v>
      </c>
      <c r="B42">
        <v>2005</v>
      </c>
      <c r="C42">
        <v>2011</v>
      </c>
      <c r="D42">
        <v>2016</v>
      </c>
    </row>
    <row r="43" spans="1:4">
      <c r="A43" s="18" t="s">
        <v>147</v>
      </c>
      <c r="B43" s="179">
        <f>B31+H6</f>
        <v>259.98092900476496</v>
      </c>
      <c r="C43" s="179">
        <f>C31+O6</f>
        <v>252.00026707776627</v>
      </c>
      <c r="D43" s="179">
        <f>D31+V6</f>
        <v>264.58684333780838</v>
      </c>
    </row>
    <row r="44" spans="1:4">
      <c r="A44" s="18" t="s">
        <v>148</v>
      </c>
      <c r="B44" s="179">
        <f t="shared" ref="B44:B50" si="14">B32+H7</f>
        <v>93.826602308862832</v>
      </c>
      <c r="C44" s="179">
        <f t="shared" ref="C44:C50" si="15">C32+O7</f>
        <v>110.86476957032693</v>
      </c>
      <c r="D44" s="179">
        <f t="shared" ref="D44:D50" si="16">D32+V7</f>
        <v>112.53166017085078</v>
      </c>
    </row>
    <row r="45" spans="1:4">
      <c r="A45" s="18" t="s">
        <v>149</v>
      </c>
      <c r="B45" s="179">
        <f t="shared" si="14"/>
        <v>117.34887643927787</v>
      </c>
      <c r="C45" s="179">
        <f t="shared" si="15"/>
        <v>138.66224763786045</v>
      </c>
      <c r="D45" s="179">
        <f t="shared" si="16"/>
        <v>141.4909067577573</v>
      </c>
    </row>
    <row r="46" spans="1:4">
      <c r="A46" s="18" t="s">
        <v>150</v>
      </c>
      <c r="B46" s="179">
        <f t="shared" si="14"/>
        <v>64.699503787108796</v>
      </c>
      <c r="C46" s="179">
        <f t="shared" si="15"/>
        <v>74.808883585422308</v>
      </c>
      <c r="D46" s="179">
        <f t="shared" si="16"/>
        <v>75.304224841644015</v>
      </c>
    </row>
    <row r="47" spans="1:4">
      <c r="A47" s="18" t="s">
        <v>151</v>
      </c>
      <c r="B47" s="179">
        <f t="shared" si="14"/>
        <v>8.7521254537541999</v>
      </c>
      <c r="C47" s="179">
        <f t="shared" si="15"/>
        <v>10.200375194716923</v>
      </c>
      <c r="D47" s="179">
        <f t="shared" si="16"/>
        <v>10.197675280363875</v>
      </c>
    </row>
    <row r="48" spans="1:4">
      <c r="A48" s="18" t="s">
        <v>152</v>
      </c>
      <c r="B48" s="179">
        <f t="shared" si="14"/>
        <v>23.508311099590735</v>
      </c>
      <c r="C48" s="179">
        <f t="shared" si="15"/>
        <v>27.277067964403606</v>
      </c>
      <c r="D48" s="179">
        <f t="shared" si="16"/>
        <v>27.140647896321841</v>
      </c>
    </row>
    <row r="49" spans="1:4">
      <c r="A49" s="18" t="s">
        <v>153</v>
      </c>
      <c r="B49" s="179">
        <f t="shared" si="14"/>
        <v>20.507764815507556</v>
      </c>
      <c r="C49" s="179">
        <f t="shared" si="15"/>
        <v>24.083065214926332</v>
      </c>
      <c r="D49" s="179">
        <f t="shared" si="16"/>
        <v>24.417467588925231</v>
      </c>
    </row>
    <row r="50" spans="1:4">
      <c r="A50" s="18" t="s">
        <v>154</v>
      </c>
      <c r="B50" s="179">
        <f t="shared" si="14"/>
        <v>27.852797983068367</v>
      </c>
      <c r="C50" s="179">
        <f t="shared" si="15"/>
        <v>32.363218730375962</v>
      </c>
      <c r="D50" s="179">
        <f t="shared" si="16"/>
        <v>32.63725260725446</v>
      </c>
    </row>
    <row r="51" spans="1:4">
      <c r="A51" s="19" t="s">
        <v>10</v>
      </c>
      <c r="B51" s="178">
        <f>SUM(B43:B50)</f>
        <v>616.4769108919354</v>
      </c>
      <c r="C51" s="178">
        <f>SUM(C43:C50)</f>
        <v>670.25989497579883</v>
      </c>
      <c r="D51" s="178">
        <f>SUM(D43:D50)</f>
        <v>688.30667848092594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Q37" sqref="Q3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/>
  <dimension ref="A1:D27"/>
  <sheetViews>
    <sheetView workbookViewId="0">
      <selection activeCell="D19" sqref="D19:D26"/>
    </sheetView>
  </sheetViews>
  <sheetFormatPr defaultRowHeight="15"/>
  <cols>
    <col min="1" max="1" width="18.85546875" customWidth="1"/>
  </cols>
  <sheetData>
    <row r="1" spans="1:4">
      <c r="B1" s="1">
        <v>2005</v>
      </c>
      <c r="C1" s="1">
        <v>2011</v>
      </c>
      <c r="D1" s="1">
        <v>2016</v>
      </c>
    </row>
    <row r="2" spans="1:4">
      <c r="C2" s="1"/>
      <c r="D2" s="1"/>
    </row>
    <row r="3" spans="1:4">
      <c r="A3" s="3" t="s">
        <v>51</v>
      </c>
      <c r="B3" s="3"/>
    </row>
    <row r="4" spans="1:4">
      <c r="A4" s="3" t="s">
        <v>34</v>
      </c>
      <c r="B4" s="48">
        <v>0</v>
      </c>
      <c r="C4">
        <v>1415.0429999999999</v>
      </c>
      <c r="D4">
        <v>1372.777</v>
      </c>
    </row>
    <row r="5" spans="1:4">
      <c r="A5" s="3" t="s">
        <v>161</v>
      </c>
      <c r="B5">
        <v>0</v>
      </c>
      <c r="C5">
        <v>0</v>
      </c>
      <c r="D5">
        <v>309.25</v>
      </c>
    </row>
    <row r="7" spans="1:4">
      <c r="A7" s="49" t="s">
        <v>162</v>
      </c>
      <c r="B7" s="50">
        <v>2005</v>
      </c>
      <c r="C7" s="50">
        <v>2011</v>
      </c>
      <c r="D7" s="50" t="s">
        <v>163</v>
      </c>
    </row>
    <row r="8" spans="1:4">
      <c r="A8" s="51" t="s">
        <v>2</v>
      </c>
      <c r="B8" s="52">
        <v>1.4807731938418884E-2</v>
      </c>
      <c r="C8" s="52">
        <v>1.3423411328254666E-2</v>
      </c>
      <c r="D8" s="52">
        <v>1.1710452831287294E-2</v>
      </c>
    </row>
    <row r="9" spans="1:4">
      <c r="A9" s="51" t="s">
        <v>3</v>
      </c>
      <c r="B9" s="52">
        <v>1.3727854652536842E-2</v>
      </c>
      <c r="C9" s="52">
        <v>1.3276549207120535E-2</v>
      </c>
      <c r="D9" s="52">
        <v>1.3089524489437582E-2</v>
      </c>
    </row>
    <row r="10" spans="1:4">
      <c r="A10" s="51" t="s">
        <v>4</v>
      </c>
      <c r="B10" s="52">
        <v>1.4686211625710405E-2</v>
      </c>
      <c r="C10" s="52">
        <v>1.4595171608252439E-2</v>
      </c>
      <c r="D10" s="52">
        <v>1.3171995900394534E-2</v>
      </c>
    </row>
    <row r="11" spans="1:4">
      <c r="A11" s="51" t="s">
        <v>5</v>
      </c>
      <c r="B11" s="52">
        <v>3.0398695284774625E-3</v>
      </c>
      <c r="C11" s="52">
        <v>2.9361765637206739E-3</v>
      </c>
      <c r="D11" s="52">
        <v>2.7713769778587812E-3</v>
      </c>
    </row>
    <row r="12" spans="1:4">
      <c r="A12" s="51" t="s">
        <v>6</v>
      </c>
      <c r="B12" s="52">
        <v>6.9588882526926299E-2</v>
      </c>
      <c r="C12" s="52">
        <v>6.5039922496038807E-2</v>
      </c>
      <c r="D12" s="52">
        <v>6.0850373021546625E-2</v>
      </c>
    </row>
    <row r="13" spans="1:4">
      <c r="A13" s="51" t="s">
        <v>7</v>
      </c>
      <c r="B13" s="52">
        <v>8.3245708650706587E-2</v>
      </c>
      <c r="C13" s="52">
        <v>7.900803367203571E-2</v>
      </c>
      <c r="D13" s="52">
        <v>7.7413794737762276E-2</v>
      </c>
    </row>
    <row r="14" spans="1:4">
      <c r="A14" s="51" t="s">
        <v>8</v>
      </c>
      <c r="B14" s="52">
        <v>7.9709180063127605E-2</v>
      </c>
      <c r="C14" s="52">
        <v>7.9898022555089682E-2</v>
      </c>
      <c r="D14" s="52">
        <v>7.748473219771583E-2</v>
      </c>
    </row>
    <row r="15" spans="1:4">
      <c r="A15" s="51" t="s">
        <v>9</v>
      </c>
      <c r="B15" s="52">
        <v>0.72119456101409596</v>
      </c>
      <c r="C15" s="52">
        <v>0.7318227125694875</v>
      </c>
      <c r="D15" s="52">
        <v>0.74350774984399703</v>
      </c>
    </row>
    <row r="16" spans="1:4">
      <c r="A16" s="53" t="s">
        <v>25</v>
      </c>
      <c r="B16" s="54">
        <v>1</v>
      </c>
      <c r="C16" s="54">
        <v>1</v>
      </c>
      <c r="D16" s="54">
        <v>1</v>
      </c>
    </row>
    <row r="18" spans="1:4">
      <c r="A18" s="49" t="s">
        <v>164</v>
      </c>
      <c r="B18" s="50">
        <v>2005</v>
      </c>
      <c r="C18" s="50">
        <v>2011</v>
      </c>
      <c r="D18" s="50">
        <v>2016</v>
      </c>
    </row>
    <row r="19" spans="1:4">
      <c r="A19" s="51" t="s">
        <v>2</v>
      </c>
      <c r="B19" s="55">
        <f>B8*B$4</f>
        <v>0</v>
      </c>
      <c r="C19" s="55">
        <f>C8*C$4</f>
        <v>18.994704236167465</v>
      </c>
      <c r="D19" s="55">
        <f>D8*(D$4 + D$5)</f>
        <v>19.697297844451672</v>
      </c>
    </row>
    <row r="20" spans="1:4">
      <c r="A20" s="51" t="s">
        <v>3</v>
      </c>
      <c r="B20" s="55">
        <f t="shared" ref="B20:C26" si="0">B9*B$4</f>
        <v>0</v>
      </c>
      <c r="C20" s="55">
        <f t="shared" si="0"/>
        <v>18.78688801969146</v>
      </c>
      <c r="D20" s="55">
        <f t="shared" ref="D20:D26" si="1">D9*(D$4 + D$5)</f>
        <v>22.016933608395227</v>
      </c>
    </row>
    <row r="21" spans="1:4">
      <c r="A21" s="51" t="s">
        <v>4</v>
      </c>
      <c r="B21" s="55">
        <f t="shared" si="0"/>
        <v>0</v>
      </c>
      <c r="C21" s="55">
        <f t="shared" si="0"/>
        <v>20.652795418056353</v>
      </c>
      <c r="D21" s="55">
        <f t="shared" si="1"/>
        <v>22.155652748352917</v>
      </c>
    </row>
    <row r="22" spans="1:4">
      <c r="A22" s="51" t="s">
        <v>5</v>
      </c>
      <c r="B22" s="55">
        <f t="shared" si="0"/>
        <v>0</v>
      </c>
      <c r="C22" s="55">
        <f t="shared" si="0"/>
        <v>4.1548160932569935</v>
      </c>
      <c r="D22" s="55">
        <f t="shared" si="1"/>
        <v>4.661530903936872</v>
      </c>
    </row>
    <row r="23" spans="1:4">
      <c r="A23" s="51" t="s">
        <v>6</v>
      </c>
      <c r="B23" s="55">
        <f t="shared" si="0"/>
        <v>0</v>
      </c>
      <c r="C23" s="55">
        <f t="shared" si="0"/>
        <v>92.034287048562234</v>
      </c>
      <c r="D23" s="55">
        <f t="shared" si="1"/>
        <v>102.35197038231301</v>
      </c>
    </row>
    <row r="24" spans="1:4">
      <c r="A24" s="51" t="s">
        <v>7</v>
      </c>
      <c r="B24" s="55">
        <f t="shared" si="0"/>
        <v>0</v>
      </c>
      <c r="C24" s="55">
        <f t="shared" si="0"/>
        <v>111.79976499137842</v>
      </c>
      <c r="D24" s="55">
        <f t="shared" si="1"/>
        <v>130.21209292137408</v>
      </c>
    </row>
    <row r="25" spans="1:4">
      <c r="A25" s="51" t="s">
        <v>8</v>
      </c>
      <c r="B25" s="55">
        <f t="shared" si="0"/>
        <v>0</v>
      </c>
      <c r="C25" s="55">
        <f t="shared" si="0"/>
        <v>113.05913753042176</v>
      </c>
      <c r="D25" s="55">
        <f t="shared" si="1"/>
        <v>130.33141164432737</v>
      </c>
    </row>
    <row r="26" spans="1:4">
      <c r="A26" s="51" t="s">
        <v>9</v>
      </c>
      <c r="B26" s="55">
        <f t="shared" si="0"/>
        <v>0</v>
      </c>
      <c r="C26" s="55">
        <f t="shared" si="0"/>
        <v>1035.5606066624653</v>
      </c>
      <c r="D26" s="55">
        <f t="shared" si="1"/>
        <v>1250.6001099468488</v>
      </c>
    </row>
    <row r="27" spans="1:4">
      <c r="A27" s="53" t="s">
        <v>25</v>
      </c>
      <c r="B27" s="56">
        <f>SUM(B19:B26)</f>
        <v>0</v>
      </c>
      <c r="C27" s="56">
        <f>SUM(C19:C26)</f>
        <v>1415.0429999999999</v>
      </c>
      <c r="D27" s="56">
        <f>SUM(D19:D26)</f>
        <v>1682.027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/>
  <dimension ref="A1:O56"/>
  <sheetViews>
    <sheetView topLeftCell="A22" workbookViewId="0">
      <selection activeCell="N40" sqref="N40"/>
    </sheetView>
  </sheetViews>
  <sheetFormatPr defaultRowHeight="15"/>
  <cols>
    <col min="1" max="1" width="24" customWidth="1"/>
  </cols>
  <sheetData>
    <row r="1" spans="1:7">
      <c r="A1" s="1" t="s">
        <v>165</v>
      </c>
      <c r="B1" s="1">
        <v>2011</v>
      </c>
      <c r="C1" s="1">
        <v>2016</v>
      </c>
      <c r="D1" s="1"/>
      <c r="E1" s="1"/>
      <c r="F1" s="1"/>
      <c r="G1" s="1"/>
    </row>
    <row r="2" spans="1:7">
      <c r="A2" t="s">
        <v>166</v>
      </c>
      <c r="B2">
        <v>24.703762960665202</v>
      </c>
      <c r="C2">
        <v>10.746460756682893</v>
      </c>
    </row>
    <row r="3" spans="1:7">
      <c r="A3" t="s">
        <v>167</v>
      </c>
      <c r="B3">
        <v>156.99081267326025</v>
      </c>
      <c r="C3">
        <v>171.81513271842169</v>
      </c>
    </row>
    <row r="4" spans="1:7">
      <c r="A4" t="s">
        <v>168</v>
      </c>
      <c r="B4">
        <v>84.111017458296772</v>
      </c>
      <c r="C4">
        <v>67.992523785122557</v>
      </c>
    </row>
    <row r="5" spans="1:7">
      <c r="A5" t="s">
        <v>169</v>
      </c>
      <c r="B5">
        <v>37.437407477777775</v>
      </c>
      <c r="C5">
        <v>49.75688273977282</v>
      </c>
    </row>
    <row r="6" spans="1:7">
      <c r="A6" s="1" t="s">
        <v>10</v>
      </c>
      <c r="B6" s="1">
        <v>303.24300056999999</v>
      </c>
      <c r="C6" s="1">
        <v>300.31099999999998</v>
      </c>
      <c r="D6" s="1"/>
      <c r="E6" s="1"/>
      <c r="F6" s="1"/>
      <c r="G6" s="1"/>
    </row>
    <row r="9" spans="1:7">
      <c r="A9" s="19" t="s">
        <v>170</v>
      </c>
      <c r="B9" s="19">
        <v>2011</v>
      </c>
      <c r="C9" s="19">
        <v>2016</v>
      </c>
      <c r="D9" s="57"/>
      <c r="E9" s="57"/>
    </row>
    <row r="10" spans="1:7">
      <c r="A10" s="18" t="s">
        <v>147</v>
      </c>
      <c r="B10" s="7">
        <v>0.4940842338557086</v>
      </c>
      <c r="C10" s="7">
        <v>0.50791166338519977</v>
      </c>
    </row>
    <row r="11" spans="1:7">
      <c r="A11" s="18" t="s">
        <v>148</v>
      </c>
      <c r="B11" s="7">
        <v>0.14476880980029477</v>
      </c>
      <c r="C11" s="7">
        <v>0.14084620941959142</v>
      </c>
    </row>
    <row r="12" spans="1:7">
      <c r="A12" s="18" t="s">
        <v>149</v>
      </c>
      <c r="B12" s="7">
        <v>0.15891219984267096</v>
      </c>
      <c r="C12" s="7">
        <v>0.1542662712902515</v>
      </c>
    </row>
    <row r="13" spans="1:7">
      <c r="A13" s="18" t="s">
        <v>150</v>
      </c>
      <c r="B13" s="7">
        <v>9.3621832809443986E-2</v>
      </c>
      <c r="C13" s="7">
        <v>9.1683751260473553E-2</v>
      </c>
    </row>
    <row r="14" spans="1:7">
      <c r="A14" s="18" t="s">
        <v>151</v>
      </c>
      <c r="B14" s="7">
        <v>1.1205785130548583E-2</v>
      </c>
      <c r="C14" s="7">
        <v>1.0969321760289615E-2</v>
      </c>
    </row>
    <row r="15" spans="1:7">
      <c r="A15" s="18" t="s">
        <v>152</v>
      </c>
      <c r="B15" s="7">
        <v>3.0831947290351106E-2</v>
      </c>
      <c r="C15" s="7">
        <v>2.9556403165389551E-2</v>
      </c>
    </row>
    <row r="16" spans="1:7">
      <c r="A16" s="18" t="s">
        <v>153</v>
      </c>
      <c r="B16" s="7">
        <v>3.0058722602730636E-2</v>
      </c>
      <c r="C16" s="7">
        <v>2.9317820115354033E-2</v>
      </c>
    </row>
    <row r="17" spans="1:11">
      <c r="A17" s="18" t="s">
        <v>154</v>
      </c>
      <c r="B17" s="7">
        <v>3.651646866825136E-2</v>
      </c>
      <c r="C17" s="7">
        <v>3.5448559603450565E-2</v>
      </c>
    </row>
    <row r="18" spans="1:11">
      <c r="A18" s="19" t="s">
        <v>10</v>
      </c>
      <c r="B18" s="54">
        <v>1.0000000000000002</v>
      </c>
      <c r="C18" s="54">
        <v>1</v>
      </c>
    </row>
    <row r="20" spans="1:11">
      <c r="A20" s="19" t="s">
        <v>171</v>
      </c>
      <c r="B20" s="19">
        <v>2011</v>
      </c>
      <c r="C20" s="19">
        <v>2016</v>
      </c>
    </row>
    <row r="21" spans="1:11">
      <c r="A21" s="18" t="s">
        <v>147</v>
      </c>
      <c r="B21" s="7">
        <v>0.34898373039830338</v>
      </c>
      <c r="C21" s="7">
        <v>0.36115829926238391</v>
      </c>
    </row>
    <row r="22" spans="1:11">
      <c r="A22" s="18" t="s">
        <v>148</v>
      </c>
      <c r="B22" s="7">
        <v>0.17312249771490359</v>
      </c>
      <c r="C22" s="7">
        <v>0.17000010522340683</v>
      </c>
    </row>
    <row r="23" spans="1:11">
      <c r="A23" s="18" t="s">
        <v>149</v>
      </c>
      <c r="B23" s="7">
        <v>0.21587039264157143</v>
      </c>
      <c r="C23" s="7">
        <v>0.21329469351678507</v>
      </c>
    </row>
    <row r="24" spans="1:11">
      <c r="A24" s="18" t="s">
        <v>150</v>
      </c>
      <c r="B24" s="7">
        <v>0.11555034569589615</v>
      </c>
      <c r="C24" s="7">
        <v>0.11306856340486911</v>
      </c>
    </row>
    <row r="25" spans="1:11">
      <c r="A25" s="18" t="s">
        <v>151</v>
      </c>
      <c r="B25" s="7">
        <v>1.5951280694889942E-2</v>
      </c>
      <c r="C25" s="7">
        <v>1.5409383355761508E-2</v>
      </c>
    </row>
    <row r="26" spans="1:11">
      <c r="A26" s="18" t="s">
        <v>152</v>
      </c>
      <c r="B26" s="7">
        <v>4.2601634522295193E-2</v>
      </c>
      <c r="C26" s="7">
        <v>4.0999715896801563E-2</v>
      </c>
    </row>
    <row r="27" spans="1:11">
      <c r="A27" s="18" t="s">
        <v>153</v>
      </c>
      <c r="B27" s="7">
        <v>3.7599244000965815E-2</v>
      </c>
      <c r="C27" s="7">
        <v>3.688397749822498E-2</v>
      </c>
    </row>
    <row r="28" spans="1:11">
      <c r="A28" s="18" t="s">
        <v>154</v>
      </c>
      <c r="B28" s="7">
        <v>5.0320874331174478E-2</v>
      </c>
      <c r="C28" s="7">
        <v>4.9185261841767046E-2</v>
      </c>
    </row>
    <row r="29" spans="1:11">
      <c r="A29" s="19" t="s">
        <v>10</v>
      </c>
      <c r="B29" s="7">
        <v>1</v>
      </c>
      <c r="C29" s="7">
        <v>1</v>
      </c>
    </row>
    <row r="31" spans="1:11">
      <c r="B31" s="20"/>
      <c r="C31" s="17"/>
      <c r="D31" s="222">
        <v>2011</v>
      </c>
      <c r="E31" s="17"/>
      <c r="F31" s="22"/>
      <c r="I31" s="223">
        <v>2016</v>
      </c>
    </row>
    <row r="32" spans="1:11" ht="15.75" thickBot="1">
      <c r="A32" s="24"/>
      <c r="B32" s="101" t="s">
        <v>172</v>
      </c>
      <c r="C32" s="102" t="s">
        <v>173</v>
      </c>
      <c r="D32" s="102" t="s">
        <v>174</v>
      </c>
      <c r="E32" s="102" t="s">
        <v>175</v>
      </c>
      <c r="F32" s="27" t="s">
        <v>10</v>
      </c>
      <c r="G32" s="102" t="s">
        <v>172</v>
      </c>
      <c r="H32" s="102" t="s">
        <v>173</v>
      </c>
      <c r="I32" s="102" t="s">
        <v>174</v>
      </c>
      <c r="J32" s="102" t="s">
        <v>175</v>
      </c>
      <c r="K32" s="103" t="s">
        <v>10</v>
      </c>
    </row>
    <row r="33" spans="1:15">
      <c r="A33" s="18" t="s">
        <v>147</v>
      </c>
      <c r="B33" s="20">
        <f>B10*B$2</f>
        <v>12.205739795773297</v>
      </c>
      <c r="C33" s="17">
        <f>B21*B$3</f>
        <v>54.787239444975604</v>
      </c>
      <c r="D33" s="17">
        <f>B4</f>
        <v>84.111017458296772</v>
      </c>
      <c r="E33" s="17">
        <f>B5</f>
        <v>37.437407477777775</v>
      </c>
      <c r="F33" s="104">
        <f>SUM(B33:E33)</f>
        <v>188.54140417682345</v>
      </c>
      <c r="G33">
        <f>C10*C$2</f>
        <v>5.4582527584305804</v>
      </c>
      <c r="H33">
        <f>C21*C$3</f>
        <v>62.052461120125948</v>
      </c>
      <c r="I33">
        <f>C4</f>
        <v>67.992523785122557</v>
      </c>
      <c r="J33">
        <f>C5</f>
        <v>49.75688273977282</v>
      </c>
      <c r="K33">
        <f>SUM(G33:J33)</f>
        <v>185.26012040345194</v>
      </c>
    </row>
    <row r="34" spans="1:15">
      <c r="A34" s="18" t="s">
        <v>148</v>
      </c>
      <c r="B34" s="20">
        <f t="shared" ref="B34:B40" si="0">B11*B$2</f>
        <v>3.5763343614041077</v>
      </c>
      <c r="C34" s="17">
        <f t="shared" ref="C34:C40" si="1">B22*B$3</f>
        <v>27.178641608287357</v>
      </c>
      <c r="D34" s="17">
        <v>0</v>
      </c>
      <c r="E34" s="17">
        <v>0</v>
      </c>
      <c r="F34" s="104">
        <f t="shared" ref="F34:F40" si="2">SUM(B34:E34)</f>
        <v>30.754975969691465</v>
      </c>
      <c r="G34">
        <f t="shared" ref="G34:G40" si="3">C11*C$2</f>
        <v>1.5135982622551796</v>
      </c>
      <c r="H34">
        <f t="shared" ref="H34:H40" si="4">C22*C$3</f>
        <v>29.2085906411053</v>
      </c>
      <c r="I34">
        <v>0</v>
      </c>
      <c r="J34" s="17">
        <v>0</v>
      </c>
      <c r="K34">
        <f t="shared" ref="K34:K40" si="5">SUM(G34:J34)</f>
        <v>30.722188903360479</v>
      </c>
    </row>
    <row r="35" spans="1:15">
      <c r="A35" s="18" t="s">
        <v>149</v>
      </c>
      <c r="B35" s="20">
        <f t="shared" si="0"/>
        <v>3.9257293164712017</v>
      </c>
      <c r="C35" s="17">
        <f t="shared" si="1"/>
        <v>33.889668372896075</v>
      </c>
      <c r="D35" s="17">
        <v>0</v>
      </c>
      <c r="E35" s="17">
        <v>0</v>
      </c>
      <c r="F35" s="104">
        <f t="shared" si="2"/>
        <v>37.815397689367273</v>
      </c>
      <c r="G35">
        <f t="shared" si="3"/>
        <v>1.6578164305004846</v>
      </c>
      <c r="H35">
        <f t="shared" si="4"/>
        <v>36.647256074721504</v>
      </c>
      <c r="I35">
        <v>0</v>
      </c>
      <c r="J35" s="17">
        <v>0</v>
      </c>
      <c r="K35">
        <f t="shared" si="5"/>
        <v>38.305072505221986</v>
      </c>
    </row>
    <row r="36" spans="1:15">
      <c r="A36" s="18" t="s">
        <v>150</v>
      </c>
      <c r="B36" s="20">
        <f t="shared" si="0"/>
        <v>2.3128115656675323</v>
      </c>
      <c r="C36" s="17">
        <f t="shared" si="1"/>
        <v>18.140342675474894</v>
      </c>
      <c r="D36" s="17">
        <v>0</v>
      </c>
      <c r="E36" s="17">
        <v>0</v>
      </c>
      <c r="F36" s="104">
        <f t="shared" si="2"/>
        <v>20.453154241142428</v>
      </c>
      <c r="G36">
        <f t="shared" si="3"/>
        <v>0.98527583494615478</v>
      </c>
      <c r="H36">
        <f t="shared" si="4"/>
        <v>19.426890227688865</v>
      </c>
      <c r="I36">
        <v>0</v>
      </c>
      <c r="J36" s="17">
        <v>0</v>
      </c>
      <c r="K36">
        <f t="shared" si="5"/>
        <v>20.41216606263502</v>
      </c>
    </row>
    <row r="37" spans="1:15">
      <c r="A37" s="18" t="s">
        <v>151</v>
      </c>
      <c r="B37" s="20">
        <f t="shared" si="0"/>
        <v>0.27682505965321896</v>
      </c>
      <c r="C37" s="17">
        <f t="shared" si="1"/>
        <v>2.5042045194700595</v>
      </c>
      <c r="D37" s="17">
        <v>0</v>
      </c>
      <c r="E37" s="17">
        <v>0</v>
      </c>
      <c r="F37" s="104">
        <f t="shared" si="2"/>
        <v>2.7810295791232784</v>
      </c>
      <c r="G37">
        <f t="shared" si="3"/>
        <v>0.11788138582438006</v>
      </c>
      <c r="H37">
        <f t="shared" si="4"/>
        <v>2.6475652463792017</v>
      </c>
      <c r="I37">
        <v>0</v>
      </c>
      <c r="J37" s="17">
        <v>0</v>
      </c>
      <c r="K37">
        <f t="shared" si="5"/>
        <v>2.7654466322035818</v>
      </c>
    </row>
    <row r="38" spans="1:15">
      <c r="A38" s="18" t="s">
        <v>152</v>
      </c>
      <c r="B38" s="20">
        <f t="shared" si="0"/>
        <v>0.76166511747655752</v>
      </c>
      <c r="C38" s="17">
        <f t="shared" si="1"/>
        <v>6.6880652248643413</v>
      </c>
      <c r="D38" s="17">
        <v>0</v>
      </c>
      <c r="E38" s="17">
        <v>0</v>
      </c>
      <c r="F38" s="104">
        <f t="shared" si="2"/>
        <v>7.4497303423408985</v>
      </c>
      <c r="G38">
        <f t="shared" si="3"/>
        <v>0.31762672672555686</v>
      </c>
      <c r="H38">
        <f t="shared" si="4"/>
        <v>7.0443716282265445</v>
      </c>
      <c r="I38">
        <v>0</v>
      </c>
      <c r="J38" s="17">
        <v>0</v>
      </c>
      <c r="K38">
        <f t="shared" si="5"/>
        <v>7.3619983549521013</v>
      </c>
    </row>
    <row r="39" spans="1:15">
      <c r="A39" s="18" t="s">
        <v>153</v>
      </c>
      <c r="B39" s="20">
        <f t="shared" si="0"/>
        <v>0.74256355807824703</v>
      </c>
      <c r="C39" s="17">
        <f t="shared" si="1"/>
        <v>5.9027358716118288</v>
      </c>
      <c r="D39" s="17">
        <v>0</v>
      </c>
      <c r="E39" s="17">
        <v>0</v>
      </c>
      <c r="F39" s="104">
        <f t="shared" si="2"/>
        <v>6.645299429690076</v>
      </c>
      <c r="G39">
        <f t="shared" si="3"/>
        <v>0.31506280334114045</v>
      </c>
      <c r="H39">
        <f t="shared" si="4"/>
        <v>6.3372254890408044</v>
      </c>
      <c r="I39">
        <v>0</v>
      </c>
      <c r="J39" s="17">
        <v>0</v>
      </c>
      <c r="K39">
        <f t="shared" si="5"/>
        <v>6.6522882923819449</v>
      </c>
    </row>
    <row r="40" spans="1:15">
      <c r="A40" s="18" t="s">
        <v>154</v>
      </c>
      <c r="B40" s="20">
        <f t="shared" si="0"/>
        <v>0.90209418614103931</v>
      </c>
      <c r="C40" s="17">
        <f t="shared" si="1"/>
        <v>7.8999149556800825</v>
      </c>
      <c r="D40" s="17">
        <v>0</v>
      </c>
      <c r="E40" s="17">
        <v>0</v>
      </c>
      <c r="F40" s="104">
        <f t="shared" si="2"/>
        <v>8.8020091418211219</v>
      </c>
      <c r="G40">
        <f t="shared" si="3"/>
        <v>0.38094655465941601</v>
      </c>
      <c r="H40">
        <f t="shared" si="4"/>
        <v>8.4507722911335268</v>
      </c>
      <c r="I40">
        <v>0</v>
      </c>
      <c r="J40" s="17">
        <v>0</v>
      </c>
      <c r="K40">
        <f t="shared" si="5"/>
        <v>8.8317188457929436</v>
      </c>
    </row>
    <row r="41" spans="1:15">
      <c r="A41" s="19" t="s">
        <v>10</v>
      </c>
      <c r="B41" s="20">
        <f t="shared" ref="B41:K41" si="6">SUM(B33:B40)</f>
        <v>24.703762960665202</v>
      </c>
      <c r="C41" s="105">
        <f t="shared" si="6"/>
        <v>156.99081267326025</v>
      </c>
      <c r="D41" s="105">
        <f t="shared" si="6"/>
        <v>84.111017458296772</v>
      </c>
      <c r="E41" s="105">
        <f t="shared" si="6"/>
        <v>37.437407477777775</v>
      </c>
      <c r="F41" s="106">
        <f t="shared" si="6"/>
        <v>303.24300057000005</v>
      </c>
      <c r="G41" s="105">
        <f t="shared" si="6"/>
        <v>10.746460756682891</v>
      </c>
      <c r="H41" s="105">
        <f t="shared" si="6"/>
        <v>171.81513271842167</v>
      </c>
      <c r="I41" s="105">
        <f t="shared" si="6"/>
        <v>67.992523785122557</v>
      </c>
      <c r="J41" s="105">
        <f t="shared" si="6"/>
        <v>49.75688273977282</v>
      </c>
      <c r="K41" s="105">
        <f t="shared" si="6"/>
        <v>300.31100000000004</v>
      </c>
    </row>
    <row r="48" spans="1:15">
      <c r="H48" s="1" t="s">
        <v>2</v>
      </c>
      <c r="I48" s="1" t="s">
        <v>3</v>
      </c>
      <c r="J48" s="1" t="s">
        <v>4</v>
      </c>
      <c r="K48" s="1" t="s">
        <v>5</v>
      </c>
      <c r="L48" s="1" t="s">
        <v>6</v>
      </c>
      <c r="M48" s="1" t="s">
        <v>7</v>
      </c>
      <c r="N48" s="1" t="s">
        <v>8</v>
      </c>
      <c r="O48" s="1" t="s">
        <v>9</v>
      </c>
    </row>
    <row r="49" spans="6:15">
      <c r="F49" s="18" t="s">
        <v>147</v>
      </c>
      <c r="G49">
        <v>185.26012040345194</v>
      </c>
      <c r="H49">
        <f>G54</f>
        <v>7.3619983549521013</v>
      </c>
      <c r="I49">
        <f>G56</f>
        <v>8.8317188457929436</v>
      </c>
      <c r="J49">
        <f>G55</f>
        <v>6.6522882923819449</v>
      </c>
      <c r="K49">
        <f>G53</f>
        <v>2.7654466322035818</v>
      </c>
      <c r="L49">
        <f>G52</f>
        <v>20.41216606263502</v>
      </c>
      <c r="M49">
        <f>G50</f>
        <v>30.722188903360479</v>
      </c>
      <c r="N49">
        <f>G51</f>
        <v>38.305072505221986</v>
      </c>
      <c r="O49">
        <f>G49</f>
        <v>185.26012040345194</v>
      </c>
    </row>
    <row r="50" spans="6:15">
      <c r="F50" s="18" t="s">
        <v>148</v>
      </c>
      <c r="G50">
        <v>30.722188903360479</v>
      </c>
    </row>
    <row r="51" spans="6:15">
      <c r="F51" s="18" t="s">
        <v>149</v>
      </c>
      <c r="G51">
        <v>38.305072505221986</v>
      </c>
    </row>
    <row r="52" spans="6:15">
      <c r="F52" s="18" t="s">
        <v>150</v>
      </c>
      <c r="G52">
        <v>20.41216606263502</v>
      </c>
    </row>
    <row r="53" spans="6:15">
      <c r="F53" s="18" t="s">
        <v>151</v>
      </c>
      <c r="G53">
        <v>2.7654466322035818</v>
      </c>
    </row>
    <row r="54" spans="6:15">
      <c r="F54" s="18" t="s">
        <v>152</v>
      </c>
      <c r="G54">
        <v>7.3619983549521013</v>
      </c>
    </row>
    <row r="55" spans="6:15">
      <c r="F55" s="18" t="s">
        <v>153</v>
      </c>
      <c r="G55">
        <v>6.6522882923819449</v>
      </c>
    </row>
    <row r="56" spans="6:15">
      <c r="F56" s="18" t="s">
        <v>154</v>
      </c>
      <c r="G56">
        <v>8.8317188457929436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showGridLines="0" tabSelected="1" topLeftCell="A22" workbookViewId="0">
      <selection activeCell="G2" sqref="G1:I1048576"/>
    </sheetView>
  </sheetViews>
  <sheetFormatPr defaultRowHeight="15"/>
  <cols>
    <col min="1" max="1" width="12.85546875" customWidth="1"/>
    <col min="2" max="2" width="15.7109375" hidden="1" customWidth="1"/>
    <col min="3" max="5" width="15.7109375" customWidth="1"/>
    <col min="6" max="6" width="15.7109375" hidden="1" customWidth="1"/>
    <col min="7" max="9" width="15.7109375" customWidth="1"/>
  </cols>
  <sheetData>
    <row r="1" spans="1:9">
      <c r="B1" s="225" t="s">
        <v>67</v>
      </c>
      <c r="C1" s="226"/>
      <c r="D1" s="226"/>
      <c r="E1" s="227"/>
      <c r="F1" s="224" t="s">
        <v>68</v>
      </c>
      <c r="G1" s="225"/>
      <c r="H1" s="225"/>
      <c r="I1" s="225"/>
    </row>
    <row r="2" spans="1:9">
      <c r="A2" s="154"/>
      <c r="B2" s="155" t="s">
        <v>69</v>
      </c>
      <c r="C2" s="155" t="s">
        <v>70</v>
      </c>
      <c r="D2" s="155">
        <v>2011</v>
      </c>
      <c r="E2" s="156">
        <v>2016</v>
      </c>
      <c r="F2" s="155" t="s">
        <v>69</v>
      </c>
      <c r="G2" s="155" t="s">
        <v>70</v>
      </c>
      <c r="H2" s="155">
        <v>2011</v>
      </c>
      <c r="I2" s="155">
        <v>2016</v>
      </c>
    </row>
    <row r="3" spans="1:9">
      <c r="A3" s="150" t="s">
        <v>2</v>
      </c>
      <c r="B3" s="183">
        <v>1.546</v>
      </c>
      <c r="C3" s="157">
        <f>'Big Summary'!B44</f>
        <v>1.404592223135672</v>
      </c>
      <c r="D3" s="157">
        <f>'Big Summary'!B90</f>
        <v>1.0493522751798925</v>
      </c>
      <c r="E3" s="158">
        <f>'Big Summary'!B136</f>
        <v>1.0404772501855564</v>
      </c>
      <c r="F3" s="188">
        <f>B3/B$11</f>
        <v>1.2182821118991334</v>
      </c>
      <c r="G3" s="157">
        <f t="shared" ref="F3:G11" si="0">C3/C$11</f>
        <v>0.98592860577461638</v>
      </c>
      <c r="H3" s="157">
        <f t="shared" ref="H3:H11" si="1">D3/D$11</f>
        <v>0.90010269485899774</v>
      </c>
      <c r="I3" s="159">
        <f t="shared" ref="I3:I11" si="2">E3/E$11</f>
        <v>0.9922892767685132</v>
      </c>
    </row>
    <row r="4" spans="1:9">
      <c r="A4" s="36" t="s">
        <v>3</v>
      </c>
      <c r="B4" s="184">
        <v>0.66600000000000004</v>
      </c>
      <c r="C4" s="160">
        <f>'Big Summary'!C44</f>
        <v>1.0107938405401966</v>
      </c>
      <c r="D4" s="160">
        <f>'Big Summary'!C90</f>
        <v>0.75276442068711169</v>
      </c>
      <c r="E4" s="161">
        <f>'Big Summary'!C136</f>
        <v>0.71214720865490622</v>
      </c>
      <c r="F4" s="189">
        <f>B4/B$11</f>
        <v>0.52482269503546108</v>
      </c>
      <c r="G4" s="160">
        <f t="shared" si="0"/>
        <v>0.70950881367161434</v>
      </c>
      <c r="H4" s="160">
        <f t="shared" si="1"/>
        <v>0.64569858919711698</v>
      </c>
      <c r="I4" s="160">
        <f t="shared" si="2"/>
        <v>0.67916529506326917</v>
      </c>
    </row>
    <row r="5" spans="1:9">
      <c r="A5" s="148" t="s">
        <v>4</v>
      </c>
      <c r="B5" s="185">
        <v>0.52700000000000002</v>
      </c>
      <c r="C5" s="162">
        <f>'Big Summary'!D44</f>
        <v>0.63178269956618505</v>
      </c>
      <c r="D5" s="162">
        <f>'Big Summary'!D90</f>
        <v>0.44351916710828931</v>
      </c>
      <c r="E5" s="163">
        <f>'Big Summary'!D136</f>
        <v>0.38914190126762138</v>
      </c>
      <c r="F5" s="190">
        <f>B5/B$11</f>
        <v>0.41528762805358554</v>
      </c>
      <c r="G5" s="162">
        <f t="shared" si="0"/>
        <v>0.44346866362768256</v>
      </c>
      <c r="H5" s="162">
        <f t="shared" si="1"/>
        <v>0.38043734880867491</v>
      </c>
      <c r="I5" s="162">
        <f t="shared" si="2"/>
        <v>0.37111944129514474</v>
      </c>
    </row>
    <row r="6" spans="1:9">
      <c r="A6" s="36" t="s">
        <v>5</v>
      </c>
      <c r="B6" s="184">
        <v>1.536</v>
      </c>
      <c r="C6" s="160">
        <f>'Big Summary'!E44</f>
        <v>1.4669174314139206</v>
      </c>
      <c r="D6" s="160">
        <f>'Big Summary'!E90</f>
        <v>1.1638030946982851</v>
      </c>
      <c r="E6" s="161">
        <f>'Big Summary'!E136</f>
        <v>1.1659873011045598</v>
      </c>
      <c r="F6" s="189">
        <f>B6/B$11</f>
        <v>1.2104018912529553</v>
      </c>
      <c r="G6" s="160">
        <f t="shared" si="0"/>
        <v>1.0296766806181512</v>
      </c>
      <c r="H6" s="160">
        <f t="shared" si="1"/>
        <v>0.998275151825049</v>
      </c>
      <c r="I6" s="160">
        <f t="shared" si="2"/>
        <v>1.1119865384158838</v>
      </c>
    </row>
    <row r="7" spans="1:9">
      <c r="A7" s="148" t="s">
        <v>6</v>
      </c>
      <c r="B7" s="185">
        <v>1.3280000000000001</v>
      </c>
      <c r="C7" s="162">
        <f>'Big Summary'!F44</f>
        <v>1.319429014355759</v>
      </c>
      <c r="D7" s="162">
        <f>'Big Summary'!F90</f>
        <v>0.99665869846716526</v>
      </c>
      <c r="E7" s="163">
        <f>'Big Summary'!F136</f>
        <v>0.92924015368073032</v>
      </c>
      <c r="F7" s="190">
        <f t="shared" si="0"/>
        <v>1.0464933018124509</v>
      </c>
      <c r="G7" s="162">
        <f t="shared" si="0"/>
        <v>0.92614980142652925</v>
      </c>
      <c r="H7" s="162">
        <f t="shared" si="1"/>
        <v>0.85490373591763158</v>
      </c>
      <c r="I7" s="162">
        <f t="shared" si="2"/>
        <v>0.88620394138908198</v>
      </c>
    </row>
    <row r="8" spans="1:9">
      <c r="A8" s="36" t="s">
        <v>7</v>
      </c>
      <c r="B8" s="184">
        <v>1.611</v>
      </c>
      <c r="C8" s="160">
        <f>'Big Summary'!G44</f>
        <v>1.6038128303668038</v>
      </c>
      <c r="D8" s="160">
        <f>'Big Summary'!G90</f>
        <v>1.2987495498294341</v>
      </c>
      <c r="E8" s="161">
        <f>'Big Summary'!G136</f>
        <v>1.2092803644244308</v>
      </c>
      <c r="F8" s="189">
        <f t="shared" si="0"/>
        <v>1.2695035460992909</v>
      </c>
      <c r="G8" s="160">
        <f t="shared" si="0"/>
        <v>1.1257679785788257</v>
      </c>
      <c r="H8" s="160">
        <f t="shared" si="1"/>
        <v>1.1140281461227866</v>
      </c>
      <c r="I8" s="160">
        <f t="shared" si="2"/>
        <v>1.1532745555091042</v>
      </c>
    </row>
    <row r="9" spans="1:9">
      <c r="A9" s="148" t="s">
        <v>8</v>
      </c>
      <c r="B9" s="185">
        <v>1.012</v>
      </c>
      <c r="C9" s="162">
        <f>'Big Summary'!H44</f>
        <v>1.3376527266743317</v>
      </c>
      <c r="D9" s="162">
        <f>'Big Summary'!H90</f>
        <v>1.0683472087906043</v>
      </c>
      <c r="E9" s="163">
        <f>'Big Summary'!H136</f>
        <v>1.0604983946407527</v>
      </c>
      <c r="F9" s="190">
        <f t="shared" si="0"/>
        <v>0.79747832939322305</v>
      </c>
      <c r="G9" s="162">
        <f t="shared" si="0"/>
        <v>0.93894161315831937</v>
      </c>
      <c r="H9" s="162">
        <f t="shared" si="1"/>
        <v>0.91639597532931305</v>
      </c>
      <c r="I9" s="162">
        <f t="shared" si="2"/>
        <v>1.0113831752155784</v>
      </c>
    </row>
    <row r="10" spans="1:9">
      <c r="A10" s="36" t="s">
        <v>9</v>
      </c>
      <c r="B10" s="184">
        <v>1.2529999999999999</v>
      </c>
      <c r="C10" s="160">
        <f>'Big Summary'!I44</f>
        <v>1.4370027994566112</v>
      </c>
      <c r="D10" s="160">
        <f>'Big Summary'!I90</f>
        <v>1.1902869815962442</v>
      </c>
      <c r="E10" s="161">
        <f>'Big Summary'!I136</f>
        <v>1.0512730268285433</v>
      </c>
      <c r="F10" s="189">
        <f t="shared" si="0"/>
        <v>0.98739164696611503</v>
      </c>
      <c r="G10" s="160">
        <f t="shared" si="0"/>
        <v>1.0086786351412314</v>
      </c>
      <c r="H10" s="160">
        <f t="shared" si="1"/>
        <v>1.0209922302848133</v>
      </c>
      <c r="I10" s="160">
        <f t="shared" si="2"/>
        <v>1.002585064970815</v>
      </c>
    </row>
    <row r="11" spans="1:9">
      <c r="A11" s="148" t="s">
        <v>71</v>
      </c>
      <c r="B11" s="185">
        <v>1.2689999999999999</v>
      </c>
      <c r="C11" s="162">
        <f>'Big Summary'!J44</f>
        <v>1.424638878422767</v>
      </c>
      <c r="D11" s="162">
        <f>'Big Summary'!J90</f>
        <v>1.1658139467566808</v>
      </c>
      <c r="E11" s="163">
        <f>'Big Summary'!J136</f>
        <v>1.048562424834391</v>
      </c>
      <c r="F11" s="190">
        <f t="shared" si="0"/>
        <v>1</v>
      </c>
      <c r="G11" s="162">
        <f t="shared" si="0"/>
        <v>1</v>
      </c>
      <c r="H11" s="162">
        <f t="shared" si="1"/>
        <v>1</v>
      </c>
      <c r="I11" s="162">
        <f t="shared" si="2"/>
        <v>1</v>
      </c>
    </row>
    <row r="14" spans="1:9">
      <c r="B14" t="s">
        <v>67</v>
      </c>
      <c r="C14" s="228" t="s">
        <v>67</v>
      </c>
      <c r="D14" s="228"/>
      <c r="E14" s="228"/>
      <c r="F14" t="s">
        <v>68</v>
      </c>
      <c r="G14" s="224" t="s">
        <v>68</v>
      </c>
      <c r="H14" s="225"/>
      <c r="I14" s="225"/>
    </row>
    <row r="15" spans="1:9">
      <c r="A15" s="154"/>
      <c r="B15" s="155" t="s">
        <v>69</v>
      </c>
      <c r="C15" s="155" t="s">
        <v>70</v>
      </c>
      <c r="D15" s="155">
        <v>2011</v>
      </c>
      <c r="E15" s="155">
        <v>2016</v>
      </c>
      <c r="F15" s="155" t="s">
        <v>69</v>
      </c>
      <c r="G15" s="155" t="s">
        <v>70</v>
      </c>
      <c r="H15" s="155">
        <v>2011</v>
      </c>
      <c r="I15" s="155">
        <v>2016</v>
      </c>
    </row>
    <row r="16" spans="1:9">
      <c r="A16" t="s">
        <v>2</v>
      </c>
      <c r="B16" s="223">
        <f>_xlfn.RANK.EQ(B3,B$3:B$10)</f>
        <v>2</v>
      </c>
      <c r="C16" s="223">
        <f>_xlfn.RANK.EQ(C3,C$3:C$10)</f>
        <v>4</v>
      </c>
      <c r="D16" s="223">
        <f t="shared" ref="D16:I16" si="3">_xlfn.RANK.EQ(D3,D$3:D$10)</f>
        <v>5</v>
      </c>
      <c r="E16" s="223">
        <f t="shared" si="3"/>
        <v>5</v>
      </c>
      <c r="F16" s="223">
        <f t="shared" si="3"/>
        <v>2</v>
      </c>
      <c r="G16" s="221">
        <f t="shared" si="3"/>
        <v>4</v>
      </c>
      <c r="H16" s="222">
        <f t="shared" si="3"/>
        <v>5</v>
      </c>
      <c r="I16" s="222">
        <f t="shared" si="3"/>
        <v>5</v>
      </c>
    </row>
    <row r="17" spans="1:9">
      <c r="A17" t="s">
        <v>3</v>
      </c>
      <c r="B17" s="223">
        <f t="shared" ref="B17" si="4">_xlfn.RANK.EQ(B4,B$3:B$10)</f>
        <v>7</v>
      </c>
      <c r="C17" s="223">
        <f t="shared" ref="C17:I23" si="5">_xlfn.RANK.EQ(C4,C$3:C$10)</f>
        <v>7</v>
      </c>
      <c r="D17" s="223">
        <f t="shared" si="5"/>
        <v>7</v>
      </c>
      <c r="E17" s="223">
        <f t="shared" si="5"/>
        <v>7</v>
      </c>
      <c r="F17" s="223">
        <f t="shared" si="5"/>
        <v>7</v>
      </c>
      <c r="G17" s="221">
        <f t="shared" si="5"/>
        <v>7</v>
      </c>
      <c r="H17" s="222">
        <f t="shared" si="5"/>
        <v>7</v>
      </c>
      <c r="I17" s="222">
        <f t="shared" si="5"/>
        <v>7</v>
      </c>
    </row>
    <row r="18" spans="1:9">
      <c r="A18" t="s">
        <v>4</v>
      </c>
      <c r="B18" s="223">
        <f t="shared" ref="B18" si="6">_xlfn.RANK.EQ(B5,B$3:B$10)</f>
        <v>8</v>
      </c>
      <c r="C18" s="223">
        <f t="shared" si="5"/>
        <v>8</v>
      </c>
      <c r="D18" s="223">
        <f t="shared" si="5"/>
        <v>8</v>
      </c>
      <c r="E18" s="223">
        <f t="shared" si="5"/>
        <v>8</v>
      </c>
      <c r="F18" s="223">
        <f t="shared" si="5"/>
        <v>8</v>
      </c>
      <c r="G18" s="221">
        <f t="shared" si="5"/>
        <v>8</v>
      </c>
      <c r="H18" s="222">
        <f t="shared" si="5"/>
        <v>8</v>
      </c>
      <c r="I18" s="222">
        <f t="shared" si="5"/>
        <v>8</v>
      </c>
    </row>
    <row r="19" spans="1:9">
      <c r="A19" t="s">
        <v>5</v>
      </c>
      <c r="B19" s="223">
        <f t="shared" ref="B19" si="7">_xlfn.RANK.EQ(B6,B$3:B$10)</f>
        <v>3</v>
      </c>
      <c r="C19" s="223">
        <f t="shared" si="5"/>
        <v>2</v>
      </c>
      <c r="D19" s="223">
        <f t="shared" si="5"/>
        <v>3</v>
      </c>
      <c r="E19" s="223">
        <f t="shared" si="5"/>
        <v>2</v>
      </c>
      <c r="F19" s="223">
        <f t="shared" si="5"/>
        <v>3</v>
      </c>
      <c r="G19" s="221">
        <f t="shared" si="5"/>
        <v>2</v>
      </c>
      <c r="H19" s="222">
        <f t="shared" si="5"/>
        <v>3</v>
      </c>
      <c r="I19" s="222">
        <f t="shared" si="5"/>
        <v>2</v>
      </c>
    </row>
    <row r="20" spans="1:9">
      <c r="A20" t="s">
        <v>6</v>
      </c>
      <c r="B20" s="223">
        <f t="shared" ref="B20" si="8">_xlfn.RANK.EQ(B7,B$3:B$10)</f>
        <v>4</v>
      </c>
      <c r="C20" s="223">
        <f t="shared" si="5"/>
        <v>6</v>
      </c>
      <c r="D20" s="223">
        <f t="shared" si="5"/>
        <v>6</v>
      </c>
      <c r="E20" s="223">
        <f t="shared" si="5"/>
        <v>6</v>
      </c>
      <c r="F20" s="223">
        <f t="shared" si="5"/>
        <v>4</v>
      </c>
      <c r="G20" s="221">
        <f t="shared" si="5"/>
        <v>6</v>
      </c>
      <c r="H20" s="222">
        <f t="shared" si="5"/>
        <v>6</v>
      </c>
      <c r="I20" s="222">
        <f t="shared" si="5"/>
        <v>6</v>
      </c>
    </row>
    <row r="21" spans="1:9">
      <c r="A21" t="s">
        <v>7</v>
      </c>
      <c r="B21" s="223">
        <f>_xlfn.RANK.EQ(B8,B$3:B$10)</f>
        <v>1</v>
      </c>
      <c r="C21" s="223">
        <f>_xlfn.RANK.EQ(C8,C$3:C$10)</f>
        <v>1</v>
      </c>
      <c r="D21" s="223">
        <f t="shared" si="5"/>
        <v>1</v>
      </c>
      <c r="E21" s="223">
        <f t="shared" si="5"/>
        <v>1</v>
      </c>
      <c r="F21" s="223">
        <f t="shared" si="5"/>
        <v>1</v>
      </c>
      <c r="G21" s="221">
        <f t="shared" si="5"/>
        <v>1</v>
      </c>
      <c r="H21" s="222">
        <f t="shared" si="5"/>
        <v>1</v>
      </c>
      <c r="I21" s="222">
        <f t="shared" si="5"/>
        <v>1</v>
      </c>
    </row>
    <row r="22" spans="1:9">
      <c r="A22" t="s">
        <v>8</v>
      </c>
      <c r="B22" s="223">
        <f t="shared" ref="B22" si="9">_xlfn.RANK.EQ(B9,B$3:B$10)</f>
        <v>6</v>
      </c>
      <c r="C22" s="223">
        <f t="shared" si="5"/>
        <v>5</v>
      </c>
      <c r="D22" s="223">
        <f t="shared" si="5"/>
        <v>4</v>
      </c>
      <c r="E22" s="223">
        <f t="shared" si="5"/>
        <v>3</v>
      </c>
      <c r="F22" s="223">
        <f t="shared" si="5"/>
        <v>6</v>
      </c>
      <c r="G22" s="221">
        <f t="shared" si="5"/>
        <v>5</v>
      </c>
      <c r="H22" s="222">
        <f t="shared" si="5"/>
        <v>4</v>
      </c>
      <c r="I22" s="222">
        <f t="shared" si="5"/>
        <v>3</v>
      </c>
    </row>
    <row r="23" spans="1:9">
      <c r="A23" t="s">
        <v>9</v>
      </c>
      <c r="B23" s="223">
        <f t="shared" ref="B23" si="10">_xlfn.RANK.EQ(B10,B$3:B$10)</f>
        <v>5</v>
      </c>
      <c r="C23" s="223">
        <f t="shared" si="5"/>
        <v>3</v>
      </c>
      <c r="D23" s="223">
        <f t="shared" si="5"/>
        <v>2</v>
      </c>
      <c r="E23" s="223">
        <f t="shared" si="5"/>
        <v>4</v>
      </c>
      <c r="F23" s="223">
        <f t="shared" si="5"/>
        <v>5</v>
      </c>
      <c r="G23" s="221">
        <f t="shared" si="5"/>
        <v>3</v>
      </c>
      <c r="H23" s="222">
        <f t="shared" si="5"/>
        <v>2</v>
      </c>
      <c r="I23" s="222">
        <f t="shared" si="5"/>
        <v>4</v>
      </c>
    </row>
  </sheetData>
  <mergeCells count="4">
    <mergeCell ref="F1:I1"/>
    <mergeCell ref="B1:E1"/>
    <mergeCell ref="C14:E14"/>
    <mergeCell ref="G14:I14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7"/>
  <dimension ref="A2:J50"/>
  <sheetViews>
    <sheetView topLeftCell="A16" workbookViewId="0">
      <selection activeCell="C50" sqref="C50:J50"/>
    </sheetView>
  </sheetViews>
  <sheetFormatPr defaultRowHeight="15"/>
  <cols>
    <col min="1" max="1" width="18.5703125" customWidth="1"/>
    <col min="2" max="2" width="10.85546875" customWidth="1"/>
    <col min="3" max="5" width="11" customWidth="1"/>
    <col min="6" max="6" width="21.85546875" customWidth="1"/>
    <col min="7" max="7" width="12.140625" customWidth="1"/>
    <col min="8" max="8" width="11.5703125" customWidth="1"/>
    <col min="9" max="9" width="11.42578125" customWidth="1"/>
  </cols>
  <sheetData>
    <row r="2" spans="1:9">
      <c r="A2" s="1" t="s">
        <v>176</v>
      </c>
      <c r="B2" s="1">
        <v>2005</v>
      </c>
      <c r="C2" s="1">
        <v>2011</v>
      </c>
      <c r="D2" s="1">
        <v>2016</v>
      </c>
    </row>
    <row r="3" spans="1:9">
      <c r="A3" s="1" t="s">
        <v>177</v>
      </c>
      <c r="G3">
        <f>B8*1000</f>
        <v>154167300000</v>
      </c>
      <c r="H3">
        <f>C8*1000</f>
        <v>187773216477</v>
      </c>
      <c r="I3">
        <f>D8*1000</f>
        <v>234340183524.99994</v>
      </c>
    </row>
    <row r="4" spans="1:9">
      <c r="A4" s="37" t="s">
        <v>178</v>
      </c>
      <c r="B4" s="5">
        <v>127640269</v>
      </c>
      <c r="C4" s="5">
        <v>172340742</v>
      </c>
      <c r="D4" s="5">
        <v>204954582</v>
      </c>
    </row>
    <row r="5" spans="1:9">
      <c r="A5" s="37" t="s">
        <v>179</v>
      </c>
      <c r="B5" s="5">
        <v>88981554</v>
      </c>
      <c r="C5" s="5">
        <v>126168592</v>
      </c>
      <c r="D5" s="5">
        <v>149482765</v>
      </c>
    </row>
    <row r="6" spans="1:9">
      <c r="A6" s="37" t="s">
        <v>180</v>
      </c>
      <c r="B6" s="5">
        <v>220299642</v>
      </c>
      <c r="C6" s="5">
        <v>268249362</v>
      </c>
      <c r="D6" s="5">
        <v>334742861</v>
      </c>
    </row>
    <row r="7" spans="1:9">
      <c r="A7" s="3" t="s">
        <v>181</v>
      </c>
      <c r="B7" s="6">
        <v>436921465</v>
      </c>
      <c r="C7" s="6">
        <v>566758696</v>
      </c>
      <c r="D7" s="6">
        <v>689180208</v>
      </c>
      <c r="F7" s="180"/>
    </row>
    <row r="8" spans="1:9">
      <c r="A8" s="37" t="s">
        <v>182</v>
      </c>
      <c r="B8" s="62">
        <v>154167300</v>
      </c>
      <c r="C8" s="62">
        <v>187773216.477</v>
      </c>
      <c r="D8" s="62">
        <v>234340183.52499995</v>
      </c>
    </row>
    <row r="9" spans="1:9">
      <c r="A9" s="3" t="s">
        <v>183</v>
      </c>
      <c r="B9" s="6">
        <f>B7-B8</f>
        <v>282754165</v>
      </c>
      <c r="C9" s="6">
        <f>C7-C8</f>
        <v>378985479.523</v>
      </c>
      <c r="D9" s="6">
        <f>D7-D8</f>
        <v>454840024.47500002</v>
      </c>
    </row>
    <row r="10" spans="1:9">
      <c r="B10" s="6"/>
      <c r="C10" s="6"/>
      <c r="D10" s="6"/>
    </row>
    <row r="12" spans="1:9">
      <c r="A12" s="1" t="s">
        <v>184</v>
      </c>
      <c r="F12" s="1" t="s">
        <v>184</v>
      </c>
    </row>
    <row r="13" spans="1:9">
      <c r="A13" s="1" t="s">
        <v>185</v>
      </c>
      <c r="B13" s="9" t="s">
        <v>186</v>
      </c>
      <c r="C13" s="9" t="s">
        <v>187</v>
      </c>
      <c r="F13" s="1" t="s">
        <v>185</v>
      </c>
      <c r="G13" s="9" t="s">
        <v>186</v>
      </c>
      <c r="H13" s="9" t="s">
        <v>187</v>
      </c>
    </row>
    <row r="14" spans="1:9">
      <c r="A14" s="1" t="s">
        <v>9</v>
      </c>
      <c r="B14" s="38">
        <v>55907368.29190138</v>
      </c>
      <c r="C14" s="7">
        <f>B14/B$23</f>
        <v>0.15665977707941128</v>
      </c>
      <c r="F14" s="1" t="s">
        <v>9</v>
      </c>
      <c r="G14" s="38">
        <v>55907368.29190138</v>
      </c>
      <c r="H14" s="7">
        <f t="shared" ref="H14:H22" si="0">G14/G$22</f>
        <v>0.23584802747989722</v>
      </c>
    </row>
    <row r="15" spans="1:9">
      <c r="A15" s="1" t="s">
        <v>7</v>
      </c>
      <c r="B15" s="5">
        <v>444854.18763604725</v>
      </c>
      <c r="C15" s="7">
        <f t="shared" ref="C15:C23" si="1">B15/B$23</f>
        <v>1.2465397674245563E-3</v>
      </c>
      <c r="F15" s="1" t="s">
        <v>7</v>
      </c>
      <c r="G15" s="5">
        <v>444854.18763604725</v>
      </c>
      <c r="H15" s="7">
        <f t="shared" si="0"/>
        <v>1.876639625073034E-3</v>
      </c>
    </row>
    <row r="16" spans="1:9">
      <c r="A16" s="1" t="s">
        <v>8</v>
      </c>
      <c r="B16" s="5">
        <v>72081.327964816694</v>
      </c>
      <c r="C16" s="7">
        <f t="shared" si="1"/>
        <v>2.0198133297202414E-4</v>
      </c>
      <c r="F16" s="1" t="s">
        <v>8</v>
      </c>
      <c r="G16" s="5">
        <v>72081.327964816694</v>
      </c>
      <c r="H16" s="7">
        <f t="shared" si="0"/>
        <v>3.0407868476070246E-4</v>
      </c>
    </row>
    <row r="17" spans="1:9">
      <c r="A17" s="1" t="s">
        <v>6</v>
      </c>
      <c r="B17" s="5">
        <v>142216790.66816923</v>
      </c>
      <c r="C17" s="7">
        <f t="shared" si="1"/>
        <v>0.39851009632038203</v>
      </c>
      <c r="F17" s="1" t="s">
        <v>6</v>
      </c>
      <c r="G17" s="5">
        <v>142216790.66816923</v>
      </c>
      <c r="H17" s="7">
        <f t="shared" si="0"/>
        <v>0.59994863965843159</v>
      </c>
    </row>
    <row r="18" spans="1:9">
      <c r="A18" s="1" t="s">
        <v>5</v>
      </c>
      <c r="B18" s="5">
        <v>11180561.721103158</v>
      </c>
      <c r="C18" s="7">
        <f t="shared" si="1"/>
        <v>3.1329400048049565E-2</v>
      </c>
      <c r="F18" s="1" t="s">
        <v>5</v>
      </c>
      <c r="G18" s="5">
        <v>11180561.721103158</v>
      </c>
      <c r="H18" s="7">
        <f t="shared" si="0"/>
        <v>4.7165758442995823E-2</v>
      </c>
    </row>
    <row r="19" spans="1:9">
      <c r="A19" s="1" t="s">
        <v>2</v>
      </c>
      <c r="B19" s="5">
        <v>19573773.60087914</v>
      </c>
      <c r="C19" s="7">
        <f t="shared" si="1"/>
        <v>5.4848280335899606E-2</v>
      </c>
      <c r="F19" s="1" t="s">
        <v>2</v>
      </c>
      <c r="G19" s="5">
        <v>19573773.60087914</v>
      </c>
      <c r="H19" s="7">
        <f t="shared" si="0"/>
        <v>8.2572942264108634E-2</v>
      </c>
    </row>
    <row r="20" spans="1:9">
      <c r="A20" s="1" t="s">
        <v>3</v>
      </c>
      <c r="B20" s="5">
        <v>5027786.0721517662</v>
      </c>
      <c r="C20" s="7">
        <f t="shared" si="1"/>
        <v>1.408851586706438E-2</v>
      </c>
      <c r="F20" s="1" t="s">
        <v>3</v>
      </c>
      <c r="G20" s="5">
        <v>5027786.0721517662</v>
      </c>
      <c r="H20" s="7">
        <f t="shared" si="0"/>
        <v>2.1209966842235816E-2</v>
      </c>
    </row>
    <row r="21" spans="1:9">
      <c r="A21" s="1" t="s">
        <v>4</v>
      </c>
      <c r="B21" s="5">
        <v>2625060.044508432</v>
      </c>
      <c r="C21" s="7">
        <f t="shared" si="1"/>
        <v>7.3557624684746957E-3</v>
      </c>
      <c r="F21" s="1" t="s">
        <v>4</v>
      </c>
      <c r="G21" s="5">
        <v>2625060.044508432</v>
      </c>
      <c r="H21" s="7">
        <f t="shared" si="0"/>
        <v>1.1073947002497139E-2</v>
      </c>
    </row>
    <row r="22" spans="1:9">
      <c r="A22" s="1" t="s">
        <v>188</v>
      </c>
      <c r="B22" s="5">
        <v>119822960.17560959</v>
      </c>
      <c r="C22" s="7">
        <f t="shared" si="1"/>
        <v>0.33575964678032189</v>
      </c>
      <c r="F22" s="1"/>
      <c r="G22" s="6">
        <f>SUM(G14:G21)</f>
        <v>237048275.91431397</v>
      </c>
      <c r="H22" s="8">
        <f t="shared" si="0"/>
        <v>1</v>
      </c>
    </row>
    <row r="23" spans="1:9">
      <c r="B23" s="6">
        <f>SUM(B14:B22)</f>
        <v>356871236.08992356</v>
      </c>
      <c r="C23" s="8">
        <f t="shared" si="1"/>
        <v>1</v>
      </c>
    </row>
    <row r="26" spans="1:9">
      <c r="A26" s="1" t="s">
        <v>189</v>
      </c>
      <c r="B26" s="1">
        <v>2005</v>
      </c>
      <c r="C26" s="1">
        <v>2011</v>
      </c>
      <c r="D26" s="1">
        <v>2016</v>
      </c>
      <c r="F26" s="1" t="s">
        <v>189</v>
      </c>
      <c r="G26" s="1">
        <v>2005</v>
      </c>
      <c r="H26" s="1">
        <v>2011</v>
      </c>
      <c r="I26" s="1">
        <v>2016</v>
      </c>
    </row>
    <row r="27" spans="1:9">
      <c r="A27" s="1" t="s">
        <v>190</v>
      </c>
      <c r="F27" s="1" t="s">
        <v>190</v>
      </c>
    </row>
    <row r="28" spans="1:9">
      <c r="A28" t="s">
        <v>191</v>
      </c>
      <c r="F28" t="s">
        <v>192</v>
      </c>
    </row>
    <row r="29" spans="1:9">
      <c r="A29" s="1" t="s">
        <v>9</v>
      </c>
      <c r="B29" s="181">
        <f t="shared" ref="B29:D30" si="2">$C14*B$7</f>
        <v>68448019.308109805</v>
      </c>
      <c r="C29" s="181">
        <f t="shared" si="2"/>
        <v>88788290.97317782</v>
      </c>
      <c r="D29" s="181">
        <f t="shared" si="2"/>
        <v>107966817.75282229</v>
      </c>
      <c r="F29" s="1" t="s">
        <v>9</v>
      </c>
      <c r="G29" s="67">
        <f>$H14*B$9</f>
        <v>66687012.07697539</v>
      </c>
      <c r="H29" s="67">
        <f t="shared" ref="H29:I36" si="3">$H14*C$9</f>
        <v>89382977.789022535</v>
      </c>
      <c r="I29" s="67">
        <f t="shared" si="3"/>
        <v>107273122.59133694</v>
      </c>
    </row>
    <row r="30" spans="1:9">
      <c r="A30" s="1" t="s">
        <v>7</v>
      </c>
      <c r="B30" s="181">
        <f t="shared" si="2"/>
        <v>544639.9813638964</v>
      </c>
      <c r="C30" s="181">
        <f t="shared" si="2"/>
        <v>706487.25309768482</v>
      </c>
      <c r="D30" s="181">
        <f t="shared" si="2"/>
        <v>859090.53619392728</v>
      </c>
      <c r="F30" s="1" t="s">
        <v>7</v>
      </c>
      <c r="G30" s="67">
        <f t="shared" ref="G30:G36" si="4">$H15*B$9</f>
        <v>530627.67019343877</v>
      </c>
      <c r="H30" s="67">
        <f t="shared" si="3"/>
        <v>711219.16820016666</v>
      </c>
      <c r="I30" s="67">
        <f t="shared" si="3"/>
        <v>853570.81299897365</v>
      </c>
    </row>
    <row r="31" spans="1:9">
      <c r="A31" s="1" t="s">
        <v>8</v>
      </c>
      <c r="B31" s="181">
        <f t="shared" ref="B31:D37" si="5">$C16*B$7</f>
        <v>88249.979904789594</v>
      </c>
      <c r="C31" s="181">
        <f>$C16*C$7</f>
        <v>114474.67689156621</v>
      </c>
      <c r="D31" s="181">
        <f t="shared" si="5"/>
        <v>139201.53706977685</v>
      </c>
      <c r="F31" s="1" t="s">
        <v>8</v>
      </c>
      <c r="G31" s="67">
        <f t="shared" si="4"/>
        <v>85979.514603810647</v>
      </c>
      <c r="H31" s="67">
        <f t="shared" si="3"/>
        <v>115241.40615675798</v>
      </c>
      <c r="I31" s="67">
        <f t="shared" si="3"/>
        <v>138307.15641888374</v>
      </c>
    </row>
    <row r="32" spans="1:9">
      <c r="A32" s="1" t="s">
        <v>6</v>
      </c>
      <c r="B32" s="181">
        <f t="shared" si="5"/>
        <v>174117615.10159242</v>
      </c>
      <c r="C32" s="181">
        <f t="shared" si="5"/>
        <v>225859062.53337413</v>
      </c>
      <c r="D32" s="181">
        <f>$C17*D$7</f>
        <v>274645271.07218093</v>
      </c>
      <c r="F32" s="1" t="s">
        <v>6</v>
      </c>
      <c r="G32" s="67">
        <f t="shared" si="4"/>
        <v>169637976.6495057</v>
      </c>
      <c r="H32" s="67">
        <f t="shared" si="3"/>
        <v>227371822.89012223</v>
      </c>
      <c r="I32" s="67">
        <f t="shared" si="3"/>
        <v>272880653.94598401</v>
      </c>
    </row>
    <row r="33" spans="1:10">
      <c r="A33" s="1" t="s">
        <v>5</v>
      </c>
      <c r="B33" s="181">
        <f t="shared" si="5"/>
        <v>13688487.366564887</v>
      </c>
      <c r="C33" s="181">
        <f t="shared" si="5"/>
        <v>17756209.917694908</v>
      </c>
      <c r="D33" s="181">
        <f t="shared" si="5"/>
        <v>21591602.44163001</v>
      </c>
      <c r="F33" s="1" t="s">
        <v>5</v>
      </c>
      <c r="G33" s="67">
        <f t="shared" si="4"/>
        <v>13336314.645140983</v>
      </c>
      <c r="H33" s="67">
        <f t="shared" si="3"/>
        <v>17875137.580584757</v>
      </c>
      <c r="I33" s="67">
        <f t="shared" si="3"/>
        <v>21452874.724594157</v>
      </c>
    </row>
    <row r="34" spans="1:10">
      <c r="A34" s="1" t="s">
        <v>2</v>
      </c>
      <c r="B34" s="181">
        <f t="shared" si="5"/>
        <v>23964390.997091949</v>
      </c>
      <c r="C34" s="181">
        <f t="shared" si="5"/>
        <v>31085739.841016904</v>
      </c>
      <c r="D34" s="181">
        <f t="shared" si="5"/>
        <v>37800349.250337601</v>
      </c>
      <c r="F34" s="1" t="s">
        <v>2</v>
      </c>
      <c r="G34" s="67">
        <f t="shared" si="4"/>
        <v>23347843.341481246</v>
      </c>
      <c r="H34" s="67">
        <f t="shared" si="3"/>
        <v>31293946.119588204</v>
      </c>
      <c r="I34" s="67">
        <f t="shared" si="3"/>
        <v>37557479.080379933</v>
      </c>
    </row>
    <row r="35" spans="1:10">
      <c r="A35" s="1" t="s">
        <v>3</v>
      </c>
      <c r="B35" s="181">
        <f t="shared" si="5"/>
        <v>6155574.9923135145</v>
      </c>
      <c r="C35" s="181">
        <f t="shared" si="5"/>
        <v>7984788.8813927174</v>
      </c>
      <c r="D35" s="181">
        <f t="shared" si="5"/>
        <v>9709526.2956747301</v>
      </c>
      <c r="F35" s="1" t="s">
        <v>3</v>
      </c>
      <c r="G35" s="67">
        <f t="shared" si="4"/>
        <v>5997206.4641540749</v>
      </c>
      <c r="H35" s="67">
        <f t="shared" si="3"/>
        <v>8038269.4543716712</v>
      </c>
      <c r="I35" s="67">
        <f t="shared" si="3"/>
        <v>9647141.8376364782</v>
      </c>
    </row>
    <row r="36" spans="1:10">
      <c r="A36" s="1" t="s">
        <v>4</v>
      </c>
      <c r="B36" s="181">
        <f t="shared" si="5"/>
        <v>3213890.5139179802</v>
      </c>
      <c r="C36" s="181">
        <f t="shared" si="5"/>
        <v>4168942.3447184595</v>
      </c>
      <c r="D36" s="181">
        <f t="shared" si="5"/>
        <v>5069445.9080219846</v>
      </c>
      <c r="F36" s="1" t="s">
        <v>4</v>
      </c>
      <c r="G36" s="67">
        <f t="shared" si="4"/>
        <v>3131204.6379453312</v>
      </c>
      <c r="H36" s="67">
        <f t="shared" si="3"/>
        <v>4196865.1149536669</v>
      </c>
      <c r="I36" s="67">
        <f t="shared" si="3"/>
        <v>5036874.3256506519</v>
      </c>
    </row>
    <row r="37" spans="1:10">
      <c r="A37" s="1" t="s">
        <v>188</v>
      </c>
      <c r="B37" s="181">
        <f t="shared" si="5"/>
        <v>146700596.75914076</v>
      </c>
      <c r="C37" s="181">
        <f t="shared" si="5"/>
        <v>190294699.57863584</v>
      </c>
      <c r="D37" s="181">
        <f t="shared" si="5"/>
        <v>231398903.20606875</v>
      </c>
      <c r="F37" s="1" t="s">
        <v>10</v>
      </c>
      <c r="G37" s="164">
        <f>SUM(G29:G36)</f>
        <v>282754165</v>
      </c>
      <c r="H37" s="164">
        <f>SUM(H29:H36)</f>
        <v>378985479.523</v>
      </c>
      <c r="I37" s="164">
        <f>SUM(I29:I36)</f>
        <v>454840024.47499996</v>
      </c>
    </row>
    <row r="40" spans="1:10"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</row>
    <row r="41" spans="1:10">
      <c r="A41" s="1" t="s">
        <v>9</v>
      </c>
      <c r="B41">
        <v>107273122.59133694</v>
      </c>
      <c r="C41">
        <f>B46</f>
        <v>37557479.080379933</v>
      </c>
      <c r="D41">
        <f>B47</f>
        <v>9647141.8376364782</v>
      </c>
      <c r="E41">
        <f>B48</f>
        <v>5036874.3256506519</v>
      </c>
      <c r="F41">
        <f>B45</f>
        <v>21452874.724594157</v>
      </c>
      <c r="G41">
        <f>B44</f>
        <v>272880653.94598401</v>
      </c>
      <c r="H41">
        <f>B42</f>
        <v>853570.81299897365</v>
      </c>
      <c r="I41">
        <f>B43</f>
        <v>138307.15641888374</v>
      </c>
      <c r="J41">
        <f>B41</f>
        <v>107273122.59133694</v>
      </c>
    </row>
    <row r="42" spans="1:10">
      <c r="A42" s="1" t="s">
        <v>7</v>
      </c>
      <c r="B42">
        <v>853570.81299897365</v>
      </c>
    </row>
    <row r="43" spans="1:10">
      <c r="A43" s="1" t="s">
        <v>8</v>
      </c>
      <c r="B43">
        <v>138307.15641888374</v>
      </c>
    </row>
    <row r="44" spans="1:10">
      <c r="A44" s="1" t="s">
        <v>6</v>
      </c>
      <c r="B44">
        <v>272880653.94598401</v>
      </c>
    </row>
    <row r="45" spans="1:10">
      <c r="A45" s="1" t="s">
        <v>5</v>
      </c>
      <c r="B45">
        <v>21452874.724594157</v>
      </c>
    </row>
    <row r="46" spans="1:10">
      <c r="A46" s="1" t="s">
        <v>2</v>
      </c>
      <c r="B46">
        <v>37557479.080379933</v>
      </c>
    </row>
    <row r="47" spans="1:10">
      <c r="A47" s="1" t="s">
        <v>3</v>
      </c>
      <c r="B47">
        <v>9647141.8376364782</v>
      </c>
    </row>
    <row r="48" spans="1:10">
      <c r="A48" s="1" t="s">
        <v>4</v>
      </c>
      <c r="B48">
        <v>5036874.3256506519</v>
      </c>
    </row>
    <row r="49" spans="1:10">
      <c r="A49" s="1"/>
    </row>
    <row r="50" spans="1:10">
      <c r="C50">
        <f>C41/1000000</f>
        <v>37.557479080379935</v>
      </c>
      <c r="D50">
        <f t="shared" ref="D50:J50" si="6">D41/1000000</f>
        <v>9.6471418376364788</v>
      </c>
      <c r="E50">
        <f t="shared" si="6"/>
        <v>5.0368743256506523</v>
      </c>
      <c r="F50">
        <f t="shared" si="6"/>
        <v>21.452874724594157</v>
      </c>
      <c r="G50">
        <f t="shared" si="6"/>
        <v>272.88065394598402</v>
      </c>
      <c r="H50">
        <f t="shared" si="6"/>
        <v>0.85357081299897364</v>
      </c>
      <c r="I50">
        <f t="shared" si="6"/>
        <v>0.13830715641888375</v>
      </c>
      <c r="J50">
        <f t="shared" si="6"/>
        <v>107.27312259133694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8"/>
  <dimension ref="A1:E34"/>
  <sheetViews>
    <sheetView workbookViewId="0">
      <selection activeCell="F13" sqref="F13"/>
    </sheetView>
  </sheetViews>
  <sheetFormatPr defaultRowHeight="15"/>
  <cols>
    <col min="1" max="1" width="24.5703125" customWidth="1"/>
    <col min="2" max="2" width="13.5703125" customWidth="1"/>
    <col min="3" max="3" width="15.5703125" customWidth="1"/>
  </cols>
  <sheetData>
    <row r="1" spans="1:5">
      <c r="A1" s="1" t="s">
        <v>193</v>
      </c>
      <c r="C1" s="1">
        <v>2005</v>
      </c>
      <c r="D1" s="1">
        <v>2011</v>
      </c>
      <c r="E1" s="1">
        <v>2016</v>
      </c>
    </row>
    <row r="2" spans="1:5">
      <c r="A2" s="1" t="s">
        <v>177</v>
      </c>
    </row>
    <row r="3" spans="1:5">
      <c r="A3" s="37" t="s">
        <v>194</v>
      </c>
      <c r="B3" s="17"/>
      <c r="C3">
        <v>8.61896795</v>
      </c>
      <c r="D3">
        <v>9.1993980799999999</v>
      </c>
      <c r="E3">
        <v>9.7079411299999983</v>
      </c>
    </row>
    <row r="4" spans="1:5" ht="15.75">
      <c r="A4" s="37" t="s">
        <v>195</v>
      </c>
      <c r="B4" s="47"/>
      <c r="C4">
        <v>2.0821331600000001</v>
      </c>
      <c r="D4">
        <v>3.6667317800000001</v>
      </c>
      <c r="E4">
        <v>4.9023776799999998</v>
      </c>
    </row>
    <row r="5" spans="1:5">
      <c r="A5" s="3" t="s">
        <v>196</v>
      </c>
      <c r="B5" s="17"/>
      <c r="C5" s="1">
        <v>10.70110111</v>
      </c>
      <c r="D5" s="1">
        <v>12.866129859999999</v>
      </c>
      <c r="E5" s="1">
        <v>14.610318809999999</v>
      </c>
    </row>
    <row r="10" spans="1:5">
      <c r="A10" t="s">
        <v>197</v>
      </c>
    </row>
    <row r="13" spans="1:5">
      <c r="A13" s="1" t="s">
        <v>198</v>
      </c>
      <c r="B13" s="1" t="s">
        <v>199</v>
      </c>
      <c r="C13" s="1" t="s">
        <v>200</v>
      </c>
    </row>
    <row r="14" spans="1:5">
      <c r="A14" t="s">
        <v>201</v>
      </c>
      <c r="B14">
        <v>0</v>
      </c>
      <c r="C14">
        <v>0</v>
      </c>
    </row>
    <row r="15" spans="1:5">
      <c r="A15" t="s">
        <v>202</v>
      </c>
      <c r="B15">
        <v>0</v>
      </c>
      <c r="C15">
        <v>0</v>
      </c>
    </row>
    <row r="16" spans="1:5">
      <c r="A16" t="s">
        <v>203</v>
      </c>
      <c r="B16">
        <v>0</v>
      </c>
      <c r="C16">
        <v>0</v>
      </c>
    </row>
    <row r="17" spans="1:4">
      <c r="A17" t="s">
        <v>204</v>
      </c>
      <c r="B17">
        <v>0</v>
      </c>
      <c r="C17">
        <v>0</v>
      </c>
    </row>
    <row r="18" spans="1:4">
      <c r="A18" t="s">
        <v>205</v>
      </c>
      <c r="B18">
        <v>0</v>
      </c>
      <c r="C18">
        <v>0</v>
      </c>
    </row>
    <row r="19" spans="1:4">
      <c r="A19" t="s">
        <v>206</v>
      </c>
      <c r="B19">
        <f>5*54 + 18</f>
        <v>288</v>
      </c>
      <c r="C19">
        <f>5*835 + 245</f>
        <v>4420</v>
      </c>
    </row>
    <row r="20" spans="1:4">
      <c r="A20" t="s">
        <v>207</v>
      </c>
      <c r="B20">
        <f>5*2485 + 872</f>
        <v>13297</v>
      </c>
      <c r="C20">
        <f>5*0</f>
        <v>0</v>
      </c>
    </row>
    <row r="21" spans="1:4">
      <c r="A21" s="1" t="s">
        <v>208</v>
      </c>
      <c r="B21" s="1">
        <f>SUM(B14:B20)</f>
        <v>13585</v>
      </c>
      <c r="C21" s="1">
        <f>SUM(C14:C20)</f>
        <v>4420</v>
      </c>
    </row>
    <row r="24" spans="1:4">
      <c r="A24" s="1" t="s">
        <v>209</v>
      </c>
    </row>
    <row r="25" spans="1:4">
      <c r="B25" s="1">
        <v>2005</v>
      </c>
      <c r="C25" s="1">
        <v>2011</v>
      </c>
      <c r="D25" s="1">
        <v>2016</v>
      </c>
    </row>
    <row r="26" spans="1:4">
      <c r="A26" s="1" t="s">
        <v>2</v>
      </c>
      <c r="B26" s="42">
        <v>0</v>
      </c>
      <c r="C26" s="42">
        <v>0</v>
      </c>
      <c r="D26" s="42">
        <v>0</v>
      </c>
    </row>
    <row r="27" spans="1:4">
      <c r="A27" s="1" t="s">
        <v>3</v>
      </c>
      <c r="B27" s="42">
        <f>($B20/$B21)*C3</f>
        <v>8.4362470983548032</v>
      </c>
      <c r="C27" s="42">
        <f>($B20/$B21)*D3</f>
        <v>9.0043721950504239</v>
      </c>
      <c r="D27" s="42">
        <f>($B20/$B21)*E3</f>
        <v>9.5021342072587398</v>
      </c>
    </row>
    <row r="28" spans="1:4">
      <c r="A28" s="1" t="s">
        <v>4</v>
      </c>
      <c r="B28" s="42">
        <f>($B19/$B21)*C3 + ($C19/$C21)*C4</f>
        <v>2.264854011645197</v>
      </c>
      <c r="C28" s="42">
        <f>($B19/$B21)*D3 + ($C19/$C21)*D4</f>
        <v>3.8617576649495771</v>
      </c>
      <c r="D28" s="42">
        <f>($B19/$B21)*E3 + ($C19/$C21)*E4</f>
        <v>5.1081846027412583</v>
      </c>
    </row>
    <row r="29" spans="1:4">
      <c r="A29" s="1" t="s">
        <v>5</v>
      </c>
      <c r="B29" s="42">
        <v>0</v>
      </c>
      <c r="C29" s="42">
        <v>0</v>
      </c>
      <c r="D29" s="42">
        <v>0</v>
      </c>
    </row>
    <row r="30" spans="1:4">
      <c r="A30" s="1" t="s">
        <v>6</v>
      </c>
      <c r="B30" s="42">
        <v>0</v>
      </c>
      <c r="C30" s="42">
        <v>0</v>
      </c>
      <c r="D30" s="42">
        <v>0</v>
      </c>
    </row>
    <row r="31" spans="1:4">
      <c r="A31" s="1" t="s">
        <v>7</v>
      </c>
      <c r="B31" s="42">
        <v>0</v>
      </c>
      <c r="C31" s="42">
        <v>0</v>
      </c>
      <c r="D31" s="42">
        <v>0</v>
      </c>
    </row>
    <row r="32" spans="1:4">
      <c r="A32" s="1" t="s">
        <v>8</v>
      </c>
      <c r="B32" s="42">
        <v>0</v>
      </c>
      <c r="C32" s="42">
        <v>0</v>
      </c>
      <c r="D32" s="42">
        <v>0</v>
      </c>
    </row>
    <row r="33" spans="1:4">
      <c r="A33" s="1" t="s">
        <v>9</v>
      </c>
      <c r="B33" s="42">
        <v>0</v>
      </c>
      <c r="C33" s="42">
        <v>0</v>
      </c>
      <c r="D33" s="42">
        <v>0</v>
      </c>
    </row>
    <row r="34" spans="1:4">
      <c r="A34" s="1" t="s">
        <v>10</v>
      </c>
      <c r="B34" s="1">
        <f>SUM(B26:B33)</f>
        <v>10.70110111</v>
      </c>
      <c r="C34" s="1">
        <f>SUM(C26:C33)</f>
        <v>12.866129860000001</v>
      </c>
      <c r="D34" s="1">
        <f>SUM(D26:D33)</f>
        <v>14.610318809999999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9"/>
  <dimension ref="A1:V43"/>
  <sheetViews>
    <sheetView workbookViewId="0">
      <selection activeCell="H11" sqref="H11"/>
    </sheetView>
  </sheetViews>
  <sheetFormatPr defaultRowHeight="15"/>
  <cols>
    <col min="1" max="1" width="13.7109375" customWidth="1"/>
    <col min="6" max="6" width="12.28515625" customWidth="1"/>
  </cols>
  <sheetData>
    <row r="1" spans="1:8">
      <c r="A1" s="1" t="s">
        <v>210</v>
      </c>
      <c r="F1" s="1" t="s">
        <v>211</v>
      </c>
    </row>
    <row r="3" spans="1:8">
      <c r="A3" s="1" t="s">
        <v>2</v>
      </c>
      <c r="B3" s="5">
        <v>18265.384609508594</v>
      </c>
      <c r="C3" s="7">
        <v>2.6970865359718043E-3</v>
      </c>
      <c r="F3" s="1" t="s">
        <v>2</v>
      </c>
      <c r="G3" s="5">
        <v>1545.2731119868058</v>
      </c>
      <c r="H3" s="7">
        <v>4.4952493765749508E-4</v>
      </c>
    </row>
    <row r="4" spans="1:8">
      <c r="A4" s="1" t="s">
        <v>7</v>
      </c>
      <c r="B4" s="5">
        <v>135509.5069234877</v>
      </c>
      <c r="C4" s="7">
        <v>2.0009481017402429E-2</v>
      </c>
      <c r="F4" s="1" t="s">
        <v>7</v>
      </c>
      <c r="G4" s="5">
        <v>26097.433714072453</v>
      </c>
      <c r="H4" s="7">
        <v>7.5918277308634086E-3</v>
      </c>
    </row>
    <row r="5" spans="1:8">
      <c r="A5" s="1" t="s">
        <v>9</v>
      </c>
      <c r="B5" s="5">
        <v>6159213.3118389687</v>
      </c>
      <c r="C5" s="7">
        <v>0.90947612933873556</v>
      </c>
      <c r="F5" s="1" t="s">
        <v>9</v>
      </c>
      <c r="G5" s="5">
        <v>3317300.6074235379</v>
      </c>
      <c r="H5" s="7">
        <v>0.96501345760552448</v>
      </c>
    </row>
    <row r="6" spans="1:8">
      <c r="A6" s="1" t="s">
        <v>3</v>
      </c>
      <c r="B6" s="5">
        <v>11811.245205092437</v>
      </c>
      <c r="C6" s="7">
        <v>1.7440612993789779E-3</v>
      </c>
      <c r="F6" s="1" t="s">
        <v>3</v>
      </c>
      <c r="G6" s="5">
        <v>0</v>
      </c>
      <c r="H6" s="7">
        <v>0</v>
      </c>
    </row>
    <row r="7" spans="1:8">
      <c r="A7" s="1" t="s">
        <v>188</v>
      </c>
      <c r="B7" s="5">
        <v>277840.17674382031</v>
      </c>
      <c r="C7" s="7">
        <v>4.102618235904449E-2</v>
      </c>
      <c r="F7" s="1" t="s">
        <v>188</v>
      </c>
      <c r="G7" s="5">
        <v>36855.857337863221</v>
      </c>
      <c r="H7" s="7">
        <v>1.0721487899841202E-2</v>
      </c>
    </row>
    <row r="8" spans="1:8">
      <c r="A8" s="1" t="s">
        <v>5</v>
      </c>
      <c r="B8" s="5">
        <v>3412.0606812628421</v>
      </c>
      <c r="C8" s="7">
        <v>5.0382858724814877E-4</v>
      </c>
      <c r="F8" s="1" t="s">
        <v>5</v>
      </c>
      <c r="G8" s="5">
        <v>507.77107357309916</v>
      </c>
      <c r="H8" s="7">
        <v>1.4771224479454717E-4</v>
      </c>
    </row>
    <row r="9" spans="1:8">
      <c r="A9" s="1" t="s">
        <v>4</v>
      </c>
      <c r="B9" s="5">
        <v>6209.7380839745038</v>
      </c>
      <c r="C9" s="7">
        <v>9.1693667208519688E-4</v>
      </c>
      <c r="F9" s="1" t="s">
        <v>4</v>
      </c>
      <c r="G9" s="5">
        <v>7869.5253695764532</v>
      </c>
      <c r="H9" s="7">
        <v>2.289270339147101E-3</v>
      </c>
    </row>
    <row r="10" spans="1:8">
      <c r="A10" s="1" t="s">
        <v>8</v>
      </c>
      <c r="B10" s="5">
        <v>75283.427537801632</v>
      </c>
      <c r="C10" s="7">
        <v>1.1116432702342994E-2</v>
      </c>
      <c r="F10" s="1" t="s">
        <v>8</v>
      </c>
      <c r="G10" s="5">
        <v>17736.369735128126</v>
      </c>
      <c r="H10" s="7">
        <v>5.1595672231704694E-3</v>
      </c>
    </row>
    <row r="11" spans="1:8">
      <c r="A11" s="1" t="s">
        <v>6</v>
      </c>
      <c r="B11" s="5">
        <v>84720.096459136621</v>
      </c>
      <c r="C11" s="7">
        <v>1.2509861487790338E-2</v>
      </c>
      <c r="F11" s="1" t="s">
        <v>6</v>
      </c>
      <c r="G11" s="5">
        <v>29656.432671912709</v>
      </c>
      <c r="H11" s="7">
        <v>8.6271520190012146E-3</v>
      </c>
    </row>
    <row r="12" spans="1:8">
      <c r="A12" s="1" t="s">
        <v>212</v>
      </c>
      <c r="B12" s="6">
        <v>6772264.9480830533</v>
      </c>
      <c r="C12" s="8">
        <v>1</v>
      </c>
      <c r="F12" s="1" t="s">
        <v>212</v>
      </c>
      <c r="G12" s="6">
        <v>3437569.2704376508</v>
      </c>
      <c r="H12" s="8">
        <v>1</v>
      </c>
    </row>
    <row r="16" spans="1:8">
      <c r="A16" s="1" t="s">
        <v>41</v>
      </c>
    </row>
    <row r="18" spans="1:11">
      <c r="A18" s="1" t="s">
        <v>213</v>
      </c>
      <c r="C18" s="1">
        <v>2005</v>
      </c>
      <c r="D18" s="1">
        <v>2011</v>
      </c>
      <c r="E18" s="1">
        <v>2016</v>
      </c>
      <c r="F18" s="1"/>
    </row>
    <row r="19" spans="1:11">
      <c r="A19" s="1" t="s">
        <v>214</v>
      </c>
    </row>
    <row r="20" spans="1:11">
      <c r="A20" s="1"/>
    </row>
    <row r="21" spans="1:11">
      <c r="A21" s="1" t="s">
        <v>215</v>
      </c>
      <c r="C21" s="39">
        <v>1856.9780000000001</v>
      </c>
      <c r="D21" s="39">
        <v>2698.7469999999998</v>
      </c>
      <c r="E21" s="39">
        <v>3351.0830000000001</v>
      </c>
    </row>
    <row r="22" spans="1:11">
      <c r="A22" s="1" t="s">
        <v>216</v>
      </c>
      <c r="C22" s="39">
        <v>761.83799999999997</v>
      </c>
      <c r="D22" s="39">
        <v>868.19399999999996</v>
      </c>
      <c r="E22" s="39">
        <v>966.34400000000005</v>
      </c>
    </row>
    <row r="23" spans="1:11">
      <c r="A23" s="1" t="s">
        <v>217</v>
      </c>
      <c r="C23" s="39">
        <v>7.109</v>
      </c>
      <c r="D23" s="39">
        <v>14.613</v>
      </c>
      <c r="E23" s="39">
        <v>17.62</v>
      </c>
    </row>
    <row r="24" spans="1:11">
      <c r="A24" s="1" t="s">
        <v>218</v>
      </c>
      <c r="C24" s="39">
        <v>17.047999999999998</v>
      </c>
      <c r="D24" s="39">
        <v>47.475000000000001</v>
      </c>
      <c r="E24" s="39">
        <v>79.992999999999995</v>
      </c>
    </row>
    <row r="25" spans="1:11">
      <c r="A25" s="1" t="s">
        <v>219</v>
      </c>
      <c r="C25" s="40">
        <v>2642.9729999999995</v>
      </c>
      <c r="D25" s="40">
        <v>3629.0289999999995</v>
      </c>
      <c r="E25" s="40">
        <v>4415.04</v>
      </c>
    </row>
    <row r="28" spans="1:11">
      <c r="A28" s="1" t="s">
        <v>220</v>
      </c>
      <c r="C28" s="1">
        <v>2005</v>
      </c>
      <c r="D28" s="1">
        <v>2011</v>
      </c>
      <c r="E28" s="1">
        <v>2016</v>
      </c>
    </row>
    <row r="29" spans="1:11">
      <c r="A29" s="1" t="s">
        <v>214</v>
      </c>
      <c r="C29" s="41">
        <v>0</v>
      </c>
      <c r="D29" s="39">
        <v>179.04157594</v>
      </c>
      <c r="E29" s="39">
        <v>212.483</v>
      </c>
    </row>
    <row r="30" spans="1:11">
      <c r="C30" s="223"/>
    </row>
    <row r="32" spans="1:11">
      <c r="A32" s="1" t="s">
        <v>221</v>
      </c>
      <c r="C32" s="1">
        <v>2005</v>
      </c>
      <c r="D32" s="1">
        <v>2011</v>
      </c>
      <c r="E32" s="1">
        <v>2016</v>
      </c>
      <c r="G32" s="1" t="s">
        <v>222</v>
      </c>
      <c r="I32" s="1">
        <v>2005</v>
      </c>
      <c r="J32" s="1">
        <v>2011</v>
      </c>
      <c r="K32" s="1">
        <v>2016</v>
      </c>
    </row>
    <row r="33" spans="1:22">
      <c r="N33" s="35"/>
      <c r="O33" s="1"/>
      <c r="P33" s="1"/>
      <c r="Q33" s="1"/>
      <c r="R33" s="1"/>
      <c r="S33" s="1"/>
      <c r="T33" s="1"/>
      <c r="U33" s="1"/>
      <c r="V33" s="1"/>
    </row>
    <row r="34" spans="1:22">
      <c r="A34" s="1" t="s">
        <v>2</v>
      </c>
      <c r="C34" s="42">
        <f t="shared" ref="C34:E35" si="0">$C3*(C$21 + C$24) + $H3*C$22</f>
        <v>5.396875472116208</v>
      </c>
      <c r="D34" s="42">
        <f t="shared" si="0"/>
        <v>7.7970732347141709</v>
      </c>
      <c r="E34" s="42">
        <f>$C3*(E$21 + E$24) + $H3*E$22</f>
        <v>9.6883046098516878</v>
      </c>
      <c r="G34" s="1" t="s">
        <v>2</v>
      </c>
      <c r="I34" s="42">
        <f>$H3*C$29</f>
        <v>0</v>
      </c>
      <c r="J34" s="42">
        <f t="shared" ref="J34:K42" si="1">$H3*D$29</f>
        <v>8.0483653262528168E-2</v>
      </c>
      <c r="K34" s="42">
        <f t="shared" si="1"/>
        <v>9.5516407328277528E-2</v>
      </c>
      <c r="M34" s="1"/>
    </row>
    <row r="35" spans="1:22">
      <c r="A35" s="1" t="s">
        <v>7</v>
      </c>
      <c r="C35" s="42">
        <f t="shared" si="0"/>
        <v>43.282030527944123</v>
      </c>
      <c r="D35" s="42">
        <f t="shared" si="0"/>
        <v>61.541656263542151</v>
      </c>
      <c r="E35" s="42">
        <f t="shared" si="0"/>
        <v>75.990367268018531</v>
      </c>
      <c r="G35" s="1" t="s">
        <v>7</v>
      </c>
      <c r="I35" s="42">
        <f t="shared" ref="I35:I42" si="2">$H4*C$29</f>
        <v>0</v>
      </c>
      <c r="J35" s="42">
        <f t="shared" si="1"/>
        <v>1.3592528011987788</v>
      </c>
      <c r="K35" s="42">
        <f t="shared" si="1"/>
        <v>1.6131343317370497</v>
      </c>
      <c r="M35" s="1"/>
    </row>
    <row r="36" spans="1:22">
      <c r="A36" s="1" t="s">
        <v>9</v>
      </c>
      <c r="C36" s="42">
        <f>$C5*(C$21 + C$24) + $H5*C$22 + C23</f>
        <v>2446.6748352754307</v>
      </c>
      <c r="D36" s="42">
        <f>$C5*(D$21 + D$24) + $H5*D$22 + D23</f>
        <v>3350.0552486772513</v>
      </c>
      <c r="E36" s="42">
        <f>$C5*(E$21 + E$24) + $H5*E$22 + E23</f>
        <v>4070.6366846233841</v>
      </c>
      <c r="G36" s="1" t="s">
        <v>9</v>
      </c>
      <c r="I36" s="42">
        <f t="shared" si="2"/>
        <v>0</v>
      </c>
      <c r="J36" s="42">
        <f t="shared" si="1"/>
        <v>172.77753025300149</v>
      </c>
      <c r="K36" s="42">
        <f t="shared" si="1"/>
        <v>205.04895451239466</v>
      </c>
      <c r="M36" s="1"/>
    </row>
    <row r="37" spans="1:22">
      <c r="A37" s="1" t="s">
        <v>3</v>
      </c>
      <c r="C37" s="42">
        <f t="shared" ref="C37:E42" si="3">$C6*(C$21 + C$24) + $H6*C$22</f>
        <v>3.2684162206299883</v>
      </c>
      <c r="D37" s="42">
        <f t="shared" si="3"/>
        <v>4.7895795097031346</v>
      </c>
      <c r="E37" s="42">
        <f t="shared" si="3"/>
        <v>5.9840068668280262</v>
      </c>
      <c r="G37" s="1" t="s">
        <v>3</v>
      </c>
      <c r="I37" s="42">
        <f t="shared" si="2"/>
        <v>0</v>
      </c>
      <c r="J37" s="42">
        <f t="shared" si="1"/>
        <v>0</v>
      </c>
      <c r="K37" s="42">
        <f t="shared" si="1"/>
        <v>0</v>
      </c>
      <c r="M37" s="1"/>
    </row>
    <row r="38" spans="1:22">
      <c r="A38" s="1" t="s">
        <v>188</v>
      </c>
      <c r="C38" s="42">
        <f t="shared" si="3"/>
        <v>85.052169320229922</v>
      </c>
      <c r="D38" s="42">
        <f t="shared" si="3"/>
        <v>121.97533603613459</v>
      </c>
      <c r="E38" s="42">
        <f t="shared" si="3"/>
        <v>151.12459516682509</v>
      </c>
      <c r="G38" s="1" t="s">
        <v>188</v>
      </c>
      <c r="I38" s="42">
        <f t="shared" si="2"/>
        <v>0</v>
      </c>
      <c r="J38" s="42">
        <f t="shared" si="1"/>
        <v>1.9195920900092096</v>
      </c>
      <c r="K38" s="42">
        <f t="shared" si="1"/>
        <v>2.278133913421958</v>
      </c>
      <c r="M38" s="1"/>
    </row>
    <row r="39" spans="1:22">
      <c r="A39" s="1" t="s">
        <v>5</v>
      </c>
      <c r="C39" s="42">
        <f t="shared" si="3"/>
        <v>1.0567206731960874</v>
      </c>
      <c r="D39" s="42">
        <f t="shared" si="3"/>
        <v>1.5118680351869425</v>
      </c>
      <c r="E39" s="42">
        <f t="shared" si="3"/>
        <v>1.8714150153047713</v>
      </c>
      <c r="G39" s="1" t="s">
        <v>5</v>
      </c>
      <c r="I39" s="42">
        <f t="shared" si="2"/>
        <v>0</v>
      </c>
      <c r="J39" s="42">
        <f t="shared" si="1"/>
        <v>2.6446633093650786E-2</v>
      </c>
      <c r="K39" s="42">
        <f t="shared" si="1"/>
        <v>3.1386340910679766E-2</v>
      </c>
      <c r="M39" s="1"/>
    </row>
    <row r="40" spans="1:22">
      <c r="A40" s="1" t="s">
        <v>4</v>
      </c>
      <c r="C40" s="42">
        <f t="shared" si="3"/>
        <v>3.4624163004762822</v>
      </c>
      <c r="D40" s="42">
        <f t="shared" si="3"/>
        <v>4.5056424343126311</v>
      </c>
      <c r="E40" s="42">
        <f t="shared" si="3"/>
        <v>5.3583020657241551</v>
      </c>
      <c r="G40" s="1" t="s">
        <v>4</v>
      </c>
      <c r="I40" s="42">
        <f t="shared" si="2"/>
        <v>0</v>
      </c>
      <c r="J40" s="42">
        <f t="shared" si="1"/>
        <v>0.40987456927359522</v>
      </c>
      <c r="K40" s="42">
        <f t="shared" si="1"/>
        <v>0.48643102947299344</v>
      </c>
      <c r="M40" s="1"/>
    </row>
    <row r="41" spans="1:22">
      <c r="A41" s="1" t="s">
        <v>8</v>
      </c>
      <c r="C41" s="42">
        <f t="shared" si="3"/>
        <v>24.763238285606775</v>
      </c>
      <c r="D41" s="42">
        <f t="shared" si="3"/>
        <v>35.007697354447039</v>
      </c>
      <c r="E41" s="42">
        <f t="shared" si="3"/>
        <v>43.127242279331632</v>
      </c>
      <c r="G41" s="1" t="s">
        <v>8</v>
      </c>
      <c r="I41" s="42">
        <f t="shared" si="2"/>
        <v>0</v>
      </c>
      <c r="J41" s="42">
        <f t="shared" si="1"/>
        <v>0.92377704680481054</v>
      </c>
      <c r="K41" s="42">
        <f t="shared" si="1"/>
        <v>1.0963203222809308</v>
      </c>
      <c r="M41" s="1"/>
    </row>
    <row r="42" spans="1:22">
      <c r="A42" s="1" t="s">
        <v>6</v>
      </c>
      <c r="C42" s="42">
        <f t="shared" si="3"/>
        <v>30.016297924369624</v>
      </c>
      <c r="D42" s="42">
        <f t="shared" si="3"/>
        <v>41.844898454707291</v>
      </c>
      <c r="E42" s="42">
        <f t="shared" si="3"/>
        <v>51.259082104731434</v>
      </c>
      <c r="G42" s="1" t="s">
        <v>6</v>
      </c>
      <c r="I42" s="42">
        <f t="shared" si="2"/>
        <v>0</v>
      </c>
      <c r="J42" s="42">
        <f t="shared" si="1"/>
        <v>1.5446188933559304</v>
      </c>
      <c r="K42" s="42">
        <f t="shared" si="1"/>
        <v>1.8331231424534351</v>
      </c>
      <c r="M42" s="1"/>
    </row>
    <row r="43" spans="1:22">
      <c r="A43" s="1" t="s">
        <v>212</v>
      </c>
      <c r="C43" s="44">
        <f>SUM(C34:C42)</f>
        <v>2642.973</v>
      </c>
      <c r="D43" s="44">
        <f>SUM(D34:D42)</f>
        <v>3629.0289999999991</v>
      </c>
      <c r="E43" s="44">
        <f>SUM(E34:E42)</f>
        <v>4415.04</v>
      </c>
      <c r="G43" s="1" t="s">
        <v>212</v>
      </c>
      <c r="I43" s="44">
        <f>SUM(I34:I42)</f>
        <v>0</v>
      </c>
      <c r="J43" s="44">
        <f>SUM(J34:J42)</f>
        <v>179.04157594</v>
      </c>
      <c r="K43" s="44">
        <f>SUM(K34:K42)</f>
        <v>212.48299999999995</v>
      </c>
      <c r="M43" s="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0"/>
  <dimension ref="A2:P32"/>
  <sheetViews>
    <sheetView workbookViewId="0">
      <selection activeCell="N36" sqref="N36"/>
    </sheetView>
  </sheetViews>
  <sheetFormatPr defaultRowHeight="15"/>
  <cols>
    <col min="1" max="1" width="18.5703125" customWidth="1"/>
    <col min="2" max="2" width="10.85546875" customWidth="1"/>
    <col min="3" max="4" width="11" customWidth="1"/>
  </cols>
  <sheetData>
    <row r="2" spans="1:4">
      <c r="A2" s="1" t="s">
        <v>176</v>
      </c>
      <c r="B2" s="1">
        <v>2005</v>
      </c>
      <c r="C2" s="1">
        <v>2011</v>
      </c>
      <c r="D2" s="1">
        <v>2016</v>
      </c>
    </row>
    <row r="3" spans="1:4">
      <c r="A3" s="1" t="s">
        <v>177</v>
      </c>
    </row>
    <row r="4" spans="1:4">
      <c r="A4" s="3" t="s">
        <v>223</v>
      </c>
      <c r="B4" s="6">
        <v>442.27600000000001</v>
      </c>
      <c r="C4" s="6">
        <v>571.70619299999998</v>
      </c>
      <c r="D4" s="6">
        <v>712.34660499999995</v>
      </c>
    </row>
    <row r="7" spans="1:4">
      <c r="A7" s="1" t="s">
        <v>184</v>
      </c>
    </row>
    <row r="8" spans="1:4">
      <c r="A8" s="1" t="s">
        <v>185</v>
      </c>
      <c r="B8" s="9" t="s">
        <v>186</v>
      </c>
      <c r="C8" s="9" t="s">
        <v>187</v>
      </c>
    </row>
    <row r="9" spans="1:4">
      <c r="A9" s="1" t="s">
        <v>9</v>
      </c>
      <c r="B9" s="38">
        <v>110107452.71528004</v>
      </c>
      <c r="C9" s="7">
        <f>B9/B$18</f>
        <v>0.18744031847040091</v>
      </c>
    </row>
    <row r="10" spans="1:4">
      <c r="A10" s="1" t="s">
        <v>7</v>
      </c>
      <c r="B10" s="5">
        <v>290931166.16635382</v>
      </c>
      <c r="C10" s="7">
        <f t="shared" ref="C10:C18" si="0">B10/B$18</f>
        <v>0.49526375458160821</v>
      </c>
    </row>
    <row r="11" spans="1:4">
      <c r="A11" s="1" t="s">
        <v>8</v>
      </c>
      <c r="B11" s="5">
        <v>177998308.35154164</v>
      </c>
      <c r="C11" s="7">
        <f t="shared" si="0"/>
        <v>0.30301363606040016</v>
      </c>
    </row>
    <row r="12" spans="1:4">
      <c r="A12" s="1" t="s">
        <v>6</v>
      </c>
      <c r="B12" s="5">
        <v>398049.4317705732</v>
      </c>
      <c r="C12" s="7">
        <f t="shared" si="0"/>
        <v>6.7761546033554151E-4</v>
      </c>
    </row>
    <row r="13" spans="1:4">
      <c r="A13" s="1" t="s">
        <v>5</v>
      </c>
      <c r="B13" s="5">
        <v>25171.592576000003</v>
      </c>
      <c r="C13" s="7">
        <f t="shared" si="0"/>
        <v>4.2850608314888938E-5</v>
      </c>
    </row>
    <row r="14" spans="1:4">
      <c r="A14" s="1" t="s">
        <v>2</v>
      </c>
      <c r="B14" s="5">
        <v>38555.0742138692</v>
      </c>
      <c r="C14" s="7">
        <f t="shared" si="0"/>
        <v>6.5633844132102935E-5</v>
      </c>
    </row>
    <row r="15" spans="1:4">
      <c r="A15" s="1" t="s">
        <v>3</v>
      </c>
      <c r="B15" s="5">
        <v>107891.17780908602</v>
      </c>
      <c r="C15" s="7">
        <f t="shared" si="0"/>
        <v>1.8366746509862076E-4</v>
      </c>
    </row>
    <row r="16" spans="1:4">
      <c r="A16" s="1" t="s">
        <v>4</v>
      </c>
      <c r="B16" s="5">
        <v>42229.543893498005</v>
      </c>
      <c r="C16" s="7">
        <f t="shared" si="0"/>
        <v>7.1889040760258845E-5</v>
      </c>
    </row>
    <row r="17" spans="1:16">
      <c r="A17" s="1" t="s">
        <v>188</v>
      </c>
      <c r="B17" s="5">
        <v>7777902.5644387361</v>
      </c>
      <c r="C17" s="7">
        <f t="shared" si="0"/>
        <v>1.3240634468949323E-2</v>
      </c>
    </row>
    <row r="18" spans="1:16">
      <c r="B18" s="6">
        <f>SUM(B9:B17)</f>
        <v>587426726.61787724</v>
      </c>
      <c r="C18" s="8">
        <f t="shared" si="0"/>
        <v>1</v>
      </c>
    </row>
    <row r="21" spans="1:16">
      <c r="A21" s="1" t="s">
        <v>189</v>
      </c>
      <c r="B21" s="1">
        <v>2005</v>
      </c>
      <c r="C21" s="1">
        <v>2011</v>
      </c>
      <c r="D21" s="1">
        <v>2016</v>
      </c>
    </row>
    <row r="22" spans="1:16">
      <c r="A22" s="1" t="s">
        <v>190</v>
      </c>
    </row>
    <row r="23" spans="1:16">
      <c r="F23" s="17"/>
      <c r="G23" s="17"/>
      <c r="H23" s="35"/>
      <c r="I23" s="35"/>
      <c r="J23" s="35"/>
      <c r="K23" s="35"/>
      <c r="L23" s="35"/>
      <c r="M23" s="35"/>
      <c r="N23" s="35"/>
      <c r="O23" s="35"/>
      <c r="P23" s="17"/>
    </row>
    <row r="24" spans="1:16">
      <c r="A24" s="1" t="s">
        <v>9</v>
      </c>
      <c r="B24" s="43">
        <f t="shared" ref="B24:D25" si="1">$C9*B$4</f>
        <v>82.900354291815034</v>
      </c>
      <c r="C24" s="43">
        <f t="shared" si="1"/>
        <v>107.16079088742049</v>
      </c>
      <c r="D24" s="43">
        <f t="shared" si="1"/>
        <v>133.52247450250886</v>
      </c>
      <c r="F24" s="45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>
      <c r="A25" s="1" t="s">
        <v>7</v>
      </c>
      <c r="B25" s="43">
        <f t="shared" si="1"/>
        <v>219.04327232133537</v>
      </c>
      <c r="C25" s="43">
        <f t="shared" si="1"/>
        <v>283.14535566273753</v>
      </c>
      <c r="D25" s="43">
        <f t="shared" si="1"/>
        <v>352.79945415576179</v>
      </c>
      <c r="F25" s="45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>
      <c r="A26" s="1" t="s">
        <v>8</v>
      </c>
      <c r="B26" s="43">
        <f t="shared" ref="B26:D32" si="2">$C11*B$4</f>
        <v>134.01565890224956</v>
      </c>
      <c r="C26" s="43">
        <f>$C11*C$4</f>
        <v>173.2347722991789</v>
      </c>
      <c r="D26" s="43">
        <f t="shared" si="2"/>
        <v>215.85073491633162</v>
      </c>
      <c r="F26" s="45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>
      <c r="A27" s="1" t="s">
        <v>6</v>
      </c>
      <c r="B27" s="43">
        <f t="shared" si="2"/>
        <v>0.29969305533536195</v>
      </c>
      <c r="C27" s="43">
        <f t="shared" si="2"/>
        <v>0.3873969551463749</v>
      </c>
      <c r="D27" s="43">
        <f>$C12*D$4</f>
        <v>0.48269707266553513</v>
      </c>
      <c r="F27" s="45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>
      <c r="A28" s="1" t="s">
        <v>5</v>
      </c>
      <c r="B28" s="43">
        <f t="shared" si="2"/>
        <v>1.8951795643075819E-2</v>
      </c>
      <c r="C28" s="43">
        <f t="shared" si="2"/>
        <v>2.4497958147439301E-2</v>
      </c>
      <c r="D28" s="43">
        <f t="shared" si="2"/>
        <v>3.0524485355295904E-2</v>
      </c>
      <c r="F28" s="45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>
      <c r="A29" s="1" t="s">
        <v>2</v>
      </c>
      <c r="B29" s="43">
        <f t="shared" si="2"/>
        <v>2.9028274047369958E-2</v>
      </c>
      <c r="C29" s="43">
        <f t="shared" si="2"/>
        <v>3.752327516071996E-2</v>
      </c>
      <c r="D29" s="43">
        <f t="shared" si="2"/>
        <v>4.6754046040602695E-2</v>
      </c>
      <c r="F29" s="45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1:16">
      <c r="A30" s="1" t="s">
        <v>3</v>
      </c>
      <c r="B30" s="43">
        <f t="shared" si="2"/>
        <v>8.1231711793957606E-2</v>
      </c>
      <c r="C30" s="43">
        <f t="shared" si="2"/>
        <v>0.10500382724949285</v>
      </c>
      <c r="D30" s="43">
        <f t="shared" si="2"/>
        <v>0.13083489521195849</v>
      </c>
      <c r="F30" s="45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spans="1:16">
      <c r="A31" s="1" t="s">
        <v>4</v>
      </c>
      <c r="B31" s="43">
        <f t="shared" si="2"/>
        <v>3.1794797391284241E-2</v>
      </c>
      <c r="C31" s="43">
        <f t="shared" si="2"/>
        <v>4.1099409811469409E-2</v>
      </c>
      <c r="D31" s="43">
        <f t="shared" si="2"/>
        <v>5.1209914122277003E-2</v>
      </c>
      <c r="F31" s="45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6">
      <c r="A32" s="1" t="s">
        <v>188</v>
      </c>
      <c r="B32" s="43">
        <f t="shared" si="2"/>
        <v>5.8560148503890312</v>
      </c>
      <c r="C32" s="43">
        <f t="shared" si="2"/>
        <v>7.5697527251475938</v>
      </c>
      <c r="D32" s="43">
        <f t="shared" si="2"/>
        <v>9.4319210120020269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1"/>
  <dimension ref="A1:L41"/>
  <sheetViews>
    <sheetView workbookViewId="0">
      <selection activeCell="C13" sqref="C13"/>
    </sheetView>
  </sheetViews>
  <sheetFormatPr defaultRowHeight="15"/>
  <cols>
    <col min="1" max="1" width="25" customWidth="1"/>
    <col min="2" max="2" width="14.7109375" customWidth="1"/>
    <col min="3" max="3" width="15.7109375" customWidth="1"/>
    <col min="4" max="4" width="10.85546875" customWidth="1"/>
    <col min="5" max="5" width="14.140625" customWidth="1"/>
    <col min="6" max="6" width="13.28515625" customWidth="1"/>
    <col min="7" max="7" width="18" customWidth="1"/>
    <col min="8" max="8" width="13.28515625" customWidth="1"/>
    <col min="9" max="9" width="15" customWidth="1"/>
    <col min="10" max="10" width="13.42578125" customWidth="1"/>
    <col min="11" max="11" width="9.7109375" customWidth="1"/>
  </cols>
  <sheetData>
    <row r="1" spans="1:5">
      <c r="A1" s="1" t="s">
        <v>224</v>
      </c>
      <c r="C1" s="46">
        <v>2005</v>
      </c>
      <c r="D1" s="46">
        <v>2011</v>
      </c>
      <c r="E1" s="46">
        <v>2016</v>
      </c>
    </row>
    <row r="2" spans="1:5">
      <c r="A2" s="1" t="s">
        <v>177</v>
      </c>
    </row>
    <row r="3" spans="1:5">
      <c r="A3" s="3" t="s">
        <v>225</v>
      </c>
      <c r="C3">
        <v>143.98260304999999</v>
      </c>
      <c r="D3">
        <v>175.23665525999999</v>
      </c>
      <c r="E3">
        <v>220.32343346000005</v>
      </c>
    </row>
    <row r="4" spans="1:5">
      <c r="A4" s="3" t="s">
        <v>226</v>
      </c>
      <c r="C4">
        <v>136.93953439000001</v>
      </c>
      <c r="D4">
        <v>164.86321869</v>
      </c>
      <c r="E4">
        <v>207.47070948000001</v>
      </c>
    </row>
    <row r="5" spans="1:5">
      <c r="A5" s="3" t="s">
        <v>227</v>
      </c>
      <c r="C5">
        <v>188.95948280000002</v>
      </c>
      <c r="D5">
        <v>230.84778655</v>
      </c>
      <c r="E5">
        <v>320.27371162000003</v>
      </c>
    </row>
    <row r="6" spans="1:5">
      <c r="A6" s="3" t="s">
        <v>228</v>
      </c>
      <c r="C6">
        <v>43.912674669999994</v>
      </c>
      <c r="D6">
        <v>59.271261859999989</v>
      </c>
      <c r="E6">
        <v>76.331133900000012</v>
      </c>
    </row>
    <row r="7" spans="1:5">
      <c r="A7" s="3" t="s">
        <v>229</v>
      </c>
      <c r="C7">
        <v>11.230236429999998</v>
      </c>
      <c r="D7">
        <v>14.01177687</v>
      </c>
      <c r="E7">
        <v>17.249124690000002</v>
      </c>
    </row>
    <row r="8" spans="1:5">
      <c r="A8" s="3" t="s">
        <v>230</v>
      </c>
      <c r="C8">
        <v>11.006830060000002</v>
      </c>
      <c r="D8">
        <v>14.148274690000001</v>
      </c>
      <c r="E8">
        <v>18.417889720000002</v>
      </c>
    </row>
    <row r="9" spans="1:5">
      <c r="A9" s="3" t="s">
        <v>231</v>
      </c>
      <c r="C9">
        <v>121.92352009999999</v>
      </c>
      <c r="D9">
        <v>158.79245135999997</v>
      </c>
      <c r="E9">
        <v>171.00201797000003</v>
      </c>
    </row>
    <row r="10" spans="1:5">
      <c r="A10" s="3" t="s">
        <v>232</v>
      </c>
      <c r="C10">
        <v>70.339628279999985</v>
      </c>
      <c r="D10">
        <v>87.94914086</v>
      </c>
      <c r="E10">
        <v>109.18205841000001</v>
      </c>
    </row>
    <row r="11" spans="1:5">
      <c r="A11" s="3" t="s">
        <v>233</v>
      </c>
      <c r="C11">
        <v>210.48552150000003</v>
      </c>
      <c r="D11">
        <v>266.50964047999997</v>
      </c>
      <c r="E11">
        <v>335.46429849000003</v>
      </c>
    </row>
    <row r="12" spans="1:5">
      <c r="A12" s="3" t="s">
        <v>234</v>
      </c>
      <c r="C12">
        <v>267.39846981000005</v>
      </c>
      <c r="D12">
        <v>329.22070001999998</v>
      </c>
      <c r="E12">
        <v>393.03726775999996</v>
      </c>
    </row>
    <row r="13" spans="1:5">
      <c r="A13" s="3" t="s">
        <v>10</v>
      </c>
      <c r="C13" s="1">
        <f>SUM(C3:C12)</f>
        <v>1206.1785010900001</v>
      </c>
      <c r="D13" s="1">
        <f>SUM(D3:D12)</f>
        <v>1500.8509066399997</v>
      </c>
      <c r="E13" s="1">
        <f>SUM(E3:E12)</f>
        <v>1868.7516455</v>
      </c>
    </row>
    <row r="16" spans="1:5">
      <c r="A16" s="1" t="s">
        <v>235</v>
      </c>
    </row>
    <row r="18" spans="1:12">
      <c r="B18" s="1" t="s">
        <v>236</v>
      </c>
      <c r="C18" s="1" t="s">
        <v>237</v>
      </c>
      <c r="D18" s="1" t="s">
        <v>238</v>
      </c>
      <c r="E18" s="1" t="s">
        <v>239</v>
      </c>
      <c r="F18" s="1" t="s">
        <v>240</v>
      </c>
      <c r="G18" s="1" t="s">
        <v>241</v>
      </c>
      <c r="H18" s="1" t="s">
        <v>242</v>
      </c>
      <c r="I18" s="1" t="s">
        <v>243</v>
      </c>
      <c r="J18" s="1" t="s">
        <v>244</v>
      </c>
      <c r="K18" s="1" t="s">
        <v>245</v>
      </c>
      <c r="L18" s="1"/>
    </row>
    <row r="19" spans="1:12">
      <c r="A19" s="1" t="s">
        <v>2</v>
      </c>
      <c r="B19" s="7">
        <v>6.1891943722262839E-3</v>
      </c>
      <c r="C19" s="7">
        <v>3.052937450764352E-3</v>
      </c>
      <c r="D19" s="7">
        <v>0</v>
      </c>
      <c r="E19" s="7">
        <v>2.0844379459816056E-2</v>
      </c>
      <c r="F19" s="7">
        <v>0</v>
      </c>
      <c r="G19" s="7">
        <v>4.7962509070815342E-3</v>
      </c>
      <c r="H19" s="7">
        <v>8.6555554468948758E-3</v>
      </c>
      <c r="I19" s="7">
        <v>2.7667724921278574E-3</v>
      </c>
      <c r="J19" s="7">
        <v>6.9562409272408577E-3</v>
      </c>
      <c r="K19" s="7">
        <v>1.7526951446693043E-4</v>
      </c>
    </row>
    <row r="20" spans="1:12">
      <c r="A20" s="1" t="s">
        <v>7</v>
      </c>
      <c r="B20" s="7">
        <v>8.1835881287453019E-2</v>
      </c>
      <c r="C20" s="7">
        <v>2.1034972828040854E-2</v>
      </c>
      <c r="D20" s="7">
        <v>4.6967913653508234E-2</v>
      </c>
      <c r="E20" s="7">
        <v>2.0074254061477931E-3</v>
      </c>
      <c r="F20" s="7">
        <v>0.10580173045353325</v>
      </c>
      <c r="G20" s="7">
        <v>0.24033799716002893</v>
      </c>
      <c r="H20" s="7">
        <v>4.2562971867075326E-2</v>
      </c>
      <c r="I20" s="7">
        <v>0.12994160922781153</v>
      </c>
      <c r="J20" s="7">
        <v>0.28182587010734028</v>
      </c>
      <c r="K20" s="7">
        <v>4.7154587496968763E-2</v>
      </c>
    </row>
    <row r="21" spans="1:12">
      <c r="A21" s="1" t="s">
        <v>9</v>
      </c>
      <c r="B21" s="7">
        <v>0.48387953533727784</v>
      </c>
      <c r="C21" s="7">
        <v>0.83759102145123276</v>
      </c>
      <c r="D21" s="7">
        <v>0.92487423625388832</v>
      </c>
      <c r="E21" s="7">
        <v>0.34748776703184719</v>
      </c>
      <c r="F21" s="7">
        <v>0.86918410506413979</v>
      </c>
      <c r="G21" s="7">
        <v>0.5024110182831758</v>
      </c>
      <c r="H21" s="7">
        <v>0.63905917620835484</v>
      </c>
      <c r="I21" s="7">
        <v>0.56017121101621059</v>
      </c>
      <c r="J21" s="7">
        <v>0.27628910208058205</v>
      </c>
      <c r="K21" s="7">
        <v>0.76061749855606708</v>
      </c>
    </row>
    <row r="22" spans="1:12">
      <c r="A22" s="1" t="s">
        <v>3</v>
      </c>
      <c r="B22" s="7">
        <v>6.8751563052606643E-3</v>
      </c>
      <c r="C22" s="7">
        <v>6.4566241966358641E-3</v>
      </c>
      <c r="D22" s="7">
        <v>0</v>
      </c>
      <c r="E22" s="7">
        <v>4.7657029994135729E-3</v>
      </c>
      <c r="F22" s="7">
        <v>7.0978065287367778E-4</v>
      </c>
      <c r="G22" s="7">
        <v>2.9655873817442651E-3</v>
      </c>
      <c r="H22" s="7">
        <v>1.4529091161077506E-2</v>
      </c>
      <c r="I22" s="7">
        <v>7.9558123723309053E-3</v>
      </c>
      <c r="J22" s="7">
        <v>6.6369266074725588E-3</v>
      </c>
      <c r="K22" s="7">
        <v>6.306265863663085E-4</v>
      </c>
    </row>
    <row r="23" spans="1:12">
      <c r="A23" s="1" t="s">
        <v>188</v>
      </c>
      <c r="B23" s="7">
        <v>0.1977853015187977</v>
      </c>
      <c r="C23" s="7">
        <v>0.1031923178293946</v>
      </c>
      <c r="D23" s="7">
        <v>9.1689088638059711E-3</v>
      </c>
      <c r="E23" s="7">
        <v>0.27271453342667451</v>
      </c>
      <c r="F23" s="7">
        <v>1.6668638279591318E-2</v>
      </c>
      <c r="G23" s="7">
        <v>9.9634328598011204E-2</v>
      </c>
      <c r="H23" s="7">
        <v>0.1399513689371488</v>
      </c>
      <c r="I23" s="7">
        <v>0.16577891365178576</v>
      </c>
      <c r="J23" s="7">
        <v>0.16144933256474076</v>
      </c>
      <c r="K23" s="7">
        <v>0.16206412358333652</v>
      </c>
    </row>
    <row r="24" spans="1:12">
      <c r="A24" s="1" t="s">
        <v>5</v>
      </c>
      <c r="B24" s="7">
        <v>1.1882941856448771E-2</v>
      </c>
      <c r="C24" s="7">
        <v>0</v>
      </c>
      <c r="D24" s="7">
        <v>0</v>
      </c>
      <c r="E24" s="7">
        <v>2.5524557584440256E-2</v>
      </c>
      <c r="F24" s="7">
        <v>0</v>
      </c>
      <c r="G24" s="7">
        <v>3.8796771745856692E-4</v>
      </c>
      <c r="H24" s="7">
        <v>8.3439912944702158E-3</v>
      </c>
      <c r="I24" s="7">
        <v>1.2326723233433256E-3</v>
      </c>
      <c r="J24" s="7">
        <v>6.3729322299506154E-3</v>
      </c>
      <c r="K24" s="7">
        <v>0</v>
      </c>
    </row>
    <row r="25" spans="1:12">
      <c r="A25" s="1" t="s">
        <v>4</v>
      </c>
      <c r="B25" s="7">
        <v>1.7786124170186338E-2</v>
      </c>
      <c r="C25" s="7">
        <v>2.1890993499661521E-2</v>
      </c>
      <c r="D25" s="7">
        <v>8.2140888797862955E-3</v>
      </c>
      <c r="E25" s="7">
        <v>7.4372511421887189E-3</v>
      </c>
      <c r="F25" s="7">
        <v>0</v>
      </c>
      <c r="G25" s="7">
        <v>1.0460540154363048E-3</v>
      </c>
      <c r="H25" s="7">
        <v>3.2068403840734713E-2</v>
      </c>
      <c r="I25" s="7">
        <v>1.8149910064926167E-2</v>
      </c>
      <c r="J25" s="7">
        <v>1.499707097598512E-2</v>
      </c>
      <c r="K25" s="7">
        <v>2.8696087172526847E-4</v>
      </c>
    </row>
    <row r="26" spans="1:12">
      <c r="A26" s="1" t="s">
        <v>8</v>
      </c>
      <c r="B26" s="7">
        <v>3.8923325358085362E-2</v>
      </c>
      <c r="C26" s="7">
        <v>2.9110791175583663E-3</v>
      </c>
      <c r="D26" s="7">
        <v>7.7132753599748237E-3</v>
      </c>
      <c r="E26" s="7">
        <v>1.9769094883825703E-3</v>
      </c>
      <c r="F26" s="7">
        <v>6.6569953864257566E-3</v>
      </c>
      <c r="G26" s="7">
        <v>0.12779317535608553</v>
      </c>
      <c r="H26" s="7">
        <v>2.0639100275793729E-2</v>
      </c>
      <c r="I26" s="7">
        <v>5.1260958719032954E-2</v>
      </c>
      <c r="J26" s="7">
        <v>0.14025493039375286</v>
      </c>
      <c r="K26" s="7">
        <v>2.615965520591626E-2</v>
      </c>
    </row>
    <row r="27" spans="1:12">
      <c r="A27" s="1" t="s">
        <v>6</v>
      </c>
      <c r="B27" s="7">
        <v>0.15484253979426413</v>
      </c>
      <c r="C27" s="7">
        <v>3.870053626711791E-3</v>
      </c>
      <c r="D27" s="7">
        <v>3.061576989036161E-3</v>
      </c>
      <c r="E27" s="7">
        <v>0.31724147346108933</v>
      </c>
      <c r="F27" s="7">
        <v>9.787501634363348E-4</v>
      </c>
      <c r="G27" s="7">
        <v>2.062762058097771E-2</v>
      </c>
      <c r="H27" s="7">
        <v>9.4190340968450123E-2</v>
      </c>
      <c r="I27" s="7">
        <v>6.2742140132430943E-2</v>
      </c>
      <c r="J27" s="7">
        <v>0.10521759411293471</v>
      </c>
      <c r="K27" s="7">
        <v>2.9112781851529106E-3</v>
      </c>
    </row>
    <row r="28" spans="1:12"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</row>
    <row r="30" spans="1:12">
      <c r="A30" s="1" t="s">
        <v>246</v>
      </c>
    </row>
    <row r="31" spans="1:12">
      <c r="B31" s="1">
        <v>2005</v>
      </c>
      <c r="C31" s="1">
        <v>2011</v>
      </c>
      <c r="D31" s="1">
        <v>2016</v>
      </c>
    </row>
    <row r="32" spans="1:12">
      <c r="A32" s="1" t="s">
        <v>2</v>
      </c>
      <c r="B32">
        <f>$B19*C$5 + $C19*C$10+$D19*C$8 + $E19*C$6+$F19*C$7 + $G19*C$9+$H19*C$3 + $I19*C$4 + $J19*C$11+$K19*C$12</f>
        <v>6.0205424409098498</v>
      </c>
      <c r="C32">
        <f>$B19*D$5 + $C19*D$10+$D19*D$8 + $E19*D$6+$F19*D$7 + $G19*D$9+$H19*D$3 + $I19*D$4 + $J19*D$11+$K19*D$12</f>
        <v>7.5788633846179358</v>
      </c>
      <c r="D32">
        <f>$B19*E$5 + $C19*E$10+$D19*E$8 + $E19*E$6+$F19*E$7 + $G19*E$9+$H19*E$3 + $I19*E$4 + $J19*E$11+$K19*E$12</f>
        <v>9.6103098323597571</v>
      </c>
    </row>
    <row r="33" spans="1:4">
      <c r="A33" s="1" t="s">
        <v>7</v>
      </c>
      <c r="B33">
        <f t="shared" ref="B33:D40" si="0">$B20*C$5 + $C20*C$10+$D20*C$8 + $E20*C$6+$F20*C$7 + $G20*C$9+$H20*C$3 + $I20*C$4 + $J20*C$11+$K20*C$12</f>
        <v>143.89121104149112</v>
      </c>
      <c r="C33">
        <f>$B20*D$5 + $C20*D$10+$D20*D$8 + $E20*D$6+$F20*D$7 + $G20*D$9+$H20*D$3 + $I20*D$4 + $J20*D$11+$K20*D$12</f>
        <v>180.68622978042725</v>
      </c>
      <c r="D33">
        <f t="shared" si="0"/>
        <v>221.86079773888741</v>
      </c>
    </row>
    <row r="34" spans="1:4">
      <c r="A34" s="1" t="s">
        <v>9</v>
      </c>
      <c r="B34">
        <f t="shared" si="0"/>
        <v>677.07118100186335</v>
      </c>
      <c r="C34">
        <f t="shared" si="0"/>
        <v>839.39019052552123</v>
      </c>
      <c r="D34">
        <f t="shared" si="0"/>
        <v>1039.5431202518921</v>
      </c>
    </row>
    <row r="35" spans="1:4">
      <c r="A35" s="1" t="s">
        <v>3</v>
      </c>
      <c r="B35">
        <f>$B22*C$5 + $C22*C$10+$D22*C$8 + $E22*C$6+$F22*C$7 + $G22*C$9+$H22*C$3 + $I22*C$4 + $J22*C$11+$K22*C$12</f>
        <v>7.0791102978557641</v>
      </c>
      <c r="C35">
        <f>$B22*D$5 + $C22*D$10+$D22*D$8 + $E22*D$6+$F22*D$7 + $G22*D$9+$H22*D$3 + $I22*D$4 + $J22*D$11+$K22*D$12</f>
        <v>8.7523669991295545</v>
      </c>
      <c r="D35">
        <f>$B22*E$5 + $C22*E$10+$D22*E$8 + $E22*E$6+$F22*E$7 + $G22*E$9+$H22*E$3 + $I22*E$4 + $J22*E$11+$K22*E$12</f>
        <v>11.116024349553287</v>
      </c>
    </row>
    <row r="36" spans="1:4">
      <c r="A36" s="1" t="s">
        <v>188</v>
      </c>
      <c r="B36">
        <f t="shared" si="0"/>
        <v>189.21411884320332</v>
      </c>
      <c r="C36">
        <f t="shared" si="0"/>
        <v>235.32069292611334</v>
      </c>
      <c r="D36">
        <f t="shared" si="0"/>
        <v>296.00941686267794</v>
      </c>
    </row>
    <row r="37" spans="1:4">
      <c r="A37" s="1" t="s">
        <v>5</v>
      </c>
      <c r="B37">
        <f t="shared" si="0"/>
        <v>6.1251496547596975</v>
      </c>
      <c r="C37">
        <f t="shared" si="0"/>
        <v>7.6814732368008656</v>
      </c>
      <c r="D37">
        <f t="shared" si="0"/>
        <v>10.052467030721424</v>
      </c>
    </row>
    <row r="38" spans="1:4">
      <c r="A38" s="1" t="s">
        <v>4</v>
      </c>
      <c r="B38">
        <f t="shared" si="0"/>
        <v>15.781332125187763</v>
      </c>
      <c r="C38">
        <f t="shared" si="0"/>
        <v>19.457467267936316</v>
      </c>
      <c r="D38">
        <f t="shared" si="0"/>
        <v>24.959152846999956</v>
      </c>
    </row>
    <row r="39" spans="1:4">
      <c r="A39" s="1" t="s">
        <v>8</v>
      </c>
      <c r="B39">
        <f t="shared" si="0"/>
        <v>69.895166303507395</v>
      </c>
      <c r="C39">
        <f t="shared" si="0"/>
        <v>87.912926407227488</v>
      </c>
      <c r="D39">
        <f t="shared" si="0"/>
        <v>107.55930185360002</v>
      </c>
    </row>
    <row r="40" spans="1:4">
      <c r="A40" s="1" t="s">
        <v>6</v>
      </c>
      <c r="B40">
        <f t="shared" si="0"/>
        <v>91.100689381221869</v>
      </c>
      <c r="C40">
        <f t="shared" si="0"/>
        <v>114.07069611222603</v>
      </c>
      <c r="D40">
        <f t="shared" si="0"/>
        <v>148.0410547333083</v>
      </c>
    </row>
    <row r="41" spans="1:4">
      <c r="A41" s="1" t="s">
        <v>10</v>
      </c>
      <c r="B41" s="1">
        <f>SUM(B32:B40)</f>
        <v>1206.1785010900003</v>
      </c>
      <c r="C41" s="1">
        <f>SUM(C32:C40)</f>
        <v>1500.8509066400004</v>
      </c>
      <c r="D41" s="1">
        <f>SUM(D32:D40)</f>
        <v>1868.7516455000002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B134"/>
  <sheetViews>
    <sheetView workbookViewId="0">
      <selection activeCell="S125" sqref="S125:AB134"/>
    </sheetView>
  </sheetViews>
  <sheetFormatPr defaultRowHeight="15"/>
  <cols>
    <col min="1" max="1" width="44.28515625" customWidth="1"/>
    <col min="6" max="6" width="12.5703125" customWidth="1"/>
    <col min="7" max="7" width="11.140625" bestFit="1" customWidth="1"/>
    <col min="9" max="9" width="4.140625" customWidth="1"/>
    <col min="10" max="10" width="12.7109375" customWidth="1"/>
    <col min="13" max="13" width="4" customWidth="1"/>
    <col min="14" max="14" width="12.7109375" customWidth="1"/>
    <col min="19" max="19" width="12.140625" customWidth="1"/>
  </cols>
  <sheetData>
    <row r="1" spans="1:22">
      <c r="A1" s="1" t="s">
        <v>213</v>
      </c>
      <c r="B1" s="1">
        <v>2008</v>
      </c>
      <c r="C1" s="1">
        <v>2012</v>
      </c>
      <c r="D1" s="1">
        <v>2016</v>
      </c>
    </row>
    <row r="2" spans="1:22">
      <c r="A2" s="113" t="s">
        <v>247</v>
      </c>
      <c r="B2" s="111">
        <v>82.855999999999995</v>
      </c>
      <c r="C2" s="111">
        <v>88.55</v>
      </c>
      <c r="D2" s="111">
        <v>124.995</v>
      </c>
      <c r="O2" s="1">
        <v>2008</v>
      </c>
      <c r="P2" s="1">
        <v>2012</v>
      </c>
      <c r="Q2" s="1">
        <v>2016</v>
      </c>
      <c r="T2" s="1">
        <v>2005</v>
      </c>
      <c r="U2" s="1">
        <v>2011</v>
      </c>
      <c r="V2" s="1">
        <v>2016</v>
      </c>
    </row>
    <row r="3" spans="1:22">
      <c r="A3" s="113" t="s">
        <v>248</v>
      </c>
      <c r="B3" s="111">
        <v>10.637</v>
      </c>
      <c r="C3" s="111">
        <v>11.512</v>
      </c>
      <c r="D3" s="111">
        <v>18.667000000000002</v>
      </c>
      <c r="F3" s="123" t="s">
        <v>2</v>
      </c>
      <c r="G3" s="124">
        <f>'NYCT + MTA Bus Fares'!B3+'NYCT + MTA Bus Fares'!G3</f>
        <v>19810.657721495401</v>
      </c>
      <c r="H3" s="126">
        <f t="shared" ref="H3:H12" si="0">G3/G$12</f>
        <v>1.9403505774421626E-3</v>
      </c>
      <c r="J3" s="125" t="s">
        <v>2</v>
      </c>
      <c r="K3" s="127">
        <v>0</v>
      </c>
      <c r="L3" s="127"/>
      <c r="N3" s="122" t="s">
        <v>2</v>
      </c>
      <c r="O3" s="39">
        <f>$H3*SUM(B$4:B$6)+$K3*SUM(B$2:B$3,B$7:B$13)</f>
        <v>2.87812201151996E-2</v>
      </c>
      <c r="P3" s="39">
        <f>$H3*SUM(C$4:C$6)+$K3*SUM(C$2:C$3,C$7:C$13)</f>
        <v>2.4632750580628256E-2</v>
      </c>
      <c r="Q3" s="39">
        <f>$H3*SUM(D$4:D$6)+$K3*SUM(D$2:D$3,D$7:D$13)</f>
        <v>7.1197283738085274E-2</v>
      </c>
      <c r="S3" s="122" t="s">
        <v>2</v>
      </c>
      <c r="T3" s="39">
        <f>(O3/O$12)*T$12</f>
        <v>2.61252607150642E-2</v>
      </c>
      <c r="U3" s="39">
        <f>(P3/P$12)*U$12</f>
        <v>2.2812764513796813E-2</v>
      </c>
      <c r="V3" s="39">
        <f>Q3</f>
        <v>7.1197283738085274E-2</v>
      </c>
    </row>
    <row r="4" spans="1:22">
      <c r="A4" s="114" t="s">
        <v>249</v>
      </c>
      <c r="B4" s="115">
        <v>10.603</v>
      </c>
      <c r="C4" s="115">
        <v>8.3330000000000002</v>
      </c>
      <c r="D4" s="115">
        <v>9.2370000000000001</v>
      </c>
      <c r="F4" s="123" t="s">
        <v>7</v>
      </c>
      <c r="G4" s="124">
        <f>'NYCT + MTA Bus Fares'!B4+'NYCT + MTA Bus Fares'!G4</f>
        <v>161606.94063756015</v>
      </c>
      <c r="H4" s="126">
        <f t="shared" si="0"/>
        <v>1.5828556779541446E-2</v>
      </c>
      <c r="J4" s="125" t="s">
        <v>7</v>
      </c>
      <c r="K4" s="127">
        <v>0</v>
      </c>
      <c r="L4" s="127"/>
      <c r="N4" s="122" t="s">
        <v>7</v>
      </c>
      <c r="O4" s="39">
        <f t="shared" ref="O4:O11" si="1">$H4*SUM(B$4:B$6)+$K4*SUM(B$2:B$3,B$7:B$13)</f>
        <v>0.23478498271093826</v>
      </c>
      <c r="P4" s="39">
        <f t="shared" ref="P4:Q11" si="2">$H4*SUM(C$4:C$6)+$K4*SUM(C$2:C$3,C$7:C$13)</f>
        <v>0.20094352831627865</v>
      </c>
      <c r="Q4" s="39">
        <f t="shared" si="2"/>
        <v>0.58079723391171423</v>
      </c>
      <c r="S4" s="122" t="s">
        <v>7</v>
      </c>
      <c r="T4" s="39">
        <f t="shared" ref="T4:U11" si="3">(O4/O$12)*T$12</f>
        <v>0.21311879276673829</v>
      </c>
      <c r="U4" s="39">
        <f t="shared" si="3"/>
        <v>0.18609685414732965</v>
      </c>
      <c r="V4" s="39">
        <f t="shared" ref="V4:V12" si="4">Q4</f>
        <v>0.58079723391171423</v>
      </c>
    </row>
    <row r="5" spans="1:22">
      <c r="A5" s="114" t="s">
        <v>250</v>
      </c>
      <c r="B5" s="115">
        <v>4.2300000000000004</v>
      </c>
      <c r="C5" s="115">
        <v>4.3620000000000001</v>
      </c>
      <c r="D5" s="115">
        <v>4.6280000000000001</v>
      </c>
      <c r="F5" s="123" t="s">
        <v>9</v>
      </c>
      <c r="G5" s="124">
        <f>'NYCT + MTA Bus Fares'!B5+'NYCT + MTA Bus Fares'!G5</f>
        <v>9476513.9192625061</v>
      </c>
      <c r="H5" s="126">
        <f t="shared" si="0"/>
        <v>0.92817510220411303</v>
      </c>
      <c r="J5" s="125" t="s">
        <v>9</v>
      </c>
      <c r="K5" s="127">
        <v>1</v>
      </c>
      <c r="L5" s="127"/>
      <c r="N5" s="122" t="s">
        <v>9</v>
      </c>
      <c r="O5" s="39">
        <f t="shared" si="1"/>
        <v>290.43562129099359</v>
      </c>
      <c r="P5" s="39">
        <f t="shared" si="2"/>
        <v>330.78018292248123</v>
      </c>
      <c r="Q5" s="39">
        <f t="shared" si="2"/>
        <v>441.27152902517554</v>
      </c>
      <c r="S5" s="122" t="s">
        <v>9</v>
      </c>
      <c r="T5" s="39">
        <f t="shared" si="3"/>
        <v>263.63393548982066</v>
      </c>
      <c r="U5" s="39">
        <f t="shared" si="3"/>
        <v>306.34055235291299</v>
      </c>
      <c r="V5" s="39">
        <f t="shared" si="4"/>
        <v>441.27152902517554</v>
      </c>
    </row>
    <row r="6" spans="1:22">
      <c r="A6" s="114" t="s">
        <v>251</v>
      </c>
      <c r="B6" s="115">
        <v>0</v>
      </c>
      <c r="C6" s="115">
        <v>0</v>
      </c>
      <c r="D6" s="115">
        <v>22.827999999999999</v>
      </c>
      <c r="F6" s="123" t="s">
        <v>3</v>
      </c>
      <c r="G6" s="124">
        <f>'NYCT + MTA Bus Fares'!B6+'NYCT + MTA Bus Fares'!G6</f>
        <v>11811.245205092437</v>
      </c>
      <c r="H6" s="126">
        <f t="shared" si="0"/>
        <v>1.1568498520442929E-3</v>
      </c>
      <c r="J6" s="125" t="s">
        <v>3</v>
      </c>
      <c r="K6" s="127">
        <v>0</v>
      </c>
      <c r="L6" s="127"/>
      <c r="N6" s="122" t="s">
        <v>3</v>
      </c>
      <c r="O6" s="39">
        <f t="shared" si="1"/>
        <v>1.7159553855372996E-2</v>
      </c>
      <c r="P6" s="39">
        <f t="shared" si="2"/>
        <v>1.4686208871702298E-2</v>
      </c>
      <c r="Q6" s="39">
        <f t="shared" si="2"/>
        <v>4.2448291621061236E-2</v>
      </c>
      <c r="S6" s="122" t="s">
        <v>3</v>
      </c>
      <c r="T6" s="39">
        <f t="shared" si="3"/>
        <v>1.5576053288618394E-2</v>
      </c>
      <c r="U6" s="39">
        <f t="shared" si="3"/>
        <v>1.3601121137241391E-2</v>
      </c>
      <c r="V6" s="39">
        <f t="shared" si="4"/>
        <v>4.2448291621061236E-2</v>
      </c>
    </row>
    <row r="7" spans="1:22">
      <c r="A7" s="113" t="s">
        <v>252</v>
      </c>
      <c r="B7" s="116">
        <v>0.22500000000000001</v>
      </c>
      <c r="C7" s="111">
        <v>0</v>
      </c>
      <c r="D7" s="111">
        <v>0</v>
      </c>
      <c r="F7" s="123" t="s">
        <v>188</v>
      </c>
      <c r="G7" s="124">
        <f>'NYCT + MTA Bus Fares'!B7+'NYCT + MTA Bus Fares'!G7</f>
        <v>314696.03408168355</v>
      </c>
      <c r="H7" s="126">
        <f t="shared" si="0"/>
        <v>3.0822834861590889E-2</v>
      </c>
      <c r="J7" s="125" t="s">
        <v>188</v>
      </c>
      <c r="K7" s="127">
        <v>0</v>
      </c>
      <c r="L7" s="127"/>
      <c r="N7" s="122" t="s">
        <v>188</v>
      </c>
      <c r="O7" s="39">
        <f t="shared" si="1"/>
        <v>0.45719510950197767</v>
      </c>
      <c r="P7" s="39">
        <f t="shared" si="2"/>
        <v>0.39129588856789632</v>
      </c>
      <c r="Q7" s="39">
        <f t="shared" si="2"/>
        <v>1.1309822795763544</v>
      </c>
      <c r="S7" s="122" t="s">
        <v>188</v>
      </c>
      <c r="T7" s="39">
        <f t="shared" si="3"/>
        <v>0.4150046935322102</v>
      </c>
      <c r="U7" s="39">
        <f t="shared" si="3"/>
        <v>0.36238506665740883</v>
      </c>
      <c r="V7" s="39">
        <f t="shared" si="4"/>
        <v>1.1309822795763544</v>
      </c>
    </row>
    <row r="8" spans="1:22">
      <c r="A8" s="113" t="s">
        <v>253</v>
      </c>
      <c r="B8" s="111">
        <v>-1.3380000000000001</v>
      </c>
      <c r="C8" s="111">
        <v>-1.0049999999999999</v>
      </c>
      <c r="D8" s="111">
        <v>-0.58599999999999997</v>
      </c>
      <c r="F8" s="123" t="s">
        <v>5</v>
      </c>
      <c r="G8" s="124">
        <f>'NYCT + MTA Bus Fares'!B8+'NYCT + MTA Bus Fares'!G8</f>
        <v>3919.8317548359414</v>
      </c>
      <c r="H8" s="126">
        <f t="shared" si="0"/>
        <v>3.8392707177608638E-4</v>
      </c>
      <c r="J8" s="125" t="s">
        <v>5</v>
      </c>
      <c r="K8" s="127">
        <v>0</v>
      </c>
      <c r="L8" s="127"/>
      <c r="N8" s="122" t="s">
        <v>5</v>
      </c>
      <c r="O8" s="39">
        <f t="shared" si="1"/>
        <v>5.6947902556546892E-3</v>
      </c>
      <c r="P8" s="39">
        <f t="shared" si="2"/>
        <v>4.8739541761974167E-3</v>
      </c>
      <c r="Q8" s="39">
        <f t="shared" si="2"/>
        <v>1.4087436044679937E-2</v>
      </c>
      <c r="S8" s="122" t="s">
        <v>5</v>
      </c>
      <c r="T8" s="39">
        <f t="shared" si="3"/>
        <v>5.1692693899385812E-3</v>
      </c>
      <c r="U8" s="39">
        <f t="shared" si="3"/>
        <v>4.5138430037963044E-3</v>
      </c>
      <c r="V8" s="39">
        <f t="shared" si="4"/>
        <v>1.4087436044679937E-2</v>
      </c>
    </row>
    <row r="9" spans="1:22">
      <c r="A9" s="113" t="s">
        <v>188</v>
      </c>
      <c r="B9" s="111">
        <v>0.58400000000000007</v>
      </c>
      <c r="C9" s="111">
        <v>0.41399999999999998</v>
      </c>
      <c r="D9" s="111">
        <v>1.2450000000000001</v>
      </c>
      <c r="F9" s="123" t="s">
        <v>4</v>
      </c>
      <c r="G9" s="124">
        <f>'NYCT + MTA Bus Fares'!B9+'NYCT + MTA Bus Fares'!G9</f>
        <v>14079.263453550957</v>
      </c>
      <c r="H9" s="126">
        <f t="shared" si="0"/>
        <v>1.3789904078962501E-3</v>
      </c>
      <c r="J9" s="125" t="s">
        <v>4</v>
      </c>
      <c r="K9" s="127">
        <v>0</v>
      </c>
      <c r="L9" s="127"/>
      <c r="N9" s="122" t="s">
        <v>4</v>
      </c>
      <c r="O9" s="39">
        <f t="shared" si="1"/>
        <v>2.0454564720325079E-2</v>
      </c>
      <c r="P9" s="39">
        <f t="shared" si="2"/>
        <v>1.7506283228242894E-2</v>
      </c>
      <c r="Q9" s="39">
        <f t="shared" si="2"/>
        <v>5.0599295036937102E-2</v>
      </c>
      <c r="S9" s="122" t="s">
        <v>4</v>
      </c>
      <c r="T9" s="39">
        <f t="shared" si="3"/>
        <v>1.8566997298680749E-2</v>
      </c>
      <c r="U9" s="39">
        <f t="shared" si="3"/>
        <v>1.6212834839151365E-2</v>
      </c>
      <c r="V9" s="39">
        <f t="shared" si="4"/>
        <v>5.0599295036937102E-2</v>
      </c>
    </row>
    <row r="10" spans="1:22">
      <c r="A10" s="110" t="s">
        <v>254</v>
      </c>
      <c r="B10" s="111">
        <v>88.054000000000002</v>
      </c>
      <c r="C10" s="111">
        <v>70.25</v>
      </c>
      <c r="D10" s="111">
        <v>70.25</v>
      </c>
      <c r="F10" s="123" t="s">
        <v>8</v>
      </c>
      <c r="G10" s="124">
        <f>'NYCT + MTA Bus Fares'!B10+'NYCT + MTA Bus Fares'!G10</f>
        <v>93019.797272929762</v>
      </c>
      <c r="H10" s="126">
        <f t="shared" si="0"/>
        <v>9.1108038859427556E-3</v>
      </c>
      <c r="J10" s="125" t="s">
        <v>8</v>
      </c>
      <c r="K10" s="127">
        <v>0</v>
      </c>
      <c r="L10" s="127"/>
      <c r="N10" s="122" t="s">
        <v>8</v>
      </c>
      <c r="O10" s="39">
        <f t="shared" si="1"/>
        <v>0.1351405540401889</v>
      </c>
      <c r="P10" s="39">
        <f t="shared" si="2"/>
        <v>0.11566165533204328</v>
      </c>
      <c r="Q10" s="39">
        <f t="shared" si="2"/>
        <v>0.3343027269868975</v>
      </c>
      <c r="S10" s="122" t="s">
        <v>8</v>
      </c>
      <c r="T10" s="39">
        <f t="shared" si="3"/>
        <v>0.12266965032568679</v>
      </c>
      <c r="U10" s="39">
        <f t="shared" si="3"/>
        <v>0.1071160160425145</v>
      </c>
      <c r="V10" s="39">
        <f t="shared" si="4"/>
        <v>0.3343027269868975</v>
      </c>
    </row>
    <row r="11" spans="1:22">
      <c r="A11" s="110" t="s">
        <v>255</v>
      </c>
      <c r="B11" s="111">
        <v>13.766</v>
      </c>
      <c r="C11" s="111">
        <v>13.766</v>
      </c>
      <c r="D11" s="111">
        <v>13.766</v>
      </c>
      <c r="F11" s="123" t="s">
        <v>6</v>
      </c>
      <c r="G11" s="124">
        <f>'NYCT + MTA Bus Fares'!B11+'NYCT + MTA Bus Fares'!G11</f>
        <v>114376.52913104933</v>
      </c>
      <c r="H11" s="126">
        <f t="shared" si="0"/>
        <v>1.1202584359652929E-2</v>
      </c>
      <c r="J11" s="125" t="s">
        <v>6</v>
      </c>
      <c r="K11" s="127">
        <v>0</v>
      </c>
      <c r="L11" s="127"/>
      <c r="N11" s="122" t="s">
        <v>6</v>
      </c>
      <c r="O11" s="39">
        <f t="shared" si="1"/>
        <v>0.16616793380673189</v>
      </c>
      <c r="P11" s="39">
        <f t="shared" si="2"/>
        <v>0.14221680844579393</v>
      </c>
      <c r="Q11" s="39">
        <f t="shared" si="2"/>
        <v>0.41105642790874491</v>
      </c>
      <c r="S11" s="122" t="s">
        <v>6</v>
      </c>
      <c r="T11" s="39">
        <f t="shared" si="3"/>
        <v>0.15083379286244325</v>
      </c>
      <c r="U11" s="39">
        <f t="shared" si="3"/>
        <v>0.13170914674584017</v>
      </c>
      <c r="V11" s="39">
        <f t="shared" si="4"/>
        <v>0.41105642790874491</v>
      </c>
    </row>
    <row r="12" spans="1:22">
      <c r="A12" s="112" t="s">
        <v>256</v>
      </c>
      <c r="B12" s="111">
        <v>51.231000000000002</v>
      </c>
      <c r="C12" s="111">
        <v>106.233</v>
      </c>
      <c r="D12" s="111">
        <v>127.44499999999999</v>
      </c>
      <c r="F12" s="123" t="s">
        <v>212</v>
      </c>
      <c r="G12" s="124">
        <f>SUM(G3:G11)</f>
        <v>10209834.218520705</v>
      </c>
      <c r="H12" s="126">
        <f t="shared" si="0"/>
        <v>1</v>
      </c>
      <c r="J12" s="125" t="s">
        <v>212</v>
      </c>
      <c r="K12" s="127">
        <f>SUM(K3:K11)</f>
        <v>1</v>
      </c>
      <c r="L12" s="127"/>
      <c r="N12" s="122" t="s">
        <v>212</v>
      </c>
      <c r="O12" s="39">
        <f>SUM(O3:O11)</f>
        <v>291.50099999999998</v>
      </c>
      <c r="P12" s="39">
        <f>SUM(P3:P11)</f>
        <v>331.69199999999995</v>
      </c>
      <c r="Q12" s="39">
        <f>SUM(Q3:Q11)</f>
        <v>443.90700000000004</v>
      </c>
      <c r="S12" s="122" t="s">
        <v>212</v>
      </c>
      <c r="T12" s="40">
        <v>264.601</v>
      </c>
      <c r="U12" s="40">
        <v>307.185</v>
      </c>
      <c r="V12" s="40">
        <f t="shared" si="4"/>
        <v>443.90700000000004</v>
      </c>
    </row>
    <row r="13" spans="1:22">
      <c r="A13" s="112" t="s">
        <v>257</v>
      </c>
      <c r="B13" s="111">
        <v>30.652999999999999</v>
      </c>
      <c r="C13" s="111">
        <v>29.277000000000001</v>
      </c>
      <c r="D13" s="111">
        <v>51.432000000000002</v>
      </c>
    </row>
    <row r="14" spans="1:22">
      <c r="A14" s="109" t="s">
        <v>10</v>
      </c>
      <c r="B14" s="1">
        <f>SUM(B2:B13)</f>
        <v>291.50100000000003</v>
      </c>
      <c r="C14" s="1">
        <f>SUM(C2:C13)</f>
        <v>331.69199999999995</v>
      </c>
      <c r="D14" s="1">
        <f>SUM(D2:D13)</f>
        <v>443.90699999999998</v>
      </c>
    </row>
    <row r="15" spans="1:22">
      <c r="A15" s="109"/>
      <c r="B15" s="1"/>
      <c r="C15" s="1"/>
      <c r="D15" s="1"/>
    </row>
    <row r="16" spans="1:22">
      <c r="A16" s="108"/>
    </row>
    <row r="17" spans="1:22">
      <c r="A17" s="107" t="s">
        <v>220</v>
      </c>
      <c r="C17" s="1">
        <v>2014</v>
      </c>
      <c r="D17" s="1">
        <v>2016</v>
      </c>
      <c r="T17" s="1">
        <v>2005</v>
      </c>
      <c r="U17" s="1">
        <v>2011</v>
      </c>
      <c r="V17" s="1">
        <v>2016</v>
      </c>
    </row>
    <row r="18" spans="1:22">
      <c r="A18" s="110" t="s">
        <v>254</v>
      </c>
      <c r="B18" s="111"/>
      <c r="C18" s="111">
        <v>11.40185</v>
      </c>
      <c r="D18" s="111">
        <v>11.23</v>
      </c>
      <c r="S18" s="122" t="s">
        <v>2</v>
      </c>
    </row>
    <row r="19" spans="1:22">
      <c r="A19" s="110" t="s">
        <v>255</v>
      </c>
      <c r="B19" s="111"/>
      <c r="C19" s="111">
        <v>1.7176499999999999</v>
      </c>
      <c r="D19" s="111">
        <v>1.7170000000000001</v>
      </c>
      <c r="S19" s="122" t="s">
        <v>7</v>
      </c>
    </row>
    <row r="20" spans="1:22">
      <c r="A20" s="110" t="s">
        <v>258</v>
      </c>
      <c r="B20" s="111"/>
      <c r="C20" s="111">
        <v>4.7734560000000004</v>
      </c>
      <c r="D20" s="111">
        <v>6.1070000000000002</v>
      </c>
      <c r="S20" s="122" t="s">
        <v>9</v>
      </c>
      <c r="T20">
        <v>0</v>
      </c>
      <c r="U20" s="39">
        <v>20.871271799999999</v>
      </c>
      <c r="V20">
        <v>21.991</v>
      </c>
    </row>
    <row r="21" spans="1:22">
      <c r="A21" s="110" t="s">
        <v>259</v>
      </c>
      <c r="B21" s="111"/>
      <c r="C21" s="111">
        <v>2.2007096499999999</v>
      </c>
      <c r="D21" s="111">
        <v>2.9369999999999998</v>
      </c>
      <c r="S21" s="122" t="s">
        <v>3</v>
      </c>
    </row>
    <row r="22" spans="1:22">
      <c r="A22" s="109" t="s">
        <v>10</v>
      </c>
      <c r="C22" s="1">
        <f>SUM(C18:C21)</f>
        <v>20.093665649999998</v>
      </c>
      <c r="D22" s="1">
        <f>SUM(D18:D21)</f>
        <v>21.991000000000003</v>
      </c>
      <c r="S22" s="122" t="s">
        <v>188</v>
      </c>
    </row>
    <row r="23" spans="1:22">
      <c r="A23" s="109"/>
      <c r="C23" s="1"/>
      <c r="D23" s="1"/>
      <c r="S23" s="122" t="s">
        <v>5</v>
      </c>
    </row>
    <row r="24" spans="1:22">
      <c r="A24" s="109"/>
      <c r="C24" s="1"/>
      <c r="D24" s="1"/>
      <c r="S24" s="122" t="s">
        <v>4</v>
      </c>
    </row>
    <row r="25" spans="1:22">
      <c r="A25" s="109"/>
      <c r="C25" s="1"/>
      <c r="D25" s="1"/>
      <c r="S25" s="122" t="s">
        <v>8</v>
      </c>
    </row>
    <row r="26" spans="1:22">
      <c r="A26" s="109"/>
      <c r="C26" s="1"/>
      <c r="D26" s="1"/>
      <c r="S26" s="122" t="s">
        <v>6</v>
      </c>
    </row>
    <row r="27" spans="1:22">
      <c r="S27" s="122" t="s">
        <v>212</v>
      </c>
      <c r="T27" s="1">
        <v>0</v>
      </c>
      <c r="U27" s="40">
        <v>20.871271799999999</v>
      </c>
      <c r="V27" s="1">
        <v>21.991</v>
      </c>
    </row>
    <row r="28" spans="1:22">
      <c r="S28" s="122"/>
    </row>
    <row r="29" spans="1:22">
      <c r="S29" s="122"/>
    </row>
    <row r="30" spans="1:22">
      <c r="A30" s="109" t="s">
        <v>260</v>
      </c>
      <c r="D30" s="1" t="s">
        <v>261</v>
      </c>
      <c r="T30" s="1">
        <v>2005</v>
      </c>
      <c r="U30" s="1">
        <v>2011</v>
      </c>
      <c r="V30" s="1">
        <v>2016</v>
      </c>
    </row>
    <row r="31" spans="1:22">
      <c r="A31" s="111" t="s">
        <v>247</v>
      </c>
      <c r="B31" s="111"/>
      <c r="C31" s="111"/>
      <c r="D31" s="111">
        <f>702/1000</f>
        <v>0.70199999999999996</v>
      </c>
      <c r="S31" s="122" t="s">
        <v>2</v>
      </c>
    </row>
    <row r="32" spans="1:22">
      <c r="A32" s="111" t="s">
        <v>248</v>
      </c>
      <c r="B32" s="111"/>
      <c r="C32" s="111"/>
      <c r="D32" s="111">
        <f>23/1000</f>
        <v>2.3E-2</v>
      </c>
      <c r="S32" s="122" t="s">
        <v>7</v>
      </c>
    </row>
    <row r="33" spans="1:22">
      <c r="A33" s="111" t="s">
        <v>262</v>
      </c>
      <c r="B33" s="111"/>
      <c r="C33" s="111"/>
      <c r="D33" s="111">
        <f>1798/1000</f>
        <v>1.798</v>
      </c>
      <c r="S33" s="122" t="s">
        <v>9</v>
      </c>
      <c r="T33">
        <v>1.716</v>
      </c>
      <c r="U33">
        <v>2.2959999999999998</v>
      </c>
      <c r="V33">
        <v>2.798</v>
      </c>
    </row>
    <row r="34" spans="1:22">
      <c r="A34" s="111" t="s">
        <v>263</v>
      </c>
      <c r="B34" s="111"/>
      <c r="C34" s="111"/>
      <c r="D34" s="111">
        <f>34/1000</f>
        <v>3.4000000000000002E-2</v>
      </c>
      <c r="S34" s="122" t="s">
        <v>3</v>
      </c>
    </row>
    <row r="35" spans="1:22">
      <c r="A35" s="111" t="s">
        <v>188</v>
      </c>
      <c r="B35" s="111"/>
      <c r="C35" s="111"/>
      <c r="D35" s="111">
        <f>-150/1000</f>
        <v>-0.15</v>
      </c>
      <c r="S35" s="122" t="s">
        <v>188</v>
      </c>
    </row>
    <row r="36" spans="1:22">
      <c r="A36" s="1" t="s">
        <v>10</v>
      </c>
      <c r="D36" s="1">
        <f>SUM(D31:D35)</f>
        <v>2.407</v>
      </c>
      <c r="S36" s="122" t="s">
        <v>5</v>
      </c>
    </row>
    <row r="37" spans="1:22">
      <c r="A37" s="1"/>
      <c r="D37" s="1"/>
      <c r="S37" s="122" t="s">
        <v>4</v>
      </c>
    </row>
    <row r="38" spans="1:22">
      <c r="A38" s="1"/>
      <c r="D38" s="1"/>
      <c r="S38" s="122" t="s">
        <v>8</v>
      </c>
    </row>
    <row r="39" spans="1:22">
      <c r="A39" s="1"/>
      <c r="D39" s="1"/>
      <c r="S39" s="122" t="s">
        <v>6</v>
      </c>
    </row>
    <row r="40" spans="1:22">
      <c r="A40" s="1"/>
      <c r="D40" s="1"/>
      <c r="S40" s="122" t="s">
        <v>212</v>
      </c>
      <c r="T40" s="1">
        <v>1.716</v>
      </c>
      <c r="U40" s="1">
        <v>2.2959999999999998</v>
      </c>
      <c r="V40" s="1">
        <v>2.798</v>
      </c>
    </row>
    <row r="41" spans="1:22">
      <c r="A41" s="1"/>
      <c r="D41" s="1"/>
      <c r="S41" s="122"/>
    </row>
    <row r="43" spans="1:22">
      <c r="A43" s="1" t="s">
        <v>264</v>
      </c>
      <c r="C43" s="1">
        <v>2014</v>
      </c>
      <c r="D43" s="1">
        <v>2016</v>
      </c>
      <c r="F43" t="s">
        <v>265</v>
      </c>
      <c r="J43" t="s">
        <v>265</v>
      </c>
      <c r="O43" s="1">
        <v>2014</v>
      </c>
      <c r="P43" s="1">
        <v>2014</v>
      </c>
      <c r="Q43" s="1">
        <v>2016</v>
      </c>
      <c r="T43" s="1">
        <v>2005</v>
      </c>
      <c r="U43" s="1">
        <v>2011</v>
      </c>
      <c r="V43" s="1">
        <v>2016</v>
      </c>
    </row>
    <row r="44" spans="1:22">
      <c r="A44" t="s">
        <v>266</v>
      </c>
      <c r="C44" s="111">
        <f>28.323*(D44/(D44+D45))</f>
        <v>25.35309849777115</v>
      </c>
      <c r="D44" s="117">
        <f>26.81898238+2.29688459</f>
        <v>29.115866970000003</v>
      </c>
      <c r="F44" s="123" t="s">
        <v>2</v>
      </c>
      <c r="G44" s="124">
        <v>27476.651356166596</v>
      </c>
      <c r="H44" s="126">
        <f t="shared" ref="H44:H53" si="5">G44/G$53</f>
        <v>5.7737180234758656E-2</v>
      </c>
      <c r="J44" s="128" t="s">
        <v>2</v>
      </c>
      <c r="K44" s="129">
        <v>27476.651356166596</v>
      </c>
      <c r="L44" s="130">
        <f t="shared" ref="L44:L53" si="6">K44/K$53</f>
        <v>7.7189507479789379E-2</v>
      </c>
      <c r="N44" s="1" t="s">
        <v>2</v>
      </c>
      <c r="O44">
        <v>2.3071405985008862</v>
      </c>
      <c r="P44">
        <f>(C$45+C$49)*$L44 + (C$46+C$48+C$51)*$H44</f>
        <v>2.3071405985008862</v>
      </c>
      <c r="Q44">
        <f>(D$45+D$49)*$L44 + (D$46+D$48+D$51)*$H44</f>
        <v>2.2386708558184285</v>
      </c>
      <c r="S44" s="1" t="s">
        <v>2</v>
      </c>
      <c r="T44">
        <f>(O44/O$53)*T$53</f>
        <v>1.1987642232808189</v>
      </c>
      <c r="U44">
        <f t="shared" ref="U44:V52" si="7">(P44/P$53)*U$53</f>
        <v>1.7618989631989064</v>
      </c>
      <c r="V44">
        <f t="shared" si="7"/>
        <v>2.2386728352924692</v>
      </c>
    </row>
    <row r="45" spans="1:22">
      <c r="A45" s="120" t="s">
        <v>267</v>
      </c>
      <c r="B45" s="120"/>
      <c r="C45" s="120">
        <f>28.323*(D45/(D44+D45))</f>
        <v>2.9699015022288466</v>
      </c>
      <c r="D45" s="121">
        <v>3.4106780700000101</v>
      </c>
      <c r="F45" s="123" t="s">
        <v>7</v>
      </c>
      <c r="G45" s="124">
        <v>0</v>
      </c>
      <c r="H45" s="126">
        <f t="shared" si="5"/>
        <v>0</v>
      </c>
      <c r="J45" s="128" t="s">
        <v>7</v>
      </c>
      <c r="K45" s="129">
        <v>0</v>
      </c>
      <c r="L45" s="130">
        <f t="shared" si="6"/>
        <v>0</v>
      </c>
      <c r="N45" s="1" t="s">
        <v>7</v>
      </c>
      <c r="O45">
        <v>0</v>
      </c>
      <c r="P45">
        <f t="shared" ref="P45:Q52" si="8">(C$45+C$49)*$L45 + (C$46+C$48+C$51)*$H45</f>
        <v>0</v>
      </c>
      <c r="Q45">
        <f t="shared" si="8"/>
        <v>0</v>
      </c>
      <c r="S45" s="1" t="s">
        <v>7</v>
      </c>
      <c r="T45">
        <f t="shared" ref="T45:T52" si="9">(O45/O$53)*T$53</f>
        <v>0</v>
      </c>
      <c r="U45">
        <f t="shared" si="7"/>
        <v>0</v>
      </c>
      <c r="V45">
        <f t="shared" si="7"/>
        <v>0</v>
      </c>
    </row>
    <row r="46" spans="1:22">
      <c r="A46" s="115" t="s">
        <v>247</v>
      </c>
      <c r="B46" s="115"/>
      <c r="C46" s="115">
        <v>15.324</v>
      </c>
      <c r="D46" s="118">
        <v>15.361625290000001</v>
      </c>
      <c r="F46" s="123" t="s">
        <v>9</v>
      </c>
      <c r="G46" s="124">
        <v>119928.25934657076</v>
      </c>
      <c r="H46" s="126">
        <f t="shared" si="5"/>
        <v>0.25200740204391053</v>
      </c>
      <c r="J46" s="128" t="s">
        <v>9</v>
      </c>
      <c r="K46" s="129"/>
      <c r="L46" s="130">
        <f t="shared" si="6"/>
        <v>0</v>
      </c>
      <c r="N46" s="1" t="s">
        <v>9</v>
      </c>
      <c r="O46">
        <v>32.64669672772601</v>
      </c>
      <c r="P46">
        <f>(C$45+C$49)*$L46 + (C$46+C$48+C$51)*$H46 + C44</f>
        <v>32.64669672772601</v>
      </c>
      <c r="Q46">
        <f>(D$45+D$49)*$L46 + (D$46+D$48+D$51)*$H46 + D44</f>
        <v>35.981673592959737</v>
      </c>
      <c r="S46" s="1" t="s">
        <v>9</v>
      </c>
      <c r="T46">
        <f t="shared" si="9"/>
        <v>16.9628552637521</v>
      </c>
      <c r="U46">
        <f t="shared" si="7"/>
        <v>24.931372259594649</v>
      </c>
      <c r="V46">
        <f t="shared" si="7"/>
        <v>35.981705408618858</v>
      </c>
    </row>
    <row r="47" spans="1:22">
      <c r="A47" t="s">
        <v>268</v>
      </c>
      <c r="C47">
        <v>0</v>
      </c>
      <c r="D47" s="39">
        <v>0</v>
      </c>
      <c r="F47" s="123" t="s">
        <v>3</v>
      </c>
      <c r="G47" s="124">
        <v>6725.5779827317583</v>
      </c>
      <c r="H47" s="126">
        <f t="shared" si="5"/>
        <v>1.4132577625211893E-2</v>
      </c>
      <c r="J47" s="128" t="s">
        <v>3</v>
      </c>
      <c r="K47" s="129">
        <v>6725.5779827317583</v>
      </c>
      <c r="L47" s="130">
        <f t="shared" si="6"/>
        <v>1.8894007325513051E-2</v>
      </c>
      <c r="N47" s="1" t="s">
        <v>3</v>
      </c>
      <c r="O47">
        <v>0.564728714980826</v>
      </c>
      <c r="P47">
        <f t="shared" si="8"/>
        <v>0.564728714980826</v>
      </c>
      <c r="Q47">
        <f t="shared" si="8"/>
        <v>0.54796908194187866</v>
      </c>
      <c r="S47" s="1" t="s">
        <v>3</v>
      </c>
      <c r="T47">
        <f t="shared" si="9"/>
        <v>0.29342666841294585</v>
      </c>
      <c r="U47">
        <f t="shared" si="7"/>
        <v>0.43126757773665259</v>
      </c>
      <c r="V47">
        <f t="shared" si="7"/>
        <v>0.54796956646624273</v>
      </c>
    </row>
    <row r="48" spans="1:22">
      <c r="A48" s="115" t="s">
        <v>269</v>
      </c>
      <c r="B48" s="115"/>
      <c r="C48" s="115">
        <v>6.2450000000000001</v>
      </c>
      <c r="D48" s="118">
        <v>6.3585776999999988</v>
      </c>
      <c r="F48" s="123" t="s">
        <v>188</v>
      </c>
      <c r="G48" s="124">
        <v>0</v>
      </c>
      <c r="H48" s="126">
        <f t="shared" si="5"/>
        <v>0</v>
      </c>
      <c r="J48" s="128" t="s">
        <v>188</v>
      </c>
      <c r="K48" s="129">
        <v>0</v>
      </c>
      <c r="L48" s="130">
        <f t="shared" si="6"/>
        <v>0</v>
      </c>
      <c r="N48" s="1" t="s">
        <v>188</v>
      </c>
      <c r="O48">
        <v>0</v>
      </c>
      <c r="P48">
        <f t="shared" si="8"/>
        <v>0</v>
      </c>
      <c r="Q48">
        <f t="shared" si="8"/>
        <v>0</v>
      </c>
      <c r="S48" s="1" t="s">
        <v>188</v>
      </c>
      <c r="T48">
        <f t="shared" si="9"/>
        <v>0</v>
      </c>
      <c r="U48">
        <f t="shared" si="7"/>
        <v>0</v>
      </c>
      <c r="V48">
        <f t="shared" si="7"/>
        <v>0</v>
      </c>
    </row>
    <row r="49" spans="1:22">
      <c r="A49" s="120" t="s">
        <v>270</v>
      </c>
      <c r="B49" s="120"/>
      <c r="C49" s="120">
        <v>5.2709999999999999</v>
      </c>
      <c r="D49" s="121">
        <v>5.2129333799999991</v>
      </c>
      <c r="F49" s="123" t="s">
        <v>5</v>
      </c>
      <c r="G49" s="124">
        <v>18844.787008494121</v>
      </c>
      <c r="H49" s="126">
        <f t="shared" si="5"/>
        <v>3.9598888885376243E-2</v>
      </c>
      <c r="J49" s="128" t="s">
        <v>5</v>
      </c>
      <c r="K49" s="129">
        <v>18844.787008494121</v>
      </c>
      <c r="L49" s="130">
        <f t="shared" si="6"/>
        <v>5.2940214907983452E-2</v>
      </c>
      <c r="N49" s="1" t="s">
        <v>5</v>
      </c>
      <c r="O49">
        <v>1.582346138684078</v>
      </c>
      <c r="P49">
        <f t="shared" si="8"/>
        <v>1.582346138684078</v>
      </c>
      <c r="Q49">
        <f t="shared" si="8"/>
        <v>1.5353863508754471</v>
      </c>
      <c r="S49" s="1" t="s">
        <v>5</v>
      </c>
      <c r="T49">
        <f t="shared" si="9"/>
        <v>0.8221691998890519</v>
      </c>
      <c r="U49">
        <f t="shared" si="7"/>
        <v>1.2083936379866878</v>
      </c>
      <c r="V49">
        <f t="shared" si="7"/>
        <v>1.5353877084923635</v>
      </c>
    </row>
    <row r="50" spans="1:22">
      <c r="A50" t="s">
        <v>100</v>
      </c>
      <c r="C50">
        <v>0</v>
      </c>
      <c r="D50" s="39">
        <v>0</v>
      </c>
      <c r="F50" s="123" t="s">
        <v>4</v>
      </c>
      <c r="G50" s="124">
        <v>5221.283696398129</v>
      </c>
      <c r="H50" s="126">
        <f t="shared" si="5"/>
        <v>1.0971577064760782E-2</v>
      </c>
      <c r="J50" s="128" t="s">
        <v>4</v>
      </c>
      <c r="K50" s="129">
        <v>5221.283696398129</v>
      </c>
      <c r="L50" s="130">
        <f t="shared" si="6"/>
        <v>1.4668028928014691E-2</v>
      </c>
      <c r="N50" s="1" t="s">
        <v>4</v>
      </c>
      <c r="O50">
        <v>0.43841716503591899</v>
      </c>
      <c r="P50">
        <f t="shared" si="8"/>
        <v>0.43841716503591899</v>
      </c>
      <c r="Q50">
        <f t="shared" si="8"/>
        <v>0.42540611989324889</v>
      </c>
      <c r="S50" s="1" t="s">
        <v>4</v>
      </c>
      <c r="T50">
        <f t="shared" si="9"/>
        <v>0.22779661224753928</v>
      </c>
      <c r="U50">
        <f t="shared" si="7"/>
        <v>0.33480696799636023</v>
      </c>
      <c r="V50">
        <f t="shared" si="7"/>
        <v>0.42540649604518249</v>
      </c>
    </row>
    <row r="51" spans="1:22">
      <c r="A51" s="115" t="s">
        <v>271</v>
      </c>
      <c r="B51" s="115"/>
      <c r="C51" s="115">
        <v>7.3730000000000002</v>
      </c>
      <c r="D51" s="118">
        <v>5.5242611299999993</v>
      </c>
      <c r="F51" s="123" t="s">
        <v>8</v>
      </c>
      <c r="G51" s="124">
        <v>0</v>
      </c>
      <c r="H51" s="126">
        <f t="shared" si="5"/>
        <v>0</v>
      </c>
      <c r="J51" s="128" t="s">
        <v>8</v>
      </c>
      <c r="K51" s="129">
        <v>0</v>
      </c>
      <c r="L51" s="130">
        <f t="shared" si="6"/>
        <v>0</v>
      </c>
      <c r="N51" s="1" t="s">
        <v>8</v>
      </c>
      <c r="O51">
        <v>0</v>
      </c>
      <c r="P51">
        <f t="shared" si="8"/>
        <v>0</v>
      </c>
      <c r="Q51">
        <f t="shared" si="8"/>
        <v>0</v>
      </c>
      <c r="S51" s="1" t="s">
        <v>8</v>
      </c>
      <c r="T51">
        <f t="shared" si="9"/>
        <v>0</v>
      </c>
      <c r="U51">
        <f t="shared" si="7"/>
        <v>0</v>
      </c>
      <c r="V51">
        <f t="shared" si="7"/>
        <v>0</v>
      </c>
    </row>
    <row r="52" spans="1:22">
      <c r="A52" s="109" t="s">
        <v>10</v>
      </c>
      <c r="C52" s="40">
        <f>SUM(C44:C51)</f>
        <v>62.535999999999994</v>
      </c>
      <c r="D52" s="40">
        <f>SUM(D44:D51)</f>
        <v>64.983942540000015</v>
      </c>
      <c r="F52" s="123" t="s">
        <v>6</v>
      </c>
      <c r="G52" s="124">
        <v>297695.25320677058</v>
      </c>
      <c r="H52" s="126">
        <f t="shared" si="5"/>
        <v>0.62555237414598186</v>
      </c>
      <c r="J52" s="128" t="s">
        <v>6</v>
      </c>
      <c r="K52" s="129">
        <v>297695.25320677058</v>
      </c>
      <c r="L52" s="130">
        <f t="shared" si="6"/>
        <v>0.83630824135869941</v>
      </c>
      <c r="N52" s="1" t="s">
        <v>6</v>
      </c>
      <c r="O52">
        <v>24.996670655072279</v>
      </c>
      <c r="P52">
        <f t="shared" si="8"/>
        <v>24.996670655072279</v>
      </c>
      <c r="Q52">
        <f t="shared" si="8"/>
        <v>24.25483653851127</v>
      </c>
      <c r="S52" s="1" t="s">
        <v>6</v>
      </c>
      <c r="T52">
        <f t="shared" si="9"/>
        <v>12.987988032417546</v>
      </c>
      <c r="U52">
        <f t="shared" si="7"/>
        <v>19.089260593486738</v>
      </c>
      <c r="V52">
        <f t="shared" si="7"/>
        <v>24.254857985084879</v>
      </c>
    </row>
    <row r="53" spans="1:22">
      <c r="A53" s="109"/>
      <c r="C53" s="40"/>
      <c r="D53" s="40"/>
      <c r="F53" s="123" t="s">
        <v>212</v>
      </c>
      <c r="G53" s="124">
        <f>SUM(G44:G52)</f>
        <v>475891.81259713194</v>
      </c>
      <c r="H53" s="126">
        <f t="shared" si="5"/>
        <v>1</v>
      </c>
      <c r="J53" s="128" t="s">
        <v>212</v>
      </c>
      <c r="K53" s="129">
        <f>SUM(K44:K52)</f>
        <v>355963.55325056118</v>
      </c>
      <c r="L53" s="130">
        <f t="shared" si="6"/>
        <v>1</v>
      </c>
      <c r="N53" s="1" t="s">
        <v>212</v>
      </c>
      <c r="O53" s="1">
        <v>62.536000000000001</v>
      </c>
      <c r="P53" s="1">
        <f>SUM(P44:P52)</f>
        <v>62.536000000000001</v>
      </c>
      <c r="Q53" s="1">
        <f>SUM(Q44:Q52)</f>
        <v>64.983942540000015</v>
      </c>
      <c r="S53" s="1" t="s">
        <v>212</v>
      </c>
      <c r="T53" s="1">
        <v>32.493000000000002</v>
      </c>
      <c r="U53" s="1">
        <v>47.756999999999998</v>
      </c>
      <c r="V53" s="1">
        <v>64.983999999999995</v>
      </c>
    </row>
    <row r="54" spans="1:22">
      <c r="A54" s="109"/>
      <c r="C54" s="40"/>
      <c r="D54" s="40"/>
    </row>
    <row r="55" spans="1:22">
      <c r="A55" s="109"/>
      <c r="C55" s="40"/>
      <c r="D55" s="40"/>
    </row>
    <row r="57" spans="1:22">
      <c r="A57" s="1" t="s">
        <v>272</v>
      </c>
      <c r="C57" s="1">
        <v>2013</v>
      </c>
      <c r="D57" s="1" t="s">
        <v>273</v>
      </c>
      <c r="F57" t="s">
        <v>265</v>
      </c>
      <c r="O57" s="1">
        <v>2013</v>
      </c>
      <c r="P57" s="1">
        <v>2013</v>
      </c>
      <c r="Q57" s="1">
        <v>2017</v>
      </c>
      <c r="T57" s="1">
        <v>2005</v>
      </c>
      <c r="U57" s="1">
        <v>2011</v>
      </c>
      <c r="V57" s="1">
        <v>2016</v>
      </c>
    </row>
    <row r="58" spans="1:22">
      <c r="A58" s="115" t="s">
        <v>274</v>
      </c>
      <c r="B58" s="115"/>
      <c r="C58" s="118">
        <v>9.6364682800000008</v>
      </c>
      <c r="D58" s="118">
        <v>6.5646692909913629</v>
      </c>
      <c r="F58" s="123" t="s">
        <v>2</v>
      </c>
      <c r="G58" s="124"/>
      <c r="H58" s="126">
        <f>G58/G$67</f>
        <v>0</v>
      </c>
      <c r="J58" s="131"/>
      <c r="N58" s="1" t="s">
        <v>2</v>
      </c>
      <c r="O58">
        <v>0</v>
      </c>
      <c r="P58">
        <f>$H58*SUM(C$58:C$63,C$66,C$69)</f>
        <v>0</v>
      </c>
      <c r="Q58">
        <f>$H58*SUM(D$58:D$63,D$66,D$69)</f>
        <v>0</v>
      </c>
      <c r="S58" s="1" t="s">
        <v>2</v>
      </c>
      <c r="T58" s="39">
        <f>(O58/O$67)*T$67</f>
        <v>0</v>
      </c>
      <c r="U58" s="39">
        <f t="shared" ref="U58:V66" si="10">(P58/P$67)*U$67</f>
        <v>0</v>
      </c>
      <c r="V58" s="39">
        <f t="shared" si="10"/>
        <v>0</v>
      </c>
    </row>
    <row r="59" spans="1:22">
      <c r="A59" s="115" t="s">
        <v>247</v>
      </c>
      <c r="B59" s="115"/>
      <c r="C59" s="118">
        <v>12.546404089999998</v>
      </c>
      <c r="D59" s="118">
        <v>14.927014</v>
      </c>
      <c r="F59" s="123" t="s">
        <v>7</v>
      </c>
      <c r="G59" s="124">
        <v>418663.60346262762</v>
      </c>
      <c r="H59" s="126">
        <f t="shared" ref="H59:H67" si="11">G59/G$67</f>
        <v>0.53828612529552911</v>
      </c>
      <c r="J59" s="131"/>
      <c r="N59" s="1" t="s">
        <v>7</v>
      </c>
      <c r="O59">
        <v>20.477068558977766</v>
      </c>
      <c r="P59">
        <f>$H59*SUM(C$58:C$63,C$66,C$69)</f>
        <v>20.477068558977766</v>
      </c>
      <c r="Q59">
        <f>$H59*SUM(D$58:D$63,D$66,D$69)</f>
        <v>22.950226412961957</v>
      </c>
      <c r="S59" s="1" t="s">
        <v>7</v>
      </c>
      <c r="T59" s="39">
        <f t="shared" ref="T59:T66" si="12">(O59/O$67)*T$67</f>
        <v>12.748941978638285</v>
      </c>
      <c r="U59" s="39">
        <f t="shared" si="10"/>
        <v>16.2481204088777</v>
      </c>
      <c r="V59" s="39">
        <f t="shared" si="10"/>
        <v>22.878244415679497</v>
      </c>
    </row>
    <row r="60" spans="1:22">
      <c r="A60" s="115" t="s">
        <v>275</v>
      </c>
      <c r="B60" s="115"/>
      <c r="C60" s="118">
        <v>8.1744717399999995</v>
      </c>
      <c r="D60" s="118">
        <v>9.0286443223280006</v>
      </c>
      <c r="F60" s="123" t="s">
        <v>9</v>
      </c>
      <c r="G60" s="124">
        <v>160671.34554322617</v>
      </c>
      <c r="H60" s="126">
        <f t="shared" si="11"/>
        <v>0.20657911345332089</v>
      </c>
      <c r="J60" s="131"/>
      <c r="N60" s="1" t="s">
        <v>9</v>
      </c>
      <c r="O60">
        <v>12.899799425706151</v>
      </c>
      <c r="P60">
        <f>$H60*SUM(C$58:C$63,C$66,C$69) + C65+C67+C68</f>
        <v>12.899799425706151</v>
      </c>
      <c r="Q60">
        <f>$H60*SUM(D$58:D$63,D$66,D$69) + D65+D67+D68</f>
        <v>21.959778916702373</v>
      </c>
      <c r="S60" s="1" t="s">
        <v>9</v>
      </c>
      <c r="T60" s="39">
        <f t="shared" si="12"/>
        <v>8.0313641545286263</v>
      </c>
      <c r="U60" s="39">
        <f t="shared" si="10"/>
        <v>10.235717759871983</v>
      </c>
      <c r="V60" s="39">
        <f t="shared" si="10"/>
        <v>21.89090339809691</v>
      </c>
    </row>
    <row r="61" spans="1:22">
      <c r="A61" s="115" t="s">
        <v>269</v>
      </c>
      <c r="B61" s="115"/>
      <c r="C61" s="118">
        <v>1.9532932900000004</v>
      </c>
      <c r="D61" s="118">
        <v>1.8007445900000001</v>
      </c>
      <c r="F61" s="123" t="s">
        <v>3</v>
      </c>
      <c r="G61" s="124"/>
      <c r="H61" s="126">
        <f t="shared" si="11"/>
        <v>0</v>
      </c>
      <c r="J61" s="131"/>
      <c r="N61" s="1" t="s">
        <v>3</v>
      </c>
      <c r="O61">
        <v>0</v>
      </c>
      <c r="P61">
        <f t="shared" ref="P61:Q66" si="13">$H61*SUM(C$58:C$63,C$66,C$69)</f>
        <v>0</v>
      </c>
      <c r="Q61">
        <f t="shared" si="13"/>
        <v>0</v>
      </c>
      <c r="S61" s="1" t="s">
        <v>3</v>
      </c>
      <c r="T61" s="39">
        <f t="shared" si="12"/>
        <v>0</v>
      </c>
      <c r="U61" s="39">
        <f t="shared" si="10"/>
        <v>0</v>
      </c>
      <c r="V61" s="39">
        <f t="shared" si="10"/>
        <v>0</v>
      </c>
    </row>
    <row r="62" spans="1:22">
      <c r="A62" s="115" t="s">
        <v>270</v>
      </c>
      <c r="B62" s="115"/>
      <c r="C62" s="118">
        <v>3.2713060399999994</v>
      </c>
      <c r="D62" s="118">
        <v>3.9611284233499995</v>
      </c>
      <c r="F62" s="123" t="s">
        <v>188</v>
      </c>
      <c r="G62" s="124"/>
      <c r="H62" s="126">
        <f t="shared" si="11"/>
        <v>0</v>
      </c>
      <c r="J62" s="131"/>
      <c r="N62" s="1" t="s">
        <v>188</v>
      </c>
      <c r="O62">
        <v>0</v>
      </c>
      <c r="P62">
        <f t="shared" si="13"/>
        <v>0</v>
      </c>
      <c r="Q62">
        <f t="shared" si="13"/>
        <v>0</v>
      </c>
      <c r="S62" s="1" t="s">
        <v>188</v>
      </c>
      <c r="T62" s="39">
        <f t="shared" si="12"/>
        <v>0</v>
      </c>
      <c r="U62" s="39">
        <f t="shared" si="10"/>
        <v>0</v>
      </c>
      <c r="V62" s="39">
        <f t="shared" si="10"/>
        <v>0</v>
      </c>
    </row>
    <row r="63" spans="1:22">
      <c r="A63" s="115" t="s">
        <v>100</v>
      </c>
      <c r="B63" s="115"/>
      <c r="C63" s="118">
        <v>4.6879810000000008E-2</v>
      </c>
      <c r="D63" s="118">
        <v>0.14053516999999999</v>
      </c>
      <c r="F63" s="123" t="s">
        <v>5</v>
      </c>
      <c r="G63" s="124"/>
      <c r="H63" s="126">
        <f t="shared" si="11"/>
        <v>0</v>
      </c>
      <c r="J63" s="131"/>
      <c r="N63" s="1" t="s">
        <v>5</v>
      </c>
      <c r="O63">
        <v>0</v>
      </c>
      <c r="P63">
        <f t="shared" si="13"/>
        <v>0</v>
      </c>
      <c r="Q63">
        <f t="shared" si="13"/>
        <v>0</v>
      </c>
      <c r="S63" s="1" t="s">
        <v>5</v>
      </c>
      <c r="T63" s="39">
        <f t="shared" si="12"/>
        <v>0</v>
      </c>
      <c r="U63" s="39">
        <f t="shared" si="10"/>
        <v>0</v>
      </c>
      <c r="V63" s="39">
        <f t="shared" si="10"/>
        <v>0</v>
      </c>
    </row>
    <row r="64" spans="1:22">
      <c r="A64" t="s">
        <v>276</v>
      </c>
      <c r="C64" s="39">
        <v>17.516775170000003</v>
      </c>
      <c r="D64" s="39">
        <v>0</v>
      </c>
      <c r="F64" s="123" t="s">
        <v>4</v>
      </c>
      <c r="G64" s="124"/>
      <c r="H64" s="126">
        <f t="shared" si="11"/>
        <v>0</v>
      </c>
      <c r="J64" s="131"/>
      <c r="N64" s="1" t="s">
        <v>4</v>
      </c>
      <c r="O64">
        <v>0</v>
      </c>
      <c r="P64">
        <f t="shared" si="13"/>
        <v>0</v>
      </c>
      <c r="Q64">
        <f t="shared" si="13"/>
        <v>0</v>
      </c>
      <c r="S64" s="1" t="s">
        <v>4</v>
      </c>
      <c r="T64" s="39">
        <f t="shared" si="12"/>
        <v>0</v>
      </c>
      <c r="U64" s="39">
        <f t="shared" si="10"/>
        <v>0</v>
      </c>
      <c r="V64" s="39">
        <f t="shared" si="10"/>
        <v>0</v>
      </c>
    </row>
    <row r="65" spans="1:22">
      <c r="A65" s="111" t="s">
        <v>277</v>
      </c>
      <c r="B65" s="111"/>
      <c r="C65" s="117">
        <v>2.4280428800000005</v>
      </c>
      <c r="D65" s="117">
        <v>5.0254159902438307</v>
      </c>
      <c r="F65" s="123" t="s">
        <v>8</v>
      </c>
      <c r="G65" s="124">
        <v>198436.54423628293</v>
      </c>
      <c r="H65" s="126">
        <f t="shared" si="11"/>
        <v>0.25513476125114992</v>
      </c>
      <c r="J65" s="131"/>
      <c r="N65" s="1" t="s">
        <v>8</v>
      </c>
      <c r="O65">
        <v>9.7056412053160788</v>
      </c>
      <c r="P65">
        <f t="shared" si="13"/>
        <v>9.7056412053160788</v>
      </c>
      <c r="Q65">
        <f t="shared" si="13"/>
        <v>10.877858932953473</v>
      </c>
      <c r="S65" s="1" t="s">
        <v>8</v>
      </c>
      <c r="T65" s="39">
        <f t="shared" si="12"/>
        <v>6.0426938668330887</v>
      </c>
      <c r="U65" s="39">
        <f t="shared" si="10"/>
        <v>7.7012208312503194</v>
      </c>
      <c r="V65" s="39">
        <f t="shared" si="10"/>
        <v>10.843741186223593</v>
      </c>
    </row>
    <row r="66" spans="1:22">
      <c r="A66" s="115" t="s">
        <v>278</v>
      </c>
      <c r="C66" s="118">
        <v>2.4124109500000004</v>
      </c>
      <c r="D66" s="118">
        <v>3.4298992148000007</v>
      </c>
      <c r="F66" s="123" t="s">
        <v>6</v>
      </c>
      <c r="G66" s="124"/>
      <c r="H66" s="126">
        <f t="shared" si="11"/>
        <v>0</v>
      </c>
      <c r="J66" s="131"/>
      <c r="N66" s="1" t="s">
        <v>6</v>
      </c>
      <c r="O66">
        <v>0</v>
      </c>
      <c r="P66">
        <f t="shared" si="13"/>
        <v>0</v>
      </c>
      <c r="Q66">
        <f t="shared" si="13"/>
        <v>0</v>
      </c>
      <c r="S66" s="1" t="s">
        <v>6</v>
      </c>
      <c r="T66" s="39">
        <f t="shared" si="12"/>
        <v>0</v>
      </c>
      <c r="U66" s="39">
        <f t="shared" si="10"/>
        <v>0</v>
      </c>
      <c r="V66" s="39">
        <f t="shared" si="10"/>
        <v>0</v>
      </c>
    </row>
    <row r="67" spans="1:22">
      <c r="A67" s="111" t="s">
        <v>279</v>
      </c>
      <c r="B67" s="111"/>
      <c r="C67" s="117">
        <v>0.94545630000000003</v>
      </c>
      <c r="D67" s="117">
        <v>1.1747098900000001</v>
      </c>
      <c r="F67" s="123" t="s">
        <v>212</v>
      </c>
      <c r="G67" s="124">
        <f>SUM(G58:G66)</f>
        <v>777771.49324213678</v>
      </c>
      <c r="H67" s="126">
        <f t="shared" si="11"/>
        <v>1</v>
      </c>
      <c r="J67" s="131"/>
      <c r="N67" s="1" t="s">
        <v>212</v>
      </c>
      <c r="O67" s="1">
        <f>SUM(O58:O66)</f>
        <v>43.082509189999996</v>
      </c>
      <c r="P67" s="1">
        <f>SUM(P58:P66)</f>
        <v>43.082509189999996</v>
      </c>
      <c r="Q67" s="1">
        <f>SUM(Q58:Q66)</f>
        <v>55.787864262617802</v>
      </c>
      <c r="S67" s="1" t="s">
        <v>212</v>
      </c>
      <c r="T67" s="40">
        <v>26.823</v>
      </c>
      <c r="U67" s="40">
        <v>34.185059000000003</v>
      </c>
      <c r="V67" s="40">
        <v>55.612889000000003</v>
      </c>
    </row>
    <row r="68" spans="1:22">
      <c r="A68" s="111" t="s">
        <v>280</v>
      </c>
      <c r="B68" s="119"/>
      <c r="C68" s="117">
        <v>1.6677758099999997</v>
      </c>
      <c r="D68" s="117">
        <v>6.952</v>
      </c>
    </row>
    <row r="69" spans="1:22">
      <c r="A69" s="115" t="s">
        <v>271</v>
      </c>
      <c r="B69" s="115"/>
      <c r="C69" s="118"/>
      <c r="D69" s="118">
        <v>2.7831033709046098</v>
      </c>
    </row>
    <row r="70" spans="1:22">
      <c r="A70" s="1" t="s">
        <v>10</v>
      </c>
      <c r="C70" s="40">
        <f>SUM(C58:C68)</f>
        <v>60.599284360000006</v>
      </c>
      <c r="D70" s="40">
        <f>SUM(D58:D69)</f>
        <v>55.787864262617802</v>
      </c>
    </row>
    <row r="71" spans="1:22">
      <c r="A71" s="1"/>
      <c r="C71" s="40"/>
      <c r="D71" s="40"/>
    </row>
    <row r="73" spans="1:22">
      <c r="A73" s="1" t="s">
        <v>281</v>
      </c>
      <c r="C73" s="1">
        <v>2014</v>
      </c>
      <c r="D73" s="46">
        <v>2016</v>
      </c>
      <c r="F73" s="128" t="s">
        <v>282</v>
      </c>
      <c r="J73" s="115" t="s">
        <v>283</v>
      </c>
      <c r="O73">
        <v>2014</v>
      </c>
      <c r="P73">
        <v>2014</v>
      </c>
      <c r="Q73">
        <v>2016</v>
      </c>
      <c r="T73" s="1">
        <v>2005</v>
      </c>
      <c r="U73" s="1">
        <v>2011</v>
      </c>
      <c r="V73" s="1">
        <v>2016</v>
      </c>
    </row>
    <row r="74" spans="1:22">
      <c r="A74" s="111" t="s">
        <v>274</v>
      </c>
      <c r="B74" s="111"/>
      <c r="C74" s="111"/>
      <c r="D74" s="117">
        <v>1.9616560000000001</v>
      </c>
      <c r="F74" s="128" t="s">
        <v>2</v>
      </c>
      <c r="G74" s="130">
        <v>2.6574354677422808E-3</v>
      </c>
      <c r="J74" s="115" t="s">
        <v>2</v>
      </c>
      <c r="K74" s="126">
        <v>4.8769805774434077E-3</v>
      </c>
      <c r="N74" t="s">
        <v>2</v>
      </c>
      <c r="O74" s="10">
        <v>0.10753981028178244</v>
      </c>
      <c r="P74" s="10">
        <f>$G74*C$78 + $K74*C$80</f>
        <v>0.10753981028178244</v>
      </c>
      <c r="Q74" s="10">
        <f>$G74*D$78 + $K74*D$80</f>
        <v>9.5350265978769375E-2</v>
      </c>
      <c r="S74" s="1" t="s">
        <v>2</v>
      </c>
      <c r="T74" s="39">
        <f>(O74/O$83)*T$83</f>
        <v>9.3186646316646971E-2</v>
      </c>
      <c r="U74" s="39">
        <f t="shared" ref="U74:V82" si="14">(P74/P$83)*U$83</f>
        <v>6.0934384961599676E-2</v>
      </c>
      <c r="V74" s="39">
        <f t="shared" si="14"/>
        <v>9.3020503240243413E-2</v>
      </c>
    </row>
    <row r="75" spans="1:22">
      <c r="A75" t="s">
        <v>247</v>
      </c>
      <c r="D75" s="39"/>
      <c r="F75" s="128" t="s">
        <v>7</v>
      </c>
      <c r="G75" s="130">
        <v>2.1326760589222862E-2</v>
      </c>
      <c r="J75" s="115" t="s">
        <v>7</v>
      </c>
      <c r="K75" s="126">
        <v>0.10808809247210459</v>
      </c>
      <c r="N75" t="s">
        <v>7</v>
      </c>
      <c r="O75" s="10">
        <v>2.0143477373671388</v>
      </c>
      <c r="P75" s="10">
        <f>$G75*C$78 + $K75*C$80</f>
        <v>2.0143477373671388</v>
      </c>
      <c r="Q75" s="10">
        <f>$G75*D$78 + $K75*D$80</f>
        <v>1.7963284536013442</v>
      </c>
      <c r="S75" s="1" t="s">
        <v>7</v>
      </c>
      <c r="T75" s="39">
        <f t="shared" ref="T75:T82" si="15">(O75/O$83)*T$83</f>
        <v>1.7454960136987365</v>
      </c>
      <c r="U75" s="39">
        <f t="shared" si="14"/>
        <v>1.141373042723784</v>
      </c>
      <c r="V75" s="39">
        <f t="shared" si="14"/>
        <v>1.7524374475889832</v>
      </c>
    </row>
    <row r="76" spans="1:22">
      <c r="A76" t="s">
        <v>268</v>
      </c>
      <c r="D76" s="39"/>
      <c r="F76" s="128" t="s">
        <v>9</v>
      </c>
      <c r="G76" s="130">
        <v>0.83780469531233281</v>
      </c>
      <c r="J76" s="115" t="s">
        <v>9</v>
      </c>
      <c r="K76" s="126">
        <v>0.57815309826006522</v>
      </c>
      <c r="N76" t="s">
        <v>9</v>
      </c>
      <c r="O76" s="10">
        <v>18.020755956799615</v>
      </c>
      <c r="P76" s="10">
        <f>$G76*C$78 + $K76*C$80 + C79</f>
        <v>18.020755956799615</v>
      </c>
      <c r="Q76" s="10">
        <f>$G76*D$78 + $K76*D$80 + D79+D74</f>
        <v>18.309859030843949</v>
      </c>
      <c r="S76" s="1" t="s">
        <v>9</v>
      </c>
      <c r="T76" s="39">
        <f t="shared" si="15"/>
        <v>15.615554902921117</v>
      </c>
      <c r="U76" s="39">
        <f t="shared" si="14"/>
        <v>10.21095051119582</v>
      </c>
      <c r="V76" s="39">
        <f t="shared" si="14"/>
        <v>17.862480862782817</v>
      </c>
    </row>
    <row r="77" spans="1:22">
      <c r="A77" t="s">
        <v>269</v>
      </c>
      <c r="D77" s="39"/>
      <c r="F77" s="128" t="s">
        <v>3</v>
      </c>
      <c r="G77" s="130">
        <v>6.7032204203579743E-3</v>
      </c>
      <c r="J77" s="115" t="s">
        <v>3</v>
      </c>
      <c r="K77" s="126">
        <v>5.3031905746349995E-3</v>
      </c>
      <c r="N77" t="s">
        <v>3</v>
      </c>
      <c r="O77" s="10">
        <v>0.15439841040443161</v>
      </c>
      <c r="P77" s="10">
        <f t="shared" ref="P77:Q82" si="16">$G77*C$78 + $K77*C$80</f>
        <v>0.15439841040443161</v>
      </c>
      <c r="Q77" s="10">
        <f t="shared" si="16"/>
        <v>0.13585143843317171</v>
      </c>
      <c r="S77" s="1" t="s">
        <v>3</v>
      </c>
      <c r="T77" s="39">
        <f t="shared" si="15"/>
        <v>0.13379110512200354</v>
      </c>
      <c r="U77" s="39">
        <f t="shared" si="14"/>
        <v>8.7485482375232182E-2</v>
      </c>
      <c r="V77" s="39">
        <f t="shared" si="14"/>
        <v>0.13253208094645816</v>
      </c>
    </row>
    <row r="78" spans="1:22">
      <c r="A78" s="120" t="s">
        <v>270</v>
      </c>
      <c r="B78" s="120"/>
      <c r="C78" s="120">
        <v>9.8230000000000004</v>
      </c>
      <c r="D78" s="121">
        <v>8.4352739999999997</v>
      </c>
      <c r="F78" s="128" t="s">
        <v>188</v>
      </c>
      <c r="G78" s="130">
        <v>0.10220576317938149</v>
      </c>
      <c r="J78" s="115" t="s">
        <v>188</v>
      </c>
      <c r="K78" s="126">
        <v>0.15333848002009187</v>
      </c>
      <c r="N78" t="s">
        <v>188</v>
      </c>
      <c r="O78" s="10">
        <v>3.5644131510865584</v>
      </c>
      <c r="P78" s="10">
        <f t="shared" si="16"/>
        <v>3.5644131510865584</v>
      </c>
      <c r="Q78" s="10">
        <f t="shared" si="16"/>
        <v>3.155273646257831</v>
      </c>
      <c r="S78" s="1" t="s">
        <v>188</v>
      </c>
      <c r="T78" s="39">
        <f t="shared" si="15"/>
        <v>3.0886767120601513</v>
      </c>
      <c r="U78" s="39">
        <f t="shared" si="14"/>
        <v>2.019673668210761</v>
      </c>
      <c r="V78" s="39">
        <f t="shared" si="14"/>
        <v>3.0781785391236651</v>
      </c>
    </row>
    <row r="79" spans="1:22">
      <c r="A79" s="111" t="s">
        <v>100</v>
      </c>
      <c r="B79" s="111"/>
      <c r="C79" s="111">
        <v>0.13700000000000001</v>
      </c>
      <c r="D79" s="117">
        <v>0.63495056000000005</v>
      </c>
      <c r="F79" s="128" t="s">
        <v>5</v>
      </c>
      <c r="G79" s="130">
        <v>0</v>
      </c>
      <c r="J79" s="115" t="s">
        <v>5</v>
      </c>
      <c r="K79" s="126">
        <v>5.4407242312033552E-3</v>
      </c>
      <c r="N79" t="s">
        <v>5</v>
      </c>
      <c r="O79" s="10">
        <v>9.0849213212633631E-2</v>
      </c>
      <c r="P79" s="10">
        <f t="shared" si="16"/>
        <v>9.0849213212633631E-2</v>
      </c>
      <c r="Q79" s="10">
        <f t="shared" si="16"/>
        <v>8.1364720207178887E-2</v>
      </c>
      <c r="S79" s="1" t="s">
        <v>5</v>
      </c>
      <c r="T79" s="39">
        <f t="shared" si="15"/>
        <v>7.8723716153193679E-2</v>
      </c>
      <c r="U79" s="39">
        <f t="shared" si="14"/>
        <v>5.147713127679613E-2</v>
      </c>
      <c r="V79" s="39">
        <f t="shared" si="14"/>
        <v>7.9376676530284657E-2</v>
      </c>
    </row>
    <row r="80" spans="1:22">
      <c r="A80" s="115" t="s">
        <v>271</v>
      </c>
      <c r="B80" s="115"/>
      <c r="C80" s="115">
        <v>16.698</v>
      </c>
      <c r="D80" s="118">
        <v>14.954759100000002</v>
      </c>
      <c r="F80" s="128" t="s">
        <v>4</v>
      </c>
      <c r="G80" s="130">
        <v>2.2764038690303266E-2</v>
      </c>
      <c r="J80" s="115" t="s">
        <v>4</v>
      </c>
      <c r="K80" s="126">
        <v>1.1995532939826241E-2</v>
      </c>
      <c r="N80" t="s">
        <v>4</v>
      </c>
      <c r="O80" s="10">
        <v>0.42391256108406761</v>
      </c>
      <c r="P80" s="10">
        <f t="shared" si="16"/>
        <v>0.42391256108406761</v>
      </c>
      <c r="Q80" s="10">
        <f t="shared" si="16"/>
        <v>0.37141120909052544</v>
      </c>
      <c r="S80" s="1" t="s">
        <v>4</v>
      </c>
      <c r="T80" s="39">
        <f t="shared" si="15"/>
        <v>0.36733363947190201</v>
      </c>
      <c r="U80" s="39">
        <f t="shared" si="14"/>
        <v>0.24019803568065282</v>
      </c>
      <c r="V80" s="39">
        <f t="shared" si="14"/>
        <v>0.36233624756076266</v>
      </c>
    </row>
    <row r="81" spans="1:22">
      <c r="A81" s="1" t="s">
        <v>10</v>
      </c>
      <c r="C81" s="40">
        <f>SUM(C74:C80)</f>
        <v>26.658000000000001</v>
      </c>
      <c r="D81" s="40">
        <f>SUM(D74:D80)</f>
        <v>25.986639660000002</v>
      </c>
      <c r="F81" s="128" t="s">
        <v>8</v>
      </c>
      <c r="G81" s="130">
        <v>2.9877036271394801E-3</v>
      </c>
      <c r="J81" s="115" t="s">
        <v>8</v>
      </c>
      <c r="K81" s="126">
        <v>5.077590014437941E-2</v>
      </c>
      <c r="N81" t="s">
        <v>8</v>
      </c>
      <c r="O81" s="10">
        <v>0.87720419334023858</v>
      </c>
      <c r="P81" s="10">
        <f t="shared" si="16"/>
        <v>0.87720419334023858</v>
      </c>
      <c r="Q81" s="10">
        <f t="shared" si="16"/>
        <v>0.78454345347056476</v>
      </c>
      <c r="S81" s="1" t="s">
        <v>8</v>
      </c>
      <c r="T81" s="39">
        <f t="shared" si="15"/>
        <v>0.76012517316225947</v>
      </c>
      <c r="U81" s="39">
        <f t="shared" si="14"/>
        <v>0.49704288920415274</v>
      </c>
      <c r="V81" s="39">
        <f t="shared" si="14"/>
        <v>0.76537412986262465</v>
      </c>
    </row>
    <row r="82" spans="1:22">
      <c r="F82" s="128" t="s">
        <v>6</v>
      </c>
      <c r="G82" s="130">
        <v>3.5503827135198941E-3</v>
      </c>
      <c r="J82" s="115" t="s">
        <v>6</v>
      </c>
      <c r="K82" s="126">
        <v>8.2028000780250909E-2</v>
      </c>
      <c r="N82" t="s">
        <v>6</v>
      </c>
      <c r="O82" s="10">
        <v>1.4045789664235357</v>
      </c>
      <c r="P82" s="10">
        <f t="shared" si="16"/>
        <v>1.4045789664235357</v>
      </c>
      <c r="Q82" s="10">
        <f t="shared" si="16"/>
        <v>1.2566574421166683</v>
      </c>
      <c r="S82" s="1" t="s">
        <v>6</v>
      </c>
      <c r="T82" s="39">
        <f t="shared" si="15"/>
        <v>1.2171120910939937</v>
      </c>
      <c r="U82" s="39">
        <f t="shared" si="14"/>
        <v>0.79586485437120236</v>
      </c>
      <c r="V82" s="39">
        <f t="shared" si="14"/>
        <v>1.2259526123641573</v>
      </c>
    </row>
    <row r="83" spans="1:22">
      <c r="F83" s="120"/>
      <c r="G83" s="130">
        <v>1</v>
      </c>
      <c r="J83" s="115"/>
      <c r="K83" s="126">
        <v>1</v>
      </c>
      <c r="O83" s="11">
        <v>26.657999999999998</v>
      </c>
      <c r="P83" s="11">
        <f>SUM(P74:P82)</f>
        <v>26.657999999999998</v>
      </c>
      <c r="Q83" s="11">
        <f>SUM(Q74:Q82)</f>
        <v>25.986639660000005</v>
      </c>
      <c r="S83" s="1" t="s">
        <v>212</v>
      </c>
      <c r="T83" s="39">
        <v>23.1</v>
      </c>
      <c r="U83" s="39">
        <v>15.105</v>
      </c>
      <c r="V83" s="39">
        <v>25.351689100000002</v>
      </c>
    </row>
    <row r="86" spans="1:22">
      <c r="A86" s="1" t="s">
        <v>284</v>
      </c>
      <c r="T86" s="1">
        <v>2005</v>
      </c>
      <c r="U86" s="1">
        <v>2011</v>
      </c>
      <c r="V86" s="1">
        <v>2016</v>
      </c>
    </row>
    <row r="87" spans="1:22">
      <c r="S87" s="1" t="s">
        <v>2</v>
      </c>
      <c r="T87" s="39"/>
      <c r="U87" s="39"/>
      <c r="V87" s="39"/>
    </row>
    <row r="88" spans="1:22">
      <c r="S88" s="1" t="s">
        <v>7</v>
      </c>
      <c r="T88" s="39"/>
      <c r="U88" s="39"/>
      <c r="V88" s="39"/>
    </row>
    <row r="89" spans="1:22">
      <c r="S89" s="1" t="s">
        <v>9</v>
      </c>
      <c r="T89" s="39">
        <v>47.911999999999999</v>
      </c>
      <c r="U89" s="39">
        <v>59.728999999999999</v>
      </c>
      <c r="V89" s="39">
        <v>60.926285390000004</v>
      </c>
    </row>
    <row r="90" spans="1:22">
      <c r="S90" s="1" t="s">
        <v>3</v>
      </c>
      <c r="T90" s="39"/>
      <c r="U90" s="39"/>
      <c r="V90" s="39"/>
    </row>
    <row r="91" spans="1:22">
      <c r="S91" s="1" t="s">
        <v>188</v>
      </c>
      <c r="T91" s="39"/>
      <c r="U91" s="39"/>
      <c r="V91" s="39"/>
    </row>
    <row r="92" spans="1:22">
      <c r="S92" s="1" t="s">
        <v>5</v>
      </c>
      <c r="T92" s="39"/>
      <c r="U92" s="39"/>
      <c r="V92" s="39"/>
    </row>
    <row r="93" spans="1:22">
      <c r="S93" s="1" t="s">
        <v>4</v>
      </c>
      <c r="T93" s="39"/>
      <c r="U93" s="39"/>
      <c r="V93" s="39"/>
    </row>
    <row r="94" spans="1:22">
      <c r="S94" s="1" t="s">
        <v>8</v>
      </c>
      <c r="T94" s="39"/>
      <c r="U94" s="39"/>
      <c r="V94" s="39"/>
    </row>
    <row r="95" spans="1:22">
      <c r="S95" s="1" t="s">
        <v>6</v>
      </c>
      <c r="T95" s="39"/>
      <c r="U95" s="39"/>
      <c r="V95" s="39"/>
    </row>
    <row r="96" spans="1:22">
      <c r="S96" s="1" t="s">
        <v>212</v>
      </c>
      <c r="T96" s="39">
        <v>47.911999999999999</v>
      </c>
      <c r="U96" s="39">
        <v>59.728999999999999</v>
      </c>
      <c r="V96" s="39">
        <v>60.926285390000004</v>
      </c>
    </row>
    <row r="97" spans="1:22">
      <c r="S97" s="1"/>
      <c r="T97" s="39"/>
      <c r="U97" s="39"/>
      <c r="V97" s="39"/>
    </row>
    <row r="98" spans="1:22">
      <c r="S98" s="1"/>
      <c r="T98" s="39"/>
      <c r="U98" s="39"/>
      <c r="V98" s="39"/>
    </row>
    <row r="99" spans="1:22">
      <c r="A99" s="1" t="s">
        <v>285</v>
      </c>
      <c r="T99" s="1">
        <v>2005</v>
      </c>
      <c r="U99" s="1">
        <v>2011</v>
      </c>
      <c r="V99" s="1">
        <v>2016</v>
      </c>
    </row>
    <row r="100" spans="1:22">
      <c r="S100" s="1" t="s">
        <v>2</v>
      </c>
      <c r="T100" s="39"/>
      <c r="U100" s="39"/>
      <c r="V100" s="39"/>
    </row>
    <row r="101" spans="1:22">
      <c r="S101" s="1" t="s">
        <v>7</v>
      </c>
      <c r="T101" s="39">
        <v>5.1830410000000002</v>
      </c>
      <c r="U101" s="39">
        <f>(T101/T109)*U109</f>
        <v>0.7927462183389703</v>
      </c>
      <c r="V101" s="39"/>
    </row>
    <row r="102" spans="1:22">
      <c r="S102" s="1" t="s">
        <v>9</v>
      </c>
      <c r="T102" s="39"/>
      <c r="U102" s="39"/>
      <c r="V102" s="39"/>
    </row>
    <row r="103" spans="1:22">
      <c r="S103" s="1" t="s">
        <v>3</v>
      </c>
      <c r="T103" s="39"/>
      <c r="U103" s="39"/>
      <c r="V103" s="39"/>
    </row>
    <row r="104" spans="1:22">
      <c r="S104" s="1" t="s">
        <v>188</v>
      </c>
      <c r="T104" s="39"/>
      <c r="U104" s="39"/>
      <c r="V104" s="39"/>
    </row>
    <row r="105" spans="1:22">
      <c r="S105" s="1" t="s">
        <v>5</v>
      </c>
      <c r="T105" s="39"/>
      <c r="U105" s="39"/>
      <c r="V105" s="39"/>
    </row>
    <row r="106" spans="1:22">
      <c r="S106" s="1" t="s">
        <v>4</v>
      </c>
      <c r="T106" s="39"/>
      <c r="U106" s="39"/>
      <c r="V106" s="39"/>
    </row>
    <row r="107" spans="1:22">
      <c r="S107" s="1" t="s">
        <v>8</v>
      </c>
      <c r="T107" s="39">
        <v>0.138959</v>
      </c>
      <c r="U107" s="39">
        <f>(T107/T109)*U109</f>
        <v>2.1253781661029685E-2</v>
      </c>
      <c r="V107" s="39"/>
    </row>
    <row r="108" spans="1:22">
      <c r="S108" s="1" t="s">
        <v>6</v>
      </c>
      <c r="T108" s="39"/>
      <c r="U108" s="39"/>
      <c r="V108" s="39"/>
    </row>
    <row r="109" spans="1:22">
      <c r="S109" s="1" t="s">
        <v>212</v>
      </c>
      <c r="T109" s="39">
        <f>SUM(T100:T108)</f>
        <v>5.3220000000000001</v>
      </c>
      <c r="U109" s="39">
        <v>0.81399999999999995</v>
      </c>
      <c r="V109" s="39">
        <v>0</v>
      </c>
    </row>
    <row r="112" spans="1:22">
      <c r="S112" s="1" t="s">
        <v>2</v>
      </c>
      <c r="T112" s="39">
        <f>T3+T18+T31+T44+T58+T74+T87+T100</f>
        <v>1.3180761303125301</v>
      </c>
      <c r="U112" s="39">
        <f>U3+U18+U31+U44+U58+U74+U87+U100</f>
        <v>1.8456461126743029</v>
      </c>
      <c r="V112" s="39">
        <f>V3+V18+V31+V44+V58+V74+V87+V100</f>
        <v>2.4028906222707977</v>
      </c>
    </row>
    <row r="113" spans="19:28">
      <c r="S113" s="1" t="s">
        <v>7</v>
      </c>
      <c r="T113" s="39">
        <f t="shared" ref="T113:V120" si="17">T4+T19+T32+T45+T59+T75+T88+T101</f>
        <v>19.890597785103761</v>
      </c>
      <c r="U113" s="39">
        <f t="shared" si="17"/>
        <v>18.368336524087784</v>
      </c>
      <c r="V113" s="39">
        <f t="shared" si="17"/>
        <v>25.211479097180195</v>
      </c>
    </row>
    <row r="114" spans="19:28">
      <c r="S114" s="1" t="s">
        <v>9</v>
      </c>
      <c r="T114" s="39">
        <f t="shared" si="17"/>
        <v>353.87170981102247</v>
      </c>
      <c r="U114" s="39">
        <f t="shared" si="17"/>
        <v>434.61486468357543</v>
      </c>
      <c r="V114" s="39">
        <f t="shared" si="17"/>
        <v>602.72190408467407</v>
      </c>
    </row>
    <row r="115" spans="19:28">
      <c r="S115" s="1" t="s">
        <v>3</v>
      </c>
      <c r="T115" s="39">
        <f t="shared" si="17"/>
        <v>0.44279382682356777</v>
      </c>
      <c r="U115" s="39">
        <f t="shared" si="17"/>
        <v>0.53235418124912615</v>
      </c>
      <c r="V115" s="39">
        <f t="shared" si="17"/>
        <v>0.72294993903376215</v>
      </c>
    </row>
    <row r="116" spans="19:28">
      <c r="S116" s="1" t="s">
        <v>188</v>
      </c>
      <c r="T116" s="39">
        <f t="shared" si="17"/>
        <v>3.5036814055923613</v>
      </c>
      <c r="U116" s="39">
        <f t="shared" si="17"/>
        <v>2.3820587348681697</v>
      </c>
      <c r="V116" s="39">
        <f t="shared" si="17"/>
        <v>4.2091608187000196</v>
      </c>
    </row>
    <row r="117" spans="19:28">
      <c r="S117" s="1" t="s">
        <v>5</v>
      </c>
      <c r="T117" s="39">
        <f t="shared" si="17"/>
        <v>0.9060621854321842</v>
      </c>
      <c r="U117" s="39">
        <f t="shared" si="17"/>
        <v>1.2643846122672802</v>
      </c>
      <c r="V117" s="39">
        <f t="shared" si="17"/>
        <v>1.628851821067328</v>
      </c>
    </row>
    <row r="118" spans="19:28">
      <c r="S118" s="1" t="s">
        <v>4</v>
      </c>
      <c r="T118" s="39">
        <f t="shared" si="17"/>
        <v>0.61369724901812206</v>
      </c>
      <c r="U118" s="39">
        <f t="shared" si="17"/>
        <v>0.59121783851616438</v>
      </c>
      <c r="V118" s="39">
        <f t="shared" si="17"/>
        <v>0.83834203864288226</v>
      </c>
    </row>
    <row r="119" spans="19:28">
      <c r="S119" s="1" t="s">
        <v>8</v>
      </c>
      <c r="T119" s="39">
        <f t="shared" si="17"/>
        <v>7.0644476903210345</v>
      </c>
      <c r="U119" s="39">
        <f t="shared" si="17"/>
        <v>8.3266335181580153</v>
      </c>
      <c r="V119" s="39">
        <f t="shared" si="17"/>
        <v>11.943418043073116</v>
      </c>
    </row>
    <row r="120" spans="19:28">
      <c r="S120" s="1" t="s">
        <v>6</v>
      </c>
      <c r="T120" s="39">
        <f t="shared" si="17"/>
        <v>14.355933916373981</v>
      </c>
      <c r="U120" s="39">
        <f t="shared" si="17"/>
        <v>20.016834594603782</v>
      </c>
      <c r="V120" s="39">
        <f t="shared" si="17"/>
        <v>25.891867025357779</v>
      </c>
    </row>
    <row r="121" spans="19:28">
      <c r="S121" s="1" t="s">
        <v>212</v>
      </c>
      <c r="T121" s="40">
        <f>SUM(T112:T120)</f>
        <v>401.96700000000004</v>
      </c>
      <c r="U121" s="40">
        <f>SUM(U112:U120)</f>
        <v>487.94233080000004</v>
      </c>
      <c r="V121" s="40">
        <f>SUM(V112:V120)</f>
        <v>675.57086349000008</v>
      </c>
    </row>
    <row r="125" spans="19:28">
      <c r="U125" s="40"/>
      <c r="V125" s="40"/>
      <c r="W125" s="40"/>
      <c r="X125" s="40"/>
      <c r="Y125" s="40"/>
      <c r="Z125" s="40"/>
      <c r="AA125" s="40"/>
      <c r="AB125" s="40"/>
    </row>
    <row r="126" spans="19:28">
      <c r="S126" s="1"/>
    </row>
    <row r="127" spans="19:28">
      <c r="S127" s="1"/>
    </row>
    <row r="128" spans="19:28">
      <c r="S128" s="1"/>
    </row>
    <row r="129" spans="19:19">
      <c r="S129" s="1"/>
    </row>
    <row r="130" spans="19:19">
      <c r="S130" s="1"/>
    </row>
    <row r="131" spans="19:19">
      <c r="S131" s="1"/>
    </row>
    <row r="132" spans="19:19">
      <c r="S132" s="1"/>
    </row>
    <row r="133" spans="19:19">
      <c r="S133" s="1"/>
    </row>
    <row r="134" spans="19:19">
      <c r="S134" s="1"/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2"/>
  <dimension ref="A1:R43"/>
  <sheetViews>
    <sheetView topLeftCell="A7" workbookViewId="0">
      <selection activeCell="I22" sqref="I22:I30"/>
    </sheetView>
  </sheetViews>
  <sheetFormatPr defaultRowHeight="15"/>
  <cols>
    <col min="1" max="1" width="34.7109375" style="57" customWidth="1"/>
    <col min="2" max="2" width="10.140625" style="57" customWidth="1"/>
    <col min="3" max="5" width="9.140625" style="57"/>
  </cols>
  <sheetData>
    <row r="1" spans="1:5">
      <c r="C1" s="58">
        <v>2005</v>
      </c>
      <c r="D1" s="58">
        <v>2011</v>
      </c>
      <c r="E1" s="58">
        <v>2016</v>
      </c>
    </row>
    <row r="3" spans="1:5">
      <c r="A3" s="59" t="s">
        <v>78</v>
      </c>
    </row>
    <row r="4" spans="1:5">
      <c r="A4" s="59" t="s">
        <v>286</v>
      </c>
    </row>
    <row r="5" spans="1:5">
      <c r="A5" s="18" t="s">
        <v>272</v>
      </c>
      <c r="C5" s="57">
        <v>962.36374000000001</v>
      </c>
      <c r="D5" s="57">
        <v>1134.6617120000001</v>
      </c>
      <c r="E5" s="57">
        <v>1376.252309</v>
      </c>
    </row>
    <row r="6" spans="1:5">
      <c r="A6" s="18"/>
    </row>
    <row r="7" spans="1:5">
      <c r="A7" s="18"/>
    </row>
    <row r="8" spans="1:5">
      <c r="A8" s="61" t="s">
        <v>287</v>
      </c>
      <c r="C8" s="60"/>
    </row>
    <row r="9" spans="1:5">
      <c r="A9" s="61" t="s">
        <v>288</v>
      </c>
    </row>
    <row r="10" spans="1:5">
      <c r="A10" s="1" t="s">
        <v>9</v>
      </c>
      <c r="B10" s="5">
        <v>2723082.06632812</v>
      </c>
      <c r="C10" s="8">
        <f>B10/$B$19</f>
        <v>0.13719882236848113</v>
      </c>
    </row>
    <row r="11" spans="1:5">
      <c r="A11" s="1" t="s">
        <v>7</v>
      </c>
      <c r="B11" s="5">
        <v>9284784.3126522768</v>
      </c>
      <c r="C11" s="8">
        <f t="shared" ref="C11:C19" si="0">B11/$B$19</f>
        <v>0.46780135251632365</v>
      </c>
    </row>
    <row r="12" spans="1:5">
      <c r="A12" s="1" t="s">
        <v>8</v>
      </c>
      <c r="B12" s="5">
        <v>7596113.3868749468</v>
      </c>
      <c r="C12" s="8">
        <f t="shared" si="0"/>
        <v>0.38271994228289974</v>
      </c>
    </row>
    <row r="13" spans="1:5">
      <c r="A13" s="1" t="s">
        <v>6</v>
      </c>
      <c r="B13" s="5">
        <v>12160.079007090786</v>
      </c>
      <c r="C13" s="8">
        <f t="shared" si="0"/>
        <v>6.1266920314678318E-4</v>
      </c>
    </row>
    <row r="14" spans="1:5">
      <c r="A14" s="1" t="s">
        <v>5</v>
      </c>
      <c r="B14" s="5">
        <v>679.95679159927181</v>
      </c>
      <c r="C14" s="8">
        <f t="shared" si="0"/>
        <v>3.4258707154817664E-5</v>
      </c>
    </row>
    <row r="15" spans="1:5">
      <c r="A15" s="1" t="s">
        <v>2</v>
      </c>
      <c r="B15" s="5">
        <v>1555.2478875350396</v>
      </c>
      <c r="C15" s="8">
        <f t="shared" si="0"/>
        <v>7.8359070150463929E-5</v>
      </c>
    </row>
    <row r="16" spans="1:5">
      <c r="A16" s="1" t="s">
        <v>3</v>
      </c>
      <c r="B16" s="5">
        <v>3161.6632014697584</v>
      </c>
      <c r="C16" s="8">
        <f t="shared" si="0"/>
        <v>1.5929614216597191E-4</v>
      </c>
    </row>
    <row r="17" spans="1:18">
      <c r="A17" s="1" t="s">
        <v>4</v>
      </c>
      <c r="B17" s="5">
        <v>1116.2914564109492</v>
      </c>
      <c r="C17" s="8">
        <f t="shared" si="0"/>
        <v>5.6242841570359239E-5</v>
      </c>
    </row>
    <row r="18" spans="1:18">
      <c r="A18" s="1" t="s">
        <v>188</v>
      </c>
      <c r="B18" s="62">
        <v>225054.28161539763</v>
      </c>
      <c r="C18" s="8">
        <f t="shared" si="0"/>
        <v>1.1339056868107072E-2</v>
      </c>
    </row>
    <row r="19" spans="1:18">
      <c r="A19"/>
      <c r="B19" s="6">
        <f>SUM(B10:B18)</f>
        <v>19847707.285814848</v>
      </c>
      <c r="C19" s="8">
        <f t="shared" si="0"/>
        <v>1</v>
      </c>
    </row>
    <row r="21" spans="1:18">
      <c r="A21" s="63" t="s">
        <v>289</v>
      </c>
      <c r="B21" s="58">
        <v>2005</v>
      </c>
      <c r="C21" s="58">
        <v>2011</v>
      </c>
      <c r="D21" s="58">
        <v>2016</v>
      </c>
      <c r="K21" t="s">
        <v>2</v>
      </c>
      <c r="L21" t="s">
        <v>3</v>
      </c>
      <c r="M21" t="s">
        <v>4</v>
      </c>
      <c r="N21" t="s">
        <v>5</v>
      </c>
      <c r="O21" t="s">
        <v>6</v>
      </c>
      <c r="P21" t="s">
        <v>7</v>
      </c>
      <c r="Q21" t="s">
        <v>8</v>
      </c>
      <c r="R21" t="s">
        <v>9</v>
      </c>
    </row>
    <row r="22" spans="1:18">
      <c r="A22" s="1" t="s">
        <v>9</v>
      </c>
      <c r="B22" s="57">
        <f>$C10*C$5</f>
        <v>132.03517181812717</v>
      </c>
      <c r="C22" s="57">
        <f>$C10*D$5</f>
        <v>155.67425067300471</v>
      </c>
      <c r="D22" s="57">
        <f>$C10*E$5</f>
        <v>188.82019607670301</v>
      </c>
      <c r="I22" s="1" t="s">
        <v>9</v>
      </c>
      <c r="J22">
        <v>188.82019607670301</v>
      </c>
      <c r="K22">
        <f>J27</f>
        <v>0.10784185122566896</v>
      </c>
      <c r="L22">
        <f>J28</f>
        <v>0.21923168347071109</v>
      </c>
      <c r="M22">
        <f>J29</f>
        <v>7.7404340575928085E-2</v>
      </c>
      <c r="N22">
        <f>J26</f>
        <v>4.7148624825172632E-2</v>
      </c>
      <c r="O22">
        <f>J25</f>
        <v>0.84318740548395044</v>
      </c>
      <c r="P22">
        <f>J23</f>
        <v>643.8126915539134</v>
      </c>
      <c r="Q22">
        <f>J24</f>
        <v>526.71920426718748</v>
      </c>
      <c r="R22">
        <f>J22</f>
        <v>188.82019607670301</v>
      </c>
    </row>
    <row r="23" spans="1:18">
      <c r="A23" s="1" t="s">
        <v>7</v>
      </c>
      <c r="B23" s="57">
        <f t="shared" ref="B23:D30" si="1">$C11*C$5</f>
        <v>450.19505918466763</v>
      </c>
      <c r="C23" s="57">
        <f t="shared" si="1"/>
        <v>530.79628352208738</v>
      </c>
      <c r="D23" s="57">
        <f t="shared" si="1"/>
        <v>643.8126915539134</v>
      </c>
      <c r="I23" s="1" t="s">
        <v>7</v>
      </c>
      <c r="J23">
        <v>643.8126915539134</v>
      </c>
    </row>
    <row r="24" spans="1:18">
      <c r="A24" s="1" t="s">
        <v>8</v>
      </c>
      <c r="B24" s="57">
        <f t="shared" si="1"/>
        <v>368.31579502795552</v>
      </c>
      <c r="C24" s="57">
        <f t="shared" si="1"/>
        <v>434.25766492725626</v>
      </c>
      <c r="D24" s="57">
        <f t="shared" si="1"/>
        <v>526.71920426718748</v>
      </c>
      <c r="I24" s="1" t="s">
        <v>8</v>
      </c>
      <c r="J24">
        <v>526.71920426718748</v>
      </c>
    </row>
    <row r="25" spans="1:18">
      <c r="A25" s="1" t="s">
        <v>6</v>
      </c>
      <c r="B25" s="57">
        <f t="shared" si="1"/>
        <v>0.58961062572315803</v>
      </c>
      <c r="C25" s="57">
        <f t="shared" si="1"/>
        <v>0.69517228693220479</v>
      </c>
      <c r="D25" s="57">
        <f t="shared" si="1"/>
        <v>0.84318740548395044</v>
      </c>
      <c r="I25" s="1" t="s">
        <v>6</v>
      </c>
      <c r="J25">
        <v>0.84318740548395044</v>
      </c>
    </row>
    <row r="26" spans="1:18">
      <c r="A26" s="1" t="s">
        <v>5</v>
      </c>
      <c r="B26" s="57">
        <f t="shared" si="1"/>
        <v>3.2969337545075084E-2</v>
      </c>
      <c r="C26" s="57">
        <f t="shared" si="1"/>
        <v>3.887204331119206E-2</v>
      </c>
      <c r="D26" s="57">
        <f t="shared" si="1"/>
        <v>4.7148624825172632E-2</v>
      </c>
      <c r="I26" s="1" t="s">
        <v>5</v>
      </c>
      <c r="J26">
        <v>4.7148624825172632E-2</v>
      </c>
    </row>
    <row r="27" spans="1:18">
      <c r="A27" s="1" t="s">
        <v>2</v>
      </c>
      <c r="B27" s="57">
        <f t="shared" si="1"/>
        <v>7.5409927812922828E-2</v>
      </c>
      <c r="C27" s="57">
        <f t="shared" si="1"/>
        <v>8.8911036687653502E-2</v>
      </c>
      <c r="D27" s="57">
        <f t="shared" si="1"/>
        <v>0.10784185122566896</v>
      </c>
      <c r="I27" s="1" t="s">
        <v>2</v>
      </c>
      <c r="J27">
        <v>0.10784185122566896</v>
      </c>
    </row>
    <row r="28" spans="1:18">
      <c r="A28" s="1" t="s">
        <v>3</v>
      </c>
      <c r="B28" s="57">
        <f t="shared" si="1"/>
        <v>0.15330083114241644</v>
      </c>
      <c r="C28" s="57">
        <f t="shared" si="1"/>
        <v>0.18074723338503709</v>
      </c>
      <c r="D28" s="57">
        <f t="shared" si="1"/>
        <v>0.21923168347071109</v>
      </c>
      <c r="I28" s="1" t="s">
        <v>3</v>
      </c>
      <c r="J28">
        <v>0.21923168347071109</v>
      </c>
    </row>
    <row r="29" spans="1:18">
      <c r="A29" s="1" t="s">
        <v>4</v>
      </c>
      <c r="B29" s="57">
        <f t="shared" si="1"/>
        <v>5.4126071361878393E-2</v>
      </c>
      <c r="C29" s="57">
        <f t="shared" si="1"/>
        <v>6.3816598903968583E-2</v>
      </c>
      <c r="D29" s="57">
        <f t="shared" si="1"/>
        <v>7.7404340575928085E-2</v>
      </c>
      <c r="I29" s="1" t="s">
        <v>4</v>
      </c>
      <c r="J29">
        <v>7.7404340575928085E-2</v>
      </c>
    </row>
    <row r="30" spans="1:18">
      <c r="A30" s="1" t="s">
        <v>188</v>
      </c>
      <c r="B30" s="57">
        <f t="shared" si="1"/>
        <v>10.912297175664209</v>
      </c>
      <c r="C30" s="57">
        <f t="shared" si="1"/>
        <v>12.86599367843173</v>
      </c>
      <c r="D30" s="57">
        <f t="shared" si="1"/>
        <v>15.605403196614667</v>
      </c>
      <c r="I30" s="1" t="s">
        <v>188</v>
      </c>
      <c r="J30">
        <v>15.605403196614667</v>
      </c>
    </row>
    <row r="31" spans="1:18">
      <c r="A31" s="63" t="s">
        <v>10</v>
      </c>
      <c r="B31" s="64">
        <f>SUM(B22:B30)</f>
        <v>962.36373999999978</v>
      </c>
      <c r="C31" s="64">
        <f>SUM(C22:C30)</f>
        <v>1134.6617120000001</v>
      </c>
      <c r="D31" s="64">
        <f>SUM(D22:D30)</f>
        <v>1376.252309</v>
      </c>
      <c r="I31" s="63" t="s">
        <v>10</v>
      </c>
    </row>
    <row r="35" spans="1:2">
      <c r="A35" s="57" t="s">
        <v>2</v>
      </c>
      <c r="B35" s="57">
        <v>7.8359070150463929E-5</v>
      </c>
    </row>
    <row r="36" spans="1:2">
      <c r="A36" s="57" t="s">
        <v>7</v>
      </c>
      <c r="B36" s="57">
        <v>0.46780135251632365</v>
      </c>
    </row>
    <row r="37" spans="1:2">
      <c r="A37" s="57" t="s">
        <v>9</v>
      </c>
      <c r="B37" s="57">
        <v>0.13719882236848113</v>
      </c>
    </row>
    <row r="38" spans="1:2">
      <c r="A38" s="57" t="s">
        <v>3</v>
      </c>
      <c r="B38" s="57">
        <v>1.5929614216597191E-4</v>
      </c>
    </row>
    <row r="39" spans="1:2">
      <c r="A39" s="57" t="s">
        <v>188</v>
      </c>
      <c r="B39" s="57">
        <v>1.1339056868107072E-2</v>
      </c>
    </row>
    <row r="40" spans="1:2">
      <c r="A40" s="57" t="s">
        <v>5</v>
      </c>
      <c r="B40" s="57">
        <v>3.4258707154817664E-5</v>
      </c>
    </row>
    <row r="41" spans="1:2">
      <c r="A41" s="57" t="s">
        <v>4</v>
      </c>
      <c r="B41" s="57">
        <v>5.6242841570359239E-5</v>
      </c>
    </row>
    <row r="42" spans="1:2">
      <c r="A42" s="57" t="s">
        <v>8</v>
      </c>
      <c r="B42" s="57">
        <v>0.38271994228289974</v>
      </c>
    </row>
    <row r="43" spans="1:2">
      <c r="A43" s="57" t="s">
        <v>6</v>
      </c>
      <c r="B43" s="57">
        <v>6.1266920314678318E-4</v>
      </c>
    </row>
  </sheetData>
  <sortState xmlns:xlrd2="http://schemas.microsoft.com/office/spreadsheetml/2017/richdata2" ref="A35:B43">
    <sortCondition ref="A35:A43"/>
  </sortState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3"/>
  <dimension ref="A1:E32"/>
  <sheetViews>
    <sheetView workbookViewId="0">
      <selection activeCell="A10" sqref="A10:B18"/>
    </sheetView>
  </sheetViews>
  <sheetFormatPr defaultRowHeight="15"/>
  <cols>
    <col min="1" max="1" width="31" customWidth="1"/>
  </cols>
  <sheetData>
    <row r="1" spans="1:5">
      <c r="A1" s="57"/>
      <c r="B1" s="57"/>
      <c r="C1" s="58">
        <v>2005</v>
      </c>
      <c r="D1" s="58">
        <v>2011</v>
      </c>
      <c r="E1" s="58">
        <v>2016</v>
      </c>
    </row>
    <row r="2" spans="1:5">
      <c r="A2" s="57"/>
      <c r="B2" s="57"/>
      <c r="C2" s="57"/>
      <c r="D2" s="57"/>
      <c r="E2" s="57"/>
    </row>
    <row r="3" spans="1:5">
      <c r="A3" s="59" t="s">
        <v>81</v>
      </c>
      <c r="B3" s="57"/>
      <c r="C3" s="57"/>
      <c r="D3" s="57"/>
      <c r="E3" s="57"/>
    </row>
    <row r="4" spans="1:5">
      <c r="A4" s="59" t="s">
        <v>290</v>
      </c>
      <c r="B4" s="57"/>
      <c r="C4" s="57"/>
      <c r="D4" s="57"/>
      <c r="E4" s="57"/>
    </row>
    <row r="5" spans="1:5">
      <c r="A5" s="18" t="s">
        <v>281</v>
      </c>
      <c r="B5" s="57"/>
      <c r="C5" s="57">
        <v>343.67239999999998</v>
      </c>
      <c r="D5" s="57">
        <v>359.01099999999997</v>
      </c>
      <c r="E5" s="57">
        <v>464.85444453000002</v>
      </c>
    </row>
    <row r="8" spans="1:5">
      <c r="A8" s="58" t="s">
        <v>291</v>
      </c>
      <c r="B8" s="57"/>
    </row>
    <row r="9" spans="1:5">
      <c r="A9" s="58"/>
      <c r="B9" s="57"/>
    </row>
    <row r="10" spans="1:5">
      <c r="A10" s="58" t="s">
        <v>2</v>
      </c>
      <c r="B10" s="52">
        <v>4.8769805774434077E-3</v>
      </c>
    </row>
    <row r="11" spans="1:5">
      <c r="A11" s="58" t="s">
        <v>7</v>
      </c>
      <c r="B11" s="52">
        <v>0.10808809247210459</v>
      </c>
    </row>
    <row r="12" spans="1:5">
      <c r="A12" s="58" t="s">
        <v>9</v>
      </c>
      <c r="B12" s="52">
        <v>0.57815309826006522</v>
      </c>
    </row>
    <row r="13" spans="1:5">
      <c r="A13" s="58" t="s">
        <v>3</v>
      </c>
      <c r="B13" s="52">
        <v>5.3031905746349995E-3</v>
      </c>
    </row>
    <row r="14" spans="1:5">
      <c r="A14" s="58" t="s">
        <v>188</v>
      </c>
      <c r="B14" s="52">
        <v>0.15333848002009187</v>
      </c>
    </row>
    <row r="15" spans="1:5">
      <c r="A15" s="58" t="s">
        <v>5</v>
      </c>
      <c r="B15" s="52">
        <v>5.4407242312033552E-3</v>
      </c>
    </row>
    <row r="16" spans="1:5">
      <c r="A16" s="58" t="s">
        <v>4</v>
      </c>
      <c r="B16" s="52">
        <v>1.1995532939826241E-2</v>
      </c>
    </row>
    <row r="17" spans="1:4">
      <c r="A17" s="58" t="s">
        <v>8</v>
      </c>
      <c r="B17" s="52">
        <v>5.077590014437941E-2</v>
      </c>
    </row>
    <row r="18" spans="1:4">
      <c r="A18" s="58" t="s">
        <v>6</v>
      </c>
      <c r="B18" s="52">
        <v>8.2028000780250909E-2</v>
      </c>
    </row>
    <row r="19" spans="1:4">
      <c r="A19" s="58"/>
      <c r="B19" s="54">
        <v>1</v>
      </c>
    </row>
    <row r="22" spans="1:4">
      <c r="A22" s="1" t="s">
        <v>292</v>
      </c>
      <c r="B22" s="58">
        <v>2005</v>
      </c>
      <c r="C22" s="58">
        <v>2011</v>
      </c>
      <c r="D22" s="58">
        <v>2016</v>
      </c>
    </row>
    <row r="23" spans="1:4">
      <c r="A23" s="58" t="s">
        <v>2</v>
      </c>
      <c r="B23">
        <f>$B10*C$5</f>
        <v>1.6760836198033617</v>
      </c>
      <c r="C23">
        <f>$B10*D$5</f>
        <v>1.7508896740885351</v>
      </c>
      <c r="D23">
        <f>$B10*E$5</f>
        <v>2.2670860973110543</v>
      </c>
    </row>
    <row r="24" spans="1:4">
      <c r="A24" s="58" t="s">
        <v>7</v>
      </c>
      <c r="B24">
        <f t="shared" ref="B24:D31" si="0">$B11*C$5</f>
        <v>37.146894151310114</v>
      </c>
      <c r="C24">
        <f t="shared" si="0"/>
        <v>38.804814166502737</v>
      </c>
      <c r="D24">
        <f t="shared" si="0"/>
        <v>50.245230186427456</v>
      </c>
    </row>
    <row r="25" spans="1:4">
      <c r="A25" s="58" t="s">
        <v>9</v>
      </c>
      <c r="B25">
        <f t="shared" si="0"/>
        <v>198.69526284647242</v>
      </c>
      <c r="C25">
        <f t="shared" si="0"/>
        <v>207.56332195944427</v>
      </c>
      <c r="D25">
        <f t="shared" si="0"/>
        <v>268.75703734498114</v>
      </c>
    </row>
    <row r="26" spans="1:4">
      <c r="A26" s="58" t="s">
        <v>3</v>
      </c>
      <c r="B26">
        <f t="shared" si="0"/>
        <v>1.8225602324421892</v>
      </c>
      <c r="C26">
        <f t="shared" si="0"/>
        <v>1.9039037513902857</v>
      </c>
      <c r="D26">
        <f t="shared" si="0"/>
        <v>2.4652117088086842</v>
      </c>
    </row>
    <row r="27" spans="1:4">
      <c r="A27" s="58" t="s">
        <v>188</v>
      </c>
      <c r="B27">
        <f t="shared" si="0"/>
        <v>52.698203440857021</v>
      </c>
      <c r="C27">
        <f t="shared" si="0"/>
        <v>55.0502010504932</v>
      </c>
      <c r="D27">
        <f t="shared" si="0"/>
        <v>71.280073954814313</v>
      </c>
    </row>
    <row r="28" spans="1:4">
      <c r="A28" s="58" t="s">
        <v>5</v>
      </c>
      <c r="B28">
        <f t="shared" si="0"/>
        <v>1.8698267542758118</v>
      </c>
      <c r="C28">
        <f t="shared" si="0"/>
        <v>1.9532798469685475</v>
      </c>
      <c r="D28">
        <f t="shared" si="0"/>
        <v>2.5291448403369472</v>
      </c>
    </row>
    <row r="29" spans="1:4">
      <c r="A29" s="58" t="s">
        <v>4</v>
      </c>
      <c r="B29">
        <f t="shared" si="0"/>
        <v>4.1225335947091395</v>
      </c>
      <c r="C29">
        <f t="shared" si="0"/>
        <v>4.3065282762599582</v>
      </c>
      <c r="D29">
        <f t="shared" si="0"/>
        <v>5.5761768015842454</v>
      </c>
    </row>
    <row r="30" spans="1:4">
      <c r="A30" s="58" t="s">
        <v>8</v>
      </c>
      <c r="B30">
        <f t="shared" si="0"/>
        <v>17.450275464779217</v>
      </c>
      <c r="C30">
        <f t="shared" si="0"/>
        <v>18.229106686733793</v>
      </c>
      <c r="D30">
        <f t="shared" si="0"/>
        <v>23.603402857126238</v>
      </c>
    </row>
    <row r="31" spans="1:4">
      <c r="A31" s="58" t="s">
        <v>6</v>
      </c>
      <c r="B31">
        <f t="shared" si="0"/>
        <v>28.190759895350702</v>
      </c>
      <c r="C31">
        <f t="shared" si="0"/>
        <v>29.448954588118657</v>
      </c>
      <c r="D31">
        <f t="shared" si="0"/>
        <v>38.131080738609946</v>
      </c>
    </row>
    <row r="32" spans="1:4">
      <c r="B32" s="1">
        <f>SUM(B23:B31)</f>
        <v>343.67239999999998</v>
      </c>
      <c r="C32" s="1">
        <f>SUM(C23:C31)</f>
        <v>359.01100000000002</v>
      </c>
      <c r="D32" s="1">
        <f>SUM(D23:D31)</f>
        <v>464.85444453000008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4"/>
  <dimension ref="A1:K33"/>
  <sheetViews>
    <sheetView workbookViewId="0">
      <selection activeCell="C11" sqref="C11:C19"/>
    </sheetView>
  </sheetViews>
  <sheetFormatPr defaultRowHeight="15"/>
  <cols>
    <col min="1" max="1" width="31.85546875" customWidth="1"/>
    <col min="2" max="2" width="10.7109375" customWidth="1"/>
    <col min="6" max="6" width="16.5703125" customWidth="1"/>
  </cols>
  <sheetData>
    <row r="1" spans="1:5">
      <c r="A1" s="57"/>
      <c r="B1" s="57"/>
      <c r="C1" s="58">
        <v>2005</v>
      </c>
      <c r="D1" s="58">
        <v>2011</v>
      </c>
      <c r="E1" s="58">
        <v>2016</v>
      </c>
    </row>
    <row r="2" spans="1:5">
      <c r="A2" s="57"/>
      <c r="B2" s="57"/>
      <c r="C2" s="57"/>
      <c r="D2" s="57"/>
      <c r="E2" s="57"/>
    </row>
    <row r="3" spans="1:5">
      <c r="A3" s="59" t="s">
        <v>293</v>
      </c>
      <c r="B3" s="57"/>
      <c r="C3" s="57"/>
      <c r="D3" s="57"/>
      <c r="E3" s="57"/>
    </row>
    <row r="4" spans="1:5">
      <c r="A4" s="59" t="s">
        <v>290</v>
      </c>
      <c r="B4" s="57"/>
      <c r="C4" s="57"/>
      <c r="D4" s="57"/>
      <c r="E4" s="57"/>
    </row>
    <row r="5" spans="1:5">
      <c r="A5" s="18" t="s">
        <v>213</v>
      </c>
      <c r="B5" s="57"/>
      <c r="C5" s="57">
        <v>4717.1049999999996</v>
      </c>
      <c r="D5" s="57">
        <v>6425.42</v>
      </c>
      <c r="E5" s="57">
        <v>7981.4856245399997</v>
      </c>
    </row>
    <row r="6" spans="1:5">
      <c r="A6" s="18" t="s">
        <v>220</v>
      </c>
      <c r="B6" s="57"/>
      <c r="C6" s="60">
        <v>0</v>
      </c>
      <c r="D6" s="57">
        <v>543.64885500000003</v>
      </c>
      <c r="E6" s="57">
        <v>717.36799999999994</v>
      </c>
    </row>
    <row r="10" spans="1:5">
      <c r="A10" s="1" t="s">
        <v>294</v>
      </c>
    </row>
    <row r="11" spans="1:5">
      <c r="A11" s="1" t="s">
        <v>2</v>
      </c>
      <c r="B11" s="5">
        <v>19810.657721495401</v>
      </c>
      <c r="C11" s="7">
        <v>1.9403505774421503E-3</v>
      </c>
    </row>
    <row r="12" spans="1:5">
      <c r="A12" s="1" t="s">
        <v>7</v>
      </c>
      <c r="B12" s="5">
        <v>161606.94063756056</v>
      </c>
      <c r="C12" s="7">
        <v>1.5828556779541387E-2</v>
      </c>
    </row>
    <row r="13" spans="1:5">
      <c r="A13" s="1" t="s">
        <v>9</v>
      </c>
      <c r="B13" s="5">
        <v>9476513.9192625731</v>
      </c>
      <c r="C13" s="7">
        <v>0.9281751022041137</v>
      </c>
    </row>
    <row r="14" spans="1:5">
      <c r="A14" s="1" t="s">
        <v>3</v>
      </c>
      <c r="B14" s="5">
        <v>11811.245205092437</v>
      </c>
      <c r="C14" s="7">
        <v>1.1568498520442855E-3</v>
      </c>
    </row>
    <row r="15" spans="1:5">
      <c r="A15" s="1" t="s">
        <v>188</v>
      </c>
      <c r="B15" s="5">
        <v>314696.03408168262</v>
      </c>
      <c r="C15" s="7">
        <v>3.0822834861590601E-2</v>
      </c>
    </row>
    <row r="16" spans="1:5">
      <c r="A16" s="1" t="s">
        <v>5</v>
      </c>
      <c r="B16" s="5">
        <v>3919.831754835941</v>
      </c>
      <c r="C16" s="7">
        <v>3.8392707177608388E-4</v>
      </c>
    </row>
    <row r="17" spans="1:11">
      <c r="A17" s="1" t="s">
        <v>4</v>
      </c>
      <c r="B17" s="5">
        <v>14079.263453550951</v>
      </c>
      <c r="C17" s="7">
        <v>1.3789904078962405E-3</v>
      </c>
    </row>
    <row r="18" spans="1:11">
      <c r="A18" s="1" t="s">
        <v>8</v>
      </c>
      <c r="B18" s="5">
        <v>93019.797272929805</v>
      </c>
      <c r="C18" s="7">
        <v>9.1108038859427018E-3</v>
      </c>
    </row>
    <row r="19" spans="1:11">
      <c r="A19" s="1" t="s">
        <v>6</v>
      </c>
      <c r="B19" s="5">
        <v>114376.52913104936</v>
      </c>
      <c r="C19" s="7">
        <v>1.1202584359652861E-2</v>
      </c>
    </row>
    <row r="20" spans="1:11">
      <c r="A20" s="1" t="s">
        <v>10</v>
      </c>
      <c r="B20" s="5">
        <v>10209834.21852077</v>
      </c>
      <c r="C20" s="7">
        <v>1</v>
      </c>
    </row>
    <row r="23" spans="1:11">
      <c r="A23" s="1" t="s">
        <v>221</v>
      </c>
      <c r="B23" s="58">
        <v>2005</v>
      </c>
      <c r="C23" s="58">
        <v>2011</v>
      </c>
      <c r="D23" s="58">
        <v>2016</v>
      </c>
      <c r="F23" s="1" t="s">
        <v>222</v>
      </c>
      <c r="G23" s="58">
        <v>2005</v>
      </c>
      <c r="H23" s="58">
        <v>2011</v>
      </c>
      <c r="I23" s="58">
        <v>2016</v>
      </c>
    </row>
    <row r="24" spans="1:11">
      <c r="A24" s="1" t="s">
        <v>2</v>
      </c>
      <c r="B24">
        <f>$C11*C$5</f>
        <v>9.1528374106052528</v>
      </c>
      <c r="C24">
        <f>$C11*D$5</f>
        <v>12.467567407308341</v>
      </c>
      <c r="D24">
        <f>$C11*E$5</f>
        <v>15.48688024042241</v>
      </c>
      <c r="F24" s="1" t="s">
        <v>2</v>
      </c>
      <c r="G24">
        <f>$C11*C$6</f>
        <v>0</v>
      </c>
      <c r="H24">
        <f t="shared" ref="H24:I32" si="0">$C11*D$6</f>
        <v>1.0548693697250138</v>
      </c>
      <c r="I24">
        <f t="shared" si="0"/>
        <v>1.3919454130385203</v>
      </c>
      <c r="K24" s="1"/>
    </row>
    <row r="25" spans="1:11">
      <c r="A25" s="1" t="s">
        <v>7</v>
      </c>
      <c r="B25">
        <f t="shared" ref="B25:D32" si="1">$C12*C$5</f>
        <v>74.664964327558565</v>
      </c>
      <c r="C25">
        <f t="shared" si="1"/>
        <v>101.70512530240082</v>
      </c>
      <c r="D25">
        <f t="shared" si="1"/>
        <v>126.33539839312473</v>
      </c>
      <c r="F25" s="1" t="s">
        <v>7</v>
      </c>
      <c r="G25">
        <f t="shared" ref="G25:G32" si="2">$C12*C$6</f>
        <v>0</v>
      </c>
      <c r="H25">
        <f t="shared" si="0"/>
        <v>8.6051767695001633</v>
      </c>
      <c r="I25">
        <f t="shared" si="0"/>
        <v>11.354900119826045</v>
      </c>
      <c r="K25" s="1"/>
    </row>
    <row r="26" spans="1:11">
      <c r="A26" s="1" t="s">
        <v>9</v>
      </c>
      <c r="B26">
        <f t="shared" si="1"/>
        <v>4378.2994154825356</v>
      </c>
      <c r="C26">
        <f t="shared" si="1"/>
        <v>5963.9148652043559</v>
      </c>
      <c r="D26">
        <f t="shared" si="1"/>
        <v>7408.2162352980786</v>
      </c>
      <c r="F26" s="1" t="s">
        <v>9</v>
      </c>
      <c r="G26">
        <f t="shared" si="2"/>
        <v>0</v>
      </c>
      <c r="H26">
        <f t="shared" si="0"/>
        <v>504.60133155277441</v>
      </c>
      <c r="I26">
        <f t="shared" si="0"/>
        <v>665.84311671796058</v>
      </c>
      <c r="K26" s="1"/>
    </row>
    <row r="27" spans="1:11">
      <c r="A27" s="1" t="s">
        <v>3</v>
      </c>
      <c r="B27">
        <f t="shared" si="1"/>
        <v>5.4569822213273591</v>
      </c>
      <c r="C27">
        <f t="shared" si="1"/>
        <v>7.4332461763223936</v>
      </c>
      <c r="D27">
        <f t="shared" si="1"/>
        <v>9.2333804638426908</v>
      </c>
      <c r="F27" s="1" t="s">
        <v>3</v>
      </c>
      <c r="G27">
        <f t="shared" si="2"/>
        <v>0</v>
      </c>
      <c r="H27">
        <f t="shared" si="0"/>
        <v>0.62892009747079525</v>
      </c>
      <c r="I27">
        <f t="shared" si="0"/>
        <v>0.82988706466130491</v>
      </c>
      <c r="K27" s="1"/>
    </row>
    <row r="28" spans="1:11">
      <c r="A28" s="1" t="s">
        <v>188</v>
      </c>
      <c r="B28">
        <f t="shared" si="1"/>
        <v>145.39454843978331</v>
      </c>
      <c r="C28">
        <f t="shared" si="1"/>
        <v>198.04965957636148</v>
      </c>
      <c r="D28">
        <f t="shared" si="1"/>
        <v>246.01201335535575</v>
      </c>
      <c r="F28" s="1" t="s">
        <v>188</v>
      </c>
      <c r="G28">
        <f t="shared" si="2"/>
        <v>0</v>
      </c>
      <c r="H28">
        <f t="shared" si="0"/>
        <v>16.756798880357813</v>
      </c>
      <c r="I28">
        <f t="shared" si="0"/>
        <v>22.111315398989525</v>
      </c>
      <c r="K28" s="1"/>
    </row>
    <row r="29" spans="1:11">
      <c r="A29" s="1" t="s">
        <v>5</v>
      </c>
      <c r="B29">
        <f t="shared" si="1"/>
        <v>1.811024309910324</v>
      </c>
      <c r="C29">
        <f t="shared" si="1"/>
        <v>2.466892685531485</v>
      </c>
      <c r="D29">
        <f t="shared" si="1"/>
        <v>3.0643084042525501</v>
      </c>
      <c r="F29" s="1" t="s">
        <v>5</v>
      </c>
      <c r="G29">
        <f t="shared" si="2"/>
        <v>0</v>
      </c>
      <c r="H29">
        <f t="shared" si="0"/>
        <v>0.20872151297457084</v>
      </c>
      <c r="I29">
        <f t="shared" si="0"/>
        <v>0.27541699562586575</v>
      </c>
      <c r="K29" s="1"/>
    </row>
    <row r="30" spans="1:11">
      <c r="A30" s="1" t="s">
        <v>4</v>
      </c>
      <c r="B30">
        <f t="shared" si="1"/>
        <v>6.5048425480393952</v>
      </c>
      <c r="C30">
        <f t="shared" si="1"/>
        <v>8.8605925467046625</v>
      </c>
      <c r="D30">
        <f t="shared" si="1"/>
        <v>11.006392117002394</v>
      </c>
      <c r="F30" s="1" t="s">
        <v>4</v>
      </c>
      <c r="G30">
        <f t="shared" si="2"/>
        <v>0</v>
      </c>
      <c r="H30">
        <f t="shared" si="0"/>
        <v>0.74968655630877412</v>
      </c>
      <c r="I30">
        <f t="shared" si="0"/>
        <v>0.98924359093171021</v>
      </c>
      <c r="K30" s="1"/>
    </row>
    <row r="31" spans="1:11">
      <c r="A31" s="1" t="s">
        <v>8</v>
      </c>
      <c r="B31">
        <f t="shared" si="1"/>
        <v>42.976618564399743</v>
      </c>
      <c r="C31">
        <f t="shared" si="1"/>
        <v>58.540741504813958</v>
      </c>
      <c r="D31">
        <f t="shared" si="1"/>
        <v>72.717750243654848</v>
      </c>
      <c r="F31" s="1" t="s">
        <v>8</v>
      </c>
      <c r="G31">
        <f t="shared" si="2"/>
        <v>0</v>
      </c>
      <c r="H31">
        <f t="shared" si="0"/>
        <v>4.9530781007223004</v>
      </c>
      <c r="I31">
        <f t="shared" si="0"/>
        <v>6.5357991620509432</v>
      </c>
      <c r="K31" s="1"/>
    </row>
    <row r="32" spans="1:11">
      <c r="A32" s="1" t="s">
        <v>6</v>
      </c>
      <c r="B32">
        <f t="shared" si="1"/>
        <v>52.843766695840301</v>
      </c>
      <c r="C32">
        <f t="shared" si="1"/>
        <v>71.981309596200688</v>
      </c>
      <c r="D32">
        <f t="shared" si="1"/>
        <v>89.413266024265951</v>
      </c>
      <c r="F32" s="1" t="s">
        <v>6</v>
      </c>
      <c r="G32">
        <f t="shared" si="2"/>
        <v>0</v>
      </c>
      <c r="H32">
        <f t="shared" si="0"/>
        <v>6.0902721601661867</v>
      </c>
      <c r="I32">
        <f t="shared" si="0"/>
        <v>8.0363755369154521</v>
      </c>
      <c r="K32" s="1"/>
    </row>
    <row r="33" spans="1:9">
      <c r="A33" s="1" t="s">
        <v>10</v>
      </c>
      <c r="B33" s="1">
        <f>SUM(B24:B32)</f>
        <v>4717.1049999999996</v>
      </c>
      <c r="C33" s="1">
        <f>SUM(C24:C32)</f>
        <v>6425.4199999999992</v>
      </c>
      <c r="D33" s="1">
        <f>SUM(D24:D32)</f>
        <v>7981.4856245399997</v>
      </c>
      <c r="F33" s="1" t="s">
        <v>10</v>
      </c>
      <c r="G33" s="1">
        <f>SUM(G24:G32)</f>
        <v>0</v>
      </c>
      <c r="H33" s="1">
        <f>SUM(H24:H32)</f>
        <v>543.64885499999991</v>
      </c>
      <c r="I33" s="1">
        <f>SUM(I24:I32)</f>
        <v>717.36799999999982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5"/>
  <dimension ref="A1:T80"/>
  <sheetViews>
    <sheetView topLeftCell="A40" workbookViewId="0">
      <selection activeCell="M54" sqref="M54:T54"/>
    </sheetView>
  </sheetViews>
  <sheetFormatPr defaultRowHeight="15"/>
  <cols>
    <col min="1" max="1" width="57.28515625" customWidth="1"/>
    <col min="2" max="2" width="10.140625" customWidth="1"/>
    <col min="3" max="3" width="10" customWidth="1"/>
    <col min="4" max="4" width="10.140625" customWidth="1"/>
    <col min="5" max="5" width="6.42578125" customWidth="1"/>
    <col min="6" max="6" width="28.7109375" customWidth="1"/>
    <col min="7" max="7" width="11" customWidth="1"/>
  </cols>
  <sheetData>
    <row r="1" spans="1:4">
      <c r="A1" t="s">
        <v>295</v>
      </c>
      <c r="B1" s="9">
        <v>2005</v>
      </c>
      <c r="C1" s="9">
        <v>2011</v>
      </c>
      <c r="D1" s="9">
        <v>2016</v>
      </c>
    </row>
    <row r="2" spans="1:4">
      <c r="A2" t="s">
        <v>296</v>
      </c>
      <c r="B2" s="5">
        <v>750993</v>
      </c>
      <c r="C2" s="5">
        <v>960157.29162999999</v>
      </c>
      <c r="D2" s="5">
        <v>1214081.2334730001</v>
      </c>
    </row>
    <row r="3" spans="1:4">
      <c r="A3" t="s">
        <v>297</v>
      </c>
      <c r="B3" s="5">
        <v>9860.8026099999988</v>
      </c>
      <c r="C3" s="5">
        <v>11962.980240000001</v>
      </c>
      <c r="D3" s="5">
        <v>14222.220170000002</v>
      </c>
    </row>
    <row r="4" spans="1:4">
      <c r="A4" t="s">
        <v>298</v>
      </c>
      <c r="B4" s="6">
        <v>760853.80261000001</v>
      </c>
      <c r="C4" s="6">
        <v>972120.27186999994</v>
      </c>
      <c r="D4" s="6">
        <v>1228303.4536430002</v>
      </c>
    </row>
    <row r="5" spans="1:4">
      <c r="B5" s="5"/>
      <c r="C5" s="5"/>
      <c r="D5" s="5"/>
    </row>
    <row r="6" spans="1:4">
      <c r="A6" s="1" t="s">
        <v>299</v>
      </c>
      <c r="B6" s="5"/>
      <c r="C6" s="5"/>
      <c r="D6" s="5"/>
    </row>
    <row r="7" spans="1:4">
      <c r="A7" t="s">
        <v>300</v>
      </c>
      <c r="B7" s="5">
        <v>77365.995266945494</v>
      </c>
      <c r="C7" s="5">
        <v>107896.45092697236</v>
      </c>
      <c r="D7" s="5">
        <v>120664.56186286994</v>
      </c>
    </row>
    <row r="8" spans="1:4">
      <c r="A8" t="s">
        <v>301</v>
      </c>
      <c r="B8" s="5">
        <v>203893.14296027899</v>
      </c>
      <c r="C8" s="5">
        <v>237505.70785336179</v>
      </c>
      <c r="D8" s="5">
        <v>268687.99341469759</v>
      </c>
    </row>
    <row r="9" spans="1:4">
      <c r="A9" t="s">
        <v>302</v>
      </c>
      <c r="B9" s="5">
        <v>26052.990114100001</v>
      </c>
      <c r="C9" s="5">
        <v>39540.983994400005</v>
      </c>
      <c r="D9" s="5">
        <v>37122.888337700002</v>
      </c>
    </row>
    <row r="10" spans="1:4">
      <c r="A10" t="s">
        <v>303</v>
      </c>
      <c r="B10" s="5">
        <v>4858.8124958999979</v>
      </c>
      <c r="C10" s="5">
        <v>11552.996245599999</v>
      </c>
      <c r="D10" s="5">
        <v>8841.3318322999985</v>
      </c>
    </row>
    <row r="11" spans="1:4">
      <c r="A11" t="s">
        <v>304</v>
      </c>
      <c r="B11" s="5">
        <v>120540.30473305454</v>
      </c>
      <c r="C11" s="5">
        <v>173824.76555002766</v>
      </c>
      <c r="D11" s="5">
        <v>238874.62166213</v>
      </c>
    </row>
    <row r="12" spans="1:4">
      <c r="A12" t="s">
        <v>305</v>
      </c>
      <c r="B12" s="5">
        <v>328142.55703972094</v>
      </c>
      <c r="C12" s="5">
        <v>401799.36729963816</v>
      </c>
      <c r="D12" s="5">
        <v>554112.0565333023</v>
      </c>
    </row>
    <row r="15" spans="1:4">
      <c r="A15" s="1" t="s">
        <v>306</v>
      </c>
    </row>
    <row r="17" spans="1:13">
      <c r="A17" s="1" t="s">
        <v>198</v>
      </c>
      <c r="B17" s="9" t="s">
        <v>307</v>
      </c>
      <c r="C17" s="9" t="s">
        <v>308</v>
      </c>
    </row>
    <row r="18" spans="1:13">
      <c r="A18" t="s">
        <v>201</v>
      </c>
      <c r="B18">
        <v>0</v>
      </c>
      <c r="C18">
        <v>0</v>
      </c>
    </row>
    <row r="19" spans="1:13">
      <c r="A19" t="s">
        <v>202</v>
      </c>
      <c r="B19">
        <v>0</v>
      </c>
      <c r="C19">
        <v>0</v>
      </c>
    </row>
    <row r="20" spans="1:13">
      <c r="A20" t="s">
        <v>203</v>
      </c>
      <c r="B20">
        <v>0</v>
      </c>
      <c r="C20">
        <v>0</v>
      </c>
    </row>
    <row r="21" spans="1:13">
      <c r="A21" t="s">
        <v>204</v>
      </c>
      <c r="B21">
        <v>0</v>
      </c>
      <c r="C21">
        <v>0</v>
      </c>
    </row>
    <row r="22" spans="1:13">
      <c r="A22" t="s">
        <v>205</v>
      </c>
      <c r="B22">
        <v>0</v>
      </c>
      <c r="C22">
        <v>0</v>
      </c>
    </row>
    <row r="23" spans="1:13">
      <c r="A23" t="s">
        <v>206</v>
      </c>
      <c r="B23">
        <v>288</v>
      </c>
      <c r="C23">
        <v>4420</v>
      </c>
    </row>
    <row r="24" spans="1:13">
      <c r="A24" t="s">
        <v>207</v>
      </c>
      <c r="B24">
        <v>13297</v>
      </c>
      <c r="C24">
        <v>0</v>
      </c>
    </row>
    <row r="25" spans="1:13">
      <c r="A25" s="1" t="s">
        <v>208</v>
      </c>
      <c r="B25" s="1">
        <v>13585</v>
      </c>
      <c r="C25" s="1">
        <v>4420</v>
      </c>
    </row>
    <row r="27" spans="1:13">
      <c r="A27" s="1" t="s">
        <v>309</v>
      </c>
      <c r="B27" s="9">
        <v>2005</v>
      </c>
      <c r="C27" s="9">
        <v>2011</v>
      </c>
      <c r="D27" s="9">
        <v>2016</v>
      </c>
    </row>
    <row r="28" spans="1:13">
      <c r="H28" s="9">
        <v>2005</v>
      </c>
      <c r="I28" s="9">
        <v>2011</v>
      </c>
      <c r="J28" s="9">
        <v>2016</v>
      </c>
    </row>
    <row r="29" spans="1:13">
      <c r="A29" t="s">
        <v>2</v>
      </c>
      <c r="B29" s="182"/>
      <c r="C29" s="182"/>
      <c r="D29" s="182"/>
      <c r="G29" t="s">
        <v>2</v>
      </c>
      <c r="H29">
        <v>0</v>
      </c>
      <c r="I29">
        <v>0</v>
      </c>
      <c r="J29">
        <v>0</v>
      </c>
      <c r="L29" t="s">
        <v>2</v>
      </c>
      <c r="M29">
        <v>0</v>
      </c>
    </row>
    <row r="30" spans="1:13">
      <c r="A30" t="s">
        <v>3</v>
      </c>
      <c r="B30" s="182">
        <f>(($B24/$B25)*B9 + ($C24/$C25)*B10)/1000</f>
        <v>25.500670559233544</v>
      </c>
      <c r="C30" s="182">
        <f>(($B24/$B25)*C9 + ($C24/$C25)*C10)/1000</f>
        <v>38.702720954989836</v>
      </c>
      <c r="D30" s="182">
        <f>(($B24/$B25)*D9 + ($C24/$C25)*D10)/1000</f>
        <v>36.33588857021693</v>
      </c>
      <c r="G30" t="s">
        <v>3</v>
      </c>
      <c r="H30">
        <f>B30/B37</f>
        <v>0.82494932052212488</v>
      </c>
      <c r="I30">
        <f>C30/C37</f>
        <v>0.75748103344453466</v>
      </c>
      <c r="J30">
        <f>D30/D37</f>
        <v>0.79052550953388501</v>
      </c>
      <c r="L30" t="s">
        <v>7</v>
      </c>
      <c r="M30">
        <v>0</v>
      </c>
    </row>
    <row r="31" spans="1:13">
      <c r="A31" t="s">
        <v>4</v>
      </c>
      <c r="B31" s="182">
        <f>(($B23/$B25)*B9 + ($C23/$C25)*B10)/1000</f>
        <v>5.4111320507664535</v>
      </c>
      <c r="C31" s="182">
        <f>(($B23/$B25)*C9 + ($C23/$C25)*C10)/1000</f>
        <v>12.391259285010172</v>
      </c>
      <c r="D31" s="182">
        <f>(($B23/$B25)*D9 + ($C23/$C25)*D10)/1000</f>
        <v>9.6283315997830758</v>
      </c>
      <c r="G31" t="s">
        <v>4</v>
      </c>
      <c r="H31">
        <f>B31/B37</f>
        <v>0.17505067947787512</v>
      </c>
      <c r="I31">
        <f>C31/C37</f>
        <v>0.2425189665554654</v>
      </c>
      <c r="J31">
        <f>D31/D37</f>
        <v>0.20947449046611499</v>
      </c>
      <c r="L31" t="s">
        <v>9</v>
      </c>
      <c r="M31">
        <v>0</v>
      </c>
    </row>
    <row r="32" spans="1:13">
      <c r="A32" t="s">
        <v>5</v>
      </c>
      <c r="B32" s="182"/>
      <c r="C32" s="182"/>
      <c r="D32" s="182"/>
      <c r="G32" t="s">
        <v>5</v>
      </c>
      <c r="H32">
        <v>0</v>
      </c>
      <c r="I32">
        <v>0</v>
      </c>
      <c r="J32">
        <v>0</v>
      </c>
      <c r="L32" t="s">
        <v>3</v>
      </c>
      <c r="M32">
        <v>0.79052550953388501</v>
      </c>
    </row>
    <row r="33" spans="1:13">
      <c r="A33" t="s">
        <v>6</v>
      </c>
      <c r="B33" s="182"/>
      <c r="C33" s="182"/>
      <c r="D33" s="182"/>
      <c r="G33" t="s">
        <v>6</v>
      </c>
      <c r="H33">
        <v>0</v>
      </c>
      <c r="I33">
        <v>0</v>
      </c>
      <c r="J33">
        <v>0</v>
      </c>
      <c r="L33" t="s">
        <v>188</v>
      </c>
      <c r="M33">
        <v>0</v>
      </c>
    </row>
    <row r="34" spans="1:13">
      <c r="A34" t="s">
        <v>7</v>
      </c>
      <c r="B34" s="182"/>
      <c r="C34" s="182"/>
      <c r="D34" s="182"/>
      <c r="G34" t="s">
        <v>7</v>
      </c>
      <c r="H34">
        <v>0</v>
      </c>
      <c r="I34">
        <v>0</v>
      </c>
      <c r="J34">
        <v>0</v>
      </c>
      <c r="L34" t="s">
        <v>5</v>
      </c>
      <c r="M34">
        <v>0</v>
      </c>
    </row>
    <row r="35" spans="1:13">
      <c r="A35" t="s">
        <v>8</v>
      </c>
      <c r="B35" s="182"/>
      <c r="C35" s="182"/>
      <c r="D35" s="182"/>
      <c r="G35" t="s">
        <v>8</v>
      </c>
      <c r="H35">
        <v>0</v>
      </c>
      <c r="I35">
        <v>0</v>
      </c>
      <c r="J35">
        <v>0</v>
      </c>
      <c r="L35" t="s">
        <v>4</v>
      </c>
      <c r="M35">
        <v>0.20947449046611499</v>
      </c>
    </row>
    <row r="36" spans="1:13">
      <c r="A36" t="s">
        <v>9</v>
      </c>
      <c r="B36" s="182"/>
      <c r="C36" s="182"/>
      <c r="D36" s="182"/>
      <c r="G36" t="s">
        <v>9</v>
      </c>
      <c r="H36">
        <v>0</v>
      </c>
      <c r="I36">
        <v>0</v>
      </c>
      <c r="J36">
        <v>0</v>
      </c>
      <c r="L36" t="s">
        <v>8</v>
      </c>
      <c r="M36">
        <v>0</v>
      </c>
    </row>
    <row r="37" spans="1:13">
      <c r="A37" s="1" t="s">
        <v>310</v>
      </c>
      <c r="B37" s="40">
        <f>SUM(B29:B36)</f>
        <v>30.911802609999999</v>
      </c>
      <c r="C37" s="40">
        <f>SUM(C29:C36)</f>
        <v>51.093980240000008</v>
      </c>
      <c r="D37" s="40">
        <f>SUM(D29:D36)</f>
        <v>45.964220170000004</v>
      </c>
      <c r="G37" t="s">
        <v>188</v>
      </c>
      <c r="H37">
        <v>0</v>
      </c>
      <c r="I37">
        <v>0</v>
      </c>
      <c r="J37">
        <v>0</v>
      </c>
      <c r="L37" t="s">
        <v>6</v>
      </c>
      <c r="M37">
        <v>0</v>
      </c>
    </row>
    <row r="40" spans="1:13">
      <c r="A40" s="1" t="s">
        <v>311</v>
      </c>
      <c r="F40" s="1" t="s">
        <v>311</v>
      </c>
    </row>
    <row r="41" spans="1:13">
      <c r="F41" t="s">
        <v>312</v>
      </c>
    </row>
    <row r="42" spans="1:13">
      <c r="A42" s="36" t="s">
        <v>9</v>
      </c>
      <c r="B42" s="5">
        <v>2419869.0717405663</v>
      </c>
      <c r="C42" s="8">
        <f>B42/$B$51</f>
        <v>0.13353849195079934</v>
      </c>
      <c r="F42" s="36" t="s">
        <v>9</v>
      </c>
      <c r="G42" s="5">
        <v>2419869.0717405663</v>
      </c>
      <c r="H42" s="8">
        <f t="shared" ref="H42:H49" si="0">G42/$G$50</f>
        <v>0.21160902414709964</v>
      </c>
    </row>
    <row r="43" spans="1:13">
      <c r="A43" s="36" t="s">
        <v>7</v>
      </c>
      <c r="B43" s="5">
        <v>15804.321535085226</v>
      </c>
      <c r="C43" s="8">
        <f t="shared" ref="C43:C51" si="1">B43/$B$51</f>
        <v>8.7214853429354777E-4</v>
      </c>
      <c r="F43" s="36" t="s">
        <v>7</v>
      </c>
      <c r="G43" s="5">
        <v>15804.321535085226</v>
      </c>
      <c r="H43" s="8">
        <f t="shared" si="0"/>
        <v>1.382032233231882E-3</v>
      </c>
    </row>
    <row r="44" spans="1:13">
      <c r="A44" s="36" t="s">
        <v>8</v>
      </c>
      <c r="B44" s="5">
        <v>4060.728832973733</v>
      </c>
      <c r="C44" s="8">
        <f t="shared" si="1"/>
        <v>2.2408799339974274E-4</v>
      </c>
      <c r="F44" s="36" t="s">
        <v>8</v>
      </c>
      <c r="G44" s="5">
        <v>4060.728832973733</v>
      </c>
      <c r="H44" s="8">
        <f t="shared" si="0"/>
        <v>3.5509642885492705E-4</v>
      </c>
    </row>
    <row r="45" spans="1:13">
      <c r="A45" s="36" t="s">
        <v>6</v>
      </c>
      <c r="B45" s="5">
        <v>6320398.40659298</v>
      </c>
      <c r="C45" s="8">
        <f t="shared" si="1"/>
        <v>0.34878600730971632</v>
      </c>
      <c r="F45" s="36" t="s">
        <v>6</v>
      </c>
      <c r="G45" s="5">
        <v>6320398.40659298</v>
      </c>
      <c r="H45" s="8">
        <f t="shared" si="0"/>
        <v>0.55269657133888606</v>
      </c>
    </row>
    <row r="46" spans="1:13">
      <c r="A46" s="36" t="s">
        <v>5</v>
      </c>
      <c r="B46" s="5">
        <v>738556.86316956813</v>
      </c>
      <c r="C46" s="8">
        <f t="shared" si="1"/>
        <v>4.0756655341124437E-2</v>
      </c>
      <c r="F46" s="36" t="s">
        <v>5</v>
      </c>
      <c r="G46" s="5">
        <v>738556.86316956813</v>
      </c>
      <c r="H46" s="8">
        <f t="shared" si="0"/>
        <v>6.4584195449897713E-2</v>
      </c>
    </row>
    <row r="47" spans="1:13">
      <c r="A47" s="36" t="s">
        <v>2</v>
      </c>
      <c r="B47" s="5">
        <v>1457273.9851500234</v>
      </c>
      <c r="C47" s="8">
        <f t="shared" si="1"/>
        <v>8.0418470820858082E-2</v>
      </c>
      <c r="F47" s="36" t="s">
        <v>2</v>
      </c>
      <c r="G47" s="5">
        <v>1457273.9851500234</v>
      </c>
      <c r="H47" s="8">
        <f t="shared" si="0"/>
        <v>0.12743347543623301</v>
      </c>
    </row>
    <row r="48" spans="1:13">
      <c r="A48" s="36" t="s">
        <v>3</v>
      </c>
      <c r="B48" s="5">
        <v>351904.86006017495</v>
      </c>
      <c r="C48" s="8">
        <f t="shared" si="1"/>
        <v>1.9419581361396453E-2</v>
      </c>
      <c r="F48" s="36" t="s">
        <v>3</v>
      </c>
      <c r="G48" s="5">
        <v>351904.86006017495</v>
      </c>
      <c r="H48" s="8">
        <f t="shared" si="0"/>
        <v>3.0772840109234964E-2</v>
      </c>
    </row>
    <row r="49" spans="1:20">
      <c r="A49" s="36" t="s">
        <v>4</v>
      </c>
      <c r="B49" s="5">
        <v>127698.28232376848</v>
      </c>
      <c r="C49" s="8">
        <f t="shared" si="1"/>
        <v>7.046925077627368E-3</v>
      </c>
      <c r="F49" s="36" t="s">
        <v>4</v>
      </c>
      <c r="G49" s="5">
        <v>127698.28232376848</v>
      </c>
      <c r="H49" s="8">
        <f t="shared" si="0"/>
        <v>1.1166764856561836E-2</v>
      </c>
    </row>
    <row r="50" spans="1:20">
      <c r="A50" s="36" t="s">
        <v>188</v>
      </c>
      <c r="B50" s="62">
        <v>6685568.7157609006</v>
      </c>
      <c r="C50" s="8">
        <f t="shared" si="1"/>
        <v>0.3689376316107848</v>
      </c>
      <c r="F50" s="1" t="s">
        <v>10</v>
      </c>
      <c r="G50" s="6">
        <f>SUM(G42:G49)</f>
        <v>11435566.51940514</v>
      </c>
      <c r="H50" s="8">
        <f>SUM(H42:H49)</f>
        <v>1</v>
      </c>
    </row>
    <row r="51" spans="1:20">
      <c r="A51" s="1" t="s">
        <v>10</v>
      </c>
      <c r="B51" s="6">
        <f>SUM(B42:B50)</f>
        <v>18121135.235166039</v>
      </c>
      <c r="C51" s="8">
        <f t="shared" si="1"/>
        <v>1</v>
      </c>
    </row>
    <row r="53" spans="1:20">
      <c r="A53" s="1" t="s">
        <v>313</v>
      </c>
      <c r="B53" s="9">
        <v>2005</v>
      </c>
      <c r="C53" s="9">
        <v>2011</v>
      </c>
      <c r="D53" s="9">
        <v>2016</v>
      </c>
      <c r="F53" s="1" t="s">
        <v>313</v>
      </c>
      <c r="M53" t="s">
        <v>2</v>
      </c>
      <c r="N53" t="s">
        <v>3</v>
      </c>
      <c r="O53" t="s">
        <v>4</v>
      </c>
      <c r="P53" t="s">
        <v>5</v>
      </c>
      <c r="Q53" t="s">
        <v>6</v>
      </c>
      <c r="R53" t="s">
        <v>7</v>
      </c>
      <c r="S53" t="s">
        <v>8</v>
      </c>
      <c r="T53" t="s">
        <v>9</v>
      </c>
    </row>
    <row r="54" spans="1:20">
      <c r="F54" t="s">
        <v>312</v>
      </c>
      <c r="K54" t="s">
        <v>9</v>
      </c>
      <c r="L54">
        <v>174.11191563768111</v>
      </c>
      <c r="M54">
        <f>L59</f>
        <v>104.85226995397973</v>
      </c>
      <c r="N54">
        <f>L60</f>
        <v>25.319894378920345</v>
      </c>
      <c r="O54">
        <f>L61</f>
        <v>9.1880146817366501</v>
      </c>
      <c r="P54">
        <f>L58</f>
        <v>53.13987924202722</v>
      </c>
      <c r="Q54">
        <f>L57</f>
        <v>454.75876650372373</v>
      </c>
      <c r="R54">
        <f>L55</f>
        <v>1.1371361905329385</v>
      </c>
      <c r="S54">
        <f>L56</f>
        <v>0.29217335939819039</v>
      </c>
      <c r="T54">
        <f>L54</f>
        <v>174.11191563768111</v>
      </c>
    </row>
    <row r="55" spans="1:20">
      <c r="A55" s="36" t="s">
        <v>9</v>
      </c>
      <c r="B55" s="181">
        <f>$C42*(B$7+B$8+B$11+B$12)/1000</f>
        <v>97.47535389155037</v>
      </c>
      <c r="C55" s="181">
        <f>$C42*(C$7+C$8+C$11+C$12)/1000</f>
        <v>122.99246203130731</v>
      </c>
      <c r="D55" s="181">
        <f>$C42*(D$7+D$8+D$11+D$12)/1000</f>
        <v>157.88779821224841</v>
      </c>
      <c r="F55" s="36" t="s">
        <v>9</v>
      </c>
      <c r="G55" s="67">
        <f>$H42*(B$8+B$12)/1000</f>
        <v>112.58355528841905</v>
      </c>
      <c r="H55" s="67">
        <f t="shared" ref="H55:I62" si="2">$H42*(C$8+C$12)/1000</f>
        <v>135.28272308541452</v>
      </c>
      <c r="I55" s="67">
        <f t="shared" si="2"/>
        <v>174.11191563768111</v>
      </c>
      <c r="K55" t="s">
        <v>7</v>
      </c>
      <c r="L55">
        <v>1.1371361905329385</v>
      </c>
    </row>
    <row r="56" spans="1:20">
      <c r="A56" s="36" t="s">
        <v>7</v>
      </c>
      <c r="B56" s="181">
        <f t="shared" ref="B56:D63" si="3">$C43*(B$7+B$8+B$11+B$12)/1000</f>
        <v>0.63661784541930078</v>
      </c>
      <c r="C56" s="181">
        <f t="shared" si="3"/>
        <v>0.80327173029092613</v>
      </c>
      <c r="D56" s="181">
        <f t="shared" si="3"/>
        <v>1.0311754295112334</v>
      </c>
      <c r="F56" s="36" t="s">
        <v>7</v>
      </c>
      <c r="G56" s="67">
        <f t="shared" ref="G56:G62" si="4">$H43*(B$8+B$12)/1000</f>
        <v>0.73529048663008756</v>
      </c>
      <c r="H56" s="67">
        <f t="shared" si="2"/>
        <v>0.88354022073017668</v>
      </c>
      <c r="I56" s="67">
        <f t="shared" si="2"/>
        <v>1.1371361905329385</v>
      </c>
      <c r="K56" t="s">
        <v>8</v>
      </c>
      <c r="L56">
        <v>0.29217335939819039</v>
      </c>
    </row>
    <row r="57" spans="1:20">
      <c r="A57" s="36" t="s">
        <v>8</v>
      </c>
      <c r="B57" s="181">
        <f t="shared" si="3"/>
        <v>0.16357123807819501</v>
      </c>
      <c r="C57" s="181">
        <f t="shared" si="3"/>
        <v>0.20639093355977298</v>
      </c>
      <c r="D57" s="181">
        <f t="shared" si="3"/>
        <v>0.26494802634675441</v>
      </c>
      <c r="F57" s="36" t="s">
        <v>8</v>
      </c>
      <c r="G57" s="67">
        <f t="shared" si="4"/>
        <v>0.18892397709333131</v>
      </c>
      <c r="H57" s="67">
        <f t="shared" si="2"/>
        <v>0.22701494913566103</v>
      </c>
      <c r="I57" s="67">
        <f t="shared" si="2"/>
        <v>0.29217335939819039</v>
      </c>
      <c r="K57" t="s">
        <v>6</v>
      </c>
      <c r="L57">
        <v>454.75876650372373</v>
      </c>
    </row>
    <row r="58" spans="1:20">
      <c r="A58" s="36" t="s">
        <v>6</v>
      </c>
      <c r="B58" s="181">
        <f t="shared" si="3"/>
        <v>254.59355574766894</v>
      </c>
      <c r="C58" s="181">
        <f t="shared" si="3"/>
        <v>321.24108288490208</v>
      </c>
      <c r="D58" s="181">
        <f t="shared" si="3"/>
        <v>412.38338052867806</v>
      </c>
      <c r="F58" s="36" t="s">
        <v>6</v>
      </c>
      <c r="G58" s="67">
        <f t="shared" si="4"/>
        <v>294.05430721988415</v>
      </c>
      <c r="H58" s="67">
        <f t="shared" si="2"/>
        <v>353.34172307661191</v>
      </c>
      <c r="I58" s="67">
        <f t="shared" si="2"/>
        <v>454.75876650372373</v>
      </c>
      <c r="K58" t="s">
        <v>5</v>
      </c>
      <c r="L58">
        <v>53.13987924202722</v>
      </c>
    </row>
    <row r="59" spans="1:20">
      <c r="A59" s="36" t="s">
        <v>5</v>
      </c>
      <c r="B59" s="181">
        <f t="shared" si="3"/>
        <v>29.749994513011053</v>
      </c>
      <c r="C59" s="181">
        <f t="shared" si="3"/>
        <v>37.537951128077879</v>
      </c>
      <c r="D59" s="181">
        <f t="shared" si="3"/>
        <v>48.188192634948301</v>
      </c>
      <c r="F59" s="36" t="s">
        <v>5</v>
      </c>
      <c r="G59" s="67">
        <f t="shared" si="4"/>
        <v>34.361097635123144</v>
      </c>
      <c r="H59" s="67">
        <f t="shared" si="2"/>
        <v>41.289003925792898</v>
      </c>
      <c r="I59" s="67">
        <f t="shared" si="2"/>
        <v>53.13987924202722</v>
      </c>
      <c r="K59" t="s">
        <v>2</v>
      </c>
      <c r="L59">
        <v>104.85226995397973</v>
      </c>
    </row>
    <row r="60" spans="1:20">
      <c r="A60" s="36" t="s">
        <v>2</v>
      </c>
      <c r="B60" s="181">
        <f t="shared" si="3"/>
        <v>58.700819427918788</v>
      </c>
      <c r="C60" s="181">
        <f t="shared" si="3"/>
        <v>74.067525958690283</v>
      </c>
      <c r="D60" s="181">
        <f t="shared" si="3"/>
        <v>95.081913147404137</v>
      </c>
      <c r="F60" s="36" t="s">
        <v>2</v>
      </c>
      <c r="G60" s="67">
        <f t="shared" si="4"/>
        <v>67.799158307149028</v>
      </c>
      <c r="H60" s="67">
        <f t="shared" si="2"/>
        <v>81.468867590768923</v>
      </c>
      <c r="I60" s="67">
        <f t="shared" si="2"/>
        <v>104.85226995397973</v>
      </c>
      <c r="K60" t="s">
        <v>3</v>
      </c>
      <c r="L60">
        <v>25.319894378920345</v>
      </c>
    </row>
    <row r="61" spans="1:20">
      <c r="A61" s="36" t="s">
        <v>3</v>
      </c>
      <c r="B61" s="181">
        <f t="shared" si="3"/>
        <v>14.17516805810045</v>
      </c>
      <c r="C61" s="181">
        <f t="shared" si="3"/>
        <v>17.88594500629404</v>
      </c>
      <c r="D61" s="181">
        <f t="shared" si="3"/>
        <v>22.960532941200032</v>
      </c>
      <c r="F61" s="36" t="s">
        <v>3</v>
      </c>
      <c r="G61" s="67">
        <f t="shared" si="4"/>
        <v>16.372249528504899</v>
      </c>
      <c r="H61" s="67">
        <f t="shared" si="2"/>
        <v>19.67323285870571</v>
      </c>
      <c r="I61" s="67">
        <f t="shared" si="2"/>
        <v>25.319894378920345</v>
      </c>
      <c r="K61" t="s">
        <v>4</v>
      </c>
      <c r="L61">
        <v>9.1880146817366501</v>
      </c>
    </row>
    <row r="62" spans="1:20">
      <c r="A62" s="36" t="s">
        <v>4</v>
      </c>
      <c r="B62" s="181">
        <f t="shared" si="3"/>
        <v>5.1438465850134758</v>
      </c>
      <c r="C62" s="181">
        <f t="shared" si="3"/>
        <v>6.4904032716415854</v>
      </c>
      <c r="D62" s="181">
        <f t="shared" si="3"/>
        <v>8.3318559946236004</v>
      </c>
      <c r="F62" s="36" t="s">
        <v>4</v>
      </c>
      <c r="G62" s="67">
        <f t="shared" si="4"/>
        <v>5.941117557196276</v>
      </c>
      <c r="H62" s="67">
        <f t="shared" si="2"/>
        <v>7.1389694458401438</v>
      </c>
      <c r="I62" s="67">
        <f t="shared" si="2"/>
        <v>9.1880146817366501</v>
      </c>
    </row>
    <row r="63" spans="1:20">
      <c r="A63" s="36" t="s">
        <v>188</v>
      </c>
      <c r="B63" s="181">
        <f t="shared" si="3"/>
        <v>269.30307269323947</v>
      </c>
      <c r="C63" s="181">
        <f t="shared" si="3"/>
        <v>339.80125868523618</v>
      </c>
      <c r="D63" s="181">
        <f>$C50*(D$7+D$8+D$11+D$12)/1000</f>
        <v>436.20943655803922</v>
      </c>
      <c r="F63" s="1" t="s">
        <v>10</v>
      </c>
      <c r="G63" s="6">
        <f>SUM(G55:G62)</f>
        <v>532.03570000000002</v>
      </c>
      <c r="H63" s="6">
        <f>SUM(H55:H62)</f>
        <v>639.30507515299996</v>
      </c>
      <c r="I63" s="6">
        <f>SUM(I55:I62)</f>
        <v>822.80004994799992</v>
      </c>
    </row>
    <row r="64" spans="1:20">
      <c r="A64" s="1" t="s">
        <v>310</v>
      </c>
      <c r="B64" s="6">
        <f>SUM(B55:B63)</f>
        <v>729.94200000000001</v>
      </c>
      <c r="C64" s="6">
        <f>SUM(C55:C63)</f>
        <v>921.02629163000029</v>
      </c>
      <c r="D64" s="6">
        <f>SUM(D55:D63)</f>
        <v>1182.3392334729999</v>
      </c>
    </row>
    <row r="66" spans="1:2">
      <c r="A66" t="s">
        <v>314</v>
      </c>
    </row>
    <row r="67" spans="1:2">
      <c r="A67" t="s">
        <v>315</v>
      </c>
    </row>
    <row r="68" spans="1:2">
      <c r="A68" t="s">
        <v>316</v>
      </c>
    </row>
    <row r="72" spans="1:2">
      <c r="A72" t="s">
        <v>2</v>
      </c>
      <c r="B72">
        <v>8.0418470820858082E-2</v>
      </c>
    </row>
    <row r="73" spans="1:2">
      <c r="A73" t="s">
        <v>7</v>
      </c>
      <c r="B73">
        <v>8.7214853429354777E-4</v>
      </c>
    </row>
    <row r="74" spans="1:2">
      <c r="A74" t="s">
        <v>9</v>
      </c>
      <c r="B74">
        <v>0.13353849195079934</v>
      </c>
    </row>
    <row r="75" spans="1:2">
      <c r="A75" t="s">
        <v>3</v>
      </c>
      <c r="B75">
        <v>1.9419581361396453E-2</v>
      </c>
    </row>
    <row r="76" spans="1:2">
      <c r="A76" t="s">
        <v>188</v>
      </c>
      <c r="B76">
        <v>0.3689376316107848</v>
      </c>
    </row>
    <row r="77" spans="1:2">
      <c r="A77" t="s">
        <v>5</v>
      </c>
      <c r="B77">
        <v>4.0756655341124437E-2</v>
      </c>
    </row>
    <row r="78" spans="1:2">
      <c r="A78" t="s">
        <v>4</v>
      </c>
      <c r="B78">
        <v>7.046925077627368E-3</v>
      </c>
    </row>
    <row r="79" spans="1:2">
      <c r="A79" t="s">
        <v>8</v>
      </c>
      <c r="B79">
        <v>2.2408799339974274E-4</v>
      </c>
    </row>
    <row r="80" spans="1:2">
      <c r="A80" t="s">
        <v>6</v>
      </c>
      <c r="B80">
        <v>0.34878600730971632</v>
      </c>
    </row>
  </sheetData>
  <sortState xmlns:xlrd2="http://schemas.microsoft.com/office/spreadsheetml/2017/richdata2" ref="L29:M37">
    <sortCondition ref="L29:L3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6"/>
  <dimension ref="A1:AF74"/>
  <sheetViews>
    <sheetView topLeftCell="A25" zoomScaleNormal="100" workbookViewId="0">
      <selection activeCell="T46" sqref="T46"/>
    </sheetView>
  </sheetViews>
  <sheetFormatPr defaultRowHeight="15"/>
  <cols>
    <col min="2" max="18" width="13.140625" customWidth="1"/>
  </cols>
  <sheetData>
    <row r="1" spans="1:12">
      <c r="A1" s="1" t="s">
        <v>317</v>
      </c>
      <c r="B1" s="1"/>
      <c r="C1" s="1"/>
      <c r="D1" s="1">
        <v>2005</v>
      </c>
      <c r="E1" s="1">
        <v>2011</v>
      </c>
      <c r="F1" s="1">
        <v>2016</v>
      </c>
      <c r="H1" t="s">
        <v>318</v>
      </c>
    </row>
    <row r="2" spans="1:12">
      <c r="A2" t="s">
        <v>319</v>
      </c>
      <c r="D2">
        <v>184.38192089999998</v>
      </c>
      <c r="E2">
        <v>216.34815643999997</v>
      </c>
      <c r="F2">
        <v>484.91009523793582</v>
      </c>
      <c r="H2" t="s">
        <v>320</v>
      </c>
    </row>
    <row r="3" spans="1:12">
      <c r="H3" t="s">
        <v>321</v>
      </c>
    </row>
    <row r="4" spans="1:12">
      <c r="H4" t="s">
        <v>322</v>
      </c>
    </row>
    <row r="5" spans="1:12">
      <c r="A5" s="9" t="s">
        <v>323</v>
      </c>
      <c r="B5" s="9" t="s">
        <v>324</v>
      </c>
      <c r="C5" s="9" t="s">
        <v>325</v>
      </c>
      <c r="D5" s="9" t="s">
        <v>326</v>
      </c>
      <c r="E5" s="9" t="s">
        <v>327</v>
      </c>
    </row>
    <row r="6" spans="1:12">
      <c r="A6">
        <v>2005</v>
      </c>
      <c r="B6" s="36" t="s">
        <v>328</v>
      </c>
      <c r="C6" s="39">
        <v>108.244</v>
      </c>
      <c r="D6" s="7">
        <f>C6/C$14</f>
        <v>1.5643157404574819E-2</v>
      </c>
      <c r="E6" s="39">
        <f>D6*E$14</f>
        <v>2.8843154111965634</v>
      </c>
      <c r="H6" t="s">
        <v>329</v>
      </c>
      <c r="J6" s="1">
        <v>2005</v>
      </c>
      <c r="K6" s="1">
        <v>2011</v>
      </c>
      <c r="L6" s="1">
        <v>2016</v>
      </c>
    </row>
    <row r="7" spans="1:12">
      <c r="A7" s="65">
        <v>2005</v>
      </c>
      <c r="B7" s="36" t="s">
        <v>220</v>
      </c>
      <c r="C7" s="39">
        <v>0</v>
      </c>
      <c r="D7" s="7">
        <f t="shared" ref="D7:D13" si="0">C7/C$14</f>
        <v>0</v>
      </c>
      <c r="E7" s="39">
        <f t="shared" ref="E7:E13" si="1">D7*E$14</f>
        <v>0</v>
      </c>
      <c r="J7">
        <f>313.913/313.094</f>
        <v>1.0026158278344524</v>
      </c>
      <c r="K7">
        <f>342.638/342.638</f>
        <v>1</v>
      </c>
      <c r="L7">
        <f>594.89011367/623.149179437936</f>
        <v>0.95465120279316595</v>
      </c>
    </row>
    <row r="8" spans="1:12">
      <c r="A8" s="65">
        <v>2005</v>
      </c>
      <c r="B8" s="36" t="s">
        <v>213</v>
      </c>
      <c r="C8" s="39">
        <v>4717.1049999999996</v>
      </c>
      <c r="D8" s="7">
        <f t="shared" si="0"/>
        <v>0.68170444559427679</v>
      </c>
      <c r="E8" s="39">
        <f t="shared" si="1"/>
        <v>125.69397516474228</v>
      </c>
    </row>
    <row r="9" spans="1:12">
      <c r="A9" s="65">
        <v>2005</v>
      </c>
      <c r="B9" s="36" t="s">
        <v>260</v>
      </c>
      <c r="C9" s="39">
        <v>27.336000000000006</v>
      </c>
      <c r="D9" s="7">
        <f t="shared" si="0"/>
        <v>3.9505316766883835E-3</v>
      </c>
      <c r="E9" s="39">
        <f t="shared" si="1"/>
        <v>0.72840661912410187</v>
      </c>
    </row>
    <row r="10" spans="1:12">
      <c r="A10" s="65">
        <v>2005</v>
      </c>
      <c r="B10" s="36" t="s">
        <v>272</v>
      </c>
      <c r="C10" s="39">
        <v>962.36374000000001</v>
      </c>
      <c r="D10" s="7">
        <f t="shared" si="0"/>
        <v>0.13907844744535786</v>
      </c>
      <c r="E10" s="39">
        <f t="shared" si="1"/>
        <v>25.643551295764777</v>
      </c>
    </row>
    <row r="11" spans="1:12">
      <c r="A11" s="65">
        <v>2005</v>
      </c>
      <c r="B11" s="36" t="s">
        <v>330</v>
      </c>
      <c r="C11" s="5">
        <f>'MNR Expenses'!B64</f>
        <v>729.94200000000001</v>
      </c>
      <c r="D11" s="7">
        <f>C11/C$14</f>
        <v>0.10548942760993822</v>
      </c>
      <c r="E11" s="39">
        <f>D11*E$14</f>
        <v>19.450343297361904</v>
      </c>
    </row>
    <row r="12" spans="1:12">
      <c r="A12" s="65">
        <v>2005</v>
      </c>
      <c r="B12" s="36" t="s">
        <v>331</v>
      </c>
      <c r="C12" s="39">
        <f>'MNR Expenses'!B37</f>
        <v>30.911802609999999</v>
      </c>
      <c r="D12" s="7">
        <f t="shared" si="0"/>
        <v>4.4672978999979367E-3</v>
      </c>
      <c r="E12" s="39">
        <f t="shared" si="1"/>
        <v>0.82368896803415559</v>
      </c>
    </row>
    <row r="13" spans="1:12">
      <c r="A13" s="65">
        <v>2005</v>
      </c>
      <c r="B13" s="36" t="s">
        <v>281</v>
      </c>
      <c r="C13" s="39">
        <v>343.67239999999998</v>
      </c>
      <c r="D13" s="7">
        <f t="shared" si="0"/>
        <v>4.9666692369165946E-2</v>
      </c>
      <c r="E13" s="39">
        <f t="shared" si="1"/>
        <v>9.1576401437761881</v>
      </c>
    </row>
    <row r="14" spans="1:12">
      <c r="A14" s="66">
        <v>2005</v>
      </c>
      <c r="B14" s="1" t="s">
        <v>10</v>
      </c>
      <c r="C14" s="40">
        <f>SUM(C6:C13)</f>
        <v>6919.5749426100001</v>
      </c>
      <c r="D14" s="8">
        <f>SUM(D6:D13)</f>
        <v>0.99999999999999978</v>
      </c>
      <c r="E14" s="40">
        <f>D2</f>
        <v>184.38192089999998</v>
      </c>
    </row>
    <row r="15" spans="1:12">
      <c r="A15" s="65"/>
      <c r="B15" s="36"/>
      <c r="C15" s="39"/>
      <c r="E15" s="39"/>
    </row>
    <row r="16" spans="1:12">
      <c r="A16">
        <v>2011</v>
      </c>
      <c r="B16" s="36" t="s">
        <v>328</v>
      </c>
      <c r="C16" s="39">
        <v>0</v>
      </c>
      <c r="D16" s="7">
        <f>C16/C$24</f>
        <v>0</v>
      </c>
      <c r="E16" s="39">
        <f>D16*E$24</f>
        <v>0</v>
      </c>
    </row>
    <row r="17" spans="1:5">
      <c r="A17" s="65">
        <v>2011</v>
      </c>
      <c r="B17" s="36" t="s">
        <v>220</v>
      </c>
      <c r="C17" s="39">
        <v>543.64885500000003</v>
      </c>
      <c r="D17" s="7">
        <f t="shared" ref="D17:D23" si="2">C17/C$24</f>
        <v>5.7419069914946365E-2</v>
      </c>
      <c r="E17" s="39">
        <f t="shared" ref="E17:E23" si="3">D17*E$24</f>
        <v>12.422509920598111</v>
      </c>
    </row>
    <row r="18" spans="1:5">
      <c r="A18" s="65">
        <v>2011</v>
      </c>
      <c r="B18" s="36" t="s">
        <v>213</v>
      </c>
      <c r="C18" s="39">
        <v>6425.42</v>
      </c>
      <c r="D18" s="7">
        <f t="shared" si="2"/>
        <v>0.67863959763677728</v>
      </c>
      <c r="E18" s="39">
        <f t="shared" si="3"/>
        <v>146.82242583590013</v>
      </c>
    </row>
    <row r="19" spans="1:5">
      <c r="A19" s="65">
        <v>2011</v>
      </c>
      <c r="B19" s="36" t="s">
        <v>260</v>
      </c>
      <c r="C19" s="39">
        <v>33.227000000000004</v>
      </c>
      <c r="D19" s="7">
        <f t="shared" si="2"/>
        <v>3.5093671558710871E-3</v>
      </c>
      <c r="E19" s="39">
        <f t="shared" si="3"/>
        <v>0.75924511444379572</v>
      </c>
    </row>
    <row r="20" spans="1:5">
      <c r="A20" s="65">
        <v>2011</v>
      </c>
      <c r="B20" s="36" t="s">
        <v>272</v>
      </c>
      <c r="C20" s="39">
        <v>1134.6617120000001</v>
      </c>
      <c r="D20" s="7">
        <f t="shared" si="2"/>
        <v>0.11984062795669963</v>
      </c>
      <c r="E20" s="39">
        <f t="shared" si="3"/>
        <v>25.927298925043885</v>
      </c>
    </row>
    <row r="21" spans="1:5">
      <c r="A21" s="65">
        <v>2011</v>
      </c>
      <c r="B21" s="36" t="s">
        <v>330</v>
      </c>
      <c r="C21" s="39">
        <f>'MNR Expenses'!C64</f>
        <v>921.02629163000029</v>
      </c>
      <c r="D21" s="7">
        <f t="shared" si="2"/>
        <v>9.727689582388023E-2</v>
      </c>
      <c r="E21" s="39">
        <f t="shared" si="3"/>
        <v>21.045677075702418</v>
      </c>
    </row>
    <row r="22" spans="1:5">
      <c r="A22" s="65">
        <v>2011</v>
      </c>
      <c r="B22" s="36" t="s">
        <v>331</v>
      </c>
      <c r="C22" s="39">
        <f>'MNR Expenses'!C37</f>
        <v>51.093980240000008</v>
      </c>
      <c r="D22" s="7">
        <f t="shared" si="2"/>
        <v>5.3964407294363722E-3</v>
      </c>
      <c r="E22" s="39">
        <f t="shared" si="3"/>
        <v>1.1675100031512877</v>
      </c>
    </row>
    <row r="23" spans="1:5">
      <c r="A23" s="65">
        <v>2011</v>
      </c>
      <c r="B23" s="36" t="s">
        <v>281</v>
      </c>
      <c r="C23" s="39">
        <v>359.01099999999997</v>
      </c>
      <c r="D23" s="7">
        <f t="shared" si="2"/>
        <v>3.7918000782388855E-2</v>
      </c>
      <c r="E23" s="39">
        <f t="shared" si="3"/>
        <v>8.2034895651603055</v>
      </c>
    </row>
    <row r="24" spans="1:5">
      <c r="A24" s="65">
        <v>2011</v>
      </c>
      <c r="B24" s="1" t="s">
        <v>10</v>
      </c>
      <c r="C24" s="40">
        <f>SUM(C16:C23)</f>
        <v>9468.0888388700023</v>
      </c>
      <c r="D24" s="8">
        <f>SUM(D16:D23)</f>
        <v>0.99999999999999978</v>
      </c>
      <c r="E24" s="40">
        <f>E2</f>
        <v>216.34815643999997</v>
      </c>
    </row>
    <row r="25" spans="1:5">
      <c r="A25" s="65"/>
      <c r="B25" s="36"/>
      <c r="C25" s="39"/>
      <c r="E25" s="39"/>
    </row>
    <row r="26" spans="1:5">
      <c r="A26">
        <v>2016</v>
      </c>
      <c r="B26" s="36" t="s">
        <v>328</v>
      </c>
      <c r="C26" s="39">
        <v>0</v>
      </c>
      <c r="D26" s="7">
        <f>C26/C$34</f>
        <v>0</v>
      </c>
      <c r="E26" s="39">
        <f>D26*E$34</f>
        <v>0</v>
      </c>
    </row>
    <row r="27" spans="1:5">
      <c r="A27" s="65">
        <v>2016</v>
      </c>
      <c r="B27" s="36" t="s">
        <v>220</v>
      </c>
      <c r="C27" s="55">
        <v>717.36799999999994</v>
      </c>
      <c r="D27" s="7">
        <f t="shared" ref="D27:D33" si="4">C27/C$34</f>
        <v>6.0628409302352006E-2</v>
      </c>
      <c r="E27" s="39">
        <f t="shared" ref="E27:E33" si="5">D27*E$34</f>
        <v>29.399327728928064</v>
      </c>
    </row>
    <row r="28" spans="1:5">
      <c r="A28" s="65">
        <v>2016</v>
      </c>
      <c r="B28" s="36" t="s">
        <v>213</v>
      </c>
      <c r="C28" s="39">
        <v>7981.4856245399997</v>
      </c>
      <c r="D28" s="7">
        <f t="shared" si="4"/>
        <v>0.67455584481807074</v>
      </c>
      <c r="E28" s="39">
        <f t="shared" si="5"/>
        <v>327.09893895403695</v>
      </c>
    </row>
    <row r="29" spans="1:5">
      <c r="A29" s="65">
        <v>2016</v>
      </c>
      <c r="B29" s="36" t="s">
        <v>260</v>
      </c>
      <c r="C29" s="39">
        <v>63.944999999999993</v>
      </c>
      <c r="D29" s="7">
        <f t="shared" si="4"/>
        <v>5.4043163799317772E-3</v>
      </c>
      <c r="E29" s="39">
        <f t="shared" si="5"/>
        <v>2.6206075704886547</v>
      </c>
    </row>
    <row r="30" spans="1:5">
      <c r="A30" s="65">
        <v>2016</v>
      </c>
      <c r="B30" s="36" t="s">
        <v>272</v>
      </c>
      <c r="C30" s="39">
        <v>1376.252309</v>
      </c>
      <c r="D30" s="7">
        <f t="shared" si="4"/>
        <v>0.1163140651567383</v>
      </c>
      <c r="E30" s="39">
        <f t="shared" si="5"/>
        <v>56.401864412665439</v>
      </c>
    </row>
    <row r="31" spans="1:5">
      <c r="A31" s="65">
        <v>2016</v>
      </c>
      <c r="B31" s="36" t="s">
        <v>330</v>
      </c>
      <c r="C31" s="39">
        <f>'MNR Expenses'!D64</f>
        <v>1182.3392334729999</v>
      </c>
      <c r="D31" s="7">
        <f t="shared" si="4"/>
        <v>9.9925487310878344E-2</v>
      </c>
      <c r="E31" s="39">
        <f t="shared" si="5"/>
        <v>48.454877568615167</v>
      </c>
    </row>
    <row r="32" spans="1:5">
      <c r="A32" s="65">
        <v>2016</v>
      </c>
      <c r="B32" s="36" t="s">
        <v>331</v>
      </c>
      <c r="C32" s="39">
        <f>'MNR Expenses'!D37</f>
        <v>45.964220170000004</v>
      </c>
      <c r="D32" s="7">
        <f t="shared" si="4"/>
        <v>3.884669449613287E-3</v>
      </c>
      <c r="E32" s="39">
        <f t="shared" si="5"/>
        <v>1.8837154327798786</v>
      </c>
    </row>
    <row r="33" spans="1:32">
      <c r="A33" s="65">
        <v>2016</v>
      </c>
      <c r="B33" s="36" t="s">
        <v>281</v>
      </c>
      <c r="C33" s="39">
        <v>464.85444453000002</v>
      </c>
      <c r="D33" s="7">
        <f t="shared" si="4"/>
        <v>3.9287207582415627E-2</v>
      </c>
      <c r="E33" s="39">
        <f t="shared" si="5"/>
        <v>19.050763570421715</v>
      </c>
    </row>
    <row r="34" spans="1:32">
      <c r="A34" s="65">
        <v>2016</v>
      </c>
      <c r="B34" s="1" t="s">
        <v>10</v>
      </c>
      <c r="C34" s="40">
        <f>SUM(C26:C33)</f>
        <v>11832.208831712998</v>
      </c>
      <c r="D34" s="8">
        <f>SUM(D26:D33)</f>
        <v>1</v>
      </c>
      <c r="E34" s="40">
        <f>F2</f>
        <v>484.91009523793582</v>
      </c>
    </row>
    <row r="35" spans="1:32">
      <c r="Y35" t="s">
        <v>2</v>
      </c>
      <c r="Z35" t="s">
        <v>3</v>
      </c>
      <c r="AA35" t="s">
        <v>4</v>
      </c>
      <c r="AB35" t="s">
        <v>5</v>
      </c>
      <c r="AC35" t="s">
        <v>6</v>
      </c>
      <c r="AD35" t="s">
        <v>7</v>
      </c>
      <c r="AE35" t="s">
        <v>8</v>
      </c>
      <c r="AF35" t="s">
        <v>9</v>
      </c>
    </row>
    <row r="36" spans="1:32" ht="15.75" thickBot="1">
      <c r="W36" t="s">
        <v>2</v>
      </c>
      <c r="X36">
        <v>4.4732364220563516</v>
      </c>
      <c r="Y36">
        <f>X36</f>
        <v>4.4732364220563516</v>
      </c>
      <c r="Z36">
        <f>X39</f>
        <v>2.8186343452871494</v>
      </c>
      <c r="AA36">
        <f>X42</f>
        <v>1.3931723097220701</v>
      </c>
      <c r="AB36">
        <f>X41</f>
        <v>2.116757931703376</v>
      </c>
      <c r="AC36">
        <f>X44</f>
        <v>21.471381845747757</v>
      </c>
      <c r="AD36">
        <f>X37</f>
        <v>32.581426515587985</v>
      </c>
      <c r="AE36">
        <f>X43</f>
        <v>24.641725973268795</v>
      </c>
      <c r="AF36">
        <f>X38</f>
        <v>342.46827065888493</v>
      </c>
    </row>
    <row r="37" spans="1:32" s="1" customFormat="1" ht="16.5" thickTop="1" thickBot="1">
      <c r="B37" s="76">
        <v>2005</v>
      </c>
      <c r="C37" s="75" t="s">
        <v>332</v>
      </c>
      <c r="D37" s="70" t="s">
        <v>333</v>
      </c>
      <c r="E37" s="75" t="s">
        <v>334</v>
      </c>
      <c r="F37" s="70" t="s">
        <v>335</v>
      </c>
      <c r="G37" s="75" t="s">
        <v>336</v>
      </c>
      <c r="H37" s="70" t="s">
        <v>337</v>
      </c>
      <c r="I37" s="75" t="s">
        <v>338</v>
      </c>
      <c r="J37" s="70" t="s">
        <v>339</v>
      </c>
      <c r="K37" s="75" t="s">
        <v>340</v>
      </c>
      <c r="L37" s="70" t="s">
        <v>341</v>
      </c>
      <c r="M37" s="75" t="s">
        <v>342</v>
      </c>
      <c r="N37" s="70" t="s">
        <v>343</v>
      </c>
      <c r="O37" s="75" t="s">
        <v>344</v>
      </c>
      <c r="P37" s="70" t="s">
        <v>345</v>
      </c>
      <c r="Q37" s="75" t="s">
        <v>346</v>
      </c>
      <c r="R37" s="71" t="s">
        <v>347</v>
      </c>
      <c r="S37" s="72" t="s">
        <v>10</v>
      </c>
      <c r="W37" s="36" t="s">
        <v>7</v>
      </c>
      <c r="X37" s="1">
        <v>32.581426515587985</v>
      </c>
    </row>
    <row r="38" spans="1:32" ht="15.75" thickTop="1">
      <c r="B38" s="77" t="s">
        <v>2</v>
      </c>
      <c r="C38" s="81">
        <v>0</v>
      </c>
      <c r="D38" s="68">
        <f>C38*D$47</f>
        <v>0</v>
      </c>
      <c r="E38" s="81">
        <v>1.9403505774421503E-3</v>
      </c>
      <c r="F38" s="68">
        <f>E38*F$47</f>
        <v>0</v>
      </c>
      <c r="G38" s="81">
        <v>1.9403505774421503E-3</v>
      </c>
      <c r="H38" s="68">
        <f t="shared" ref="H38:H46" si="6">G38*H$47</f>
        <v>0.24389037729190699</v>
      </c>
      <c r="I38" s="81">
        <v>0</v>
      </c>
      <c r="J38" s="68">
        <f t="shared" ref="J38:J46" si="7">I38*J$47</f>
        <v>0</v>
      </c>
      <c r="K38" s="84">
        <v>7.8359070150463929E-5</v>
      </c>
      <c r="L38" s="68">
        <f t="shared" ref="L38:L46" si="8">K38*L$47</f>
        <v>2.0094048348918525E-3</v>
      </c>
      <c r="M38" s="81">
        <v>8.0418470820858082E-2</v>
      </c>
      <c r="N38" s="68">
        <f t="shared" ref="N38:N46" si="9">M38*N$47</f>
        <v>1.5641668649145708</v>
      </c>
      <c r="O38" s="81">
        <v>0</v>
      </c>
      <c r="P38" s="68">
        <f t="shared" ref="P38:P46" si="10">O38*P$47</f>
        <v>0</v>
      </c>
      <c r="Q38" s="81">
        <v>4.8769805774434077E-3</v>
      </c>
      <c r="R38" s="69">
        <f t="shared" ref="R38:R46" si="11">Q38*R$47</f>
        <v>4.4661633116412525E-2</v>
      </c>
      <c r="S38" s="88">
        <f>$J$7*(D38+F38+H38+J38+L38+N38+P38+R38)</f>
        <v>1.8595799300183646</v>
      </c>
      <c r="T38">
        <f>S38/S$47</f>
        <v>1.0059165622662639E-2</v>
      </c>
      <c r="W38" t="s">
        <v>9</v>
      </c>
      <c r="X38">
        <v>342.46827065888493</v>
      </c>
    </row>
    <row r="39" spans="1:32">
      <c r="B39" s="77" t="s">
        <v>7</v>
      </c>
      <c r="C39" s="81">
        <v>0.97389999999999999</v>
      </c>
      <c r="D39" s="68">
        <f t="shared" ref="D39:F45" si="12">C39*D$47</f>
        <v>2.8090347789643331</v>
      </c>
      <c r="E39" s="81">
        <v>1.5828556779541387E-2</v>
      </c>
      <c r="F39" s="68">
        <f t="shared" si="12"/>
        <v>0</v>
      </c>
      <c r="G39" s="81">
        <v>1.5828556779541387E-2</v>
      </c>
      <c r="H39" s="68">
        <f t="shared" si="6"/>
        <v>1.9895542227413883</v>
      </c>
      <c r="I39" s="81">
        <v>0</v>
      </c>
      <c r="J39" s="68">
        <f t="shared" si="7"/>
        <v>0</v>
      </c>
      <c r="K39" s="81">
        <v>0.46780135251632365</v>
      </c>
      <c r="L39" s="68">
        <f t="shared" si="8"/>
        <v>11.996087979480487</v>
      </c>
      <c r="M39" s="81">
        <v>8.7214853429354777E-4</v>
      </c>
      <c r="N39" s="68">
        <f t="shared" si="9"/>
        <v>1.6963588398300516E-2</v>
      </c>
      <c r="O39" s="81">
        <v>0</v>
      </c>
      <c r="P39" s="68">
        <f t="shared" si="10"/>
        <v>0</v>
      </c>
      <c r="Q39" s="81">
        <v>0.10808809247210459</v>
      </c>
      <c r="R39" s="69">
        <f t="shared" si="11"/>
        <v>0.98983185468673773</v>
      </c>
      <c r="S39" s="88">
        <f t="shared" ref="S39:S46" si="13">$J$7*(D39+F39+H39+J39+L39+N39+P39+R39)</f>
        <v>17.848038011332889</v>
      </c>
      <c r="T39">
        <f t="shared" ref="T39:T46" si="14">S39/S$47</f>
        <v>9.6546734828334493E-2</v>
      </c>
      <c r="W39" t="s">
        <v>3</v>
      </c>
      <c r="X39">
        <v>2.8186343452871494</v>
      </c>
    </row>
    <row r="40" spans="1:32">
      <c r="B40" s="77" t="s">
        <v>9</v>
      </c>
      <c r="C40" s="81">
        <v>0</v>
      </c>
      <c r="D40" s="68">
        <f t="shared" si="12"/>
        <v>0</v>
      </c>
      <c r="E40" s="81">
        <v>0.9281751022041137</v>
      </c>
      <c r="F40" s="68">
        <f t="shared" si="12"/>
        <v>0</v>
      </c>
      <c r="G40" s="81">
        <v>0.9281751022041137</v>
      </c>
      <c r="H40" s="68">
        <f t="shared" si="6"/>
        <v>116.666018244976</v>
      </c>
      <c r="I40" s="81">
        <v>1</v>
      </c>
      <c r="J40" s="68">
        <f t="shared" si="7"/>
        <v>0.72840661912410187</v>
      </c>
      <c r="K40" s="81">
        <v>0.13719882236848113</v>
      </c>
      <c r="L40" s="68">
        <f t="shared" si="8"/>
        <v>3.5182650391246657</v>
      </c>
      <c r="M40" s="81">
        <v>0.13353849195079934</v>
      </c>
      <c r="N40" s="68">
        <f t="shared" si="9"/>
        <v>2.5973695118550464</v>
      </c>
      <c r="O40" s="81">
        <v>0</v>
      </c>
      <c r="P40" s="68">
        <f t="shared" si="10"/>
        <v>0</v>
      </c>
      <c r="Q40" s="81">
        <v>0.57815309826006522</v>
      </c>
      <c r="R40" s="69">
        <f t="shared" si="11"/>
        <v>5.2945180218749526</v>
      </c>
      <c r="S40" s="88">
        <f t="shared" si="13"/>
        <v>129.14150803581924</v>
      </c>
      <c r="T40">
        <f t="shared" si="14"/>
        <v>0.69857487549884179</v>
      </c>
      <c r="W40" t="s">
        <v>188</v>
      </c>
      <c r="X40">
        <v>30.955399663185691</v>
      </c>
    </row>
    <row r="41" spans="1:32">
      <c r="B41" s="77" t="s">
        <v>3</v>
      </c>
      <c r="C41" s="81">
        <v>0</v>
      </c>
      <c r="D41" s="68">
        <f t="shared" si="12"/>
        <v>0</v>
      </c>
      <c r="E41" s="81">
        <v>1.1568498520442855E-3</v>
      </c>
      <c r="F41" s="68">
        <f>E41*F$47</f>
        <v>0</v>
      </c>
      <c r="G41" s="81">
        <v>1.1568498520442855E-3</v>
      </c>
      <c r="H41" s="68">
        <f t="shared" si="6"/>
        <v>0.14540905657219022</v>
      </c>
      <c r="I41" s="81">
        <v>0</v>
      </c>
      <c r="J41" s="68">
        <f t="shared" si="7"/>
        <v>0</v>
      </c>
      <c r="K41" s="81">
        <v>1.5929614216597191E-4</v>
      </c>
      <c r="L41" s="68">
        <f t="shared" si="8"/>
        <v>4.0849187928505386E-3</v>
      </c>
      <c r="M41" s="81">
        <v>1.9419581361396453E-2</v>
      </c>
      <c r="N41" s="68">
        <f t="shared" si="9"/>
        <v>0.37771752417021165</v>
      </c>
      <c r="O41" s="81">
        <v>0.82494932052212488</v>
      </c>
      <c r="P41" s="68">
        <f t="shared" si="10"/>
        <v>0.67950165450134692</v>
      </c>
      <c r="Q41" s="81">
        <v>5.3031905746349995E-3</v>
      </c>
      <c r="R41" s="69">
        <f t="shared" si="11"/>
        <v>4.856471089637298E-2</v>
      </c>
      <c r="S41" s="88">
        <f t="shared" si="13"/>
        <v>1.2585614557120357</v>
      </c>
      <c r="T41">
        <f t="shared" si="14"/>
        <v>6.8080311714171548E-3</v>
      </c>
      <c r="W41" t="s">
        <v>5</v>
      </c>
      <c r="X41">
        <v>2.116757931703376</v>
      </c>
    </row>
    <row r="42" spans="1:32">
      <c r="B42" s="77" t="s">
        <v>188</v>
      </c>
      <c r="C42" s="81">
        <v>0</v>
      </c>
      <c r="D42" s="68">
        <f t="shared" si="12"/>
        <v>0</v>
      </c>
      <c r="E42" s="81">
        <v>3.0822834861590601E-2</v>
      </c>
      <c r="F42" s="68">
        <f t="shared" si="12"/>
        <v>0</v>
      </c>
      <c r="G42" s="81">
        <v>3.0822834861590601E-2</v>
      </c>
      <c r="H42" s="68">
        <f t="shared" si="6"/>
        <v>3.8742446395997217</v>
      </c>
      <c r="I42" s="81">
        <v>0</v>
      </c>
      <c r="J42" s="68">
        <f t="shared" si="7"/>
        <v>0</v>
      </c>
      <c r="K42" s="81">
        <v>1.1339056868107072E-2</v>
      </c>
      <c r="L42" s="68">
        <f t="shared" si="8"/>
        <v>0.29077368644289758</v>
      </c>
      <c r="M42" s="81">
        <v>0.3689376316107848</v>
      </c>
      <c r="N42" s="68">
        <f t="shared" si="9"/>
        <v>7.1759635901454031</v>
      </c>
      <c r="O42" s="81">
        <v>0</v>
      </c>
      <c r="P42" s="68">
        <f t="shared" si="10"/>
        <v>0</v>
      </c>
      <c r="Q42" s="81">
        <v>0.15333848002009187</v>
      </c>
      <c r="R42" s="69">
        <f t="shared" si="11"/>
        <v>1.4042186202176163</v>
      </c>
      <c r="S42" s="88">
        <f t="shared" si="13"/>
        <v>12.778539786724446</v>
      </c>
      <c r="T42">
        <f t="shared" si="14"/>
        <v>6.9123916673576855E-2</v>
      </c>
      <c r="W42" t="s">
        <v>4</v>
      </c>
      <c r="X42">
        <v>1.3931723097220701</v>
      </c>
    </row>
    <row r="43" spans="1:32">
      <c r="B43" s="77" t="s">
        <v>5</v>
      </c>
      <c r="C43" s="81">
        <v>0</v>
      </c>
      <c r="D43" s="68">
        <f t="shared" si="12"/>
        <v>0</v>
      </c>
      <c r="E43" s="81">
        <v>3.8392707177608388E-4</v>
      </c>
      <c r="F43" s="68">
        <f t="shared" si="12"/>
        <v>0</v>
      </c>
      <c r="G43" s="81">
        <v>3.8392707177608388E-4</v>
      </c>
      <c r="H43" s="68">
        <f t="shared" si="6"/>
        <v>4.8257319824895319E-2</v>
      </c>
      <c r="I43" s="81">
        <v>0</v>
      </c>
      <c r="J43" s="68">
        <f t="shared" si="7"/>
        <v>0</v>
      </c>
      <c r="K43" s="81">
        <v>3.4258707154817664E-5</v>
      </c>
      <c r="L43" s="68">
        <f t="shared" si="8"/>
        <v>8.7851491425115053E-4</v>
      </c>
      <c r="M43" s="81">
        <v>4.0756655341124437E-2</v>
      </c>
      <c r="N43" s="68">
        <f t="shared" si="9"/>
        <v>0.79273093803712891</v>
      </c>
      <c r="O43" s="81">
        <v>0</v>
      </c>
      <c r="P43" s="68">
        <f t="shared" si="10"/>
        <v>0</v>
      </c>
      <c r="Q43" s="81">
        <v>5.4407242312033552E-3</v>
      </c>
      <c r="R43" s="69">
        <f t="shared" si="11"/>
        <v>4.9824194630883681E-2</v>
      </c>
      <c r="S43" s="88">
        <f t="shared" si="13"/>
        <v>0.89402347745943256</v>
      </c>
      <c r="T43">
        <f t="shared" si="14"/>
        <v>4.8361084593037187E-3</v>
      </c>
      <c r="W43" t="s">
        <v>8</v>
      </c>
      <c r="X43">
        <v>24.641725973268795</v>
      </c>
    </row>
    <row r="44" spans="1:32">
      <c r="B44" s="77" t="s">
        <v>4</v>
      </c>
      <c r="C44" s="81">
        <v>0</v>
      </c>
      <c r="D44" s="68">
        <f t="shared" si="12"/>
        <v>0</v>
      </c>
      <c r="E44" s="81">
        <v>1.3789904078962405E-3</v>
      </c>
      <c r="F44" s="68">
        <f t="shared" si="12"/>
        <v>0</v>
      </c>
      <c r="G44" s="81">
        <v>1.3789904078962405E-3</v>
      </c>
      <c r="H44" s="68">
        <f t="shared" si="6"/>
        <v>0.17333078608252789</v>
      </c>
      <c r="I44" s="81">
        <v>0</v>
      </c>
      <c r="J44" s="68">
        <f t="shared" si="7"/>
        <v>0</v>
      </c>
      <c r="K44" s="81">
        <v>5.6242841570359239E-5</v>
      </c>
      <c r="L44" s="68">
        <f t="shared" si="8"/>
        <v>1.4422661928290787E-3</v>
      </c>
      <c r="M44" s="81">
        <v>7.046925077627368E-3</v>
      </c>
      <c r="N44" s="68">
        <f t="shared" si="9"/>
        <v>0.137065111950641</v>
      </c>
      <c r="O44" s="81">
        <v>0.17505067947787512</v>
      </c>
      <c r="P44" s="68">
        <f t="shared" si="10"/>
        <v>0.1441873135328087</v>
      </c>
      <c r="Q44" s="81">
        <v>1.1995532939826241E-2</v>
      </c>
      <c r="R44" s="69">
        <f t="shared" si="11"/>
        <v>0.10985077399574238</v>
      </c>
      <c r="S44" s="88">
        <f t="shared" si="13"/>
        <v>0.56735648660474414</v>
      </c>
      <c r="T44">
        <f t="shared" si="14"/>
        <v>3.0690441285805533E-3</v>
      </c>
      <c r="W44" t="s">
        <v>6</v>
      </c>
      <c r="X44">
        <v>21.471381845747757</v>
      </c>
    </row>
    <row r="45" spans="1:32">
      <c r="B45" s="77" t="s">
        <v>8</v>
      </c>
      <c r="C45" s="81">
        <v>2.6100000000000002E-2</v>
      </c>
      <c r="D45" s="68">
        <f t="shared" si="12"/>
        <v>7.5280632232230305E-2</v>
      </c>
      <c r="E45" s="81">
        <v>9.1108038859427018E-3</v>
      </c>
      <c r="F45" s="68">
        <f t="shared" si="12"/>
        <v>0</v>
      </c>
      <c r="G45" s="81">
        <v>9.1108038859427018E-3</v>
      </c>
      <c r="H45" s="68">
        <f t="shared" si="6"/>
        <v>1.1451731573705195</v>
      </c>
      <c r="I45" s="81">
        <v>0</v>
      </c>
      <c r="J45" s="68">
        <f t="shared" si="7"/>
        <v>0</v>
      </c>
      <c r="K45" s="81">
        <v>0.38271994228289974</v>
      </c>
      <c r="L45" s="68">
        <f t="shared" si="8"/>
        <v>9.8142984718436743</v>
      </c>
      <c r="M45" s="81">
        <v>2.2408799339974274E-4</v>
      </c>
      <c r="N45" s="68">
        <f t="shared" si="9"/>
        <v>4.3585884004419652E-3</v>
      </c>
      <c r="O45" s="81">
        <v>0</v>
      </c>
      <c r="P45" s="68">
        <f t="shared" si="10"/>
        <v>0</v>
      </c>
      <c r="Q45" s="81">
        <v>5.077590014437941E-2</v>
      </c>
      <c r="R45" s="69">
        <f t="shared" si="11"/>
        <v>0.46498742149854005</v>
      </c>
      <c r="S45" s="88">
        <f t="shared" si="13"/>
        <v>11.534191011813865</v>
      </c>
      <c r="T45">
        <f t="shared" si="14"/>
        <v>6.2392767225723185E-2</v>
      </c>
    </row>
    <row r="46" spans="1:32" ht="15.75" thickBot="1">
      <c r="B46" s="78" t="s">
        <v>6</v>
      </c>
      <c r="C46" s="82">
        <v>0</v>
      </c>
      <c r="D46" s="85">
        <f>C46*D$47</f>
        <v>0</v>
      </c>
      <c r="E46" s="82">
        <v>1.1202584359652861E-2</v>
      </c>
      <c r="F46" s="85">
        <f>E46*F$47</f>
        <v>0</v>
      </c>
      <c r="G46" s="82">
        <v>1.1202584359652861E-2</v>
      </c>
      <c r="H46" s="85">
        <f t="shared" si="6"/>
        <v>1.408097360283137</v>
      </c>
      <c r="I46" s="82">
        <v>0</v>
      </c>
      <c r="J46" s="85">
        <f t="shared" si="7"/>
        <v>0</v>
      </c>
      <c r="K46" s="82">
        <v>6.1266920314678318E-4</v>
      </c>
      <c r="L46" s="85">
        <f t="shared" si="8"/>
        <v>1.5711014138229864E-2</v>
      </c>
      <c r="M46" s="82">
        <v>0.34878600730971632</v>
      </c>
      <c r="N46" s="85">
        <f t="shared" si="9"/>
        <v>6.7840075794901606</v>
      </c>
      <c r="O46" s="82">
        <v>0</v>
      </c>
      <c r="P46" s="85">
        <f t="shared" si="10"/>
        <v>0</v>
      </c>
      <c r="Q46" s="82">
        <v>8.2028000780250909E-2</v>
      </c>
      <c r="R46" s="86">
        <f t="shared" si="11"/>
        <v>0.75118291285893024</v>
      </c>
      <c r="S46" s="88">
        <f t="shared" si="13"/>
        <v>8.9824340653749832</v>
      </c>
      <c r="T46">
        <f t="shared" si="14"/>
        <v>4.8589356391559639E-2</v>
      </c>
    </row>
    <row r="47" spans="1:32" ht="15.75" thickBot="1">
      <c r="B47" s="79" t="s">
        <v>10</v>
      </c>
      <c r="C47" s="83">
        <f>SUM(C38:C46)</f>
        <v>1</v>
      </c>
      <c r="D47" s="73">
        <f>E6</f>
        <v>2.8843154111965634</v>
      </c>
      <c r="E47" s="83">
        <f>SUM(E38:E46)</f>
        <v>1</v>
      </c>
      <c r="F47" s="73">
        <f>E7</f>
        <v>0</v>
      </c>
      <c r="G47" s="83">
        <f>SUM(G38:G46)</f>
        <v>1</v>
      </c>
      <c r="H47" s="73">
        <f>E8</f>
        <v>125.69397516474228</v>
      </c>
      <c r="I47" s="83">
        <f>SUM(I38:I46)</f>
        <v>1</v>
      </c>
      <c r="J47" s="73">
        <f>E9</f>
        <v>0.72840661912410187</v>
      </c>
      <c r="K47" s="83">
        <f>SUM(K38:K46)</f>
        <v>0.99999999999999989</v>
      </c>
      <c r="L47" s="73">
        <f>E10</f>
        <v>25.643551295764777</v>
      </c>
      <c r="M47" s="83">
        <f>SUM(M38:M46)</f>
        <v>1</v>
      </c>
      <c r="N47" s="73">
        <f>E11</f>
        <v>19.450343297361904</v>
      </c>
      <c r="O47" s="83">
        <f>SUM(O38:O46)</f>
        <v>1</v>
      </c>
      <c r="P47" s="73">
        <f>E12</f>
        <v>0.82368896803415559</v>
      </c>
      <c r="Q47" s="83">
        <f>SUM(Q38:Q46)</f>
        <v>1</v>
      </c>
      <c r="R47" s="74">
        <f>E13</f>
        <v>9.1576401437761881</v>
      </c>
      <c r="S47" s="80">
        <f>SUM(S38:S46)</f>
        <v>184.86423226086001</v>
      </c>
    </row>
    <row r="48" spans="1:32" ht="15.75" thickTop="1"/>
    <row r="49" spans="2:19" ht="15.75" thickBot="1"/>
    <row r="50" spans="2:19" ht="16.5" thickTop="1" thickBot="1">
      <c r="B50" s="76">
        <v>2011</v>
      </c>
      <c r="C50" s="75" t="s">
        <v>332</v>
      </c>
      <c r="D50" s="70" t="s">
        <v>333</v>
      </c>
      <c r="E50" s="75" t="s">
        <v>334</v>
      </c>
      <c r="F50" s="70" t="s">
        <v>335</v>
      </c>
      <c r="G50" s="75" t="s">
        <v>336</v>
      </c>
      <c r="H50" s="70" t="s">
        <v>337</v>
      </c>
      <c r="I50" s="75" t="s">
        <v>338</v>
      </c>
      <c r="J50" s="70" t="s">
        <v>339</v>
      </c>
      <c r="K50" s="75" t="s">
        <v>340</v>
      </c>
      <c r="L50" s="70" t="s">
        <v>341</v>
      </c>
      <c r="M50" s="75" t="s">
        <v>342</v>
      </c>
      <c r="N50" s="70" t="s">
        <v>343</v>
      </c>
      <c r="O50" s="75" t="s">
        <v>344</v>
      </c>
      <c r="P50" s="70" t="s">
        <v>345</v>
      </c>
      <c r="Q50" s="75" t="s">
        <v>346</v>
      </c>
      <c r="R50" s="71" t="s">
        <v>347</v>
      </c>
      <c r="S50" s="72" t="s">
        <v>10</v>
      </c>
    </row>
    <row r="51" spans="2:19" ht="15.75" thickTop="1">
      <c r="B51" s="77" t="s">
        <v>2</v>
      </c>
      <c r="C51" s="81"/>
      <c r="D51" s="68">
        <f>C51*D$60</f>
        <v>0</v>
      </c>
      <c r="E51" s="81">
        <v>1.9403505774421503E-3</v>
      </c>
      <c r="F51" s="68">
        <f>E51*F$60</f>
        <v>2.4104024297713387E-2</v>
      </c>
      <c r="G51" s="81">
        <v>1.9403505774421503E-3</v>
      </c>
      <c r="H51" s="68">
        <f t="shared" ref="H51:H59" si="15">G51*H$60</f>
        <v>0.28488697875214614</v>
      </c>
      <c r="I51" s="81">
        <v>0</v>
      </c>
      <c r="J51" s="68">
        <f t="shared" ref="J51:J59" si="16">I51*J$60</f>
        <v>0</v>
      </c>
      <c r="K51" s="84">
        <v>7.8359070150463929E-5</v>
      </c>
      <c r="L51" s="68">
        <f t="shared" ref="L51:L59" si="17">K51*L$60</f>
        <v>2.0316390352795618E-3</v>
      </c>
      <c r="M51" s="81">
        <v>8.0418470820858082E-2</v>
      </c>
      <c r="N51" s="68">
        <f t="shared" ref="N51:N59" si="18">M51*N$60</f>
        <v>1.6924611678175767</v>
      </c>
      <c r="O51" s="81">
        <v>0</v>
      </c>
      <c r="P51" s="68">
        <f t="shared" ref="P51:P59" si="19">O51*P$60</f>
        <v>0</v>
      </c>
      <c r="Q51" s="81">
        <v>4.8769805774434077E-3</v>
      </c>
      <c r="R51" s="68">
        <f t="shared" ref="R51:R59" si="20">Q51*R$60</f>
        <v>4.0008259276546478E-2</v>
      </c>
      <c r="S51" s="88">
        <f>$K$7*(D51+F51+H51+J51+L51+N51+P51+R51)</f>
        <v>2.043492069179262</v>
      </c>
    </row>
    <row r="52" spans="2:19">
      <c r="B52" s="77" t="s">
        <v>7</v>
      </c>
      <c r="C52" s="81"/>
      <c r="D52" s="68">
        <f t="shared" ref="D52:F58" si="21">C52*D$60</f>
        <v>0</v>
      </c>
      <c r="E52" s="81">
        <v>1.5828556779541387E-2</v>
      </c>
      <c r="F52" s="68">
        <f t="shared" si="21"/>
        <v>0.19663040362260337</v>
      </c>
      <c r="G52" s="81">
        <v>1.5828556779541387E-2</v>
      </c>
      <c r="H52" s="68">
        <f t="shared" si="15"/>
        <v>2.3239871038535496</v>
      </c>
      <c r="I52" s="81">
        <v>0</v>
      </c>
      <c r="J52" s="68">
        <f t="shared" si="16"/>
        <v>0</v>
      </c>
      <c r="K52" s="81">
        <v>0.46780135251632365</v>
      </c>
      <c r="L52" s="68">
        <f t="shared" si="17"/>
        <v>12.128825504230553</v>
      </c>
      <c r="M52" s="81">
        <v>8.7214853429354777E-4</v>
      </c>
      <c r="N52" s="68">
        <f t="shared" si="18"/>
        <v>1.8354956414789181E-2</v>
      </c>
      <c r="O52" s="81">
        <v>0</v>
      </c>
      <c r="P52" s="68">
        <f t="shared" si="19"/>
        <v>0</v>
      </c>
      <c r="Q52" s="81">
        <v>0.10808809247210459</v>
      </c>
      <c r="R52" s="68">
        <f t="shared" si="20"/>
        <v>0.88669953871299212</v>
      </c>
      <c r="S52" s="88">
        <f t="shared" ref="S52:S59" si="22">$K$7*(D52+F52+H52+J52+L52+N52+P52+R52)</f>
        <v>15.554497506834489</v>
      </c>
    </row>
    <row r="53" spans="2:19">
      <c r="B53" s="77" t="s">
        <v>9</v>
      </c>
      <c r="C53" s="81"/>
      <c r="D53" s="68">
        <f t="shared" si="21"/>
        <v>0</v>
      </c>
      <c r="E53" s="81">
        <v>0.9281751022041137</v>
      </c>
      <c r="F53" s="68">
        <f t="shared" si="21"/>
        <v>11.530264415182769</v>
      </c>
      <c r="G53" s="81">
        <v>0.9281751022041137</v>
      </c>
      <c r="H53" s="68">
        <f t="shared" si="15"/>
        <v>136.27692010609252</v>
      </c>
      <c r="I53" s="81">
        <v>1</v>
      </c>
      <c r="J53" s="68">
        <f t="shared" si="16"/>
        <v>0.75924511444379572</v>
      </c>
      <c r="K53" s="81">
        <v>0.13719882236848113</v>
      </c>
      <c r="L53" s="68">
        <f t="shared" si="17"/>
        <v>3.557194879711608</v>
      </c>
      <c r="M53" s="81">
        <v>0.13353849195079934</v>
      </c>
      <c r="N53" s="68">
        <f t="shared" si="18"/>
        <v>2.8104079787728096</v>
      </c>
      <c r="O53" s="81">
        <v>0</v>
      </c>
      <c r="P53" s="68">
        <f t="shared" si="19"/>
        <v>0</v>
      </c>
      <c r="Q53" s="81">
        <v>0.57815309826006522</v>
      </c>
      <c r="R53" s="68">
        <f t="shared" si="20"/>
        <v>4.7428729086415462</v>
      </c>
      <c r="S53" s="88">
        <f t="shared" si="22"/>
        <v>159.67690540284502</v>
      </c>
    </row>
    <row r="54" spans="2:19">
      <c r="B54" s="77" t="s">
        <v>3</v>
      </c>
      <c r="C54" s="81"/>
      <c r="D54" s="68">
        <f t="shared" si="21"/>
        <v>0</v>
      </c>
      <c r="E54" s="81">
        <v>1.1568498520442855E-3</v>
      </c>
      <c r="F54" s="68">
        <f t="shared" si="21"/>
        <v>1.4370978763662594E-2</v>
      </c>
      <c r="G54" s="81">
        <v>1.1568498520442855E-3</v>
      </c>
      <c r="H54" s="68">
        <f t="shared" si="15"/>
        <v>0.16985150160504417</v>
      </c>
      <c r="I54" s="81">
        <v>0</v>
      </c>
      <c r="J54" s="68">
        <f t="shared" si="16"/>
        <v>0</v>
      </c>
      <c r="K54" s="81">
        <v>1.5929614216597191E-4</v>
      </c>
      <c r="L54" s="68">
        <f t="shared" si="17"/>
        <v>4.1301186955434417E-3</v>
      </c>
      <c r="M54" s="81">
        <v>1.9419581361396453E-2</v>
      </c>
      <c r="N54" s="68">
        <f t="shared" si="18"/>
        <v>0.4086982382772793</v>
      </c>
      <c r="O54" s="81">
        <v>0.75748103344453466</v>
      </c>
      <c r="P54" s="68">
        <f t="shared" si="19"/>
        <v>0.88436668374386929</v>
      </c>
      <c r="Q54" s="81">
        <v>5.3031905746349995E-3</v>
      </c>
      <c r="R54" s="68">
        <f t="shared" si="20"/>
        <v>4.3504668541074702E-2</v>
      </c>
      <c r="S54" s="88">
        <f t="shared" si="22"/>
        <v>1.5249221896264735</v>
      </c>
    </row>
    <row r="55" spans="2:19">
      <c r="B55" s="77" t="s">
        <v>188</v>
      </c>
      <c r="C55" s="81"/>
      <c r="D55" s="68">
        <f t="shared" si="21"/>
        <v>0</v>
      </c>
      <c r="E55" s="81">
        <v>3.0822834861590601E-2</v>
      </c>
      <c r="F55" s="68">
        <f t="shared" si="21"/>
        <v>0.38289697184906657</v>
      </c>
      <c r="G55" s="81">
        <v>3.0822834861590601E-2</v>
      </c>
      <c r="H55" s="68">
        <f t="shared" si="15"/>
        <v>4.5254833855180836</v>
      </c>
      <c r="I55" s="81">
        <v>0</v>
      </c>
      <c r="J55" s="68">
        <f t="shared" si="16"/>
        <v>0</v>
      </c>
      <c r="K55" s="81">
        <v>1.1339056868107072E-2</v>
      </c>
      <c r="L55" s="68">
        <f t="shared" si="17"/>
        <v>0.29399111694748398</v>
      </c>
      <c r="M55" s="81">
        <v>0.3689376316107848</v>
      </c>
      <c r="N55" s="68">
        <f t="shared" si="18"/>
        <v>7.7645422559550372</v>
      </c>
      <c r="O55" s="81">
        <v>0</v>
      </c>
      <c r="P55" s="68">
        <f t="shared" si="19"/>
        <v>0</v>
      </c>
      <c r="Q55" s="81">
        <v>0.15333848002009187</v>
      </c>
      <c r="R55" s="68">
        <f t="shared" si="20"/>
        <v>1.2579106207823656</v>
      </c>
      <c r="S55" s="88">
        <f t="shared" si="22"/>
        <v>14.224824351052035</v>
      </c>
    </row>
    <row r="56" spans="2:19">
      <c r="B56" s="77" t="s">
        <v>5</v>
      </c>
      <c r="C56" s="81"/>
      <c r="D56" s="68">
        <f t="shared" si="21"/>
        <v>0</v>
      </c>
      <c r="E56" s="81">
        <v>3.8392707177608388E-4</v>
      </c>
      <c r="F56" s="68">
        <f t="shared" si="21"/>
        <v>4.7693378579245849E-3</v>
      </c>
      <c r="G56" s="81">
        <v>3.8392707177608388E-4</v>
      </c>
      <c r="H56" s="68">
        <f t="shared" si="15"/>
        <v>5.6369104022238381E-2</v>
      </c>
      <c r="I56" s="81">
        <v>0</v>
      </c>
      <c r="J56" s="68">
        <f t="shared" si="16"/>
        <v>0</v>
      </c>
      <c r="K56" s="81">
        <v>3.4258707154817664E-5</v>
      </c>
      <c r="L56" s="68">
        <f t="shared" si="17"/>
        <v>8.8823574118849732E-4</v>
      </c>
      <c r="M56" s="81">
        <v>4.0756655341124437E-2</v>
      </c>
      <c r="N56" s="68">
        <f t="shared" si="18"/>
        <v>0.85775140699500707</v>
      </c>
      <c r="O56" s="81">
        <v>0</v>
      </c>
      <c r="P56" s="68">
        <f t="shared" si="19"/>
        <v>0</v>
      </c>
      <c r="Q56" s="81">
        <v>5.4407242312033552E-3</v>
      </c>
      <c r="R56" s="68">
        <f t="shared" si="20"/>
        <v>4.4632924457591552E-2</v>
      </c>
      <c r="S56" s="88">
        <f t="shared" si="22"/>
        <v>0.96441100907395017</v>
      </c>
    </row>
    <row r="57" spans="2:19">
      <c r="B57" s="77" t="s">
        <v>4</v>
      </c>
      <c r="C57" s="81"/>
      <c r="D57" s="68">
        <f t="shared" si="21"/>
        <v>0</v>
      </c>
      <c r="E57" s="81">
        <v>1.3789904078962405E-3</v>
      </c>
      <c r="F57" s="68">
        <f t="shared" si="21"/>
        <v>1.7130522022500684E-2</v>
      </c>
      <c r="G57" s="81">
        <v>1.3789904078962405E-3</v>
      </c>
      <c r="H57" s="68">
        <f t="shared" si="15"/>
        <v>0.20246671689176346</v>
      </c>
      <c r="I57" s="81">
        <v>0</v>
      </c>
      <c r="J57" s="68">
        <f t="shared" si="16"/>
        <v>0</v>
      </c>
      <c r="K57" s="81">
        <v>5.6242841570359239E-5</v>
      </c>
      <c r="L57" s="68">
        <f t="shared" si="17"/>
        <v>1.4582249657885886E-3</v>
      </c>
      <c r="M57" s="81">
        <v>7.046925077627368E-3</v>
      </c>
      <c r="N57" s="68">
        <f t="shared" si="18"/>
        <v>0.14830730956041477</v>
      </c>
      <c r="O57" s="81">
        <v>0.2425189665554654</v>
      </c>
      <c r="P57" s="68">
        <f t="shared" si="19"/>
        <v>0.28314331940741844</v>
      </c>
      <c r="Q57" s="81">
        <v>1.1995532939826241E-2</v>
      </c>
      <c r="R57" s="68">
        <f t="shared" si="20"/>
        <v>9.8405229300401284E-2</v>
      </c>
      <c r="S57" s="88">
        <f t="shared" si="22"/>
        <v>0.75091132214828726</v>
      </c>
    </row>
    <row r="58" spans="2:19">
      <c r="B58" s="77" t="s">
        <v>8</v>
      </c>
      <c r="C58" s="81"/>
      <c r="D58" s="68">
        <f t="shared" si="21"/>
        <v>0</v>
      </c>
      <c r="E58" s="81">
        <v>9.1108038859427018E-3</v>
      </c>
      <c r="F58" s="68">
        <f t="shared" si="21"/>
        <v>0.11317905165774704</v>
      </c>
      <c r="G58" s="81">
        <v>9.1108038859427018E-3</v>
      </c>
      <c r="H58" s="68">
        <f t="shared" si="15"/>
        <v>1.337670327849253</v>
      </c>
      <c r="I58" s="81">
        <v>0</v>
      </c>
      <c r="J58" s="68">
        <f t="shared" si="16"/>
        <v>0</v>
      </c>
      <c r="K58" s="81">
        <v>0.38271994228289974</v>
      </c>
      <c r="L58" s="68">
        <f t="shared" si="17"/>
        <v>9.9228943481442844</v>
      </c>
      <c r="M58" s="81">
        <v>2.2408799339974274E-4</v>
      </c>
      <c r="N58" s="68">
        <f t="shared" si="18"/>
        <v>4.7160835456331205E-3</v>
      </c>
      <c r="O58" s="81">
        <v>0</v>
      </c>
      <c r="P58" s="68">
        <f t="shared" si="19"/>
        <v>0</v>
      </c>
      <c r="Q58" s="81">
        <v>5.077590014437941E-2</v>
      </c>
      <c r="R58" s="68">
        <f t="shared" si="20"/>
        <v>0.41653956699603811</v>
      </c>
      <c r="S58" s="88">
        <f t="shared" si="22"/>
        <v>11.794999378192955</v>
      </c>
    </row>
    <row r="59" spans="2:19" ht="15.75" thickBot="1">
      <c r="B59" s="78" t="s">
        <v>6</v>
      </c>
      <c r="C59" s="82"/>
      <c r="D59" s="87">
        <f>C59*D$60</f>
        <v>0</v>
      </c>
      <c r="E59" s="82">
        <v>1.1202584359652861E-2</v>
      </c>
      <c r="F59" s="87">
        <f>E59*F$60</f>
        <v>0.1391642153441249</v>
      </c>
      <c r="G59" s="82">
        <v>1.1202584359652861E-2</v>
      </c>
      <c r="H59" s="87">
        <f t="shared" si="15"/>
        <v>1.644790611315547</v>
      </c>
      <c r="I59" s="82">
        <v>0</v>
      </c>
      <c r="J59" s="87">
        <f t="shared" si="16"/>
        <v>0</v>
      </c>
      <c r="K59" s="82">
        <v>6.1266920314678318E-4</v>
      </c>
      <c r="L59" s="87">
        <f t="shared" si="17"/>
        <v>1.5884857572155086E-2</v>
      </c>
      <c r="M59" s="82">
        <v>0.34878600730971632</v>
      </c>
      <c r="N59" s="87">
        <f t="shared" si="18"/>
        <v>7.3404376783638723</v>
      </c>
      <c r="O59" s="82">
        <v>0</v>
      </c>
      <c r="P59" s="87">
        <f t="shared" si="19"/>
        <v>0</v>
      </c>
      <c r="Q59" s="82">
        <v>8.2028000780250909E-2</v>
      </c>
      <c r="R59" s="87">
        <f t="shared" si="20"/>
        <v>0.67291584845174968</v>
      </c>
      <c r="S59" s="88">
        <f t="shared" si="22"/>
        <v>9.813193211047448</v>
      </c>
    </row>
    <row r="60" spans="2:19" ht="15.75" thickBot="1">
      <c r="B60" s="79" t="s">
        <v>10</v>
      </c>
      <c r="C60" s="83">
        <f>SUM(C51:C59)</f>
        <v>0</v>
      </c>
      <c r="D60" s="73">
        <f>E16</f>
        <v>0</v>
      </c>
      <c r="E60" s="83">
        <f>SUM(E51:E59)</f>
        <v>1</v>
      </c>
      <c r="F60" s="73">
        <f>E17</f>
        <v>12.422509920598111</v>
      </c>
      <c r="G60" s="83">
        <f>SUM(G51:G59)</f>
        <v>1</v>
      </c>
      <c r="H60" s="73">
        <f>E18</f>
        <v>146.82242583590013</v>
      </c>
      <c r="I60" s="83">
        <f>SUM(I51:I59)</f>
        <v>1</v>
      </c>
      <c r="J60" s="73">
        <f>E19</f>
        <v>0.75924511444379572</v>
      </c>
      <c r="K60" s="83">
        <f>SUM(K51:K59)</f>
        <v>0.99999999999999989</v>
      </c>
      <c r="L60" s="73">
        <f>E20</f>
        <v>25.927298925043885</v>
      </c>
      <c r="M60" s="83">
        <f>SUM(M51:M59)</f>
        <v>1</v>
      </c>
      <c r="N60" s="73">
        <f>E21</f>
        <v>21.045677075702418</v>
      </c>
      <c r="O60" s="83">
        <f>SUM(O51:O59)</f>
        <v>1</v>
      </c>
      <c r="P60" s="73">
        <f>E22</f>
        <v>1.1675100031512877</v>
      </c>
      <c r="Q60" s="83">
        <f>SUM(Q51:Q59)</f>
        <v>1</v>
      </c>
      <c r="R60" s="74">
        <f>E23</f>
        <v>8.2034895651603055</v>
      </c>
      <c r="S60" s="80">
        <f>SUM(S51:S59)</f>
        <v>216.34815643999991</v>
      </c>
    </row>
    <row r="61" spans="2:19" ht="15.75" thickTop="1"/>
    <row r="62" spans="2:19" ht="15.75" thickBot="1"/>
    <row r="63" spans="2:19" ht="16.5" thickTop="1" thickBot="1">
      <c r="B63" s="76">
        <v>2016</v>
      </c>
      <c r="C63" s="75" t="s">
        <v>332</v>
      </c>
      <c r="D63" s="70" t="s">
        <v>333</v>
      </c>
      <c r="E63" s="75" t="s">
        <v>334</v>
      </c>
      <c r="F63" s="70" t="s">
        <v>335</v>
      </c>
      <c r="G63" s="75" t="s">
        <v>336</v>
      </c>
      <c r="H63" s="70" t="s">
        <v>337</v>
      </c>
      <c r="I63" s="75" t="s">
        <v>338</v>
      </c>
      <c r="J63" s="70" t="s">
        <v>339</v>
      </c>
      <c r="K63" s="75" t="s">
        <v>340</v>
      </c>
      <c r="L63" s="70" t="s">
        <v>341</v>
      </c>
      <c r="M63" s="75" t="s">
        <v>342</v>
      </c>
      <c r="N63" s="70" t="s">
        <v>343</v>
      </c>
      <c r="O63" s="75" t="s">
        <v>344</v>
      </c>
      <c r="P63" s="70" t="s">
        <v>345</v>
      </c>
      <c r="Q63" s="75" t="s">
        <v>346</v>
      </c>
      <c r="R63" s="71" t="s">
        <v>347</v>
      </c>
      <c r="S63" s="72" t="s">
        <v>10</v>
      </c>
    </row>
    <row r="64" spans="2:19" ht="15.75" thickTop="1">
      <c r="B64" s="77" t="s">
        <v>2</v>
      </c>
      <c r="C64" s="81"/>
      <c r="D64" s="68">
        <f>C64*D$73</f>
        <v>0</v>
      </c>
      <c r="E64" s="81">
        <v>1.9403505774421503E-3</v>
      </c>
      <c r="F64" s="68">
        <f>E64*F$73</f>
        <v>5.7045002535236589E-2</v>
      </c>
      <c r="G64" s="81">
        <v>1.9403505774421503E-3</v>
      </c>
      <c r="H64" s="68">
        <f t="shared" ref="H64:H72" si="23">G64*H$73</f>
        <v>0.63468661508018032</v>
      </c>
      <c r="I64" s="81">
        <v>0</v>
      </c>
      <c r="J64" s="68">
        <f t="shared" ref="J64:J72" si="24">I64*J$73</f>
        <v>0</v>
      </c>
      <c r="K64" s="84">
        <v>7.8359070150463929E-5</v>
      </c>
      <c r="L64" s="68">
        <f t="shared" ref="L64:L72" si="25">K64*L$73</f>
        <v>4.4195976501290061E-3</v>
      </c>
      <c r="M64" s="81">
        <v>8.0418470820858082E-2</v>
      </c>
      <c r="N64" s="68">
        <f t="shared" ref="N64:N72" si="26">M64*N$73</f>
        <v>3.8966671578799295</v>
      </c>
      <c r="O64" s="81">
        <v>0</v>
      </c>
      <c r="P64" s="68">
        <f t="shared" ref="P64:P72" si="27">O64*P$73</f>
        <v>0</v>
      </c>
      <c r="Q64" s="81">
        <v>4.8769805774434077E-3</v>
      </c>
      <c r="R64" s="68">
        <f t="shared" ref="R64:R72" si="28">Q64*R$73</f>
        <v>9.2910203918413134E-2</v>
      </c>
      <c r="S64" s="88">
        <f>$L$7*(D64+F64+H64+J64+L64+N64+P64+R64)</f>
        <v>4.4732364220563516</v>
      </c>
    </row>
    <row r="65" spans="2:19">
      <c r="B65" s="77" t="s">
        <v>7</v>
      </c>
      <c r="C65" s="81"/>
      <c r="D65" s="68">
        <f t="shared" ref="D65:F71" si="29">C65*D$73</f>
        <v>0</v>
      </c>
      <c r="E65" s="81">
        <v>1.5828556779541387E-2</v>
      </c>
      <c r="F65" s="68">
        <f t="shared" si="29"/>
        <v>0.46534892823768337</v>
      </c>
      <c r="G65" s="81">
        <v>1.5828556779541387E-2</v>
      </c>
      <c r="H65" s="68">
        <f t="shared" si="23"/>
        <v>5.1775041277617158</v>
      </c>
      <c r="I65" s="81">
        <v>0</v>
      </c>
      <c r="J65" s="68">
        <f t="shared" si="24"/>
        <v>0</v>
      </c>
      <c r="K65" s="81">
        <v>0.46780135251632365</v>
      </c>
      <c r="L65" s="68">
        <f t="shared" si="25"/>
        <v>26.384868456687194</v>
      </c>
      <c r="M65" s="81">
        <v>8.7214853429354777E-4</v>
      </c>
      <c r="N65" s="68">
        <f t="shared" si="26"/>
        <v>4.2259850450841026E-2</v>
      </c>
      <c r="O65" s="81">
        <v>0</v>
      </c>
      <c r="P65" s="68">
        <f t="shared" si="27"/>
        <v>0</v>
      </c>
      <c r="Q65" s="81">
        <v>0.10808809247210459</v>
      </c>
      <c r="R65" s="68">
        <f t="shared" si="28"/>
        <v>2.0591606944639436</v>
      </c>
      <c r="S65" s="88">
        <f t="shared" ref="S65:S72" si="30">$L$7*(D65+F65+H65+J65+L65+N65+P65+R65)</f>
        <v>32.581426515587985</v>
      </c>
    </row>
    <row r="66" spans="2:19">
      <c r="B66" s="77" t="s">
        <v>9</v>
      </c>
      <c r="C66" s="81"/>
      <c r="D66" s="68">
        <f t="shared" si="29"/>
        <v>0</v>
      </c>
      <c r="E66" s="81">
        <v>0.9281751022041137</v>
      </c>
      <c r="F66" s="68">
        <f t="shared" si="29"/>
        <v>27.287724019530039</v>
      </c>
      <c r="G66" s="81">
        <v>0.9281751022041137</v>
      </c>
      <c r="H66" s="68">
        <f t="shared" si="23"/>
        <v>303.60509109452039</v>
      </c>
      <c r="I66" s="81">
        <v>1</v>
      </c>
      <c r="J66" s="68">
        <f t="shared" si="24"/>
        <v>2.6206075704886547</v>
      </c>
      <c r="K66" s="81">
        <v>0.13719882236848113</v>
      </c>
      <c r="L66" s="68">
        <f t="shared" si="25"/>
        <v>7.7382693768044426</v>
      </c>
      <c r="M66" s="81">
        <v>0.13353849195079934</v>
      </c>
      <c r="N66" s="68">
        <f t="shared" si="26"/>
        <v>6.470591278173484</v>
      </c>
      <c r="O66" s="81">
        <v>0</v>
      </c>
      <c r="P66" s="68">
        <f t="shared" si="27"/>
        <v>0</v>
      </c>
      <c r="Q66" s="81">
        <v>0.57815309826006522</v>
      </c>
      <c r="R66" s="68">
        <f t="shared" si="28"/>
        <v>11.014257982459297</v>
      </c>
      <c r="S66" s="88">
        <f t="shared" si="30"/>
        <v>342.46827065888493</v>
      </c>
    </row>
    <row r="67" spans="2:19">
      <c r="B67" s="77" t="s">
        <v>3</v>
      </c>
      <c r="C67" s="81"/>
      <c r="D67" s="68">
        <f t="shared" si="29"/>
        <v>0</v>
      </c>
      <c r="E67" s="81">
        <v>1.1568498520442855E-3</v>
      </c>
      <c r="F67" s="68">
        <f t="shared" si="29"/>
        <v>3.4010607933411895E-2</v>
      </c>
      <c r="G67" s="81">
        <v>1.1568498520442855E-3</v>
      </c>
      <c r="H67" s="68">
        <f t="shared" si="23"/>
        <v>0.37840435913282044</v>
      </c>
      <c r="I67" s="81">
        <v>0</v>
      </c>
      <c r="J67" s="68">
        <f t="shared" si="24"/>
        <v>0</v>
      </c>
      <c r="K67" s="81">
        <v>1.5929614216597191E-4</v>
      </c>
      <c r="L67" s="68">
        <f t="shared" si="25"/>
        <v>8.9845994119058248E-3</v>
      </c>
      <c r="M67" s="81">
        <v>1.9419581361396453E-2</v>
      </c>
      <c r="N67" s="68">
        <f t="shared" si="26"/>
        <v>0.9409734373002262</v>
      </c>
      <c r="O67" s="81">
        <v>0.79052550953388501</v>
      </c>
      <c r="P67" s="68">
        <f t="shared" si="27"/>
        <v>1.4891251023151562</v>
      </c>
      <c r="Q67" s="81">
        <v>5.3031905746349995E-3</v>
      </c>
      <c r="R67" s="68">
        <f t="shared" si="28"/>
        <v>0.10102982980626025</v>
      </c>
      <c r="S67" s="88">
        <f t="shared" si="30"/>
        <v>2.8186343452871494</v>
      </c>
    </row>
    <row r="68" spans="2:19">
      <c r="B68" s="77" t="s">
        <v>188</v>
      </c>
      <c r="C68" s="81"/>
      <c r="D68" s="68">
        <f t="shared" si="29"/>
        <v>0</v>
      </c>
      <c r="E68" s="81">
        <v>3.0822834861590601E-2</v>
      </c>
      <c r="F68" s="68">
        <f t="shared" si="29"/>
        <v>0.90617062363053114</v>
      </c>
      <c r="G68" s="81">
        <v>3.0822834861590601E-2</v>
      </c>
      <c r="H68" s="68">
        <f t="shared" si="23"/>
        <v>10.082116578781786</v>
      </c>
      <c r="I68" s="81">
        <v>0</v>
      </c>
      <c r="J68" s="68">
        <f t="shared" si="24"/>
        <v>0</v>
      </c>
      <c r="K68" s="81">
        <v>1.1339056868107072E-2</v>
      </c>
      <c r="L68" s="68">
        <f t="shared" si="25"/>
        <v>0.63954394804247794</v>
      </c>
      <c r="M68" s="81">
        <v>0.3689376316107848</v>
      </c>
      <c r="N68" s="68">
        <f t="shared" si="26"/>
        <v>17.876827770155423</v>
      </c>
      <c r="O68" s="81">
        <v>0</v>
      </c>
      <c r="P68" s="68">
        <f t="shared" si="27"/>
        <v>0</v>
      </c>
      <c r="Q68" s="81">
        <v>0.15333848002009187</v>
      </c>
      <c r="R68" s="68">
        <f t="shared" si="28"/>
        <v>2.9212151291106041</v>
      </c>
      <c r="S68" s="88">
        <f t="shared" si="30"/>
        <v>30.955399663185691</v>
      </c>
    </row>
    <row r="69" spans="2:19">
      <c r="B69" s="77" t="s">
        <v>5</v>
      </c>
      <c r="C69" s="81"/>
      <c r="D69" s="68">
        <f t="shared" si="29"/>
        <v>0</v>
      </c>
      <c r="E69" s="81">
        <v>3.8392707177608388E-4</v>
      </c>
      <c r="F69" s="68">
        <f t="shared" si="29"/>
        <v>1.1287197807152777E-2</v>
      </c>
      <c r="G69" s="81">
        <v>3.8392707177608388E-4</v>
      </c>
      <c r="H69" s="68">
        <f t="shared" si="23"/>
        <v>0.12558213781368743</v>
      </c>
      <c r="I69" s="81">
        <v>0</v>
      </c>
      <c r="J69" s="68">
        <f t="shared" si="24"/>
        <v>0</v>
      </c>
      <c r="K69" s="81">
        <v>3.4258707154817664E-5</v>
      </c>
      <c r="L69" s="68">
        <f t="shared" si="25"/>
        <v>1.9322549558992372E-3</v>
      </c>
      <c r="M69" s="81">
        <v>4.0756655341124437E-2</v>
      </c>
      <c r="N69" s="68">
        <f t="shared" si="26"/>
        <v>1.97485874466043</v>
      </c>
      <c r="O69" s="81">
        <v>0</v>
      </c>
      <c r="P69" s="68">
        <f t="shared" si="27"/>
        <v>0</v>
      </c>
      <c r="Q69" s="81">
        <v>5.4407242312033552E-3</v>
      </c>
      <c r="R69" s="68">
        <f t="shared" si="28"/>
        <v>0.10364995098051957</v>
      </c>
      <c r="S69" s="88">
        <f t="shared" si="30"/>
        <v>2.116757931703376</v>
      </c>
    </row>
    <row r="70" spans="2:19">
      <c r="B70" s="77" t="s">
        <v>4</v>
      </c>
      <c r="C70" s="81"/>
      <c r="D70" s="68">
        <f t="shared" si="29"/>
        <v>0</v>
      </c>
      <c r="E70" s="81">
        <v>1.3789904078962405E-3</v>
      </c>
      <c r="F70" s="68">
        <f t="shared" si="29"/>
        <v>4.0541390936789767E-2</v>
      </c>
      <c r="G70" s="81">
        <v>1.3789904078962405E-3</v>
      </c>
      <c r="H70" s="68">
        <f t="shared" si="23"/>
        <v>0.45106629925065489</v>
      </c>
      <c r="I70" s="81">
        <v>0</v>
      </c>
      <c r="J70" s="68">
        <f t="shared" si="24"/>
        <v>0</v>
      </c>
      <c r="K70" s="81">
        <v>5.6242841570359239E-5</v>
      </c>
      <c r="L70" s="68">
        <f t="shared" si="25"/>
        <v>3.1722011244344249E-3</v>
      </c>
      <c r="M70" s="81">
        <v>7.046925077627368E-3</v>
      </c>
      <c r="N70" s="68">
        <f t="shared" si="26"/>
        <v>0.34145789187163805</v>
      </c>
      <c r="O70" s="81">
        <v>0.20947449046611499</v>
      </c>
      <c r="P70" s="68">
        <f t="shared" si="27"/>
        <v>0.39459033046472236</v>
      </c>
      <c r="Q70" s="81">
        <v>1.1995532939826241E-2</v>
      </c>
      <c r="R70" s="68">
        <f t="shared" si="28"/>
        <v>0.22852406193783545</v>
      </c>
      <c r="S70" s="88">
        <f t="shared" si="30"/>
        <v>1.3931723097220701</v>
      </c>
    </row>
    <row r="71" spans="2:19">
      <c r="B71" s="77" t="s">
        <v>8</v>
      </c>
      <c r="C71" s="81"/>
      <c r="D71" s="68">
        <f t="shared" si="29"/>
        <v>0</v>
      </c>
      <c r="E71" s="81">
        <v>9.1108038859427018E-3</v>
      </c>
      <c r="F71" s="68">
        <f t="shared" si="29"/>
        <v>0.26785150931682083</v>
      </c>
      <c r="G71" s="81">
        <v>9.1108038859427018E-3</v>
      </c>
      <c r="H71" s="68">
        <f t="shared" si="23"/>
        <v>2.9801342841101746</v>
      </c>
      <c r="I71" s="81">
        <v>0</v>
      </c>
      <c r="J71" s="68">
        <f t="shared" si="24"/>
        <v>0</v>
      </c>
      <c r="K71" s="81">
        <v>0.38271994228289974</v>
      </c>
      <c r="L71" s="68">
        <f t="shared" si="25"/>
        <v>21.586118292663254</v>
      </c>
      <c r="M71" s="81">
        <v>2.2408799339974274E-4</v>
      </c>
      <c r="N71" s="68">
        <f t="shared" si="26"/>
        <v>1.0858156284781179E-2</v>
      </c>
      <c r="O71" s="81">
        <v>0</v>
      </c>
      <c r="P71" s="68">
        <f t="shared" si="27"/>
        <v>0</v>
      </c>
      <c r="Q71" s="81">
        <v>5.077590014437941E-2</v>
      </c>
      <c r="R71" s="68">
        <f t="shared" si="28"/>
        <v>0.96731966872591402</v>
      </c>
      <c r="S71" s="88">
        <f t="shared" si="30"/>
        <v>24.641725973268795</v>
      </c>
    </row>
    <row r="72" spans="2:19" ht="15.75" thickBot="1">
      <c r="B72" s="78" t="s">
        <v>6</v>
      </c>
      <c r="C72" s="82"/>
      <c r="D72" s="87">
        <f>C72*D$73</f>
        <v>0</v>
      </c>
      <c r="E72" s="82">
        <v>1.1202584359652861E-2</v>
      </c>
      <c r="F72" s="87">
        <f>E72*F$73</f>
        <v>0.32934844900039822</v>
      </c>
      <c r="G72" s="82">
        <v>1.1202584359652861E-2</v>
      </c>
      <c r="H72" s="87">
        <f t="shared" si="23"/>
        <v>3.6643534575855403</v>
      </c>
      <c r="I72" s="82">
        <v>0</v>
      </c>
      <c r="J72" s="87">
        <f t="shared" si="24"/>
        <v>0</v>
      </c>
      <c r="K72" s="82">
        <v>6.1266920314678318E-4</v>
      </c>
      <c r="L72" s="87">
        <f t="shared" si="25"/>
        <v>3.4555685325700643E-2</v>
      </c>
      <c r="M72" s="82">
        <v>0.34878600730971632</v>
      </c>
      <c r="N72" s="87">
        <f t="shared" si="26"/>
        <v>16.900383281838419</v>
      </c>
      <c r="O72" s="82">
        <v>0</v>
      </c>
      <c r="P72" s="87">
        <f t="shared" si="27"/>
        <v>0</v>
      </c>
      <c r="Q72" s="82">
        <v>8.2028000780250909E-2</v>
      </c>
      <c r="R72" s="87">
        <f t="shared" si="28"/>
        <v>1.5626960490189281</v>
      </c>
      <c r="S72" s="88">
        <f t="shared" si="30"/>
        <v>21.471381845747757</v>
      </c>
    </row>
    <row r="73" spans="2:19" ht="15.75" thickBot="1">
      <c r="B73" s="79" t="s">
        <v>10</v>
      </c>
      <c r="C73" s="83">
        <f>SUM(C64:C72)</f>
        <v>0</v>
      </c>
      <c r="D73" s="73">
        <f>E26</f>
        <v>0</v>
      </c>
      <c r="E73" s="83">
        <f>SUM(E64:E72)</f>
        <v>1</v>
      </c>
      <c r="F73" s="73">
        <f>E27</f>
        <v>29.399327728928064</v>
      </c>
      <c r="G73" s="83">
        <f>SUM(G64:G72)</f>
        <v>1</v>
      </c>
      <c r="H73" s="73">
        <f>E28</f>
        <v>327.09893895403695</v>
      </c>
      <c r="I73" s="83">
        <f>SUM(I64:I72)</f>
        <v>1</v>
      </c>
      <c r="J73" s="73">
        <f>E29</f>
        <v>2.6206075704886547</v>
      </c>
      <c r="K73" s="83">
        <f>SUM(K64:K72)</f>
        <v>0.99999999999999989</v>
      </c>
      <c r="L73" s="73">
        <f>E30</f>
        <v>56.401864412665439</v>
      </c>
      <c r="M73" s="83">
        <f>SUM(M64:M72)</f>
        <v>1</v>
      </c>
      <c r="N73" s="73">
        <f>E31</f>
        <v>48.454877568615167</v>
      </c>
      <c r="O73" s="83">
        <f>SUM(O64:O72)</f>
        <v>1</v>
      </c>
      <c r="P73" s="73">
        <f>E32</f>
        <v>1.8837154327798786</v>
      </c>
      <c r="Q73" s="83">
        <f>SUM(Q64:Q72)</f>
        <v>1</v>
      </c>
      <c r="R73" s="74">
        <f>E33</f>
        <v>19.050763570421715</v>
      </c>
      <c r="S73" s="80">
        <f>SUM(S64:S72)</f>
        <v>462.92000566544408</v>
      </c>
    </row>
    <row r="74" spans="2:19" ht="15.75" thickTop="1"/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B41"/>
  <sheetViews>
    <sheetView workbookViewId="0">
      <selection activeCell="Q18" sqref="Q18"/>
    </sheetView>
  </sheetViews>
  <sheetFormatPr defaultRowHeight="15"/>
  <cols>
    <col min="1" max="1" width="13.7109375" customWidth="1"/>
    <col min="2" max="2" width="12.28515625" customWidth="1"/>
    <col min="3" max="5" width="11.28515625" customWidth="1"/>
    <col min="7" max="7" width="10.85546875" bestFit="1" customWidth="1"/>
    <col min="9" max="10" width="13.140625" customWidth="1"/>
    <col min="11" max="11" width="13.7109375" style="5" customWidth="1"/>
    <col min="12" max="12" width="13.140625" customWidth="1"/>
    <col min="13" max="13" width="13.85546875" style="5" customWidth="1"/>
    <col min="14" max="14" width="13.140625" customWidth="1"/>
    <col min="15" max="15" width="13.85546875" style="5" customWidth="1"/>
    <col min="16" max="16" width="15.140625" style="5" customWidth="1"/>
  </cols>
  <sheetData>
    <row r="3" spans="1:28" ht="15.75" thickBot="1"/>
    <row r="4" spans="1:28" ht="16.5" thickTop="1" thickBot="1">
      <c r="C4" s="1">
        <v>2005</v>
      </c>
      <c r="D4" s="1">
        <v>2011</v>
      </c>
      <c r="E4" s="1">
        <v>2016</v>
      </c>
      <c r="I4" s="76">
        <v>2005</v>
      </c>
      <c r="J4" s="75" t="s">
        <v>338</v>
      </c>
      <c r="K4" s="91" t="s">
        <v>339</v>
      </c>
      <c r="L4" s="75" t="s">
        <v>340</v>
      </c>
      <c r="M4" s="91" t="s">
        <v>341</v>
      </c>
      <c r="N4" s="75" t="s">
        <v>342</v>
      </c>
      <c r="O4" s="94" t="s">
        <v>343</v>
      </c>
      <c r="P4" s="94" t="s">
        <v>10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</row>
    <row r="5" spans="1:28" ht="15.75" thickTop="1">
      <c r="A5" t="s">
        <v>348</v>
      </c>
      <c r="C5" s="5">
        <v>37961087.221999995</v>
      </c>
      <c r="D5" s="5">
        <v>2512152.4200000009</v>
      </c>
      <c r="E5" s="5">
        <v>1385226</v>
      </c>
      <c r="I5" s="77" t="s">
        <v>2</v>
      </c>
      <c r="J5" s="81">
        <v>0</v>
      </c>
      <c r="K5" s="92">
        <f>J5*K$14</f>
        <v>0</v>
      </c>
      <c r="L5" s="84">
        <v>7.8359070150463929E-5</v>
      </c>
      <c r="M5" s="92">
        <f>L5*M$14</f>
        <v>5556.7720170522834</v>
      </c>
      <c r="N5" s="81">
        <v>8.0418470820858082E-2</v>
      </c>
      <c r="O5" s="95">
        <f>N5*O$14</f>
        <v>4852403.20709047</v>
      </c>
      <c r="P5" s="97">
        <f>$C$41*(K5+M5+O5)</f>
        <v>4870667.5660395278</v>
      </c>
      <c r="S5" t="s">
        <v>2</v>
      </c>
      <c r="T5">
        <v>5483370.1662733173</v>
      </c>
      <c r="U5">
        <f>T5/1000000</f>
        <v>5.4833701662733176</v>
      </c>
      <c r="V5">
        <f>T8/1000000</f>
        <v>1.3347608303410767</v>
      </c>
      <c r="W5">
        <f>T11/1000000</f>
        <v>0.48423612577955455</v>
      </c>
      <c r="X5">
        <f>T10/1000000</f>
        <v>2.7785982176107162</v>
      </c>
      <c r="Y5">
        <f>T13/1000000</f>
        <v>23.802788250158585</v>
      </c>
      <c r="Z5">
        <f>T6/1000000</f>
        <v>35.476974576677435</v>
      </c>
      <c r="AA5">
        <f>T12/1000000</f>
        <v>28.991260371632258</v>
      </c>
      <c r="AB5">
        <f>T7/1000000</f>
        <v>27.128027590918233</v>
      </c>
    </row>
    <row r="6" spans="1:28">
      <c r="A6" t="s">
        <v>349</v>
      </c>
      <c r="C6" s="5">
        <f>17818346.6160074+6601805.29465371</f>
        <v>24420151.910661109</v>
      </c>
      <c r="D6" s="5">
        <f>24005665.15+5829590.68</f>
        <v>29835255.829999998</v>
      </c>
      <c r="E6" s="5">
        <f>15257344.96 + 6187246.61</f>
        <v>21444591.57</v>
      </c>
      <c r="I6" s="77" t="s">
        <v>7</v>
      </c>
      <c r="J6" s="81">
        <v>0</v>
      </c>
      <c r="K6" s="92">
        <f t="shared" ref="K6:K13" si="0">J6*K$14</f>
        <v>0</v>
      </c>
      <c r="L6" s="81">
        <v>0.46780135251632365</v>
      </c>
      <c r="M6" s="92">
        <f t="shared" ref="M6:M13" si="1">L6*M$14</f>
        <v>33173766.102768485</v>
      </c>
      <c r="N6" s="81">
        <v>8.7214853429354777E-4</v>
      </c>
      <c r="O6" s="95">
        <f t="shared" ref="O6:O13" si="2">N6*O$14</f>
        <v>52624.929343565796</v>
      </c>
      <c r="P6" s="97">
        <f t="shared" ref="P6:P13" si="3">$C$41*(K6+M6+O6)</f>
        <v>33313305.550612248</v>
      </c>
      <c r="S6" s="36" t="s">
        <v>7</v>
      </c>
      <c r="T6" s="1">
        <v>35476974.576677434</v>
      </c>
      <c r="U6" s="1"/>
      <c r="V6" s="1"/>
      <c r="W6" s="1"/>
      <c r="X6" s="1"/>
      <c r="Y6" s="1"/>
      <c r="Z6" s="1"/>
      <c r="AA6" s="1"/>
      <c r="AB6" s="1"/>
    </row>
    <row r="7" spans="1:28">
      <c r="A7" t="s">
        <v>350</v>
      </c>
      <c r="C7" s="5">
        <f>7179404.87624851+76341.9087812264</f>
        <v>7255746.7850297363</v>
      </c>
      <c r="D7" s="5">
        <f>12422338.16+285883.75</f>
        <v>12708221.91</v>
      </c>
      <c r="E7" s="5">
        <f>14989439.15+442545.62</f>
        <v>15431984.77</v>
      </c>
      <c r="I7" s="77" t="s">
        <v>9</v>
      </c>
      <c r="J7" s="81">
        <v>1</v>
      </c>
      <c r="K7" s="92">
        <f t="shared" si="0"/>
        <v>8227368.881745345</v>
      </c>
      <c r="L7" s="81">
        <v>0.13719882236848113</v>
      </c>
      <c r="M7" s="92">
        <f t="shared" si="1"/>
        <v>9729346.9083513506</v>
      </c>
      <c r="N7" s="81">
        <v>0.13353849195079934</v>
      </c>
      <c r="O7" s="95">
        <f t="shared" si="2"/>
        <v>8057634.0236006686</v>
      </c>
      <c r="P7" s="97">
        <f t="shared" si="3"/>
        <v>26082398.874035213</v>
      </c>
      <c r="S7" t="s">
        <v>9</v>
      </c>
      <c r="T7">
        <v>27128027.590918232</v>
      </c>
    </row>
    <row r="8" spans="1:28">
      <c r="A8" t="s">
        <v>351</v>
      </c>
      <c r="C8" s="5">
        <f>35169143.3721847+340591.733762246</f>
        <v>35509735.105946951</v>
      </c>
      <c r="D8" s="5">
        <f>45600250.37+561947.76</f>
        <v>46162198.129999995</v>
      </c>
      <c r="E8" s="5">
        <f>59080013.382 + 1102094.915</f>
        <v>60182108.296999998</v>
      </c>
      <c r="I8" s="77" t="s">
        <v>3</v>
      </c>
      <c r="J8" s="81">
        <v>0</v>
      </c>
      <c r="K8" s="92">
        <f t="shared" si="0"/>
        <v>0</v>
      </c>
      <c r="L8" s="81">
        <v>1.5929614216597191E-4</v>
      </c>
      <c r="M8" s="92">
        <f t="shared" si="1"/>
        <v>11296.361014909444</v>
      </c>
      <c r="N8" s="81">
        <v>1.9419581361396453E-2</v>
      </c>
      <c r="O8" s="95">
        <f t="shared" si="2"/>
        <v>1171766.1118961948</v>
      </c>
      <c r="P8" s="97">
        <f t="shared" si="3"/>
        <v>1186157.160657641</v>
      </c>
      <c r="S8" t="s">
        <v>3</v>
      </c>
      <c r="T8">
        <v>1334760.8303410767</v>
      </c>
    </row>
    <row r="9" spans="1:28">
      <c r="A9" t="s">
        <v>352</v>
      </c>
      <c r="C9" s="5">
        <f>29979902.2092322+234582.910704951</f>
        <v>30214485.119937152</v>
      </c>
      <c r="D9" s="5">
        <f>41802045.03+564809.86</f>
        <v>42366854.890000001</v>
      </c>
      <c r="E9" s="5">
        <f>53558127.66+583551.47</f>
        <v>54141679.129999995</v>
      </c>
      <c r="I9" s="77" t="s">
        <v>188</v>
      </c>
      <c r="J9" s="81">
        <v>0</v>
      </c>
      <c r="K9" s="92">
        <f t="shared" si="0"/>
        <v>0</v>
      </c>
      <c r="L9" s="81">
        <v>1.1339056868107072E-2</v>
      </c>
      <c r="M9" s="92">
        <f t="shared" si="1"/>
        <v>804100.32665617124</v>
      </c>
      <c r="N9" s="81">
        <v>0.3689376316107848</v>
      </c>
      <c r="O9" s="95">
        <f t="shared" si="2"/>
        <v>22261479.590086944</v>
      </c>
      <c r="P9" s="97">
        <f t="shared" si="3"/>
        <v>23125915.502707116</v>
      </c>
      <c r="S9" t="s">
        <v>188</v>
      </c>
      <c r="T9">
        <v>25987451.727226466</v>
      </c>
    </row>
    <row r="10" spans="1:28">
      <c r="A10" t="s">
        <v>353</v>
      </c>
      <c r="C10" s="5">
        <f>4038838.57932725+80951.5920978668</f>
        <v>4119790.1714251167</v>
      </c>
      <c r="D10" s="5">
        <f>6840677.17+20915.46</f>
        <v>6861592.6299999999</v>
      </c>
      <c r="E10" s="5">
        <f>6055212.758+21824.635</f>
        <v>6077037.3930000002</v>
      </c>
      <c r="I10" s="77" t="s">
        <v>5</v>
      </c>
      <c r="J10" s="81">
        <v>0</v>
      </c>
      <c r="K10" s="92">
        <f t="shared" si="0"/>
        <v>0</v>
      </c>
      <c r="L10" s="81">
        <v>3.4258707154817664E-5</v>
      </c>
      <c r="M10" s="92">
        <f t="shared" si="1"/>
        <v>2429.4293550540883</v>
      </c>
      <c r="N10" s="81">
        <v>4.0756655341124437E-2</v>
      </c>
      <c r="O10" s="95">
        <f t="shared" si="2"/>
        <v>2459232.6000341987</v>
      </c>
      <c r="P10" s="97">
        <f t="shared" si="3"/>
        <v>2468101.3134447439</v>
      </c>
      <c r="S10" t="s">
        <v>5</v>
      </c>
      <c r="T10">
        <v>2778598.2176107164</v>
      </c>
    </row>
    <row r="11" spans="1:28">
      <c r="A11" t="s">
        <v>354</v>
      </c>
      <c r="C11" s="5">
        <v>-10768917.220000001</v>
      </c>
      <c r="D11" s="5">
        <v>-13824457</v>
      </c>
      <c r="E11" s="5">
        <v>-20390916.999999996</v>
      </c>
      <c r="I11" s="77" t="s">
        <v>4</v>
      </c>
      <c r="J11" s="81">
        <v>0</v>
      </c>
      <c r="K11" s="92">
        <f t="shared" si="0"/>
        <v>0</v>
      </c>
      <c r="L11" s="81">
        <v>5.6242841570359239E-5</v>
      </c>
      <c r="M11" s="92">
        <f t="shared" si="1"/>
        <v>3988.4170090018197</v>
      </c>
      <c r="N11" s="81">
        <v>7.046925077627368E-3</v>
      </c>
      <c r="O11" s="95">
        <f t="shared" si="2"/>
        <v>425207.31242176634</v>
      </c>
      <c r="P11" s="97">
        <f t="shared" si="3"/>
        <v>430318.43156624126</v>
      </c>
      <c r="S11" t="s">
        <v>4</v>
      </c>
      <c r="T11">
        <v>484236.12577955454</v>
      </c>
    </row>
    <row r="12" spans="1:28">
      <c r="A12" t="s">
        <v>355</v>
      </c>
      <c r="C12" s="5"/>
      <c r="D12" s="5">
        <v>-331975.25</v>
      </c>
      <c r="E12" s="5">
        <f>-32625.96</f>
        <v>-32625.96</v>
      </c>
      <c r="G12" s="5"/>
      <c r="I12" s="77" t="s">
        <v>8</v>
      </c>
      <c r="J12" s="81">
        <v>0</v>
      </c>
      <c r="K12" s="92">
        <f t="shared" si="0"/>
        <v>0</v>
      </c>
      <c r="L12" s="81">
        <v>0.38271994228289974</v>
      </c>
      <c r="M12" s="92">
        <f t="shared" si="1"/>
        <v>27140284.609833274</v>
      </c>
      <c r="N12" s="81">
        <v>2.2408799339974274E-4</v>
      </c>
      <c r="O12" s="95">
        <f t="shared" si="2"/>
        <v>13521.337657185974</v>
      </c>
      <c r="P12" s="97">
        <f t="shared" si="3"/>
        <v>27224835.628899224</v>
      </c>
      <c r="S12" t="s">
        <v>8</v>
      </c>
      <c r="T12">
        <v>28991260.371632259</v>
      </c>
    </row>
    <row r="13" spans="1:28" ht="15.75" thickBot="1">
      <c r="A13" t="s">
        <v>356</v>
      </c>
      <c r="C13" s="5">
        <f>SUM(C5:C12)</f>
        <v>128712079.09500006</v>
      </c>
      <c r="D13" s="5">
        <f>SUM(D5:D12)</f>
        <v>126289843.56</v>
      </c>
      <c r="E13" s="5">
        <f>SUM(E5:E12)</f>
        <v>138239084.19999999</v>
      </c>
      <c r="I13" s="77" t="s">
        <v>6</v>
      </c>
      <c r="J13" s="81">
        <v>0</v>
      </c>
      <c r="K13" s="92">
        <f t="shared" si="0"/>
        <v>0</v>
      </c>
      <c r="L13" s="81">
        <v>6.1266920314678318E-4</v>
      </c>
      <c r="M13" s="92">
        <f t="shared" si="1"/>
        <v>43446.956136903689</v>
      </c>
      <c r="N13" s="81">
        <v>0.34878600730971632</v>
      </c>
      <c r="O13" s="95">
        <f t="shared" si="2"/>
        <v>21045542.437981524</v>
      </c>
      <c r="P13" s="97">
        <f t="shared" si="3"/>
        <v>21144154.559576035</v>
      </c>
      <c r="S13" t="s">
        <v>6</v>
      </c>
      <c r="T13">
        <v>23802788.250158586</v>
      </c>
    </row>
    <row r="14" spans="1:28" ht="16.5" thickTop="1" thickBot="1">
      <c r="A14" t="s">
        <v>357</v>
      </c>
      <c r="C14" s="5">
        <f>SUM(C5:C10)</f>
        <v>139480996.31500006</v>
      </c>
      <c r="D14" s="5">
        <f>SUM(D5:D10)</f>
        <v>140446275.81</v>
      </c>
      <c r="E14" s="5">
        <f>SUM(E5:E10)</f>
        <v>158662627.16</v>
      </c>
      <c r="I14" s="89" t="s">
        <v>10</v>
      </c>
      <c r="J14" s="90">
        <f>SUM(J5:J13)</f>
        <v>1</v>
      </c>
      <c r="K14" s="93">
        <f>C26</f>
        <v>8227368.881745345</v>
      </c>
      <c r="L14" s="90">
        <f>SUM(L5:L13)</f>
        <v>0.99999999999999989</v>
      </c>
      <c r="M14" s="93">
        <f>C24</f>
        <v>70914215.883142203</v>
      </c>
      <c r="N14" s="90">
        <f>SUM(N5:N13)</f>
        <v>1</v>
      </c>
      <c r="O14" s="96">
        <f>C25</f>
        <v>60339411.550112516</v>
      </c>
      <c r="P14" s="96">
        <f>SUM(P5:P13)</f>
        <v>139845854.587538</v>
      </c>
    </row>
    <row r="15" spans="1:28" ht="15.75" thickTop="1"/>
    <row r="16" spans="1:28" ht="15.75" thickBot="1"/>
    <row r="17" spans="1:16" ht="16.5" thickTop="1" thickBot="1">
      <c r="A17" t="s">
        <v>358</v>
      </c>
      <c r="I17" s="76">
        <v>2011</v>
      </c>
      <c r="J17" s="75" t="s">
        <v>338</v>
      </c>
      <c r="K17" s="91" t="s">
        <v>339</v>
      </c>
      <c r="L17" s="75" t="s">
        <v>340</v>
      </c>
      <c r="M17" s="91" t="s">
        <v>341</v>
      </c>
      <c r="N17" s="75" t="s">
        <v>342</v>
      </c>
      <c r="O17" s="94" t="s">
        <v>343</v>
      </c>
      <c r="P17" s="94" t="s">
        <v>10</v>
      </c>
    </row>
    <row r="18" spans="1:16" ht="15.75" thickTop="1">
      <c r="A18" t="s">
        <v>359</v>
      </c>
      <c r="C18" s="1">
        <v>2005</v>
      </c>
      <c r="D18" s="1">
        <v>2011</v>
      </c>
      <c r="E18" s="1">
        <v>2016</v>
      </c>
      <c r="I18" s="77" t="s">
        <v>2</v>
      </c>
      <c r="J18" s="81">
        <v>0</v>
      </c>
      <c r="K18" s="92">
        <f>J18*K$27</f>
        <v>0</v>
      </c>
      <c r="L18" s="84">
        <v>7.8359070150463929E-5</v>
      </c>
      <c r="M18" s="92">
        <f>L18*M$27</f>
        <v>5325.7428590843856</v>
      </c>
      <c r="N18" s="81">
        <v>8.0418470820858082E-2</v>
      </c>
      <c r="O18" s="95">
        <f>N18*O$27</f>
        <v>5016334.3461662</v>
      </c>
      <c r="P18" s="97">
        <f>$D$41*(K18+M18+O18)</f>
        <v>5021660.0890252842</v>
      </c>
    </row>
    <row r="19" spans="1:16">
      <c r="A19" t="s">
        <v>351</v>
      </c>
      <c r="C19" s="5">
        <f t="shared" ref="C19:E21" si="4">(C8/SUM(C$8:C$10))*SUM(C$5:C$7)</f>
        <v>35404480.77719526</v>
      </c>
      <c r="D19" s="5">
        <f t="shared" si="4"/>
        <v>21803678.045635741</v>
      </c>
      <c r="E19" s="5">
        <f t="shared" si="4"/>
        <v>19125084.363058172</v>
      </c>
      <c r="I19" s="77" t="s">
        <v>7</v>
      </c>
      <c r="J19" s="81">
        <v>0</v>
      </c>
      <c r="K19" s="92">
        <f t="shared" ref="K19:K26" si="5">J19*K$27</f>
        <v>0</v>
      </c>
      <c r="L19" s="81">
        <v>0.46780135251632365</v>
      </c>
      <c r="M19" s="92">
        <f t="shared" ref="M19:M26" si="6">L19*M$27</f>
        <v>31794528.799919378</v>
      </c>
      <c r="N19" s="81">
        <v>8.7214853429354777E-4</v>
      </c>
      <c r="O19" s="95">
        <f t="shared" ref="O19:O26" si="7">N19*O$27</f>
        <v>54402.783376483902</v>
      </c>
      <c r="P19" s="97">
        <f t="shared" ref="P19:P26" si="8">$D$41*(K19+M19+O19)</f>
        <v>31848931.583295863</v>
      </c>
    </row>
    <row r="20" spans="1:16">
      <c r="A20" t="s">
        <v>352</v>
      </c>
      <c r="C20" s="5">
        <f t="shared" si="4"/>
        <v>30124926.43017536</v>
      </c>
      <c r="D20" s="5">
        <f t="shared" si="4"/>
        <v>20011032.863432847</v>
      </c>
      <c r="E20" s="5">
        <f t="shared" si="4"/>
        <v>17205515.230686802</v>
      </c>
      <c r="I20" s="77" t="s">
        <v>9</v>
      </c>
      <c r="J20" s="81">
        <v>1</v>
      </c>
      <c r="K20" s="92">
        <f t="shared" si="5"/>
        <v>10102511.880931411</v>
      </c>
      <c r="L20" s="81">
        <v>0.13719882236848113</v>
      </c>
      <c r="M20" s="92">
        <f t="shared" si="6"/>
        <v>9324838.1725392323</v>
      </c>
      <c r="N20" s="81">
        <v>0.13353849195079934</v>
      </c>
      <c r="O20" s="95">
        <f t="shared" si="7"/>
        <v>8329849.061669657</v>
      </c>
      <c r="P20" s="97">
        <f t="shared" si="8"/>
        <v>27757199.115140297</v>
      </c>
    </row>
    <row r="21" spans="1:16">
      <c r="A21" t="s">
        <v>353</v>
      </c>
      <c r="C21" s="5">
        <f t="shared" si="4"/>
        <v>4107578.7103202282</v>
      </c>
      <c r="D21" s="5">
        <f t="shared" si="4"/>
        <v>3240919.2509314115</v>
      </c>
      <c r="E21" s="5">
        <f t="shared" si="4"/>
        <v>1931202.7462550316</v>
      </c>
      <c r="I21" s="77" t="s">
        <v>3</v>
      </c>
      <c r="J21" s="81">
        <v>0</v>
      </c>
      <c r="K21" s="92">
        <f t="shared" si="5"/>
        <v>0</v>
      </c>
      <c r="L21" s="81">
        <v>1.5929614216597191E-4</v>
      </c>
      <c r="M21" s="92">
        <f t="shared" si="6"/>
        <v>10826.701873708915</v>
      </c>
      <c r="N21" s="81">
        <v>1.9419581361396453E-2</v>
      </c>
      <c r="O21" s="95">
        <f t="shared" si="7"/>
        <v>1211352.4663798446</v>
      </c>
      <c r="P21" s="97">
        <f t="shared" si="8"/>
        <v>1222179.1682535536</v>
      </c>
    </row>
    <row r="22" spans="1:16">
      <c r="I22" s="77" t="s">
        <v>188</v>
      </c>
      <c r="J22" s="81">
        <v>0</v>
      </c>
      <c r="K22" s="92">
        <f t="shared" si="5"/>
        <v>0</v>
      </c>
      <c r="L22" s="81">
        <v>1.1339056868107072E-2</v>
      </c>
      <c r="M22" s="92">
        <f t="shared" si="6"/>
        <v>770668.93504625733</v>
      </c>
      <c r="N22" s="81">
        <v>0.3689376316107848</v>
      </c>
      <c r="O22" s="95">
        <f t="shared" si="7"/>
        <v>23013550.172634892</v>
      </c>
      <c r="P22" s="97">
        <f t="shared" si="8"/>
        <v>23784219.107681148</v>
      </c>
    </row>
    <row r="23" spans="1:16">
      <c r="A23" t="s">
        <v>360</v>
      </c>
      <c r="C23" s="1">
        <v>2005</v>
      </c>
      <c r="D23" s="1">
        <v>2011</v>
      </c>
      <c r="E23" s="1">
        <v>2016</v>
      </c>
      <c r="I23" s="77" t="s">
        <v>5</v>
      </c>
      <c r="J23" s="81">
        <v>0</v>
      </c>
      <c r="K23" s="92">
        <f t="shared" si="5"/>
        <v>0</v>
      </c>
      <c r="L23" s="81">
        <v>3.4258707154817664E-5</v>
      </c>
      <c r="M23" s="92">
        <f t="shared" si="6"/>
        <v>2328.4230484217037</v>
      </c>
      <c r="N23" s="81">
        <v>4.0756655341124437E-2</v>
      </c>
      <c r="O23" s="95">
        <f t="shared" si="7"/>
        <v>2542314.0720740096</v>
      </c>
      <c r="P23" s="97">
        <f t="shared" si="8"/>
        <v>2544642.4951224313</v>
      </c>
    </row>
    <row r="24" spans="1:16">
      <c r="A24" t="s">
        <v>351</v>
      </c>
      <c r="C24" s="5">
        <f>C19+C8</f>
        <v>70914215.883142203</v>
      </c>
      <c r="D24" s="5">
        <f>D19+D8</f>
        <v>67965876.17563574</v>
      </c>
      <c r="E24" s="5">
        <f>E19+E8</f>
        <v>79307192.660058171</v>
      </c>
      <c r="I24" s="77" t="s">
        <v>4</v>
      </c>
      <c r="J24" s="81">
        <v>0</v>
      </c>
      <c r="K24" s="92">
        <f t="shared" si="5"/>
        <v>0</v>
      </c>
      <c r="L24" s="81">
        <v>5.6242841570359239E-5</v>
      </c>
      <c r="M24" s="92">
        <f t="shared" si="6"/>
        <v>3822.5940059369345</v>
      </c>
      <c r="N24" s="81">
        <v>7.046925077627368E-3</v>
      </c>
      <c r="O24" s="95">
        <f t="shared" si="7"/>
        <v>439572.30149909103</v>
      </c>
      <c r="P24" s="97">
        <f t="shared" si="8"/>
        <v>443394.89550502796</v>
      </c>
    </row>
    <row r="25" spans="1:16">
      <c r="A25" t="s">
        <v>352</v>
      </c>
      <c r="C25" s="5">
        <f t="shared" ref="C25:E26" si="9">C20+C9</f>
        <v>60339411.550112516</v>
      </c>
      <c r="D25" s="5">
        <f t="shared" si="9"/>
        <v>62377887.753432848</v>
      </c>
      <c r="E25" s="5">
        <f t="shared" si="9"/>
        <v>71347194.360686794</v>
      </c>
      <c r="I25" s="77" t="s">
        <v>8</v>
      </c>
      <c r="J25" s="81">
        <v>0</v>
      </c>
      <c r="K25" s="92">
        <f t="shared" si="5"/>
        <v>0</v>
      </c>
      <c r="L25" s="81">
        <v>0.38271994228289974</v>
      </c>
      <c r="M25" s="92">
        <f t="shared" si="6"/>
        <v>26011896.207146022</v>
      </c>
      <c r="N25" s="81">
        <v>2.2408799339974274E-4</v>
      </c>
      <c r="O25" s="95">
        <f t="shared" si="7"/>
        <v>13978.135699181154</v>
      </c>
      <c r="P25" s="97">
        <f t="shared" si="8"/>
        <v>26025874.342845205</v>
      </c>
    </row>
    <row r="26" spans="1:16" ht="15.75" thickBot="1">
      <c r="A26" t="s">
        <v>353</v>
      </c>
      <c r="C26" s="5">
        <f t="shared" si="9"/>
        <v>8227368.881745345</v>
      </c>
      <c r="D26" s="5">
        <f t="shared" si="9"/>
        <v>10102511.880931411</v>
      </c>
      <c r="E26" s="5">
        <f t="shared" si="9"/>
        <v>8008240.1392550319</v>
      </c>
      <c r="I26" s="77" t="s">
        <v>6</v>
      </c>
      <c r="J26" s="81">
        <v>0</v>
      </c>
      <c r="K26" s="92">
        <f t="shared" si="5"/>
        <v>0</v>
      </c>
      <c r="L26" s="81">
        <v>6.1266920314678318E-4</v>
      </c>
      <c r="M26" s="92">
        <f t="shared" si="6"/>
        <v>41640.599197699681</v>
      </c>
      <c r="N26" s="81">
        <v>0.34878600730971632</v>
      </c>
      <c r="O26" s="95">
        <f t="shared" si="7"/>
        <v>21756534.413933493</v>
      </c>
      <c r="P26" s="97">
        <f t="shared" si="8"/>
        <v>21798175.013131194</v>
      </c>
    </row>
    <row r="27" spans="1:16" ht="16.5" thickTop="1" thickBot="1">
      <c r="I27" s="89" t="s">
        <v>10</v>
      </c>
      <c r="J27" s="90">
        <f>SUM(J18:J26)</f>
        <v>1</v>
      </c>
      <c r="K27" s="93">
        <f>D26</f>
        <v>10102511.880931411</v>
      </c>
      <c r="L27" s="90">
        <f>SUM(L18:L26)</f>
        <v>0.99999999999999989</v>
      </c>
      <c r="M27" s="93">
        <f>D24</f>
        <v>67965876.17563574</v>
      </c>
      <c r="N27" s="90">
        <f>SUM(N18:N26)</f>
        <v>1</v>
      </c>
      <c r="O27" s="96">
        <f>D25</f>
        <v>62377887.753432848</v>
      </c>
      <c r="P27" s="96">
        <f>SUM(P18:P26)</f>
        <v>140446275.81</v>
      </c>
    </row>
    <row r="28" spans="1:16" ht="15.75" thickTop="1"/>
    <row r="29" spans="1:16" ht="15.75" thickBot="1">
      <c r="A29" t="s">
        <v>361</v>
      </c>
    </row>
    <row r="30" spans="1:16" ht="16.5" thickTop="1" thickBot="1">
      <c r="A30" t="s">
        <v>362</v>
      </c>
      <c r="I30" s="76">
        <v>2016</v>
      </c>
      <c r="J30" s="75" t="s">
        <v>338</v>
      </c>
      <c r="K30" s="91" t="s">
        <v>339</v>
      </c>
      <c r="L30" s="75" t="s">
        <v>340</v>
      </c>
      <c r="M30" s="91" t="s">
        <v>341</v>
      </c>
      <c r="N30" s="75" t="s">
        <v>342</v>
      </c>
      <c r="O30" s="94" t="s">
        <v>343</v>
      </c>
      <c r="P30" s="94" t="s">
        <v>10</v>
      </c>
    </row>
    <row r="31" spans="1:16" ht="15.75" thickTop="1">
      <c r="A31" t="s">
        <v>363</v>
      </c>
      <c r="I31" s="77" t="s">
        <v>2</v>
      </c>
      <c r="J31" s="81">
        <v>0</v>
      </c>
      <c r="K31" s="92">
        <f>J31*K$40</f>
        <v>0</v>
      </c>
      <c r="L31" s="84">
        <v>7.8359070150463929E-5</v>
      </c>
      <c r="M31" s="92">
        <f>L31*M$40</f>
        <v>6214.4378730858562</v>
      </c>
      <c r="N31" s="81">
        <v>8.0418470820858082E-2</v>
      </c>
      <c r="O31" s="95">
        <f>N31*O$40</f>
        <v>5737632.2678449815</v>
      </c>
      <c r="P31" s="97">
        <f>$E$41*(K31+M31+O31)</f>
        <v>5483370.1662733173</v>
      </c>
    </row>
    <row r="32" spans="1:16">
      <c r="A32" t="s">
        <v>364</v>
      </c>
      <c r="I32" s="77" t="s">
        <v>7</v>
      </c>
      <c r="J32" s="81">
        <v>0</v>
      </c>
      <c r="K32" s="92">
        <f t="shared" ref="K32:K39" si="10">J32*K$40</f>
        <v>0</v>
      </c>
      <c r="L32" s="81">
        <v>0.46780135251632365</v>
      </c>
      <c r="M32" s="92">
        <f t="shared" ref="M32:M39" si="11">L32*M$40</f>
        <v>37100011.990647867</v>
      </c>
      <c r="N32" s="81">
        <v>8.7214853429354777E-4</v>
      </c>
      <c r="O32" s="95">
        <f t="shared" ref="O32:O39" si="12">N32*O$40</f>
        <v>62225.350987629863</v>
      </c>
      <c r="P32" s="97">
        <f t="shared" ref="P32:P39" si="13">$E$41*(K32+M32+O32)</f>
        <v>35476974.576677434</v>
      </c>
    </row>
    <row r="33" spans="1:16">
      <c r="A33" t="s">
        <v>365</v>
      </c>
      <c r="I33" s="77" t="s">
        <v>9</v>
      </c>
      <c r="J33" s="81">
        <v>1</v>
      </c>
      <c r="K33" s="92">
        <f t="shared" si="10"/>
        <v>8008240.1392550319</v>
      </c>
      <c r="L33" s="81">
        <v>0.13719882236848113</v>
      </c>
      <c r="M33" s="92">
        <f t="shared" si="11"/>
        <v>10880853.438310232</v>
      </c>
      <c r="N33" s="81">
        <v>0.13353849195079934</v>
      </c>
      <c r="O33" s="95">
        <f t="shared" si="12"/>
        <v>9527596.7398466896</v>
      </c>
      <c r="P33" s="97">
        <f t="shared" si="13"/>
        <v>27128027.590918232</v>
      </c>
    </row>
    <row r="34" spans="1:16">
      <c r="I34" s="77" t="s">
        <v>3</v>
      </c>
      <c r="J34" s="81">
        <v>0</v>
      </c>
      <c r="K34" s="92">
        <f t="shared" si="10"/>
        <v>0</v>
      </c>
      <c r="L34" s="81">
        <v>1.5929614216597191E-4</v>
      </c>
      <c r="M34" s="92">
        <f t="shared" si="11"/>
        <v>12633.329836760749</v>
      </c>
      <c r="N34" s="81">
        <v>1.9419581361396453E-2</v>
      </c>
      <c r="O34" s="95">
        <f t="shared" si="12"/>
        <v>1385532.6457947234</v>
      </c>
      <c r="P34" s="97">
        <f t="shared" si="13"/>
        <v>1334760.8303410767</v>
      </c>
    </row>
    <row r="35" spans="1:16">
      <c r="A35" t="s">
        <v>366</v>
      </c>
      <c r="I35" s="77" t="s">
        <v>188</v>
      </c>
      <c r="J35" s="81">
        <v>0</v>
      </c>
      <c r="K35" s="92">
        <f t="shared" si="10"/>
        <v>0</v>
      </c>
      <c r="L35" s="81">
        <v>1.1339056868107072E-2</v>
      </c>
      <c r="M35" s="92">
        <f t="shared" si="11"/>
        <v>899268.76762232336</v>
      </c>
      <c r="N35" s="81">
        <v>0.3689376316107848</v>
      </c>
      <c r="O35" s="95">
        <f t="shared" si="12"/>
        <v>26322664.909506127</v>
      </c>
      <c r="P35" s="97">
        <f t="shared" si="13"/>
        <v>25987451.727226466</v>
      </c>
    </row>
    <row r="36" spans="1:16">
      <c r="A36" t="s">
        <v>320</v>
      </c>
      <c r="I36" s="77" t="s">
        <v>5</v>
      </c>
      <c r="J36" s="81">
        <v>0</v>
      </c>
      <c r="K36" s="92">
        <f t="shared" si="10"/>
        <v>0</v>
      </c>
      <c r="L36" s="81">
        <v>3.4258707154817664E-5</v>
      </c>
      <c r="M36" s="92">
        <f t="shared" si="11"/>
        <v>2716.9618886116377</v>
      </c>
      <c r="N36" s="81">
        <v>4.0756655341124437E-2</v>
      </c>
      <c r="O36" s="95">
        <f t="shared" si="12"/>
        <v>2907873.0101147289</v>
      </c>
      <c r="P36" s="97">
        <f t="shared" si="13"/>
        <v>2778598.2176107164</v>
      </c>
    </row>
    <row r="37" spans="1:16">
      <c r="A37" t="s">
        <v>321</v>
      </c>
      <c r="I37" s="77" t="s">
        <v>4</v>
      </c>
      <c r="J37" s="81">
        <v>0</v>
      </c>
      <c r="K37" s="92">
        <f t="shared" si="10"/>
        <v>0</v>
      </c>
      <c r="L37" s="81">
        <v>5.6242841570359239E-5</v>
      </c>
      <c r="M37" s="92">
        <f t="shared" si="11"/>
        <v>4460.4618721696088</v>
      </c>
      <c r="N37" s="81">
        <v>7.046925077627368E-3</v>
      </c>
      <c r="O37" s="95">
        <f t="shared" si="12"/>
        <v>502778.33315867768</v>
      </c>
      <c r="P37" s="97">
        <f t="shared" si="13"/>
        <v>484236.12577955454</v>
      </c>
    </row>
    <row r="38" spans="1:16">
      <c r="A38" t="s">
        <v>367</v>
      </c>
      <c r="I38" s="77" t="s">
        <v>8</v>
      </c>
      <c r="J38" s="81">
        <v>0</v>
      </c>
      <c r="K38" s="92">
        <f t="shared" si="10"/>
        <v>0</v>
      </c>
      <c r="L38" s="81">
        <v>0.38271994228289974</v>
      </c>
      <c r="M38" s="92">
        <f t="shared" si="11"/>
        <v>30352444.197476272</v>
      </c>
      <c r="N38" s="81">
        <v>2.2408799339974274E-4</v>
      </c>
      <c r="O38" s="95">
        <f t="shared" si="12"/>
        <v>15988.049618987745</v>
      </c>
      <c r="P38" s="97">
        <f t="shared" si="13"/>
        <v>28991260.371632259</v>
      </c>
    </row>
    <row r="39" spans="1:16" ht="15.75" thickBot="1">
      <c r="I39" s="77" t="s">
        <v>6</v>
      </c>
      <c r="J39" s="81">
        <v>0</v>
      </c>
      <c r="K39" s="92">
        <f t="shared" si="10"/>
        <v>0</v>
      </c>
      <c r="L39" s="81">
        <v>6.1266920314678318E-4</v>
      </c>
      <c r="M39" s="92">
        <f t="shared" si="11"/>
        <v>48589.07453084625</v>
      </c>
      <c r="N39" s="81">
        <v>0.34878600730971632</v>
      </c>
      <c r="O39" s="95">
        <f t="shared" si="12"/>
        <v>24884903.053814255</v>
      </c>
      <c r="P39" s="97">
        <f t="shared" si="13"/>
        <v>23802788.250158586</v>
      </c>
    </row>
    <row r="40" spans="1:16" ht="16.5" thickTop="1" thickBot="1">
      <c r="A40" t="s">
        <v>329</v>
      </c>
      <c r="C40" s="1">
        <v>2005</v>
      </c>
      <c r="D40" s="1">
        <v>2011</v>
      </c>
      <c r="E40" s="1">
        <v>2016</v>
      </c>
      <c r="I40" s="89" t="s">
        <v>10</v>
      </c>
      <c r="J40" s="90">
        <f>SUM(J31:J39)</f>
        <v>1</v>
      </c>
      <c r="K40" s="93">
        <f>E26</f>
        <v>8008240.1392550319</v>
      </c>
      <c r="L40" s="90">
        <f>SUM(L31:L39)</f>
        <v>0.99999999999999989</v>
      </c>
      <c r="M40" s="93">
        <f>E24</f>
        <v>79307192.660058171</v>
      </c>
      <c r="N40" s="90">
        <f>SUM(N31:N39)</f>
        <v>1</v>
      </c>
      <c r="O40" s="96">
        <f>E25</f>
        <v>71347194.360686794</v>
      </c>
      <c r="P40" s="96">
        <f>SUM(P31:P39)</f>
        <v>151467467.85661763</v>
      </c>
    </row>
    <row r="41" spans="1:16" ht="15.75" thickTop="1">
      <c r="C41">
        <f>313.913/313.094</f>
        <v>1.0026158278344524</v>
      </c>
      <c r="D41">
        <f>342.638/342.638</f>
        <v>1</v>
      </c>
      <c r="E41">
        <f>594.89011367/623.149179437936</f>
        <v>0.95465120279316595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AA35"/>
  <sheetViews>
    <sheetView workbookViewId="0">
      <selection activeCell="T8" sqref="T8:AA8"/>
    </sheetView>
  </sheetViews>
  <sheetFormatPr defaultRowHeight="15"/>
  <sheetData>
    <row r="2" spans="1:27">
      <c r="B2">
        <v>2005</v>
      </c>
      <c r="C2">
        <v>2011</v>
      </c>
      <c r="D2">
        <v>2016</v>
      </c>
    </row>
    <row r="3" spans="1:27">
      <c r="A3" t="s">
        <v>272</v>
      </c>
      <c r="B3">
        <v>256.08999999999997</v>
      </c>
      <c r="C3">
        <v>0</v>
      </c>
      <c r="D3">
        <v>145</v>
      </c>
      <c r="H3" t="s">
        <v>368</v>
      </c>
    </row>
    <row r="4" spans="1:27">
      <c r="A4" t="s">
        <v>260</v>
      </c>
      <c r="B4">
        <v>3.64</v>
      </c>
      <c r="C4">
        <v>0</v>
      </c>
      <c r="D4">
        <v>0</v>
      </c>
    </row>
    <row r="5" spans="1:27">
      <c r="A5" t="s">
        <v>328</v>
      </c>
      <c r="B5">
        <v>0.59</v>
      </c>
      <c r="C5">
        <v>0</v>
      </c>
      <c r="D5">
        <v>0</v>
      </c>
    </row>
    <row r="6" spans="1:27">
      <c r="A6" t="s">
        <v>284</v>
      </c>
      <c r="B6">
        <v>27.4</v>
      </c>
      <c r="C6">
        <v>0</v>
      </c>
      <c r="D6">
        <v>0</v>
      </c>
      <c r="T6" t="s">
        <v>2</v>
      </c>
      <c r="U6" t="s">
        <v>3</v>
      </c>
      <c r="V6" t="s">
        <v>4</v>
      </c>
      <c r="W6" t="s">
        <v>5</v>
      </c>
      <c r="X6" t="s">
        <v>6</v>
      </c>
      <c r="Y6" t="s">
        <v>7</v>
      </c>
      <c r="Z6" t="s">
        <v>8</v>
      </c>
      <c r="AA6" t="s">
        <v>9</v>
      </c>
    </row>
    <row r="7" spans="1:27">
      <c r="A7" t="s">
        <v>264</v>
      </c>
      <c r="B7">
        <v>99.38</v>
      </c>
      <c r="C7">
        <v>0</v>
      </c>
      <c r="D7">
        <v>0</v>
      </c>
    </row>
    <row r="8" spans="1:27">
      <c r="A8" t="s">
        <v>213</v>
      </c>
      <c r="B8">
        <v>203.68</v>
      </c>
      <c r="C8">
        <v>0</v>
      </c>
      <c r="D8">
        <v>0</v>
      </c>
      <c r="Q8" s="206" t="s">
        <v>2</v>
      </c>
      <c r="R8">
        <v>1.136206517181727E-2</v>
      </c>
      <c r="T8">
        <f>R8</f>
        <v>1.136206517181727E-2</v>
      </c>
      <c r="U8">
        <f>R11</f>
        <v>2.3097940614065927E-2</v>
      </c>
      <c r="V8">
        <f>R14</f>
        <v>8.1552120277020891E-3</v>
      </c>
      <c r="W8">
        <f>R13</f>
        <v>4.9675125374485608E-3</v>
      </c>
      <c r="X8">
        <f>R16</f>
        <v>8.8837034456283562E-2</v>
      </c>
      <c r="Y8">
        <f>R9</f>
        <v>67.831196114866927</v>
      </c>
      <c r="Z8">
        <f>R15</f>
        <v>55.494391631020463</v>
      </c>
      <c r="AA8">
        <f>R10</f>
        <v>19.893829243429764</v>
      </c>
    </row>
    <row r="9" spans="1:27">
      <c r="B9" s="1">
        <f>SUM(B3:B8)</f>
        <v>590.78</v>
      </c>
      <c r="C9" s="1">
        <f>SUM(C3:C8)</f>
        <v>0</v>
      </c>
      <c r="D9" s="1">
        <f>SUM(D3:D8)</f>
        <v>145</v>
      </c>
      <c r="Q9" s="206" t="s">
        <v>7</v>
      </c>
      <c r="R9">
        <v>67.831196114866927</v>
      </c>
    </row>
    <row r="10" spans="1:27" ht="15.75" thickBot="1">
      <c r="Q10" s="206" t="s">
        <v>9</v>
      </c>
      <c r="R10">
        <v>19.893829243429764</v>
      </c>
    </row>
    <row r="11" spans="1:27" ht="16.5" thickTop="1" thickBot="1">
      <c r="A11" s="76">
        <v>2005</v>
      </c>
      <c r="B11" s="75" t="s">
        <v>332</v>
      </c>
      <c r="C11" s="70" t="s">
        <v>333</v>
      </c>
      <c r="D11" s="75" t="s">
        <v>369</v>
      </c>
      <c r="E11" s="70" t="s">
        <v>370</v>
      </c>
      <c r="F11" s="75" t="s">
        <v>336</v>
      </c>
      <c r="G11" s="70" t="s">
        <v>337</v>
      </c>
      <c r="H11" s="75" t="s">
        <v>338</v>
      </c>
      <c r="I11" s="70" t="s">
        <v>339</v>
      </c>
      <c r="J11" s="75" t="s">
        <v>340</v>
      </c>
      <c r="K11" s="70" t="s">
        <v>341</v>
      </c>
      <c r="L11" s="75" t="s">
        <v>342</v>
      </c>
      <c r="M11" s="70" t="s">
        <v>343</v>
      </c>
      <c r="N11" s="70" t="s">
        <v>10</v>
      </c>
      <c r="Q11" s="206" t="s">
        <v>3</v>
      </c>
      <c r="R11">
        <v>2.3097940614065927E-2</v>
      </c>
    </row>
    <row r="12" spans="1:27" ht="15.75" thickTop="1">
      <c r="A12" s="77" t="s">
        <v>2</v>
      </c>
      <c r="B12" s="81">
        <v>0</v>
      </c>
      <c r="C12" s="68">
        <f>B12*C$21</f>
        <v>0</v>
      </c>
      <c r="D12" s="81">
        <v>1.0059165622662639E-2</v>
      </c>
      <c r="E12" s="68">
        <f>D12*E$21</f>
        <v>0.27562113806095628</v>
      </c>
      <c r="F12" s="81">
        <v>1.9403505774421503E-3</v>
      </c>
      <c r="G12" s="68">
        <f>F12*G$21</f>
        <v>0.3952106056134172</v>
      </c>
      <c r="H12" s="81">
        <v>0</v>
      </c>
      <c r="I12" s="68">
        <f>H12*I$21</f>
        <v>0</v>
      </c>
      <c r="J12" s="84">
        <v>7.8359070150463929E-5</v>
      </c>
      <c r="K12" s="68">
        <f>J12*K$21</f>
        <v>2.0066974274832304E-2</v>
      </c>
      <c r="L12" s="81">
        <v>8.0418470820858082E-2</v>
      </c>
      <c r="M12" s="68">
        <f>L12*M$21</f>
        <v>7.991987630176876</v>
      </c>
      <c r="N12" s="68">
        <f>C12+E12+G12+I12+K12+M12</f>
        <v>8.6828863481260825</v>
      </c>
      <c r="Q12" s="206" t="s">
        <v>188</v>
      </c>
      <c r="R12">
        <v>1.6441632458755255</v>
      </c>
    </row>
    <row r="13" spans="1:27">
      <c r="A13" s="77" t="s">
        <v>7</v>
      </c>
      <c r="B13" s="81">
        <v>0.97389999999999999</v>
      </c>
      <c r="C13" s="68">
        <f t="shared" ref="C13:C20" si="0">B13*C$21</f>
        <v>0.57460099999999992</v>
      </c>
      <c r="D13" s="81">
        <v>9.6546734828334493E-2</v>
      </c>
      <c r="E13" s="68">
        <f t="shared" ref="E13:E20" si="1">D13*E$21</f>
        <v>2.6453805342963648</v>
      </c>
      <c r="F13" s="81">
        <v>1.5828556779541387E-2</v>
      </c>
      <c r="G13" s="68">
        <f t="shared" ref="G13:G20" si="2">F13*G$21</f>
        <v>3.2239604448569898</v>
      </c>
      <c r="H13" s="81">
        <v>0</v>
      </c>
      <c r="I13" s="68">
        <f t="shared" ref="I13:I20" si="3">H13*I$21</f>
        <v>0</v>
      </c>
      <c r="J13" s="81">
        <v>0.46780135251632365</v>
      </c>
      <c r="K13" s="68">
        <f t="shared" ref="K13:K20" si="4">J13*K$21</f>
        <v>119.79924836590531</v>
      </c>
      <c r="L13" s="81">
        <v>8.7214853429354777E-4</v>
      </c>
      <c r="M13" s="68">
        <f t="shared" ref="M13:M20" si="5">L13*M$21</f>
        <v>8.6674121338092769E-2</v>
      </c>
      <c r="N13" s="68">
        <f t="shared" ref="N13:N20" si="6">C13+E13+G13+I13+K13+M13</f>
        <v>126.32986446639676</v>
      </c>
      <c r="Q13" s="206" t="s">
        <v>5</v>
      </c>
      <c r="R13">
        <v>4.9675125374485608E-3</v>
      </c>
    </row>
    <row r="14" spans="1:27">
      <c r="A14" s="77" t="s">
        <v>9</v>
      </c>
      <c r="B14" s="81">
        <v>0</v>
      </c>
      <c r="C14" s="68">
        <f t="shared" si="0"/>
        <v>0</v>
      </c>
      <c r="D14" s="81">
        <v>0.69857487549884179</v>
      </c>
      <c r="E14" s="68">
        <f t="shared" si="1"/>
        <v>19.140951588668266</v>
      </c>
      <c r="F14" s="81">
        <v>0.9281751022041137</v>
      </c>
      <c r="G14" s="68">
        <f t="shared" si="2"/>
        <v>189.05070481693389</v>
      </c>
      <c r="H14" s="81">
        <v>1</v>
      </c>
      <c r="I14" s="68">
        <f t="shared" si="3"/>
        <v>3.64</v>
      </c>
      <c r="J14" s="81">
        <v>0.13719882236848113</v>
      </c>
      <c r="K14" s="68">
        <f t="shared" si="4"/>
        <v>35.13524642034433</v>
      </c>
      <c r="L14" s="81">
        <v>0.13353849195079934</v>
      </c>
      <c r="M14" s="68">
        <f t="shared" si="5"/>
        <v>13.271055330070437</v>
      </c>
      <c r="N14" s="68">
        <f t="shared" si="6"/>
        <v>260.23795815601693</v>
      </c>
      <c r="Q14" s="206" t="s">
        <v>4</v>
      </c>
      <c r="R14">
        <v>8.1552120277020891E-3</v>
      </c>
    </row>
    <row r="15" spans="1:27">
      <c r="A15" s="77" t="s">
        <v>3</v>
      </c>
      <c r="B15" s="81">
        <v>0</v>
      </c>
      <c r="C15" s="68">
        <f t="shared" si="0"/>
        <v>0</v>
      </c>
      <c r="D15" s="81">
        <v>6.8080311714171548E-3</v>
      </c>
      <c r="E15" s="68">
        <f t="shared" si="1"/>
        <v>0.18654005409683003</v>
      </c>
      <c r="F15" s="81">
        <v>1.1568498520442855E-3</v>
      </c>
      <c r="G15" s="68">
        <f t="shared" si="2"/>
        <v>0.23562717786438009</v>
      </c>
      <c r="H15" s="81">
        <v>0</v>
      </c>
      <c r="I15" s="68">
        <f t="shared" si="3"/>
        <v>0</v>
      </c>
      <c r="J15" s="81">
        <v>1.5929614216597191E-4</v>
      </c>
      <c r="K15" s="68">
        <f t="shared" si="4"/>
        <v>4.0794149047283741E-2</v>
      </c>
      <c r="L15" s="81">
        <v>1.9419581361396453E-2</v>
      </c>
      <c r="M15" s="68">
        <f t="shared" si="5"/>
        <v>1.9299179956955794</v>
      </c>
      <c r="N15" s="68">
        <f t="shared" si="6"/>
        <v>2.392879376704073</v>
      </c>
      <c r="Q15" s="206" t="s">
        <v>8</v>
      </c>
      <c r="R15">
        <v>55.494391631020463</v>
      </c>
    </row>
    <row r="16" spans="1:27">
      <c r="A16" s="77" t="s">
        <v>188</v>
      </c>
      <c r="B16" s="81">
        <v>0</v>
      </c>
      <c r="C16" s="68">
        <f t="shared" si="0"/>
        <v>0</v>
      </c>
      <c r="D16" s="81">
        <v>6.9123916673576855E-2</v>
      </c>
      <c r="E16" s="68">
        <f t="shared" si="1"/>
        <v>1.8939953168560058</v>
      </c>
      <c r="F16" s="81">
        <v>3.0822834861590601E-2</v>
      </c>
      <c r="G16" s="68">
        <f t="shared" si="2"/>
        <v>6.2779950046087736</v>
      </c>
      <c r="H16" s="81">
        <v>0</v>
      </c>
      <c r="I16" s="68">
        <f t="shared" si="3"/>
        <v>0</v>
      </c>
      <c r="J16" s="81">
        <v>1.1339056868107072E-2</v>
      </c>
      <c r="K16" s="68">
        <f t="shared" si="4"/>
        <v>2.9038190733535401</v>
      </c>
      <c r="L16" s="81">
        <v>0.3689376316107848</v>
      </c>
      <c r="M16" s="68">
        <f t="shared" si="5"/>
        <v>36.665021829479791</v>
      </c>
      <c r="N16" s="68">
        <f t="shared" si="6"/>
        <v>47.740831224298113</v>
      </c>
      <c r="Q16" s="206" t="s">
        <v>6</v>
      </c>
      <c r="R16">
        <v>8.8837034456283562E-2</v>
      </c>
    </row>
    <row r="17" spans="1:14">
      <c r="A17" s="77" t="s">
        <v>5</v>
      </c>
      <c r="B17" s="81">
        <v>0</v>
      </c>
      <c r="C17" s="68">
        <f t="shared" si="0"/>
        <v>0</v>
      </c>
      <c r="D17" s="81">
        <v>4.8361084593037187E-3</v>
      </c>
      <c r="E17" s="68">
        <f t="shared" si="1"/>
        <v>0.13250937178492189</v>
      </c>
      <c r="F17" s="81">
        <v>3.8392707177608388E-4</v>
      </c>
      <c r="G17" s="68">
        <f t="shared" si="2"/>
        <v>7.8198265979352768E-2</v>
      </c>
      <c r="H17" s="81">
        <v>0</v>
      </c>
      <c r="I17" s="68">
        <f t="shared" si="3"/>
        <v>0</v>
      </c>
      <c r="J17" s="81">
        <v>3.4258707154817664E-5</v>
      </c>
      <c r="K17" s="68">
        <f t="shared" si="4"/>
        <v>8.7733123152772541E-3</v>
      </c>
      <c r="L17" s="81">
        <v>4.0756655341124437E-2</v>
      </c>
      <c r="M17" s="68">
        <f t="shared" si="5"/>
        <v>4.050396407800946</v>
      </c>
      <c r="N17" s="68">
        <f t="shared" si="6"/>
        <v>4.2698773578804978</v>
      </c>
    </row>
    <row r="18" spans="1:14">
      <c r="A18" s="77" t="s">
        <v>4</v>
      </c>
      <c r="B18" s="81">
        <v>0</v>
      </c>
      <c r="C18" s="68">
        <f t="shared" si="0"/>
        <v>0</v>
      </c>
      <c r="D18" s="81">
        <v>3.0690441285805533E-3</v>
      </c>
      <c r="E18" s="68">
        <f t="shared" si="1"/>
        <v>8.4091809123107153E-2</v>
      </c>
      <c r="F18" s="81">
        <v>1.3789904078962405E-3</v>
      </c>
      <c r="G18" s="68">
        <f t="shared" si="2"/>
        <v>0.28087276628030627</v>
      </c>
      <c r="H18" s="81">
        <v>0</v>
      </c>
      <c r="I18" s="68">
        <f t="shared" si="3"/>
        <v>0</v>
      </c>
      <c r="J18" s="81">
        <v>5.6242841570359239E-5</v>
      </c>
      <c r="K18" s="68">
        <f t="shared" si="4"/>
        <v>1.4403229297753296E-2</v>
      </c>
      <c r="L18" s="81">
        <v>7.046925077627368E-3</v>
      </c>
      <c r="M18" s="68">
        <f t="shared" si="5"/>
        <v>0.70032341421460775</v>
      </c>
      <c r="N18" s="68">
        <f t="shared" si="6"/>
        <v>1.0796912189157744</v>
      </c>
    </row>
    <row r="19" spans="1:14">
      <c r="A19" s="77" t="s">
        <v>8</v>
      </c>
      <c r="B19" s="81">
        <v>2.6100000000000002E-2</v>
      </c>
      <c r="C19" s="68">
        <f t="shared" si="0"/>
        <v>1.5398999999999999E-2</v>
      </c>
      <c r="D19" s="81">
        <v>6.2392767225723185E-2</v>
      </c>
      <c r="E19" s="68">
        <f t="shared" si="1"/>
        <v>1.7095618219848152</v>
      </c>
      <c r="F19" s="81">
        <v>9.1108038859427018E-3</v>
      </c>
      <c r="G19" s="68">
        <f t="shared" si="2"/>
        <v>1.8556885354888095</v>
      </c>
      <c r="H19" s="81">
        <v>0</v>
      </c>
      <c r="I19" s="68">
        <f t="shared" si="3"/>
        <v>0</v>
      </c>
      <c r="J19" s="81">
        <v>0.38271994228289974</v>
      </c>
      <c r="K19" s="68">
        <f t="shared" si="4"/>
        <v>98.010750019227785</v>
      </c>
      <c r="L19" s="81">
        <v>2.2408799339974274E-4</v>
      </c>
      <c r="M19" s="68">
        <f t="shared" si="5"/>
        <v>2.2269864784066434E-2</v>
      </c>
      <c r="N19" s="68">
        <f t="shared" si="6"/>
        <v>101.61366924148547</v>
      </c>
    </row>
    <row r="20" spans="1:14" ht="15.75" thickBot="1">
      <c r="A20" s="79" t="s">
        <v>6</v>
      </c>
      <c r="B20" s="83">
        <v>0</v>
      </c>
      <c r="C20" s="73">
        <f t="shared" si="0"/>
        <v>0</v>
      </c>
      <c r="D20" s="83">
        <v>4.8589356391559639E-2</v>
      </c>
      <c r="E20" s="73">
        <f t="shared" si="1"/>
        <v>1.3313483651287341</v>
      </c>
      <c r="F20" s="83">
        <v>1.1202584359652861E-2</v>
      </c>
      <c r="G20" s="73">
        <f t="shared" si="2"/>
        <v>2.281742382374095</v>
      </c>
      <c r="H20" s="83">
        <v>0</v>
      </c>
      <c r="I20" s="73">
        <f t="shared" si="3"/>
        <v>0</v>
      </c>
      <c r="J20" s="83">
        <v>6.1266920314678318E-4</v>
      </c>
      <c r="K20" s="73">
        <f t="shared" si="4"/>
        <v>0.1568984562338597</v>
      </c>
      <c r="L20" s="137">
        <v>0.34878600730971632</v>
      </c>
      <c r="M20" s="73">
        <f t="shared" si="5"/>
        <v>34.662353406439607</v>
      </c>
      <c r="N20" s="73">
        <f t="shared" si="6"/>
        <v>38.432342610176292</v>
      </c>
    </row>
    <row r="21" spans="1:14" ht="16.5" thickTop="1" thickBot="1">
      <c r="A21" s="79" t="s">
        <v>10</v>
      </c>
      <c r="B21" s="83">
        <v>1</v>
      </c>
      <c r="C21" s="73">
        <f>B5</f>
        <v>0.59</v>
      </c>
      <c r="D21" s="83">
        <v>1</v>
      </c>
      <c r="E21" s="73">
        <f>B6</f>
        <v>27.4</v>
      </c>
      <c r="F21" s="83">
        <v>1</v>
      </c>
      <c r="G21" s="73">
        <f>B8</f>
        <v>203.68</v>
      </c>
      <c r="H21" s="83">
        <v>1</v>
      </c>
      <c r="I21" s="73">
        <f>B4</f>
        <v>3.64</v>
      </c>
      <c r="J21" s="83">
        <v>0.99999999999999989</v>
      </c>
      <c r="K21" s="73">
        <f>B3</f>
        <v>256.08999999999997</v>
      </c>
      <c r="L21" s="83">
        <v>1</v>
      </c>
      <c r="M21" s="73">
        <f>B7</f>
        <v>99.38</v>
      </c>
      <c r="N21" s="73">
        <f>SUM(N12:N20)</f>
        <v>590.78000000000009</v>
      </c>
    </row>
    <row r="22" spans="1:14" ht="15.75" thickTop="1"/>
    <row r="23" spans="1:14" ht="15.75" thickBot="1"/>
    <row r="24" spans="1:14" ht="16.5" thickTop="1" thickBot="1">
      <c r="A24" s="76">
        <v>2016</v>
      </c>
      <c r="B24" s="75" t="s">
        <v>332</v>
      </c>
      <c r="C24" s="70" t="s">
        <v>333</v>
      </c>
      <c r="D24" s="75" t="s">
        <v>369</v>
      </c>
      <c r="E24" s="70" t="s">
        <v>370</v>
      </c>
      <c r="F24" s="75" t="s">
        <v>336</v>
      </c>
      <c r="G24" s="70" t="s">
        <v>337</v>
      </c>
      <c r="H24" s="75" t="s">
        <v>338</v>
      </c>
      <c r="I24" s="70" t="s">
        <v>339</v>
      </c>
      <c r="J24" s="75" t="s">
        <v>340</v>
      </c>
      <c r="K24" s="70" t="s">
        <v>341</v>
      </c>
      <c r="L24" s="75" t="s">
        <v>342</v>
      </c>
      <c r="M24" s="70" t="s">
        <v>343</v>
      </c>
      <c r="N24" s="70" t="s">
        <v>10</v>
      </c>
    </row>
    <row r="25" spans="1:14" ht="15.75" thickTop="1">
      <c r="A25" s="77" t="s">
        <v>2</v>
      </c>
      <c r="B25" s="81">
        <v>0</v>
      </c>
      <c r="C25" s="68">
        <f>B25*C$34</f>
        <v>0</v>
      </c>
      <c r="D25" s="81">
        <v>1.0059165622662639E-2</v>
      </c>
      <c r="E25" s="68">
        <f>D25*E$34</f>
        <v>0</v>
      </c>
      <c r="F25" s="81">
        <v>1.9403505774421503E-3</v>
      </c>
      <c r="G25" s="68">
        <f>F25*G$34</f>
        <v>0</v>
      </c>
      <c r="H25" s="81">
        <v>0</v>
      </c>
      <c r="I25" s="68">
        <f>H25*I$34</f>
        <v>0</v>
      </c>
      <c r="J25" s="84">
        <v>7.8359070150463929E-5</v>
      </c>
      <c r="K25" s="68">
        <f>J25*K$34</f>
        <v>1.136206517181727E-2</v>
      </c>
      <c r="L25" s="81">
        <v>8.0418470820858082E-2</v>
      </c>
      <c r="M25" s="68">
        <f>L25*M$34</f>
        <v>0</v>
      </c>
      <c r="N25" s="68">
        <f>C25+E25+G25+I25+K25+M25</f>
        <v>1.136206517181727E-2</v>
      </c>
    </row>
    <row r="26" spans="1:14">
      <c r="A26" s="77" t="s">
        <v>7</v>
      </c>
      <c r="B26" s="81">
        <v>0.97389999999999999</v>
      </c>
      <c r="C26" s="68">
        <f t="shared" ref="C26:C33" si="7">B26*C$34</f>
        <v>0</v>
      </c>
      <c r="D26" s="81">
        <v>9.6546734828334493E-2</v>
      </c>
      <c r="E26" s="68">
        <f t="shared" ref="E26:E33" si="8">D26*E$34</f>
        <v>0</v>
      </c>
      <c r="F26" s="81">
        <v>1.5828556779541387E-2</v>
      </c>
      <c r="G26" s="68">
        <f t="shared" ref="G26:G33" si="9">F26*G$34</f>
        <v>0</v>
      </c>
      <c r="H26" s="81">
        <v>0</v>
      </c>
      <c r="I26" s="68">
        <f t="shared" ref="I26:I33" si="10">H26*I$34</f>
        <v>0</v>
      </c>
      <c r="J26" s="81">
        <v>0.46780135251632365</v>
      </c>
      <c r="K26" s="68">
        <f t="shared" ref="K26:K33" si="11">J26*K$34</f>
        <v>67.831196114866927</v>
      </c>
      <c r="L26" s="81">
        <v>8.7214853429354777E-4</v>
      </c>
      <c r="M26" s="68">
        <f t="shared" ref="M26:M33" si="12">L26*M$34</f>
        <v>0</v>
      </c>
      <c r="N26" s="68">
        <f t="shared" ref="N26:N33" si="13">C26+E26+G26+I26+K26+M26</f>
        <v>67.831196114866927</v>
      </c>
    </row>
    <row r="27" spans="1:14">
      <c r="A27" s="77" t="s">
        <v>9</v>
      </c>
      <c r="B27" s="81">
        <v>0</v>
      </c>
      <c r="C27" s="68">
        <f t="shared" si="7"/>
        <v>0</v>
      </c>
      <c r="D27" s="81">
        <v>0.69857487549884179</v>
      </c>
      <c r="E27" s="68">
        <f t="shared" si="8"/>
        <v>0</v>
      </c>
      <c r="F27" s="81">
        <v>0.9281751022041137</v>
      </c>
      <c r="G27" s="68">
        <f t="shared" si="9"/>
        <v>0</v>
      </c>
      <c r="H27" s="81">
        <v>1</v>
      </c>
      <c r="I27" s="68">
        <f t="shared" si="10"/>
        <v>0</v>
      </c>
      <c r="J27" s="81">
        <v>0.13719882236848113</v>
      </c>
      <c r="K27" s="68">
        <f t="shared" si="11"/>
        <v>19.893829243429764</v>
      </c>
      <c r="L27" s="81">
        <v>0.13353849195079934</v>
      </c>
      <c r="M27" s="68">
        <f t="shared" si="12"/>
        <v>0</v>
      </c>
      <c r="N27" s="68">
        <f t="shared" si="13"/>
        <v>19.893829243429764</v>
      </c>
    </row>
    <row r="28" spans="1:14">
      <c r="A28" s="77" t="s">
        <v>3</v>
      </c>
      <c r="B28" s="81">
        <v>0</v>
      </c>
      <c r="C28" s="68">
        <f t="shared" si="7"/>
        <v>0</v>
      </c>
      <c r="D28" s="81">
        <v>6.8080311714171548E-3</v>
      </c>
      <c r="E28" s="68">
        <f t="shared" si="8"/>
        <v>0</v>
      </c>
      <c r="F28" s="81">
        <v>1.1568498520442855E-3</v>
      </c>
      <c r="G28" s="68">
        <f t="shared" si="9"/>
        <v>0</v>
      </c>
      <c r="H28" s="81">
        <v>0</v>
      </c>
      <c r="I28" s="68">
        <f t="shared" si="10"/>
        <v>0</v>
      </c>
      <c r="J28" s="81">
        <v>1.5929614216597191E-4</v>
      </c>
      <c r="K28" s="68">
        <f t="shared" si="11"/>
        <v>2.3097940614065927E-2</v>
      </c>
      <c r="L28" s="81">
        <v>1.9419581361396453E-2</v>
      </c>
      <c r="M28" s="68">
        <f t="shared" si="12"/>
        <v>0</v>
      </c>
      <c r="N28" s="68">
        <f t="shared" si="13"/>
        <v>2.3097940614065927E-2</v>
      </c>
    </row>
    <row r="29" spans="1:14">
      <c r="A29" s="77" t="s">
        <v>188</v>
      </c>
      <c r="B29" s="81">
        <v>0</v>
      </c>
      <c r="C29" s="68">
        <f t="shared" si="7"/>
        <v>0</v>
      </c>
      <c r="D29" s="81">
        <v>6.9123916673576855E-2</v>
      </c>
      <c r="E29" s="68">
        <f t="shared" si="8"/>
        <v>0</v>
      </c>
      <c r="F29" s="81">
        <v>3.0822834861590601E-2</v>
      </c>
      <c r="G29" s="68">
        <f t="shared" si="9"/>
        <v>0</v>
      </c>
      <c r="H29" s="81">
        <v>0</v>
      </c>
      <c r="I29" s="68">
        <f t="shared" si="10"/>
        <v>0</v>
      </c>
      <c r="J29" s="81">
        <v>1.1339056868107072E-2</v>
      </c>
      <c r="K29" s="68">
        <f t="shared" si="11"/>
        <v>1.6441632458755255</v>
      </c>
      <c r="L29" s="81">
        <v>0.3689376316107848</v>
      </c>
      <c r="M29" s="68">
        <f t="shared" si="12"/>
        <v>0</v>
      </c>
      <c r="N29" s="68">
        <f t="shared" si="13"/>
        <v>1.6441632458755255</v>
      </c>
    </row>
    <row r="30" spans="1:14">
      <c r="A30" s="77" t="s">
        <v>5</v>
      </c>
      <c r="B30" s="81">
        <v>0</v>
      </c>
      <c r="C30" s="68">
        <f t="shared" si="7"/>
        <v>0</v>
      </c>
      <c r="D30" s="81">
        <v>4.8361084593037187E-3</v>
      </c>
      <c r="E30" s="68">
        <f t="shared" si="8"/>
        <v>0</v>
      </c>
      <c r="F30" s="81">
        <v>3.8392707177608388E-4</v>
      </c>
      <c r="G30" s="68">
        <f t="shared" si="9"/>
        <v>0</v>
      </c>
      <c r="H30" s="81">
        <v>0</v>
      </c>
      <c r="I30" s="68">
        <f t="shared" si="10"/>
        <v>0</v>
      </c>
      <c r="J30" s="81">
        <v>3.4258707154817664E-5</v>
      </c>
      <c r="K30" s="68">
        <f t="shared" si="11"/>
        <v>4.9675125374485608E-3</v>
      </c>
      <c r="L30" s="81">
        <v>4.0756655341124437E-2</v>
      </c>
      <c r="M30" s="68">
        <f t="shared" si="12"/>
        <v>0</v>
      </c>
      <c r="N30" s="68">
        <f t="shared" si="13"/>
        <v>4.9675125374485608E-3</v>
      </c>
    </row>
    <row r="31" spans="1:14">
      <c r="A31" s="77" t="s">
        <v>4</v>
      </c>
      <c r="B31" s="81">
        <v>0</v>
      </c>
      <c r="C31" s="68">
        <f t="shared" si="7"/>
        <v>0</v>
      </c>
      <c r="D31" s="81">
        <v>3.0690441285805533E-3</v>
      </c>
      <c r="E31" s="68">
        <f t="shared" si="8"/>
        <v>0</v>
      </c>
      <c r="F31" s="81">
        <v>1.3789904078962405E-3</v>
      </c>
      <c r="G31" s="68">
        <f t="shared" si="9"/>
        <v>0</v>
      </c>
      <c r="H31" s="81">
        <v>0</v>
      </c>
      <c r="I31" s="68">
        <f t="shared" si="10"/>
        <v>0</v>
      </c>
      <c r="J31" s="81">
        <v>5.6242841570359239E-5</v>
      </c>
      <c r="K31" s="68">
        <f t="shared" si="11"/>
        <v>8.1552120277020891E-3</v>
      </c>
      <c r="L31" s="81">
        <v>7.046925077627368E-3</v>
      </c>
      <c r="M31" s="68">
        <f t="shared" si="12"/>
        <v>0</v>
      </c>
      <c r="N31" s="68">
        <f t="shared" si="13"/>
        <v>8.1552120277020891E-3</v>
      </c>
    </row>
    <row r="32" spans="1:14">
      <c r="A32" s="77" t="s">
        <v>8</v>
      </c>
      <c r="B32" s="81">
        <v>2.6100000000000002E-2</v>
      </c>
      <c r="C32" s="68">
        <f t="shared" si="7"/>
        <v>0</v>
      </c>
      <c r="D32" s="81">
        <v>6.2392767225723185E-2</v>
      </c>
      <c r="E32" s="68">
        <f t="shared" si="8"/>
        <v>0</v>
      </c>
      <c r="F32" s="81">
        <v>9.1108038859427018E-3</v>
      </c>
      <c r="G32" s="68">
        <f t="shared" si="9"/>
        <v>0</v>
      </c>
      <c r="H32" s="81">
        <v>0</v>
      </c>
      <c r="I32" s="68">
        <f t="shared" si="10"/>
        <v>0</v>
      </c>
      <c r="J32" s="81">
        <v>0.38271994228289974</v>
      </c>
      <c r="K32" s="68">
        <f t="shared" si="11"/>
        <v>55.494391631020463</v>
      </c>
      <c r="L32" s="81">
        <v>2.2408799339974274E-4</v>
      </c>
      <c r="M32" s="68">
        <f t="shared" si="12"/>
        <v>0</v>
      </c>
      <c r="N32" s="68">
        <f t="shared" si="13"/>
        <v>55.494391631020463</v>
      </c>
    </row>
    <row r="33" spans="1:14" ht="15.75" thickBot="1">
      <c r="A33" s="79" t="s">
        <v>6</v>
      </c>
      <c r="B33" s="83">
        <v>0</v>
      </c>
      <c r="C33" s="68">
        <f t="shared" si="7"/>
        <v>0</v>
      </c>
      <c r="D33" s="83">
        <v>4.8589356391559639E-2</v>
      </c>
      <c r="E33" s="68">
        <f t="shared" si="8"/>
        <v>0</v>
      </c>
      <c r="F33" s="83">
        <v>1.1202584359652861E-2</v>
      </c>
      <c r="G33" s="68">
        <f t="shared" si="9"/>
        <v>0</v>
      </c>
      <c r="H33" s="83">
        <v>0</v>
      </c>
      <c r="I33" s="68">
        <f t="shared" si="10"/>
        <v>0</v>
      </c>
      <c r="J33" s="83">
        <v>6.1266920314678318E-4</v>
      </c>
      <c r="K33" s="68">
        <f t="shared" si="11"/>
        <v>8.8837034456283562E-2</v>
      </c>
      <c r="L33" s="137">
        <v>0.34878600730971632</v>
      </c>
      <c r="M33" s="68">
        <f t="shared" si="12"/>
        <v>0</v>
      </c>
      <c r="N33" s="73">
        <f t="shared" si="13"/>
        <v>8.8837034456283562E-2</v>
      </c>
    </row>
    <row r="34" spans="1:14" ht="16.5" thickTop="1" thickBot="1">
      <c r="A34" s="79" t="s">
        <v>10</v>
      </c>
      <c r="B34" s="83">
        <v>1</v>
      </c>
      <c r="C34" s="73">
        <f>D5</f>
        <v>0</v>
      </c>
      <c r="D34" s="83">
        <v>1</v>
      </c>
      <c r="E34" s="73">
        <f>D6</f>
        <v>0</v>
      </c>
      <c r="F34" s="83">
        <v>1</v>
      </c>
      <c r="G34" s="73">
        <f>D8</f>
        <v>0</v>
      </c>
      <c r="H34" s="83">
        <v>1</v>
      </c>
      <c r="I34" s="73">
        <f>D4</f>
        <v>0</v>
      </c>
      <c r="J34" s="83">
        <v>0.99999999999999989</v>
      </c>
      <c r="K34" s="73">
        <f>D3</f>
        <v>145</v>
      </c>
      <c r="L34" s="83">
        <v>1</v>
      </c>
      <c r="M34" s="73">
        <f>B20</f>
        <v>0</v>
      </c>
      <c r="N34" s="73">
        <f>SUM(N25:N33)</f>
        <v>145</v>
      </c>
    </row>
    <row r="35" spans="1:14" ht="15.75" thickTop="1"/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7"/>
  <dimension ref="A1:X258"/>
  <sheetViews>
    <sheetView topLeftCell="A55" workbookViewId="0">
      <selection activeCell="K93" sqref="K93"/>
    </sheetView>
  </sheetViews>
  <sheetFormatPr defaultRowHeight="15"/>
  <cols>
    <col min="1" max="1" width="31" customWidth="1"/>
    <col min="2" max="2" width="14.140625" customWidth="1"/>
    <col min="3" max="4" width="13.7109375" customWidth="1"/>
    <col min="5" max="6" width="12.7109375" customWidth="1"/>
    <col min="9" max="9" width="12.140625" customWidth="1"/>
    <col min="10" max="13" width="13.7109375" customWidth="1"/>
    <col min="14" max="14" width="11.7109375" customWidth="1"/>
    <col min="16" max="19" width="16.42578125" customWidth="1"/>
    <col min="21" max="21" width="12.5703125" customWidth="1"/>
    <col min="23" max="23" width="9.42578125" customWidth="1"/>
    <col min="24" max="24" width="9.140625" customWidth="1"/>
  </cols>
  <sheetData>
    <row r="1" spans="1:24" ht="18.75">
      <c r="A1" s="2" t="s">
        <v>371</v>
      </c>
    </row>
    <row r="3" spans="1:24">
      <c r="A3" s="1" t="s">
        <v>264</v>
      </c>
      <c r="B3" s="1" t="s">
        <v>372</v>
      </c>
      <c r="C3" s="1" t="s">
        <v>373</v>
      </c>
      <c r="D3" s="1" t="s">
        <v>374</v>
      </c>
      <c r="E3" s="1" t="s">
        <v>375</v>
      </c>
      <c r="I3" s="1" t="s">
        <v>264</v>
      </c>
      <c r="J3" s="1" t="s">
        <v>372</v>
      </c>
      <c r="K3" s="1" t="s">
        <v>373</v>
      </c>
      <c r="L3" s="1" t="s">
        <v>374</v>
      </c>
      <c r="M3" s="1" t="s">
        <v>375</v>
      </c>
      <c r="O3" s="1" t="s">
        <v>376</v>
      </c>
      <c r="P3" s="1" t="s">
        <v>372</v>
      </c>
      <c r="Q3" s="1" t="s">
        <v>373</v>
      </c>
      <c r="R3" s="1" t="s">
        <v>374</v>
      </c>
      <c r="S3" s="1" t="s">
        <v>375</v>
      </c>
    </row>
    <row r="4" spans="1:24">
      <c r="A4" t="s">
        <v>376</v>
      </c>
      <c r="B4" s="5">
        <v>304775866.33000004</v>
      </c>
      <c r="C4" s="5">
        <v>300426834.57000011</v>
      </c>
      <c r="D4" s="5">
        <v>144873860.02000001</v>
      </c>
      <c r="E4" s="5">
        <v>2132382.52</v>
      </c>
      <c r="I4" t="s">
        <v>2</v>
      </c>
      <c r="J4" s="98">
        <f>B$4*B57+B5+B$6*B31+B11*B68+B$13*B42 + B22*$C$26*B31</f>
        <v>188019853.98635042</v>
      </c>
      <c r="K4" s="98">
        <f>C$4*C57+C5+C$6*C31+C11*C68+C$13*C42 + C22*$C$26*C31</f>
        <v>186916453.97517237</v>
      </c>
      <c r="L4" s="98">
        <f>D$4*D57+D5+D$6*D31+D11*D68+D$13*D42 + D22*$C$26*D31</f>
        <v>122317569.06004307</v>
      </c>
      <c r="M4" s="98">
        <f>E$4*E57+E5+E$6*E31+E11*E68+E$13*E42 + E22*$C$26*E31</f>
        <v>16705860.973585345</v>
      </c>
      <c r="N4" s="5"/>
      <c r="O4" t="s">
        <v>2</v>
      </c>
      <c r="P4" s="43">
        <f>J4+J80+J124+J156+J173+J187+J204+J234</f>
        <v>225381463.2278659</v>
      </c>
      <c r="Q4" s="43">
        <f t="shared" ref="Q4:S12" si="0">K4+K80+K124+K156+K173+K187+K204+K234</f>
        <v>227322480.55915758</v>
      </c>
      <c r="R4" s="43">
        <f t="shared" si="0"/>
        <v>151149016.55188242</v>
      </c>
      <c r="S4" s="43">
        <f t="shared" si="0"/>
        <v>21598980.336145759</v>
      </c>
    </row>
    <row r="5" spans="1:24">
      <c r="A5" t="s">
        <v>2</v>
      </c>
      <c r="B5" s="5">
        <v>15458702.090000002</v>
      </c>
      <c r="C5" s="5">
        <v>24460942.420000002</v>
      </c>
      <c r="D5" s="5"/>
      <c r="E5" s="5"/>
      <c r="I5" t="s">
        <v>7</v>
      </c>
      <c r="J5" s="98">
        <f>B$4*B58+B$6*B32+B$13*B43+ B22*$C$26*B32</f>
        <v>1851285.3338038451</v>
      </c>
      <c r="K5" s="98">
        <f>C$4*C58+C$6*C32+C$13*C43+ C22*$C$26*C32</f>
        <v>1730551.2737175634</v>
      </c>
      <c r="L5" s="98">
        <f>D$4*D58+D$6*D32+D$13*D43+ D22*$C$26*D32</f>
        <v>1326549.5785378339</v>
      </c>
      <c r="M5" s="98">
        <f>E$4*E58+E$6*E32+E$13*E43+ E22*$C$26*E32</f>
        <v>181177.18496140855</v>
      </c>
      <c r="N5" s="5"/>
      <c r="O5" t="s">
        <v>7</v>
      </c>
      <c r="P5" s="43">
        <f t="shared" ref="P5:P12" si="1">J5+J81+J125+J157+J174+J188+J205+J235</f>
        <v>2204538209.9565582</v>
      </c>
      <c r="Q5" s="43">
        <f t="shared" si="0"/>
        <v>2617695592.3076463</v>
      </c>
      <c r="R5" s="43">
        <f t="shared" si="0"/>
        <v>2278854223.5631166</v>
      </c>
      <c r="S5" s="43">
        <f t="shared" si="0"/>
        <v>167888070.89453802</v>
      </c>
    </row>
    <row r="6" spans="1:24">
      <c r="A6" t="s">
        <v>377</v>
      </c>
      <c r="B6" s="5">
        <v>1009994367.21</v>
      </c>
      <c r="C6" s="5">
        <v>951661243.80000031</v>
      </c>
      <c r="D6" s="5">
        <v>820401747.77999997</v>
      </c>
      <c r="E6" s="5">
        <v>129042173.89999999</v>
      </c>
      <c r="I6" t="s">
        <v>9</v>
      </c>
      <c r="J6" s="98">
        <f>B$4*B59+B$6*B33+B$13*B44 + B7+ B22*$C$26*B33</f>
        <v>348304923.83641303</v>
      </c>
      <c r="K6" s="98">
        <f>C$4*C59+C$6*C33+C$13*C44 + C7+ C22*$C$26*C33</f>
        <v>279610921.49722725</v>
      </c>
      <c r="L6" s="98">
        <f>D$4*D59+D$6*D33+D$13*D44 + D7+ D22*$C$26*D33</f>
        <v>216641851.18595973</v>
      </c>
      <c r="M6" s="98">
        <f>E$4*E59+E$6*E33+E$13*E44 + E7+ E22*$C$26*E33</f>
        <v>27740834.392658945</v>
      </c>
      <c r="N6" s="5"/>
      <c r="O6" t="s">
        <v>9</v>
      </c>
      <c r="P6" s="43">
        <f t="shared" si="1"/>
        <v>14484679226.812365</v>
      </c>
      <c r="Q6" s="43">
        <f t="shared" si="0"/>
        <v>16251583076.519159</v>
      </c>
      <c r="R6" s="43">
        <f t="shared" si="0"/>
        <v>10833165610.27486</v>
      </c>
      <c r="S6" s="43">
        <f t="shared" si="0"/>
        <v>1827200439.1999753</v>
      </c>
    </row>
    <row r="7" spans="1:24">
      <c r="A7" t="s">
        <v>9</v>
      </c>
      <c r="B7" s="5">
        <v>64846496.830000013</v>
      </c>
      <c r="C7" s="5">
        <v>14638616.609999999</v>
      </c>
      <c r="D7" s="5">
        <v>13528019.940000001</v>
      </c>
      <c r="E7" s="5"/>
      <c r="I7" t="s">
        <v>3</v>
      </c>
      <c r="J7" s="98">
        <f>B$4*B60+B$6*B34+B$13*B45+B8+B9*B72+ B22*$C$26*B34</f>
        <v>181508001.6262176</v>
      </c>
      <c r="K7" s="98">
        <f>C$4*C60+C$6*C34+C$13*C45+C8+C9*C72+ C22*$C$26*C34</f>
        <v>94707887.967724308</v>
      </c>
      <c r="L7" s="98">
        <f>D$4*D60+D$6*D34+D$13*D45+D8+D9*D72+ D22*$C$26*D34</f>
        <v>106074011.83415735</v>
      </c>
      <c r="M7" s="98">
        <f>E$4*E60+E$6*E34+E$13*E45+E8+E9*E72+ E22*$C$26*E34</f>
        <v>4097238.6260050177</v>
      </c>
      <c r="N7" s="5"/>
      <c r="O7" t="s">
        <v>3</v>
      </c>
      <c r="P7" s="43">
        <f t="shared" si="1"/>
        <v>205202217.37768379</v>
      </c>
      <c r="Q7" s="43">
        <f t="shared" si="0"/>
        <v>121374999.10339324</v>
      </c>
      <c r="R7" s="43">
        <f t="shared" si="0"/>
        <v>127175298.30622557</v>
      </c>
      <c r="S7" s="43">
        <f t="shared" si="0"/>
        <v>7921572.563058719</v>
      </c>
    </row>
    <row r="8" spans="1:24">
      <c r="A8" t="s">
        <v>3</v>
      </c>
      <c r="B8" s="5">
        <v>13650333.16</v>
      </c>
      <c r="C8" s="5">
        <v>4849672.9800000004</v>
      </c>
      <c r="D8" s="5">
        <v>14175668.43</v>
      </c>
      <c r="E8" s="5"/>
      <c r="I8" t="s">
        <v>188</v>
      </c>
      <c r="J8" s="98">
        <f>B$4*B61+B$6*B35+B$13*B46+ B22*$C$26*B35</f>
        <v>0</v>
      </c>
      <c r="K8" s="98">
        <f>C$4*C61+C$6*C35+C$13*C46+ C22*$C$26*C35</f>
        <v>0</v>
      </c>
      <c r="L8" s="98">
        <f>D$4*D61+D$6*D35+D$13*D46+ D22*$C$26*D35</f>
        <v>0</v>
      </c>
      <c r="M8" s="98">
        <f>E$4*E61+E$6*E35+E$13*E46+ E22*$C$26*E35</f>
        <v>0</v>
      </c>
      <c r="N8" s="5"/>
      <c r="O8" t="s">
        <v>188</v>
      </c>
      <c r="P8" s="43">
        <f t="shared" si="1"/>
        <v>662167979.75300324</v>
      </c>
      <c r="Q8" s="43">
        <f t="shared" si="0"/>
        <v>747128864.01822472</v>
      </c>
      <c r="R8" s="43">
        <f t="shared" si="0"/>
        <v>592244335.16346836</v>
      </c>
      <c r="S8" s="43">
        <f t="shared" si="0"/>
        <v>106899841.52015221</v>
      </c>
    </row>
    <row r="9" spans="1:24">
      <c r="A9" t="s">
        <v>378</v>
      </c>
      <c r="B9" s="5">
        <v>141125566.06999999</v>
      </c>
      <c r="C9" s="5">
        <v>44453274.990000002</v>
      </c>
      <c r="D9" s="5">
        <v>73464063.960000008</v>
      </c>
      <c r="E9" s="5"/>
      <c r="I9" t="s">
        <v>5</v>
      </c>
      <c r="J9" s="98">
        <f>B$4*B62+B$6*B36+B$13*B47+B10+B11*B69+ B22*$C$26*B36</f>
        <v>93355359.220748931</v>
      </c>
      <c r="K9" s="98">
        <f>C$4*C62+C$6*C36+C$13*C47+C10+C11*C69+ C22*$C$26*C36</f>
        <v>82333613.473820224</v>
      </c>
      <c r="L9" s="98">
        <f>D$4*D62+D$6*D36+D$13*D47+D10+D11*D69+ D22*$C$26*D36</f>
        <v>61991417.561888538</v>
      </c>
      <c r="M9" s="98">
        <f>E$4*E62+E$6*E36+E$13*E47+E10+E11*E69+ E22*$C$26*E36</f>
        <v>8466649.6505994443</v>
      </c>
      <c r="N9" s="5"/>
      <c r="O9" t="s">
        <v>5</v>
      </c>
      <c r="P9" s="43">
        <f t="shared" si="1"/>
        <v>107275586.46457569</v>
      </c>
      <c r="Q9" s="43">
        <f t="shared" si="0"/>
        <v>97291585.29378131</v>
      </c>
      <c r="R9" s="43">
        <f t="shared" si="0"/>
        <v>75350241.316779152</v>
      </c>
      <c r="S9" s="43">
        <f t="shared" si="0"/>
        <v>11116420.491444578</v>
      </c>
    </row>
    <row r="10" spans="1:24">
      <c r="A10" t="s">
        <v>5</v>
      </c>
      <c r="B10" s="5">
        <v>5900135.0499999998</v>
      </c>
      <c r="C10" s="5"/>
      <c r="D10" s="5"/>
      <c r="E10" s="5"/>
      <c r="I10" t="s">
        <v>4</v>
      </c>
      <c r="J10" s="98">
        <f>B$4*B63+B$6*B37+B$13*B48+B12+B9*B73+ B22*$C$26*B37</f>
        <v>71944058.336807117</v>
      </c>
      <c r="K10" s="98">
        <f>C$4*C63+C$6*C37+C$13*C48+C12+C9*C73+ C22*$C$26*C37</f>
        <v>30757295.606140271</v>
      </c>
      <c r="L10" s="98">
        <f>D$4*D63+D$6*D37+D$13*D48+D12+D9*D73+ D22*$C$26*D37</f>
        <v>27242940.788297065</v>
      </c>
      <c r="M10" s="98">
        <f>E$4*E63+E$6*E37+E$13*E48+E12+E9*E73+ E22*$C$26*E37</f>
        <v>1480619.5249551539</v>
      </c>
      <c r="N10" s="5"/>
      <c r="O10" t="s">
        <v>4</v>
      </c>
      <c r="P10" s="43">
        <f t="shared" si="1"/>
        <v>104937417.87317696</v>
      </c>
      <c r="Q10" s="43">
        <f t="shared" si="0"/>
        <v>68337948.513530359</v>
      </c>
      <c r="R10" s="43">
        <f t="shared" si="0"/>
        <v>59796060.691207938</v>
      </c>
      <c r="S10" s="43">
        <f t="shared" si="0"/>
        <v>8160361.3525454421</v>
      </c>
    </row>
    <row r="11" spans="1:24">
      <c r="A11" t="s">
        <v>379</v>
      </c>
      <c r="B11" s="5">
        <v>2801320.3</v>
      </c>
      <c r="C11" s="5">
        <v>4348694.6700000009</v>
      </c>
      <c r="D11" s="5"/>
      <c r="E11" s="5"/>
      <c r="I11" t="s">
        <v>8</v>
      </c>
      <c r="J11" s="98">
        <f>B$4*B64+B$6*B38+B$13*B49+ B22*$C$26*B38</f>
        <v>475665.32459807594</v>
      </c>
      <c r="K11" s="98">
        <f>C$4*C64+C$6*C38+C$13*C49+ C22*$C$26*C38</f>
        <v>444644.17143905145</v>
      </c>
      <c r="L11" s="98">
        <f>D$4*D64+D$6*D38+D$13*D49+ D22*$C$26*D38</f>
        <v>340840.83331127238</v>
      </c>
      <c r="M11" s="98">
        <f>E$4*E64+E$6*E38+E$13*E49+ E22*$C$26*E38</f>
        <v>46551.281383167538</v>
      </c>
      <c r="N11" s="5"/>
      <c r="O11" t="s">
        <v>8</v>
      </c>
      <c r="P11" s="43">
        <f t="shared" si="1"/>
        <v>1684529300.6233644</v>
      </c>
      <c r="Q11" s="43">
        <f t="shared" si="0"/>
        <v>2029731290.3858051</v>
      </c>
      <c r="R11" s="43">
        <f t="shared" si="0"/>
        <v>1858912633.0953217</v>
      </c>
      <c r="S11" s="43">
        <f t="shared" si="0"/>
        <v>59596812.011736304</v>
      </c>
    </row>
    <row r="12" spans="1:24">
      <c r="A12" t="s">
        <v>4</v>
      </c>
      <c r="B12" s="5">
        <v>30114079.220000003</v>
      </c>
      <c r="C12" s="5">
        <v>342000</v>
      </c>
      <c r="D12" s="5"/>
      <c r="E12" s="5"/>
      <c r="I12" t="s">
        <v>6</v>
      </c>
      <c r="J12" s="98">
        <f>B$4*B65+B$6*B39+B$13*B50+B14+ B22*$C$26*B39</f>
        <v>1024201248.5502183</v>
      </c>
      <c r="K12" s="98">
        <f>C$4*C65+C$6*C39+C$13*C50+C14+ C22*$C$26*C39</f>
        <v>798293985.3283813</v>
      </c>
      <c r="L12" s="98">
        <f>D$4*D65+D$6*D39+D$13*D50+D14+ D22*$C$26*D39</f>
        <v>569383678.66780519</v>
      </c>
      <c r="M12" s="98">
        <f>E$4*E65+E$6*E39+E$13*E50+E14+ E22*$C$26*E39</f>
        <v>72455624.785851538</v>
      </c>
      <c r="N12" s="5"/>
      <c r="O12" t="s">
        <v>6</v>
      </c>
      <c r="P12" s="43">
        <f t="shared" si="1"/>
        <v>1293244930.4814065</v>
      </c>
      <c r="Q12" s="43">
        <f t="shared" si="0"/>
        <v>1096749146.3493066</v>
      </c>
      <c r="R12" s="43">
        <f t="shared" si="0"/>
        <v>817017924.05713022</v>
      </c>
      <c r="S12" s="43">
        <f t="shared" si="0"/>
        <v>120941480.91040444</v>
      </c>
    </row>
    <row r="13" spans="1:24">
      <c r="A13" t="s">
        <v>380</v>
      </c>
      <c r="B13" s="5"/>
      <c r="C13" s="5">
        <v>7514127.0700000003</v>
      </c>
      <c r="D13" s="5"/>
      <c r="E13" s="5"/>
      <c r="J13" s="6">
        <f>SUM(J4:J12)</f>
        <v>1909660396.2151575</v>
      </c>
      <c r="K13" s="6">
        <f>SUM(K4:K12)</f>
        <v>1474795353.2936223</v>
      </c>
      <c r="L13" s="6">
        <f>SUM(L4:L12)</f>
        <v>1105318859.51</v>
      </c>
      <c r="M13" s="6">
        <f>SUM(M4:M12)</f>
        <v>131174556.42000002</v>
      </c>
      <c r="P13" s="6">
        <f>SUM(P4:P12)</f>
        <v>20971956332.57</v>
      </c>
      <c r="Q13" s="6">
        <f>SUM(Q4:Q12)</f>
        <v>23257214983.050007</v>
      </c>
      <c r="R13" s="6">
        <f>SUM(R4:R12)</f>
        <v>16793665343.019991</v>
      </c>
      <c r="S13" s="6">
        <f>SUM(S4:S12)</f>
        <v>2331323979.2800007</v>
      </c>
    </row>
    <row r="14" spans="1:24">
      <c r="A14" t="s">
        <v>6</v>
      </c>
      <c r="B14" s="5">
        <v>283842932.75999999</v>
      </c>
      <c r="C14" s="5">
        <v>106219131.71000001</v>
      </c>
      <c r="D14" s="5">
        <v>38875499.379999988</v>
      </c>
      <c r="E14" s="5"/>
    </row>
    <row r="15" spans="1:24">
      <c r="A15" s="1" t="s">
        <v>25</v>
      </c>
      <c r="B15" s="6">
        <f>SUM(B4:B14)</f>
        <v>1872509799.02</v>
      </c>
      <c r="C15" s="6">
        <f>SUM(C4:C14)</f>
        <v>1458914538.8200004</v>
      </c>
      <c r="D15" s="6">
        <f>SUM(D4:D14)</f>
        <v>1105318859.51</v>
      </c>
      <c r="E15" s="6">
        <f>SUM(E4:E14)</f>
        <v>131174556.41999999</v>
      </c>
    </row>
    <row r="16" spans="1:24">
      <c r="Q16" s="1" t="s">
        <v>2</v>
      </c>
      <c r="R16" s="1" t="s">
        <v>3</v>
      </c>
      <c r="S16" s="1" t="s">
        <v>4</v>
      </c>
      <c r="T16" s="1" t="s">
        <v>5</v>
      </c>
      <c r="U16" s="1" t="s">
        <v>6</v>
      </c>
      <c r="V16" s="1" t="s">
        <v>7</v>
      </c>
      <c r="W16" s="1" t="s">
        <v>8</v>
      </c>
      <c r="X16" s="1" t="s">
        <v>9</v>
      </c>
    </row>
    <row r="17" spans="1:24">
      <c r="A17" s="1"/>
      <c r="B17" s="6"/>
      <c r="C17" s="6"/>
      <c r="D17" s="6"/>
      <c r="E17" s="6"/>
      <c r="F17" s="6"/>
      <c r="O17" t="s">
        <v>2</v>
      </c>
      <c r="P17">
        <v>151149016.55188242</v>
      </c>
      <c r="Q17">
        <f>P17/5000000</f>
        <v>30.229803310376482</v>
      </c>
      <c r="R17">
        <f>P20/5000000</f>
        <v>25.435059661245113</v>
      </c>
      <c r="S17">
        <f>P23/5000000</f>
        <v>11.959212138241588</v>
      </c>
      <c r="T17">
        <f>P22/5000000</f>
        <v>15.070048263355829</v>
      </c>
      <c r="U17">
        <f>P25/5000000</f>
        <v>163.40358481142604</v>
      </c>
      <c r="V17">
        <f>P18/5000000</f>
        <v>455.77084471262333</v>
      </c>
      <c r="W17">
        <f>P24/5000000</f>
        <v>371.78252661906436</v>
      </c>
      <c r="X17">
        <f>P19/5000000</f>
        <v>2166.6331220549719</v>
      </c>
    </row>
    <row r="18" spans="1:24">
      <c r="O18" t="s">
        <v>7</v>
      </c>
      <c r="P18">
        <v>2278854223.5631166</v>
      </c>
    </row>
    <row r="19" spans="1:24">
      <c r="A19" s="1" t="s">
        <v>381</v>
      </c>
      <c r="O19" t="s">
        <v>9</v>
      </c>
      <c r="P19">
        <v>10833165610.27486</v>
      </c>
    </row>
    <row r="20" spans="1:24">
      <c r="O20" t="s">
        <v>3</v>
      </c>
      <c r="P20">
        <v>127175298.30622557</v>
      </c>
    </row>
    <row r="21" spans="1:24">
      <c r="B21" s="1" t="s">
        <v>372</v>
      </c>
      <c r="C21" s="1" t="s">
        <v>373</v>
      </c>
      <c r="O21" t="s">
        <v>188</v>
      </c>
      <c r="P21">
        <v>592244335.16346836</v>
      </c>
    </row>
    <row r="22" spans="1:24">
      <c r="B22" s="5">
        <v>65066618.269999996</v>
      </c>
      <c r="C22" s="5">
        <v>27814112.590000004</v>
      </c>
      <c r="O22" t="s">
        <v>5</v>
      </c>
      <c r="P22">
        <v>75350241.316779152</v>
      </c>
    </row>
    <row r="23" spans="1:24">
      <c r="O23" t="s">
        <v>4</v>
      </c>
      <c r="P23">
        <v>59796060.691207938</v>
      </c>
    </row>
    <row r="24" spans="1:24">
      <c r="O24" t="s">
        <v>8</v>
      </c>
      <c r="P24">
        <v>1858912633.0953217</v>
      </c>
    </row>
    <row r="25" spans="1:24">
      <c r="A25" s="1" t="s">
        <v>382</v>
      </c>
      <c r="B25" t="s">
        <v>383</v>
      </c>
      <c r="O25" t="s">
        <v>6</v>
      </c>
      <c r="P25">
        <v>817017924.05713022</v>
      </c>
    </row>
    <row r="26" spans="1:24">
      <c r="A26" t="s">
        <v>264</v>
      </c>
      <c r="B26" s="5">
        <f>(164096/226736)*84808284</f>
        <v>61378432.058711454</v>
      </c>
      <c r="C26" s="7">
        <f>B26/SUM(B26:B27)</f>
        <v>0.5709624717393047</v>
      </c>
    </row>
    <row r="27" spans="1:24">
      <c r="A27" t="s">
        <v>213</v>
      </c>
      <c r="B27" s="5">
        <v>46121509</v>
      </c>
      <c r="C27" s="7">
        <f>B27/SUM(B26:B27)</f>
        <v>0.42903752826069536</v>
      </c>
    </row>
    <row r="30" spans="1:24">
      <c r="A30" s="1" t="s">
        <v>384</v>
      </c>
      <c r="B30" s="1">
        <v>2005</v>
      </c>
      <c r="C30" s="1">
        <v>2011</v>
      </c>
      <c r="D30" s="1">
        <v>2016</v>
      </c>
      <c r="E30" s="1" t="s">
        <v>375</v>
      </c>
      <c r="F30" t="s">
        <v>385</v>
      </c>
    </row>
    <row r="31" spans="1:24">
      <c r="A31" t="s">
        <v>2</v>
      </c>
      <c r="B31" s="7">
        <v>0.12743347543623304</v>
      </c>
      <c r="C31" s="7">
        <v>0.12743347543623301</v>
      </c>
      <c r="D31" s="7">
        <v>0.12743347543623301</v>
      </c>
      <c r="E31" s="7">
        <v>0.12743347543623301</v>
      </c>
      <c r="F31" s="7" t="s">
        <v>386</v>
      </c>
      <c r="G31" s="7"/>
      <c r="H31" s="7"/>
    </row>
    <row r="32" spans="1:24">
      <c r="A32" t="s">
        <v>7</v>
      </c>
      <c r="B32" s="7">
        <v>1.3820322332318822E-3</v>
      </c>
      <c r="C32" s="7">
        <v>1.3820322332318822E-3</v>
      </c>
      <c r="D32" s="7">
        <v>1.3820322332318822E-3</v>
      </c>
      <c r="E32" s="7">
        <v>1.3820322332318822E-3</v>
      </c>
      <c r="F32" s="7" t="s">
        <v>387</v>
      </c>
      <c r="G32" s="7"/>
      <c r="H32" s="7"/>
    </row>
    <row r="33" spans="1:8">
      <c r="A33" t="s">
        <v>9</v>
      </c>
      <c r="B33" s="7">
        <v>0.21160902414709967</v>
      </c>
      <c r="C33" s="7">
        <v>0.21160902414709967</v>
      </c>
      <c r="D33" s="7">
        <v>0.21160902414709967</v>
      </c>
      <c r="E33" s="7">
        <v>0.21160902414709967</v>
      </c>
      <c r="F33" s="7" t="s">
        <v>388</v>
      </c>
      <c r="G33" s="7"/>
      <c r="H33" s="7"/>
    </row>
    <row r="34" spans="1:8">
      <c r="A34" t="s">
        <v>3</v>
      </c>
      <c r="B34" s="7">
        <v>3.0772840109234968E-2</v>
      </c>
      <c r="C34" s="7">
        <v>3.0772840109234968E-2</v>
      </c>
      <c r="D34" s="7">
        <v>3.0772840109234968E-2</v>
      </c>
      <c r="E34" s="7">
        <v>3.0772840109234968E-2</v>
      </c>
      <c r="F34" s="7"/>
      <c r="G34" s="7"/>
      <c r="H34" s="7"/>
    </row>
    <row r="35" spans="1:8">
      <c r="A35" t="s">
        <v>188</v>
      </c>
      <c r="B35" s="7">
        <v>0</v>
      </c>
      <c r="C35" s="7">
        <v>0</v>
      </c>
      <c r="D35" s="7">
        <v>0</v>
      </c>
      <c r="E35" s="7">
        <v>0</v>
      </c>
      <c r="F35" s="7"/>
      <c r="G35" s="7"/>
      <c r="H35" s="7"/>
    </row>
    <row r="36" spans="1:8">
      <c r="A36" t="s">
        <v>5</v>
      </c>
      <c r="B36" s="7">
        <v>6.4584195449897741E-2</v>
      </c>
      <c r="C36" s="7">
        <v>6.4584195449897741E-2</v>
      </c>
      <c r="D36" s="7">
        <v>6.4584195449897741E-2</v>
      </c>
      <c r="E36" s="7">
        <v>6.4584195449897741E-2</v>
      </c>
      <c r="F36" s="7"/>
      <c r="G36" s="7"/>
      <c r="H36" s="7"/>
    </row>
    <row r="37" spans="1:8">
      <c r="A37" t="s">
        <v>4</v>
      </c>
      <c r="B37" s="7">
        <v>1.1166764856561838E-2</v>
      </c>
      <c r="C37" s="7">
        <v>1.1166764856561838E-2</v>
      </c>
      <c r="D37" s="7">
        <v>1.1166764856561838E-2</v>
      </c>
      <c r="E37" s="7">
        <v>1.1166764856561838E-2</v>
      </c>
      <c r="F37" s="7"/>
      <c r="G37" s="7"/>
      <c r="H37" s="7"/>
    </row>
    <row r="38" spans="1:8">
      <c r="A38" t="s">
        <v>8</v>
      </c>
      <c r="B38" s="7">
        <v>3.5509642885492711E-4</v>
      </c>
      <c r="C38" s="7">
        <v>3.5509642885492711E-4</v>
      </c>
      <c r="D38" s="7">
        <v>3.5509642885492711E-4</v>
      </c>
      <c r="E38" s="7">
        <v>3.5509642885492711E-4</v>
      </c>
      <c r="F38" s="7"/>
      <c r="G38" s="7"/>
      <c r="H38" s="7"/>
    </row>
    <row r="39" spans="1:8">
      <c r="A39" t="s">
        <v>6</v>
      </c>
      <c r="B39" s="7">
        <v>0.55269657133888617</v>
      </c>
      <c r="C39" s="7">
        <v>0.55269657133888617</v>
      </c>
      <c r="D39" s="7">
        <v>0.55269657133888617</v>
      </c>
      <c r="E39" s="7">
        <v>0.55269657133888617</v>
      </c>
      <c r="F39" s="7"/>
      <c r="G39" s="7"/>
      <c r="H39" s="7"/>
    </row>
    <row r="41" spans="1:8">
      <c r="A41" s="1" t="s">
        <v>389</v>
      </c>
      <c r="B41" s="1">
        <v>2005</v>
      </c>
      <c r="C41" s="1">
        <v>2011</v>
      </c>
      <c r="D41" s="1">
        <v>2016</v>
      </c>
      <c r="E41" s="1" t="s">
        <v>375</v>
      </c>
    </row>
    <row r="42" spans="1:8">
      <c r="A42" t="s">
        <v>2</v>
      </c>
      <c r="B42" s="7">
        <v>0</v>
      </c>
      <c r="C42" s="7">
        <v>0</v>
      </c>
      <c r="D42" s="7">
        <v>0</v>
      </c>
      <c r="E42" s="7">
        <v>0</v>
      </c>
    </row>
    <row r="43" spans="1:8">
      <c r="A43" t="s">
        <v>7</v>
      </c>
      <c r="B43" s="7">
        <v>0</v>
      </c>
      <c r="C43" s="7">
        <v>0</v>
      </c>
      <c r="D43" s="7">
        <v>0</v>
      </c>
      <c r="E43" s="7">
        <v>0</v>
      </c>
    </row>
    <row r="44" spans="1:8">
      <c r="A44" t="s">
        <v>9</v>
      </c>
      <c r="B44" s="7">
        <v>0</v>
      </c>
      <c r="C44" s="7">
        <v>0</v>
      </c>
      <c r="D44" s="7">
        <v>0</v>
      </c>
      <c r="E44" s="7">
        <v>0</v>
      </c>
    </row>
    <row r="45" spans="1:8">
      <c r="A45" t="s">
        <v>3</v>
      </c>
      <c r="B45" s="7">
        <v>0.82494932052212488</v>
      </c>
      <c r="C45" s="7">
        <v>0.75748103344453466</v>
      </c>
      <c r="D45" s="7">
        <v>0.79052550953388501</v>
      </c>
      <c r="E45" s="7">
        <v>0.79052550953388501</v>
      </c>
    </row>
    <row r="46" spans="1:8">
      <c r="A46" t="s">
        <v>188</v>
      </c>
      <c r="B46" s="7">
        <v>0</v>
      </c>
      <c r="C46" s="7">
        <v>0</v>
      </c>
      <c r="D46" s="7">
        <v>0</v>
      </c>
      <c r="E46" s="7">
        <v>0</v>
      </c>
    </row>
    <row r="47" spans="1:8">
      <c r="A47" t="s">
        <v>5</v>
      </c>
      <c r="B47" s="7">
        <v>0</v>
      </c>
      <c r="C47" s="7">
        <v>0</v>
      </c>
      <c r="D47" s="7">
        <v>0</v>
      </c>
      <c r="E47" s="7">
        <v>0</v>
      </c>
    </row>
    <row r="48" spans="1:8">
      <c r="A48" t="s">
        <v>4</v>
      </c>
      <c r="B48" s="7">
        <v>0.17505067947787512</v>
      </c>
      <c r="C48" s="7">
        <v>0.2425189665554654</v>
      </c>
      <c r="D48" s="7">
        <v>0.20947449046611499</v>
      </c>
      <c r="E48" s="7">
        <v>0.20947449046611499</v>
      </c>
    </row>
    <row r="49" spans="1:5">
      <c r="A49" t="s">
        <v>8</v>
      </c>
      <c r="B49" s="7">
        <v>0</v>
      </c>
      <c r="C49" s="7">
        <v>0</v>
      </c>
      <c r="D49" s="7">
        <v>0</v>
      </c>
      <c r="E49" s="7">
        <v>0</v>
      </c>
    </row>
    <row r="50" spans="1:5">
      <c r="A50" t="s">
        <v>6</v>
      </c>
      <c r="B50" s="7">
        <v>0</v>
      </c>
      <c r="C50" s="7">
        <v>0</v>
      </c>
      <c r="D50" s="7">
        <v>0</v>
      </c>
      <c r="E50" s="7">
        <v>0</v>
      </c>
    </row>
    <row r="52" spans="1:5">
      <c r="A52" s="1" t="s">
        <v>390</v>
      </c>
      <c r="B52" s="1">
        <v>2005</v>
      </c>
      <c r="C52" s="1">
        <v>2011</v>
      </c>
      <c r="D52" s="1">
        <v>2016</v>
      </c>
      <c r="E52" s="1" t="s">
        <v>375</v>
      </c>
    </row>
    <row r="53" spans="1:5">
      <c r="A53" t="s">
        <v>391</v>
      </c>
      <c r="B53" s="7">
        <f>'HQ Expenses'!C12/SUM('HQ Expenses'!C11:C12)</f>
        <v>4.0627782241425998E-2</v>
      </c>
      <c r="C53" s="7">
        <f>'HQ Expenses'!C22/SUM('HQ Expenses'!C21:C22)</f>
        <v>5.2559319786340902E-2</v>
      </c>
      <c r="D53" s="7">
        <f>'HQ Expenses'!C32/SUM('HQ Expenses'!C31:C32)</f>
        <v>3.7420899561647951E-2</v>
      </c>
      <c r="E53" s="7">
        <f>'HQ Expenses'!D32/SUM('HQ Expenses'!D31:D32)</f>
        <v>3.7420899561647958E-2</v>
      </c>
    </row>
    <row r="54" spans="1:5">
      <c r="A54" t="s">
        <v>392</v>
      </c>
      <c r="B54" s="7">
        <f>1-B53</f>
        <v>0.95937221775857395</v>
      </c>
      <c r="C54" s="7">
        <f>1-C53</f>
        <v>0.94744068021365913</v>
      </c>
      <c r="D54" s="7">
        <f>1-D53</f>
        <v>0.96257910043835204</v>
      </c>
      <c r="E54" s="7">
        <f>1-E53</f>
        <v>0.96257910043835204</v>
      </c>
    </row>
    <row r="56" spans="1:5">
      <c r="A56" s="1" t="s">
        <v>393</v>
      </c>
      <c r="B56" s="1">
        <v>2005</v>
      </c>
      <c r="C56" s="1">
        <v>2011</v>
      </c>
      <c r="D56" s="1">
        <v>2016</v>
      </c>
      <c r="E56" s="1" t="s">
        <v>375</v>
      </c>
    </row>
    <row r="57" spans="1:5">
      <c r="A57" t="s">
        <v>2</v>
      </c>
      <c r="B57" s="7">
        <f>B$53*B42 + B$54*B31</f>
        <v>0.12225613594594165</v>
      </c>
      <c r="C57" s="7">
        <f>C$53*C42 + C$54*C31</f>
        <v>0.12073565864929522</v>
      </c>
      <c r="D57" s="7">
        <f>D$53*D42 + D$54*D31</f>
        <v>0.12266480015114201</v>
      </c>
      <c r="E57" s="7">
        <f>E$53*E42 + E$54*E31</f>
        <v>0.12266480015114201</v>
      </c>
    </row>
    <row r="58" spans="1:5">
      <c r="A58" t="s">
        <v>7</v>
      </c>
      <c r="B58" s="7">
        <f t="shared" ref="B58:D65" si="2">B$53*B43 + B$54*B32</f>
        <v>1.3258833286095056E-3</v>
      </c>
      <c r="C58" s="7">
        <f t="shared" si="2"/>
        <v>1.3093935591304169E-3</v>
      </c>
      <c r="D58" s="7">
        <f t="shared" si="2"/>
        <v>1.3303153438411518E-3</v>
      </c>
      <c r="E58" s="7">
        <f t="shared" ref="E58:E65" si="3">E$53*E43 + E$54*E32</f>
        <v>1.3303153438411518E-3</v>
      </c>
    </row>
    <row r="59" spans="1:5">
      <c r="A59" t="s">
        <v>9</v>
      </c>
      <c r="B59" s="7">
        <f t="shared" si="2"/>
        <v>0.20301181879373065</v>
      </c>
      <c r="C59" s="7">
        <f t="shared" si="2"/>
        <v>0.20048699777727674</v>
      </c>
      <c r="D59" s="7">
        <f t="shared" si="2"/>
        <v>0.20369042410815272</v>
      </c>
      <c r="E59" s="7">
        <f t="shared" si="3"/>
        <v>0.20369042410815272</v>
      </c>
    </row>
    <row r="60" spans="1:5">
      <c r="A60" t="s">
        <v>3</v>
      </c>
      <c r="B60" s="7">
        <f t="shared" si="2"/>
        <v>6.3038469216711981E-2</v>
      </c>
      <c r="C60" s="7">
        <f t="shared" si="2"/>
        <v>6.8968128434099038E-2</v>
      </c>
      <c r="D60" s="7">
        <f t="shared" si="2"/>
        <v>5.9203468443468715E-2</v>
      </c>
      <c r="E60" s="7">
        <f t="shared" si="3"/>
        <v>5.9203468443468715E-2</v>
      </c>
    </row>
    <row r="61" spans="1:5">
      <c r="A61" t="s">
        <v>188</v>
      </c>
      <c r="B61" s="7">
        <f t="shared" si="2"/>
        <v>0</v>
      </c>
      <c r="C61" s="7">
        <f t="shared" si="2"/>
        <v>0</v>
      </c>
      <c r="D61" s="7">
        <f t="shared" si="2"/>
        <v>0</v>
      </c>
      <c r="E61" s="7">
        <f t="shared" si="3"/>
        <v>0</v>
      </c>
    </row>
    <row r="62" spans="1:5">
      <c r="A62" t="s">
        <v>5</v>
      </c>
      <c r="B62" s="7">
        <f t="shared" si="2"/>
        <v>6.19602828209216E-2</v>
      </c>
      <c r="C62" s="7">
        <f t="shared" si="2"/>
        <v>6.1189694068103026E-2</v>
      </c>
      <c r="D62" s="7">
        <f t="shared" si="2"/>
        <v>6.2167396758697278E-2</v>
      </c>
      <c r="E62" s="7">
        <f t="shared" si="3"/>
        <v>6.2167396758697278E-2</v>
      </c>
    </row>
    <row r="63" spans="1:5">
      <c r="A63" t="s">
        <v>4</v>
      </c>
      <c r="B63" s="7">
        <f t="shared" si="2"/>
        <v>1.7825004852669003E-2</v>
      </c>
      <c r="C63" s="7">
        <f t="shared" si="2"/>
        <v>2.3326479208928552E-2</v>
      </c>
      <c r="D63" s="7">
        <f t="shared" si="2"/>
        <v>1.8587618338895766E-2</v>
      </c>
      <c r="E63" s="7">
        <f t="shared" si="3"/>
        <v>1.8587618338895769E-2</v>
      </c>
    </row>
    <row r="64" spans="1:5">
      <c r="A64" t="s">
        <v>8</v>
      </c>
      <c r="B64" s="7">
        <f t="shared" si="2"/>
        <v>3.4066964846870109E-4</v>
      </c>
      <c r="C64" s="7">
        <f t="shared" si="2"/>
        <v>3.3643280209575338E-4</v>
      </c>
      <c r="D64" s="7">
        <f t="shared" si="2"/>
        <v>3.4180840105604702E-4</v>
      </c>
      <c r="E64" s="7">
        <f t="shared" si="3"/>
        <v>3.4180840105604702E-4</v>
      </c>
    </row>
    <row r="65" spans="1:14">
      <c r="A65" t="s">
        <v>6</v>
      </c>
      <c r="B65" s="7">
        <f>B$53*B50 + B$54*B39</f>
        <v>0.53024173539294706</v>
      </c>
      <c r="C65" s="7">
        <f t="shared" si="2"/>
        <v>0.52364721550107152</v>
      </c>
      <c r="D65" s="7">
        <f t="shared" si="2"/>
        <v>0.53201416845474647</v>
      </c>
      <c r="E65" s="7">
        <f t="shared" si="3"/>
        <v>0.53201416845474647</v>
      </c>
    </row>
    <row r="66" spans="1:14">
      <c r="B66" s="7"/>
      <c r="C66" s="7"/>
      <c r="D66" s="7"/>
      <c r="E66" s="7"/>
    </row>
    <row r="67" spans="1:14">
      <c r="A67" s="1" t="s">
        <v>394</v>
      </c>
      <c r="B67" s="1">
        <v>2005</v>
      </c>
      <c r="C67" s="1">
        <v>2011</v>
      </c>
      <c r="D67" s="1">
        <v>2016</v>
      </c>
      <c r="E67" s="1" t="s">
        <v>375</v>
      </c>
    </row>
    <row r="68" spans="1:14">
      <c r="A68" t="s">
        <v>2</v>
      </c>
      <c r="B68" s="7">
        <f>B31/(B31+B36)</f>
        <v>0.66365493784060592</v>
      </c>
      <c r="C68" s="7">
        <f>C31/(C31+C36)</f>
        <v>0.66365493784060581</v>
      </c>
      <c r="D68" s="7">
        <f>D31/(D31+D36)</f>
        <v>0.66365493784060581</v>
      </c>
      <c r="E68" s="7">
        <f>E31/(E31+E36)</f>
        <v>0.66365493784060581</v>
      </c>
    </row>
    <row r="69" spans="1:14">
      <c r="A69" t="s">
        <v>5</v>
      </c>
      <c r="B69" s="7">
        <f>1-B68</f>
        <v>0.33634506215939408</v>
      </c>
      <c r="C69" s="7">
        <f>1-C68</f>
        <v>0.33634506215939419</v>
      </c>
      <c r="D69" s="7">
        <f>1-D68</f>
        <v>0.33634506215939419</v>
      </c>
      <c r="E69" s="7">
        <f>1-E68</f>
        <v>0.33634506215939419</v>
      </c>
    </row>
    <row r="71" spans="1:14">
      <c r="A71" s="1" t="s">
        <v>395</v>
      </c>
      <c r="B71" s="1">
        <v>2005</v>
      </c>
      <c r="C71" s="1">
        <v>2011</v>
      </c>
      <c r="D71" s="1">
        <v>2016</v>
      </c>
      <c r="E71" s="1" t="s">
        <v>375</v>
      </c>
    </row>
    <row r="72" spans="1:14">
      <c r="A72" t="s">
        <v>3</v>
      </c>
      <c r="B72" s="7">
        <f>B45/(B45+B48)</f>
        <v>0.82494932052212488</v>
      </c>
      <c r="C72" s="7">
        <f>C45/(C45+C48)</f>
        <v>0.75748103344453466</v>
      </c>
      <c r="D72" s="7">
        <f>D45/(D45+D48)</f>
        <v>0.79052550953388501</v>
      </c>
      <c r="E72" s="7">
        <f>E45/(E45+E48)</f>
        <v>0.79052550953388501</v>
      </c>
    </row>
    <row r="73" spans="1:14">
      <c r="A73" t="s">
        <v>4</v>
      </c>
      <c r="B73" s="7">
        <f>1-B72</f>
        <v>0.17505067947787512</v>
      </c>
      <c r="C73" s="7">
        <f>1-C72</f>
        <v>0.24251896655546534</v>
      </c>
      <c r="D73" s="7">
        <f>1-D72</f>
        <v>0.20947449046611499</v>
      </c>
      <c r="E73" s="7">
        <f>1-E72</f>
        <v>0.20947449046611499</v>
      </c>
    </row>
    <row r="77" spans="1:14" ht="18.75">
      <c r="A77" s="2" t="s">
        <v>272</v>
      </c>
    </row>
    <row r="79" spans="1:14" s="1" customFormat="1">
      <c r="A79" s="1" t="s">
        <v>272</v>
      </c>
      <c r="B79" s="1" t="s">
        <v>372</v>
      </c>
      <c r="C79" s="1" t="s">
        <v>373</v>
      </c>
      <c r="D79" s="1" t="s">
        <v>374</v>
      </c>
      <c r="E79" s="1" t="s">
        <v>375</v>
      </c>
      <c r="I79" s="1" t="s">
        <v>272</v>
      </c>
      <c r="J79" s="1" t="s">
        <v>372</v>
      </c>
      <c r="K79" s="1" t="s">
        <v>373</v>
      </c>
      <c r="L79" s="1" t="s">
        <v>374</v>
      </c>
      <c r="M79" s="1" t="s">
        <v>375</v>
      </c>
    </row>
    <row r="80" spans="1:14">
      <c r="A80" t="s">
        <v>376</v>
      </c>
      <c r="B80" s="5">
        <v>3799888782.54</v>
      </c>
      <c r="C80" s="5">
        <v>4658631865.5499973</v>
      </c>
      <c r="D80" s="5">
        <v>3933672556.4799995</v>
      </c>
      <c r="E80" s="5">
        <v>32168937.600000001</v>
      </c>
      <c r="I80" t="s">
        <v>2</v>
      </c>
      <c r="J80" s="98">
        <f>B98*B80+B98*$C94*B91</f>
        <v>300088.18609633006</v>
      </c>
      <c r="K80" s="98">
        <f>C98*C80+C98*$C94*C91</f>
        <v>365125.79360854172</v>
      </c>
      <c r="L80" s="98">
        <f>D98*D80+D98*$C94*D91</f>
        <v>308656.87472025416</v>
      </c>
      <c r="M80" s="98">
        <f>D98*E80+D98*$C94*E91</f>
        <v>5350.8458281874655</v>
      </c>
      <c r="N80" s="5"/>
    </row>
    <row r="81" spans="1:14">
      <c r="A81" t="s">
        <v>7</v>
      </c>
      <c r="B81" s="5">
        <v>39299281.889999993</v>
      </c>
      <c r="C81" s="5">
        <v>27506038.909999996</v>
      </c>
      <c r="D81" s="5">
        <v>63901451.600000001</v>
      </c>
      <c r="E81" s="5">
        <v>65372595.540000007</v>
      </c>
      <c r="I81" t="s">
        <v>7</v>
      </c>
      <c r="J81" s="98">
        <f>B81+B80*B99+B82*B109+B84*B113+B91*$C94*B99</f>
        <v>1830816958.9180026</v>
      </c>
      <c r="K81" s="98">
        <f>C81+C80*C99+C82*C109+C84*C113+C91*$C94*C99</f>
        <v>2207296326.8842196</v>
      </c>
      <c r="L81" s="98">
        <f>D81+D80*D99+D82*D109+D84*D113+D91*$C94*D99</f>
        <v>1942071280.8613434</v>
      </c>
      <c r="M81" s="98">
        <f>E81+E80*D99+E82*D109+E84*D113+E91*$C94*D99</f>
        <v>102191479.4573957</v>
      </c>
      <c r="N81" s="5"/>
    </row>
    <row r="82" spans="1:14">
      <c r="A82" t="s">
        <v>396</v>
      </c>
      <c r="B82" s="5"/>
      <c r="C82" s="5"/>
      <c r="D82" s="5">
        <v>46936364.060000002</v>
      </c>
      <c r="E82" s="5"/>
      <c r="I82" t="s">
        <v>9</v>
      </c>
      <c r="J82" s="98">
        <f>B83+B80*B100+B84*B114+B86*B118+$C94*B91*B100</f>
        <v>602972668.11444902</v>
      </c>
      <c r="K82" s="98">
        <f>C83+C80*C100+C84*C114+C86*C117+$C94*C91*C100</f>
        <v>712125380.28753841</v>
      </c>
      <c r="L82" s="98">
        <f>D83+D80*D100+D84*D114+D86*D118+$C94*D91*D100</f>
        <v>582453436.52996373</v>
      </c>
      <c r="M82" s="98">
        <f>E83+E80*D100+E84*D114+E86*D118+$C94*E91*D100</f>
        <v>10798402.970013279</v>
      </c>
      <c r="N82" s="5"/>
    </row>
    <row r="83" spans="1:14">
      <c r="A83" t="s">
        <v>9</v>
      </c>
      <c r="B83" s="5">
        <v>77548544.780000001</v>
      </c>
      <c r="C83" s="5">
        <v>72702384</v>
      </c>
      <c r="D83" s="5">
        <v>39186964.690000005</v>
      </c>
      <c r="E83" s="5"/>
      <c r="I83" t="s">
        <v>3</v>
      </c>
      <c r="J83" s="98">
        <f t="shared" ref="J83:L86" si="4">B$80*B101+B$91*$C$94*B101</f>
        <v>610049.22930988367</v>
      </c>
      <c r="K83" s="98">
        <f t="shared" si="4"/>
        <v>742264.17204090848</v>
      </c>
      <c r="L83" s="98">
        <f t="shared" si="4"/>
        <v>627468.51515122387</v>
      </c>
      <c r="M83" s="98">
        <f>E$80*D101+E$91*$C$94*D101</f>
        <v>10877.733695900699</v>
      </c>
      <c r="N83" s="5"/>
    </row>
    <row r="84" spans="1:14">
      <c r="A84" t="s">
        <v>397</v>
      </c>
      <c r="B84" s="5"/>
      <c r="C84" s="5"/>
      <c r="D84" s="5">
        <v>12520963.720000001</v>
      </c>
      <c r="E84" s="5">
        <v>6304103.1600000001</v>
      </c>
      <c r="I84" t="s">
        <v>188</v>
      </c>
      <c r="J84" s="98">
        <f t="shared" si="4"/>
        <v>43424673.124113619</v>
      </c>
      <c r="K84" s="98">
        <f t="shared" si="4"/>
        <v>52836029.444837257</v>
      </c>
      <c r="L84" s="98">
        <f t="shared" si="4"/>
        <v>44664616.980073251</v>
      </c>
      <c r="M84" s="98">
        <f>E$80*D102+E$91*$C$94*D102</f>
        <v>774301.49466790131</v>
      </c>
      <c r="N84" s="5"/>
    </row>
    <row r="85" spans="1:14">
      <c r="A85" t="s">
        <v>8</v>
      </c>
      <c r="B85" s="5">
        <v>9057607.620000001</v>
      </c>
      <c r="C85" s="5">
        <v>19597545.509999998</v>
      </c>
      <c r="D85" s="5">
        <v>151223694.19</v>
      </c>
      <c r="E85" s="5"/>
      <c r="I85" t="s">
        <v>5</v>
      </c>
      <c r="J85" s="98">
        <f t="shared" si="4"/>
        <v>131199.02097298854</v>
      </c>
      <c r="K85" s="98">
        <f t="shared" si="4"/>
        <v>159633.56397525306</v>
      </c>
      <c r="L85" s="98">
        <f t="shared" si="4"/>
        <v>134945.26494581974</v>
      </c>
      <c r="M85" s="98">
        <f>E$80*D103+E$91*$C$94*D103</f>
        <v>2339.398105496366</v>
      </c>
      <c r="N85" s="5"/>
    </row>
    <row r="86" spans="1:14">
      <c r="A86" t="s">
        <v>398</v>
      </c>
      <c r="B86" s="5"/>
      <c r="C86" s="5">
        <v>472125.96</v>
      </c>
      <c r="D86" s="5"/>
      <c r="E86" s="5"/>
      <c r="I86" t="s">
        <v>4</v>
      </c>
      <c r="J86" s="98">
        <f t="shared" si="4"/>
        <v>215390.66601152677</v>
      </c>
      <c r="K86" s="98">
        <f t="shared" si="4"/>
        <v>262071.92254508031</v>
      </c>
      <c r="L86" s="98">
        <f t="shared" si="4"/>
        <v>221540.90995668477</v>
      </c>
      <c r="M86" s="98">
        <f>E$80*D104+E$91*$C$94*D104</f>
        <v>3840.6118603027285</v>
      </c>
      <c r="N86" s="5"/>
    </row>
    <row r="87" spans="1:14">
      <c r="A87" s="1" t="s">
        <v>25</v>
      </c>
      <c r="B87" s="6">
        <f>SUM(B80:B86)</f>
        <v>3925794216.8299999</v>
      </c>
      <c r="C87" s="6">
        <f>SUM(C80:C86)</f>
        <v>4778909959.9299974</v>
      </c>
      <c r="D87" s="6">
        <f>SUM(D80:D86)</f>
        <v>4247441994.7399993</v>
      </c>
      <c r="E87" s="6">
        <f>SUM(E80:E86)</f>
        <v>103845636.30000001</v>
      </c>
      <c r="I87" t="s">
        <v>8</v>
      </c>
      <c r="J87" s="98">
        <f>B80*B105+B85+B82*B110+B86*B118+B91*$C94*B105</f>
        <v>1474742856.8455811</v>
      </c>
      <c r="K87" s="98">
        <f>C80*C105+C85+C82*C110+C86*C118+C91*$C94*C105</f>
        <v>1803285830.940541</v>
      </c>
      <c r="L87" s="98">
        <f>D80*D105+D85+D82*D110+D86*D118+D91*$C94*D105</f>
        <v>1679880532.1143675</v>
      </c>
      <c r="M87" s="98">
        <f>E80*D105+E85+E82*D110+E86*D118+E91*$C94*D105</f>
        <v>26134503.671321027</v>
      </c>
      <c r="N87" s="5"/>
    </row>
    <row r="88" spans="1:14">
      <c r="I88" t="s">
        <v>6</v>
      </c>
      <c r="J88" s="98">
        <f>B$80*B106+B$91*$C$94*B106</f>
        <v>2346311.5309608304</v>
      </c>
      <c r="K88" s="98">
        <f>C$80*C106+C$91*$C$94*C106</f>
        <v>2854823.6801296147</v>
      </c>
      <c r="L88" s="98">
        <f>D$80*D106+D$91*$C$94*D106</f>
        <v>2413307.8802175527</v>
      </c>
      <c r="M88" s="98">
        <f>E$80*D106+E$91*$C$94*D106</f>
        <v>41836.872788586734</v>
      </c>
      <c r="N88" s="5"/>
    </row>
    <row r="89" spans="1:14">
      <c r="J89" s="6">
        <f>SUM(J80:J88)</f>
        <v>3955560195.635498</v>
      </c>
      <c r="K89" s="6">
        <f>SUM(K80:K88)</f>
        <v>4779927486.689436</v>
      </c>
      <c r="L89" s="6">
        <f>SUM(L80:L88)</f>
        <v>4252775785.9307394</v>
      </c>
      <c r="M89" s="6">
        <f>SUM(M80:M88)</f>
        <v>139962933.05567637</v>
      </c>
    </row>
    <row r="90" spans="1:14">
      <c r="A90" s="1" t="s">
        <v>399</v>
      </c>
    </row>
    <row r="91" spans="1:14">
      <c r="A91" s="36" t="s">
        <v>376</v>
      </c>
      <c r="B91" s="5">
        <v>53839572.63000001</v>
      </c>
      <c r="C91" s="5">
        <v>1840463.7799999998</v>
      </c>
      <c r="D91" s="5">
        <v>9647559.0500000007</v>
      </c>
      <c r="E91" s="5">
        <v>65327595.460000008</v>
      </c>
    </row>
    <row r="93" spans="1:14">
      <c r="A93" s="1" t="s">
        <v>400</v>
      </c>
      <c r="B93" s="1">
        <v>2016</v>
      </c>
    </row>
    <row r="94" spans="1:14">
      <c r="A94" s="36" t="s">
        <v>272</v>
      </c>
      <c r="B94" s="5">
        <f>(188198/256966)*89351676</f>
        <v>65439811.958967336</v>
      </c>
      <c r="C94" s="7">
        <f>B94/SUM(B94:B95)</f>
        <v>0.5528643217519148</v>
      </c>
    </row>
    <row r="95" spans="1:14">
      <c r="A95" s="36" t="s">
        <v>213</v>
      </c>
      <c r="B95" s="5">
        <f>27741367+25183869</f>
        <v>52925236</v>
      </c>
      <c r="C95" s="7">
        <f>B95/SUM(B94:B95)</f>
        <v>0.44713567824808531</v>
      </c>
    </row>
    <row r="97" spans="1:4">
      <c r="A97" s="1" t="s">
        <v>393</v>
      </c>
      <c r="B97" s="1">
        <v>2005</v>
      </c>
      <c r="C97" s="1">
        <v>2011</v>
      </c>
      <c r="D97" s="1">
        <v>2016</v>
      </c>
    </row>
    <row r="98" spans="1:4">
      <c r="A98" t="s">
        <v>2</v>
      </c>
      <c r="B98" s="7">
        <v>7.8359070150463929E-5</v>
      </c>
      <c r="C98" s="7">
        <v>7.8359070150463929E-5</v>
      </c>
      <c r="D98" s="7">
        <v>7.8359070150463929E-5</v>
      </c>
    </row>
    <row r="99" spans="1:4">
      <c r="A99" t="s">
        <v>7</v>
      </c>
      <c r="B99" s="7">
        <v>0.46780135251632365</v>
      </c>
      <c r="C99" s="7">
        <v>0.46780135251632365</v>
      </c>
      <c r="D99" s="7">
        <v>0.46780135251632365</v>
      </c>
    </row>
    <row r="100" spans="1:4">
      <c r="A100" t="s">
        <v>9</v>
      </c>
      <c r="B100" s="7">
        <v>0.13719882236848113</v>
      </c>
      <c r="C100" s="7">
        <v>0.13719882236848113</v>
      </c>
      <c r="D100" s="7">
        <v>0.13719882236848113</v>
      </c>
    </row>
    <row r="101" spans="1:4">
      <c r="A101" t="s">
        <v>3</v>
      </c>
      <c r="B101" s="7">
        <v>1.5929614216597191E-4</v>
      </c>
      <c r="C101" s="7">
        <v>1.5929614216597191E-4</v>
      </c>
      <c r="D101" s="7">
        <v>1.5929614216597191E-4</v>
      </c>
    </row>
    <row r="102" spans="1:4">
      <c r="A102" t="s">
        <v>188</v>
      </c>
      <c r="B102" s="7">
        <v>1.1339056868107072E-2</v>
      </c>
      <c r="C102" s="7">
        <v>1.1339056868107072E-2</v>
      </c>
      <c r="D102" s="7">
        <v>1.1339056868107072E-2</v>
      </c>
    </row>
    <row r="103" spans="1:4">
      <c r="A103" t="s">
        <v>5</v>
      </c>
      <c r="B103" s="7">
        <v>3.4258707154817664E-5</v>
      </c>
      <c r="C103" s="7">
        <v>3.4258707154817664E-5</v>
      </c>
      <c r="D103" s="7">
        <v>3.4258707154817664E-5</v>
      </c>
    </row>
    <row r="104" spans="1:4">
      <c r="A104" t="s">
        <v>4</v>
      </c>
      <c r="B104" s="7">
        <v>5.6242841570359239E-5</v>
      </c>
      <c r="C104" s="7">
        <v>5.6242841570359239E-5</v>
      </c>
      <c r="D104" s="7">
        <v>5.6242841570359239E-5</v>
      </c>
    </row>
    <row r="105" spans="1:4">
      <c r="A105" t="s">
        <v>8</v>
      </c>
      <c r="B105" s="7">
        <v>0.38271994228289974</v>
      </c>
      <c r="C105" s="7">
        <v>0.38271994228289974</v>
      </c>
      <c r="D105" s="7">
        <v>0.38271994228289974</v>
      </c>
    </row>
    <row r="106" spans="1:4">
      <c r="A106" t="s">
        <v>6</v>
      </c>
      <c r="B106" s="7">
        <v>6.1266920314678318E-4</v>
      </c>
      <c r="C106" s="7">
        <v>6.1266920314678318E-4</v>
      </c>
      <c r="D106" s="7">
        <v>6.1266920314678318E-4</v>
      </c>
    </row>
    <row r="108" spans="1:4">
      <c r="A108" s="1" t="s">
        <v>401</v>
      </c>
      <c r="B108" s="1">
        <v>2005</v>
      </c>
      <c r="C108" s="1">
        <v>2011</v>
      </c>
      <c r="D108" s="1">
        <v>2016</v>
      </c>
    </row>
    <row r="109" spans="1:4">
      <c r="A109" t="s">
        <v>7</v>
      </c>
      <c r="B109" s="7">
        <f>B99/(B99+B105)</f>
        <v>0.55001721341586662</v>
      </c>
      <c r="C109" s="7">
        <f>C99/(C99+C105)</f>
        <v>0.55001721341586662</v>
      </c>
      <c r="D109" s="7">
        <f>D99/(D99+D105)</f>
        <v>0.55001721341586662</v>
      </c>
    </row>
    <row r="110" spans="1:4">
      <c r="A110" t="s">
        <v>8</v>
      </c>
      <c r="B110" s="7">
        <f>1-B109</f>
        <v>0.44998278658413338</v>
      </c>
      <c r="C110" s="7">
        <f>1-C109</f>
        <v>0.44998278658413338</v>
      </c>
      <c r="D110" s="7">
        <f>1-D109</f>
        <v>0.44998278658413338</v>
      </c>
    </row>
    <row r="112" spans="1:4">
      <c r="A112" s="1" t="s">
        <v>402</v>
      </c>
      <c r="B112" s="1">
        <v>2005</v>
      </c>
      <c r="C112" s="1">
        <v>2011</v>
      </c>
      <c r="D112" s="1">
        <v>2016</v>
      </c>
    </row>
    <row r="113" spans="1:13">
      <c r="A113" t="s">
        <v>7</v>
      </c>
      <c r="B113">
        <f>B99/(B99+B100)</f>
        <v>0.77322515254709712</v>
      </c>
      <c r="C113">
        <f>C99/(C99+C100)</f>
        <v>0.77322515254709712</v>
      </c>
      <c r="D113">
        <f>D99/(D99+D100)</f>
        <v>0.77322515254709712</v>
      </c>
    </row>
    <row r="114" spans="1:13">
      <c r="A114" t="s">
        <v>9</v>
      </c>
      <c r="B114">
        <f>1-B113</f>
        <v>0.22677484745290288</v>
      </c>
      <c r="C114">
        <f>1-C113</f>
        <v>0.22677484745290288</v>
      </c>
      <c r="D114">
        <f>1-D113</f>
        <v>0.22677484745290288</v>
      </c>
    </row>
    <row r="116" spans="1:13">
      <c r="A116" s="1" t="s">
        <v>403</v>
      </c>
      <c r="B116" s="1">
        <v>2005</v>
      </c>
      <c r="C116" s="1">
        <v>2011</v>
      </c>
      <c r="D116" s="1">
        <v>2016</v>
      </c>
    </row>
    <row r="117" spans="1:13">
      <c r="A117" t="s">
        <v>9</v>
      </c>
      <c r="B117">
        <f>B100/(B100+B105)</f>
        <v>0.2638851137840284</v>
      </c>
      <c r="C117">
        <f>C100/(C100+C105)</f>
        <v>0.2638851137840284</v>
      </c>
      <c r="D117">
        <f>D100/(D100+D105)</f>
        <v>0.2638851137840284</v>
      </c>
    </row>
    <row r="118" spans="1:13">
      <c r="A118" t="s">
        <v>8</v>
      </c>
      <c r="B118">
        <f>1-B117</f>
        <v>0.73611488621597165</v>
      </c>
      <c r="C118">
        <f>1-C117</f>
        <v>0.73611488621597165</v>
      </c>
      <c r="D118">
        <f>1-D117</f>
        <v>0.73611488621597165</v>
      </c>
    </row>
    <row r="121" spans="1:13" ht="18.75">
      <c r="A121" s="2" t="s">
        <v>213</v>
      </c>
    </row>
    <row r="123" spans="1:13">
      <c r="A123" s="1" t="s">
        <v>213</v>
      </c>
      <c r="B123" s="1" t="s">
        <v>372</v>
      </c>
      <c r="C123" s="1" t="s">
        <v>373</v>
      </c>
      <c r="D123" s="1" t="s">
        <v>374</v>
      </c>
      <c r="E123" s="1" t="s">
        <v>375</v>
      </c>
      <c r="I123" s="1" t="s">
        <v>213</v>
      </c>
      <c r="J123" s="1" t="s">
        <v>372</v>
      </c>
      <c r="K123" s="1" t="s">
        <v>373</v>
      </c>
      <c r="L123" s="1" t="s">
        <v>374</v>
      </c>
      <c r="M123" s="1" t="s">
        <v>375</v>
      </c>
    </row>
    <row r="124" spans="1:13">
      <c r="A124" t="s">
        <v>376</v>
      </c>
      <c r="B124" s="5">
        <v>13262066391.359997</v>
      </c>
      <c r="C124" s="5">
        <v>15377416700.090006</v>
      </c>
      <c r="D124" s="5">
        <v>9424231267.4499931</v>
      </c>
      <c r="E124" s="5">
        <v>1535502797.2800007</v>
      </c>
      <c r="I124" t="s">
        <v>2</v>
      </c>
      <c r="J124" s="98">
        <f>B142*(B$124+B$127*$C$131 + B$134*$C$138)</f>
        <v>25833936.259842444</v>
      </c>
      <c r="K124" s="98">
        <f t="shared" ref="K124:M132" si="5">C142*(C$124+C$127*$C$131 + C$134*$C$138)</f>
        <v>29862330.941802159</v>
      </c>
      <c r="L124" s="98">
        <f t="shared" si="5"/>
        <v>18294682.803701628</v>
      </c>
      <c r="M124" s="98">
        <f t="shared" si="5"/>
        <v>3036091.9593244782</v>
      </c>
    </row>
    <row r="125" spans="1:13">
      <c r="B125" s="5"/>
      <c r="C125" s="5"/>
      <c r="D125" s="5"/>
      <c r="E125" s="5"/>
      <c r="I125" t="s">
        <v>7</v>
      </c>
      <c r="J125" s="98">
        <f t="shared" ref="J125:J132" si="6">B143*(B$124+B$127*$C$131 + B$134*$C$138)</f>
        <v>210742291.46107003</v>
      </c>
      <c r="K125" s="98">
        <f t="shared" si="5"/>
        <v>243604226.15220085</v>
      </c>
      <c r="L125" s="98">
        <f t="shared" si="5"/>
        <v>149240260.43985558</v>
      </c>
      <c r="M125" s="98">
        <f t="shared" si="5"/>
        <v>24767150.083479866</v>
      </c>
    </row>
    <row r="126" spans="1:13">
      <c r="A126" s="1" t="s">
        <v>381</v>
      </c>
      <c r="B126" s="1" t="s">
        <v>372</v>
      </c>
      <c r="C126" s="1" t="s">
        <v>373</v>
      </c>
      <c r="I126" t="s">
        <v>9</v>
      </c>
      <c r="J126" s="98">
        <f t="shared" si="6"/>
        <v>12357775294.361059</v>
      </c>
      <c r="K126" s="98">
        <f t="shared" si="5"/>
        <v>14284775337.093254</v>
      </c>
      <c r="L126" s="98">
        <f t="shared" si="5"/>
        <v>8751340751.784256</v>
      </c>
      <c r="M126" s="98">
        <f t="shared" si="5"/>
        <v>1452327737.7853653</v>
      </c>
    </row>
    <row r="127" spans="1:13">
      <c r="B127" s="5">
        <v>65066618.269999996</v>
      </c>
      <c r="C127" s="5">
        <v>27814112.590000004</v>
      </c>
      <c r="I127" t="s">
        <v>3</v>
      </c>
      <c r="J127" s="98">
        <f t="shared" si="6"/>
        <v>15402363.720950451</v>
      </c>
      <c r="K127" s="98">
        <f t="shared" si="5"/>
        <v>17804119.28305326</v>
      </c>
      <c r="L127" s="98">
        <f t="shared" si="5"/>
        <v>10907410.929090394</v>
      </c>
      <c r="M127" s="98">
        <f t="shared" si="5"/>
        <v>1810138.1135812216</v>
      </c>
    </row>
    <row r="128" spans="1:13">
      <c r="I128" t="s">
        <v>188</v>
      </c>
      <c r="J128" s="98">
        <f t="shared" si="6"/>
        <v>410376949.61890018</v>
      </c>
      <c r="K128" s="98">
        <f t="shared" si="5"/>
        <v>474368758.87382126</v>
      </c>
      <c r="L128" s="98">
        <f t="shared" si="5"/>
        <v>290614486.60840708</v>
      </c>
      <c r="M128" s="98">
        <f t="shared" si="5"/>
        <v>48228893.363292992</v>
      </c>
    </row>
    <row r="129" spans="1:13">
      <c r="A129" s="1" t="s">
        <v>382</v>
      </c>
      <c r="B129" t="s">
        <v>383</v>
      </c>
      <c r="I129" t="s">
        <v>5</v>
      </c>
      <c r="J129" s="98">
        <f t="shared" si="6"/>
        <v>5111626.5359459314</v>
      </c>
      <c r="K129" s="98">
        <f t="shared" si="5"/>
        <v>5908704.0291492194</v>
      </c>
      <c r="L129" s="98">
        <f t="shared" si="5"/>
        <v>3619873.6865152153</v>
      </c>
      <c r="M129" s="98">
        <f t="shared" si="5"/>
        <v>600735.71711095213</v>
      </c>
    </row>
    <row r="130" spans="1:13">
      <c r="A130" t="s">
        <v>264</v>
      </c>
      <c r="B130" s="5">
        <f>(164096/226736)*84808284</f>
        <v>61378432.058711454</v>
      </c>
      <c r="C130" s="7">
        <f>B130/SUM(B130:B131)</f>
        <v>0.5709624717393047</v>
      </c>
      <c r="I130" t="s">
        <v>4</v>
      </c>
      <c r="J130" s="98">
        <f t="shared" si="6"/>
        <v>18359955.522824962</v>
      </c>
      <c r="K130" s="98">
        <f t="shared" si="5"/>
        <v>21222900.853542287</v>
      </c>
      <c r="L130" s="98">
        <f t="shared" si="5"/>
        <v>13001873.164109182</v>
      </c>
      <c r="M130" s="98">
        <f t="shared" si="5"/>
        <v>2157724.3504720125</v>
      </c>
    </row>
    <row r="131" spans="1:13">
      <c r="A131" t="s">
        <v>213</v>
      </c>
      <c r="B131" s="5">
        <v>46121509</v>
      </c>
      <c r="C131" s="7">
        <f>B131/SUM(B130:B131)</f>
        <v>0.42903752826069536</v>
      </c>
      <c r="I131" t="s">
        <v>8</v>
      </c>
      <c r="J131" s="98">
        <f t="shared" si="6"/>
        <v>121301753.19948639</v>
      </c>
      <c r="K131" s="98">
        <f t="shared" si="5"/>
        <v>140216847.38359585</v>
      </c>
      <c r="L131" s="98">
        <f>D149*(D$124+D$127*$C$131 + D$134*$C$138)</f>
        <v>85901624.746481314</v>
      </c>
      <c r="M131" s="98">
        <f t="shared" si="5"/>
        <v>14255794.155279417</v>
      </c>
    </row>
    <row r="132" spans="1:13">
      <c r="B132" s="5"/>
      <c r="C132" s="7"/>
      <c r="I132" t="s">
        <v>6</v>
      </c>
      <c r="J132" s="98">
        <f t="shared" si="6"/>
        <v>149151835.57926315</v>
      </c>
      <c r="K132" s="98">
        <f t="shared" si="5"/>
        <v>172409710.61652616</v>
      </c>
      <c r="L132" s="98">
        <f t="shared" si="5"/>
        <v>105624071.14683808</v>
      </c>
      <c r="M132" s="98">
        <f t="shared" si="5"/>
        <v>17528830.456417996</v>
      </c>
    </row>
    <row r="133" spans="1:13">
      <c r="A133" s="1" t="s">
        <v>399</v>
      </c>
      <c r="J133" s="100">
        <f>SUM(J124:J132)</f>
        <v>13314056006.259344</v>
      </c>
      <c r="K133" s="100">
        <f>SUM(K124:K132)</f>
        <v>15390172935.226946</v>
      </c>
      <c r="L133" s="100">
        <f>SUM(L124:L132)</f>
        <v>9428545035.3092537</v>
      </c>
      <c r="M133" s="100">
        <f>SUM(M124:M132)</f>
        <v>1564713095.984324</v>
      </c>
    </row>
    <row r="134" spans="1:13">
      <c r="A134" s="36" t="s">
        <v>376</v>
      </c>
      <c r="B134" s="5">
        <v>53839572.63000001</v>
      </c>
      <c r="C134" s="5">
        <v>1840463.7799999998</v>
      </c>
      <c r="D134" s="5">
        <v>9647559.0500000007</v>
      </c>
      <c r="E134" s="5">
        <v>65327595.460000008</v>
      </c>
    </row>
    <row r="136" spans="1:13">
      <c r="A136" s="1" t="s">
        <v>400</v>
      </c>
      <c r="B136" s="1">
        <v>2016</v>
      </c>
    </row>
    <row r="137" spans="1:13">
      <c r="A137" s="36" t="s">
        <v>272</v>
      </c>
      <c r="B137" s="5">
        <f>(188198/256966)*89351676</f>
        <v>65439811.958967336</v>
      </c>
      <c r="C137" s="7">
        <f>B137/SUM(B137:B138)</f>
        <v>0.5528643217519148</v>
      </c>
    </row>
    <row r="138" spans="1:13">
      <c r="A138" s="36" t="s">
        <v>213</v>
      </c>
      <c r="B138" s="5">
        <f>27741367+25183869</f>
        <v>52925236</v>
      </c>
      <c r="C138" s="7">
        <f>B138/SUM(B137:B138)</f>
        <v>0.44713567824808531</v>
      </c>
    </row>
    <row r="139" spans="1:13">
      <c r="B139" s="5"/>
      <c r="C139" s="7"/>
    </row>
    <row r="141" spans="1:13">
      <c r="A141" s="1" t="s">
        <v>393</v>
      </c>
      <c r="B141" s="1">
        <v>2005</v>
      </c>
      <c r="C141" s="1">
        <v>2011</v>
      </c>
      <c r="D141" s="1">
        <v>2016</v>
      </c>
      <c r="E141" s="1" t="s">
        <v>375</v>
      </c>
    </row>
    <row r="142" spans="1:13">
      <c r="A142" t="s">
        <v>2</v>
      </c>
      <c r="B142" s="7">
        <v>1.9403505774421503E-3</v>
      </c>
      <c r="C142" s="7">
        <v>1.9403505774421503E-3</v>
      </c>
      <c r="D142" s="7">
        <v>1.9403505774421503E-3</v>
      </c>
      <c r="E142" s="7">
        <v>1.9403505774421503E-3</v>
      </c>
    </row>
    <row r="143" spans="1:13">
      <c r="A143" t="s">
        <v>7</v>
      </c>
      <c r="B143" s="7">
        <v>1.5828556779541387E-2</v>
      </c>
      <c r="C143" s="7">
        <v>1.5828556779541387E-2</v>
      </c>
      <c r="D143" s="7">
        <v>1.5828556779541387E-2</v>
      </c>
      <c r="E143" s="7">
        <v>1.5828556779541387E-2</v>
      </c>
    </row>
    <row r="144" spans="1:13">
      <c r="A144" t="s">
        <v>9</v>
      </c>
      <c r="B144" s="7">
        <v>0.9281751022041137</v>
      </c>
      <c r="C144" s="7">
        <v>0.9281751022041137</v>
      </c>
      <c r="D144" s="7">
        <v>0.9281751022041137</v>
      </c>
      <c r="E144" s="7">
        <v>0.9281751022041137</v>
      </c>
    </row>
    <row r="145" spans="1:13">
      <c r="A145" t="s">
        <v>3</v>
      </c>
      <c r="B145" s="7">
        <v>1.1568498520442855E-3</v>
      </c>
      <c r="C145" s="7">
        <v>1.1568498520442855E-3</v>
      </c>
      <c r="D145" s="7">
        <v>1.1568498520442855E-3</v>
      </c>
      <c r="E145" s="7">
        <v>1.1568498520442855E-3</v>
      </c>
    </row>
    <row r="146" spans="1:13">
      <c r="A146" t="s">
        <v>188</v>
      </c>
      <c r="B146" s="7">
        <v>3.0822834861590601E-2</v>
      </c>
      <c r="C146" s="7">
        <v>3.0822834861590601E-2</v>
      </c>
      <c r="D146" s="7">
        <v>3.0822834861590601E-2</v>
      </c>
      <c r="E146" s="7">
        <v>3.0822834861590601E-2</v>
      </c>
    </row>
    <row r="147" spans="1:13">
      <c r="A147" t="s">
        <v>5</v>
      </c>
      <c r="B147" s="7">
        <v>3.8392707177608388E-4</v>
      </c>
      <c r="C147" s="7">
        <v>3.8392707177608388E-4</v>
      </c>
      <c r="D147" s="7">
        <v>3.8392707177608388E-4</v>
      </c>
      <c r="E147" s="7">
        <v>3.8392707177608388E-4</v>
      </c>
    </row>
    <row r="148" spans="1:13">
      <c r="A148" t="s">
        <v>4</v>
      </c>
      <c r="B148" s="7">
        <v>1.3789904078962405E-3</v>
      </c>
      <c r="C148" s="7">
        <v>1.3789904078962405E-3</v>
      </c>
      <c r="D148" s="7">
        <v>1.3789904078962405E-3</v>
      </c>
      <c r="E148" s="7">
        <v>1.3789904078962405E-3</v>
      </c>
    </row>
    <row r="149" spans="1:13">
      <c r="A149" t="s">
        <v>8</v>
      </c>
      <c r="B149" s="7">
        <v>9.1108038859427018E-3</v>
      </c>
      <c r="C149" s="7">
        <v>9.1108038859427018E-3</v>
      </c>
      <c r="D149" s="7">
        <v>9.1108038859427018E-3</v>
      </c>
      <c r="E149" s="7">
        <v>9.1108038859427018E-3</v>
      </c>
    </row>
    <row r="150" spans="1:13">
      <c r="A150" t="s">
        <v>6</v>
      </c>
      <c r="B150" s="7">
        <v>1.1202584359652861E-2</v>
      </c>
      <c r="C150" s="7">
        <v>1.1202584359652861E-2</v>
      </c>
      <c r="D150" s="7">
        <v>1.1202584359652861E-2</v>
      </c>
      <c r="E150" s="7">
        <v>1.1202584359652861E-2</v>
      </c>
    </row>
    <row r="153" spans="1:13" ht="18.75">
      <c r="A153" s="2" t="s">
        <v>220</v>
      </c>
    </row>
    <row r="155" spans="1:13">
      <c r="A155" s="1" t="s">
        <v>220</v>
      </c>
      <c r="B155" s="1" t="s">
        <v>372</v>
      </c>
      <c r="C155" s="1" t="s">
        <v>373</v>
      </c>
      <c r="D155" s="1" t="s">
        <v>374</v>
      </c>
      <c r="E155" s="1" t="s">
        <v>375</v>
      </c>
      <c r="I155" s="1" t="s">
        <v>220</v>
      </c>
      <c r="J155" s="1" t="s">
        <v>372</v>
      </c>
      <c r="K155" s="1" t="s">
        <v>373</v>
      </c>
      <c r="L155" s="1" t="s">
        <v>374</v>
      </c>
      <c r="M155" s="1" t="s">
        <v>375</v>
      </c>
    </row>
    <row r="156" spans="1:13">
      <c r="A156" t="s">
        <v>376</v>
      </c>
      <c r="B156" s="5">
        <v>494022669.92000002</v>
      </c>
      <c r="C156" s="5">
        <v>128551119.39000002</v>
      </c>
      <c r="D156" s="5">
        <v>188037446.97</v>
      </c>
      <c r="E156" s="5">
        <v>10681804.59</v>
      </c>
      <c r="I156" t="s">
        <v>2</v>
      </c>
      <c r="J156" s="98">
        <f>B159*B$156</f>
        <v>958577.17284878483</v>
      </c>
      <c r="K156" s="98">
        <f t="shared" ref="K156:M164" si="7">C159*C$156</f>
        <v>249434.23873922133</v>
      </c>
      <c r="L156" s="98">
        <f t="shared" si="7"/>
        <v>364858.56880898721</v>
      </c>
      <c r="M156" s="98">
        <f t="shared" si="7"/>
        <v>20726.445704330712</v>
      </c>
    </row>
    <row r="157" spans="1:13">
      <c r="I157" t="s">
        <v>7</v>
      </c>
      <c r="J157" s="98">
        <f t="shared" ref="J157:J164" si="8">B160*B$156</f>
        <v>7819665.881209353</v>
      </c>
      <c r="K157" s="98">
        <f t="shared" si="7"/>
        <v>2034778.6923382189</v>
      </c>
      <c r="L157" s="98">
        <f t="shared" si="7"/>
        <v>2976361.4060446476</v>
      </c>
      <c r="M157" s="98">
        <f t="shared" si="7"/>
        <v>169077.5504607808</v>
      </c>
    </row>
    <row r="158" spans="1:13">
      <c r="A158" s="1" t="s">
        <v>393</v>
      </c>
      <c r="B158" s="1">
        <v>2005</v>
      </c>
      <c r="C158" s="1">
        <v>2011</v>
      </c>
      <c r="D158" s="1">
        <v>2016</v>
      </c>
      <c r="E158" s="1" t="s">
        <v>375</v>
      </c>
      <c r="I158" t="s">
        <v>9</v>
      </c>
      <c r="J158" s="98">
        <f t="shared" si="8"/>
        <v>458539542.14414513</v>
      </c>
      <c r="K158" s="98">
        <f t="shared" si="7"/>
        <v>119317948.37826648</v>
      </c>
      <c r="L158" s="98">
        <f t="shared" si="7"/>
        <v>174531676.55958036</v>
      </c>
      <c r="M158" s="98">
        <f t="shared" si="7"/>
        <v>9914585.0670476202</v>
      </c>
    </row>
    <row r="159" spans="1:13">
      <c r="A159" t="s">
        <v>2</v>
      </c>
      <c r="B159" s="7">
        <v>1.9403505774421503E-3</v>
      </c>
      <c r="C159" s="7">
        <v>1.9403505774421503E-3</v>
      </c>
      <c r="D159" s="7">
        <v>1.9403505774421503E-3</v>
      </c>
      <c r="E159" s="7">
        <v>1.9403505774421503E-3</v>
      </c>
      <c r="I159" t="s">
        <v>3</v>
      </c>
      <c r="J159" s="98">
        <f t="shared" si="8"/>
        <v>571510.05260347493</v>
      </c>
      <c r="K159" s="98">
        <f t="shared" si="7"/>
        <v>148714.34344644879</v>
      </c>
      <c r="L159" s="98">
        <f t="shared" si="7"/>
        <v>217531.09270602968</v>
      </c>
      <c r="M159" s="98">
        <f t="shared" si="7"/>
        <v>12357.24405950747</v>
      </c>
    </row>
    <row r="160" spans="1:13">
      <c r="A160" t="s">
        <v>7</v>
      </c>
      <c r="B160" s="7">
        <v>1.5828556779541387E-2</v>
      </c>
      <c r="C160" s="7">
        <v>1.5828556779541387E-2</v>
      </c>
      <c r="D160" s="7">
        <v>1.5828556779541387E-2</v>
      </c>
      <c r="E160" s="7">
        <v>1.5828556779541387E-2</v>
      </c>
      <c r="I160" t="s">
        <v>188</v>
      </c>
      <c r="J160" s="98">
        <f t="shared" si="8"/>
        <v>15227179.172826244</v>
      </c>
      <c r="K160" s="98">
        <f t="shared" si="7"/>
        <v>3962309.9242305881</v>
      </c>
      <c r="L160" s="98">
        <f t="shared" si="7"/>
        <v>5795847.1757514095</v>
      </c>
      <c r="M160" s="98">
        <f t="shared" si="7"/>
        <v>329243.49890135048</v>
      </c>
    </row>
    <row r="161" spans="1:13">
      <c r="A161" t="s">
        <v>9</v>
      </c>
      <c r="B161" s="7">
        <v>0.9281751022041137</v>
      </c>
      <c r="C161" s="7">
        <v>0.9281751022041137</v>
      </c>
      <c r="D161" s="7">
        <v>0.9281751022041137</v>
      </c>
      <c r="E161" s="7">
        <v>0.9281751022041137</v>
      </c>
      <c r="I161" t="s">
        <v>5</v>
      </c>
      <c r="J161" s="98">
        <f t="shared" si="8"/>
        <v>189668.67705338844</v>
      </c>
      <c r="K161" s="98">
        <f t="shared" si="7"/>
        <v>49354.254840940463</v>
      </c>
      <c r="L161" s="98">
        <f t="shared" si="7"/>
        <v>72192.666399442751</v>
      </c>
      <c r="M161" s="98">
        <f t="shared" si="7"/>
        <v>4101.0339575230319</v>
      </c>
    </row>
    <row r="162" spans="1:13">
      <c r="A162" t="s">
        <v>3</v>
      </c>
      <c r="B162" s="7">
        <v>1.1568498520442855E-3</v>
      </c>
      <c r="C162" s="7">
        <v>1.1568498520442855E-3</v>
      </c>
      <c r="D162" s="7">
        <v>1.1568498520442855E-3</v>
      </c>
      <c r="E162" s="7">
        <v>1.1568498520442855E-3</v>
      </c>
      <c r="I162" t="s">
        <v>4</v>
      </c>
      <c r="J162" s="98">
        <f t="shared" si="8"/>
        <v>681252.52310297056</v>
      </c>
      <c r="K162" s="98">
        <f t="shared" si="7"/>
        <v>177270.76056313445</v>
      </c>
      <c r="L162" s="98">
        <f t="shared" si="7"/>
        <v>259301.835696928</v>
      </c>
      <c r="M162" s="98">
        <f t="shared" si="7"/>
        <v>14730.106068632034</v>
      </c>
    </row>
    <row r="163" spans="1:13">
      <c r="A163" t="s">
        <v>188</v>
      </c>
      <c r="B163" s="7">
        <v>3.0822834861590601E-2</v>
      </c>
      <c r="C163" s="7">
        <v>3.0822834861590601E-2</v>
      </c>
      <c r="D163" s="7">
        <v>3.0822834861590601E-2</v>
      </c>
      <c r="E163" s="7">
        <v>3.0822834861590601E-2</v>
      </c>
      <c r="I163" t="s">
        <v>8</v>
      </c>
      <c r="J163" s="98">
        <f t="shared" si="8"/>
        <v>4500943.6608509244</v>
      </c>
      <c r="K163" s="98">
        <f t="shared" si="7"/>
        <v>1171204.0380806962</v>
      </c>
      <c r="L163" s="98">
        <f t="shared" si="7"/>
        <v>1713172.3025570207</v>
      </c>
      <c r="M163" s="98">
        <f t="shared" si="7"/>
        <v>97319.826767452585</v>
      </c>
    </row>
    <row r="164" spans="1:13">
      <c r="A164" t="s">
        <v>5</v>
      </c>
      <c r="B164" s="7">
        <v>3.8392707177608388E-4</v>
      </c>
      <c r="C164" s="7">
        <v>3.8392707177608388E-4</v>
      </c>
      <c r="D164" s="7">
        <v>3.8392707177608388E-4</v>
      </c>
      <c r="E164" s="7">
        <v>3.8392707177608388E-4</v>
      </c>
      <c r="I164" t="s">
        <v>6</v>
      </c>
      <c r="J164" s="98">
        <f t="shared" si="8"/>
        <v>5534330.6353597399</v>
      </c>
      <c r="K164" s="98">
        <f t="shared" si="7"/>
        <v>1440104.7594942818</v>
      </c>
      <c r="L164" s="98">
        <f t="shared" si="7"/>
        <v>2106505.3624551762</v>
      </c>
      <c r="M164" s="98">
        <f t="shared" si="7"/>
        <v>119663.81703280214</v>
      </c>
    </row>
    <row r="165" spans="1:13">
      <c r="A165" t="s">
        <v>4</v>
      </c>
      <c r="B165" s="7">
        <v>1.3789904078962405E-3</v>
      </c>
      <c r="C165" s="7">
        <v>1.3789904078962405E-3</v>
      </c>
      <c r="D165" s="7">
        <v>1.3789904078962405E-3</v>
      </c>
      <c r="E165" s="7">
        <v>1.3789904078962405E-3</v>
      </c>
      <c r="J165" s="6">
        <f>SUM(J156:J164)</f>
        <v>494022669.92000008</v>
      </c>
      <c r="K165" s="6">
        <f>SUM(K156:K164)</f>
        <v>128551119.39</v>
      </c>
      <c r="L165" s="6">
        <f>SUM(L156:L164)</f>
        <v>188037446.97000003</v>
      </c>
      <c r="M165" s="6">
        <f>SUM(M156:M164)</f>
        <v>10681804.589999998</v>
      </c>
    </row>
    <row r="166" spans="1:13">
      <c r="A166" t="s">
        <v>8</v>
      </c>
      <c r="B166" s="7">
        <v>9.1108038859427018E-3</v>
      </c>
      <c r="C166" s="7">
        <v>9.1108038859427018E-3</v>
      </c>
      <c r="D166" s="7">
        <v>9.1108038859427018E-3</v>
      </c>
      <c r="E166" s="7">
        <v>9.1108038859427018E-3</v>
      </c>
    </row>
    <row r="167" spans="1:13">
      <c r="A167" t="s">
        <v>6</v>
      </c>
      <c r="B167" s="7">
        <v>1.1202584359652861E-2</v>
      </c>
      <c r="C167" s="7">
        <v>1.1202584359652861E-2</v>
      </c>
      <c r="D167" s="7">
        <v>1.1202584359652861E-2</v>
      </c>
      <c r="E167" s="7">
        <v>1.1202584359652861E-2</v>
      </c>
    </row>
    <row r="170" spans="1:13" ht="18.75">
      <c r="A170" s="2" t="s">
        <v>260</v>
      </c>
    </row>
    <row r="172" spans="1:13">
      <c r="A172" s="1" t="s">
        <v>260</v>
      </c>
      <c r="B172" s="1" t="s">
        <v>372</v>
      </c>
      <c r="C172" s="1" t="s">
        <v>373</v>
      </c>
      <c r="D172" s="1" t="s">
        <v>374</v>
      </c>
      <c r="E172" s="1" t="s">
        <v>375</v>
      </c>
      <c r="I172" s="1" t="s">
        <v>260</v>
      </c>
      <c r="J172" s="1" t="s">
        <v>372</v>
      </c>
      <c r="K172" s="1" t="s">
        <v>373</v>
      </c>
      <c r="L172" s="1" t="s">
        <v>374</v>
      </c>
      <c r="M172" s="1" t="s">
        <v>375</v>
      </c>
    </row>
    <row r="173" spans="1:13">
      <c r="A173" t="s">
        <v>9</v>
      </c>
      <c r="B173" s="5">
        <v>43063314.390000008</v>
      </c>
      <c r="C173" s="5">
        <v>54313238.490000002</v>
      </c>
      <c r="D173" s="5">
        <v>94230607.769999996</v>
      </c>
      <c r="E173" s="5">
        <v>109364604.72</v>
      </c>
      <c r="I173" t="s">
        <v>2</v>
      </c>
      <c r="J173" s="99">
        <v>0</v>
      </c>
      <c r="K173" s="99">
        <v>0</v>
      </c>
      <c r="L173" s="99">
        <v>0</v>
      </c>
      <c r="M173" s="99">
        <v>0</v>
      </c>
    </row>
    <row r="174" spans="1:13">
      <c r="I174" t="s">
        <v>7</v>
      </c>
      <c r="J174" s="99">
        <v>0</v>
      </c>
      <c r="K174" s="99">
        <v>0</v>
      </c>
      <c r="L174" s="99">
        <v>0</v>
      </c>
      <c r="M174" s="99">
        <v>0</v>
      </c>
    </row>
    <row r="175" spans="1:13">
      <c r="I175" t="s">
        <v>9</v>
      </c>
      <c r="J175" s="98">
        <v>43063314.390000008</v>
      </c>
      <c r="K175" s="98">
        <v>54313238.490000002</v>
      </c>
      <c r="L175" s="98">
        <v>94230607.769999996</v>
      </c>
      <c r="M175" s="98">
        <v>109364604.72</v>
      </c>
    </row>
    <row r="176" spans="1:13">
      <c r="I176" t="s">
        <v>3</v>
      </c>
      <c r="J176" s="99">
        <v>0</v>
      </c>
      <c r="K176" s="99">
        <v>0</v>
      </c>
      <c r="L176" s="99">
        <v>0</v>
      </c>
      <c r="M176" s="99">
        <v>0</v>
      </c>
    </row>
    <row r="177" spans="1:13">
      <c r="I177" t="s">
        <v>188</v>
      </c>
      <c r="J177" s="99">
        <v>0</v>
      </c>
      <c r="K177" s="99">
        <v>0</v>
      </c>
      <c r="L177" s="99">
        <v>0</v>
      </c>
      <c r="M177" s="99">
        <v>0</v>
      </c>
    </row>
    <row r="178" spans="1:13">
      <c r="I178" t="s">
        <v>5</v>
      </c>
      <c r="J178" s="99">
        <v>0</v>
      </c>
      <c r="K178" s="99">
        <v>0</v>
      </c>
      <c r="L178" s="99">
        <v>0</v>
      </c>
      <c r="M178" s="99">
        <v>0</v>
      </c>
    </row>
    <row r="179" spans="1:13">
      <c r="I179" t="s">
        <v>4</v>
      </c>
      <c r="J179" s="99">
        <v>0</v>
      </c>
      <c r="K179" s="99">
        <v>0</v>
      </c>
      <c r="L179" s="99">
        <v>0</v>
      </c>
      <c r="M179" s="99">
        <v>0</v>
      </c>
    </row>
    <row r="180" spans="1:13">
      <c r="I180" t="s">
        <v>8</v>
      </c>
      <c r="J180" s="99">
        <v>0</v>
      </c>
      <c r="K180" s="99">
        <v>0</v>
      </c>
      <c r="L180" s="99">
        <v>0</v>
      </c>
      <c r="M180" s="99">
        <v>0</v>
      </c>
    </row>
    <row r="181" spans="1:13">
      <c r="I181" t="s">
        <v>6</v>
      </c>
      <c r="J181" s="99">
        <v>0</v>
      </c>
      <c r="K181" s="99">
        <v>0</v>
      </c>
      <c r="L181" s="99">
        <v>0</v>
      </c>
      <c r="M181" s="99">
        <v>0</v>
      </c>
    </row>
    <row r="182" spans="1:13">
      <c r="J182" s="100">
        <f>SUM(J173:J181)</f>
        <v>43063314.390000008</v>
      </c>
      <c r="K182" s="100">
        <f>SUM(K173:K181)</f>
        <v>54313238.490000002</v>
      </c>
      <c r="L182" s="100">
        <f>SUM(L173:L181)</f>
        <v>94230607.769999996</v>
      </c>
      <c r="M182" s="100">
        <f>SUM(M173:M181)</f>
        <v>109364604.72</v>
      </c>
    </row>
    <row r="184" spans="1:13" ht="18.75">
      <c r="A184" s="2" t="s">
        <v>281</v>
      </c>
    </row>
    <row r="186" spans="1:13">
      <c r="A186" s="1" t="s">
        <v>281</v>
      </c>
      <c r="B186" s="1" t="s">
        <v>372</v>
      </c>
      <c r="C186" s="1" t="s">
        <v>373</v>
      </c>
      <c r="D186" s="1" t="s">
        <v>374</v>
      </c>
      <c r="E186" s="1" t="s">
        <v>375</v>
      </c>
      <c r="I186" s="1" t="s">
        <v>281</v>
      </c>
      <c r="J186" s="1" t="s">
        <v>372</v>
      </c>
      <c r="K186" s="1" t="s">
        <v>373</v>
      </c>
      <c r="L186" s="1" t="s">
        <v>374</v>
      </c>
      <c r="M186" s="1" t="s">
        <v>375</v>
      </c>
    </row>
    <row r="187" spans="1:13">
      <c r="A187" t="s">
        <v>376</v>
      </c>
      <c r="B187" s="5">
        <v>1107063674.1299996</v>
      </c>
      <c r="C187" s="5">
        <v>1288562530.6699996</v>
      </c>
      <c r="D187" s="5">
        <v>1544128946.2299998</v>
      </c>
      <c r="E187" s="5">
        <v>375426984.50999999</v>
      </c>
      <c r="I187" t="s">
        <v>2</v>
      </c>
      <c r="J187" s="98">
        <f>B190*B$187</f>
        <v>5399128.0367251458</v>
      </c>
      <c r="K187" s="98">
        <f t="shared" ref="K187:M195" si="9">C190*C$187</f>
        <v>6284294.4348989138</v>
      </c>
      <c r="L187" s="98">
        <f t="shared" si="9"/>
        <v>7530686.8798318654</v>
      </c>
      <c r="M187" s="98">
        <f t="shared" si="9"/>
        <v>1830950.111703417</v>
      </c>
    </row>
    <row r="188" spans="1:13">
      <c r="I188" t="s">
        <v>7</v>
      </c>
      <c r="J188" s="98">
        <f t="shared" ref="J188:J195" si="10">B191*B$187</f>
        <v>119660400.78187126</v>
      </c>
      <c r="K188" s="98">
        <f t="shared" si="9"/>
        <v>139278265.97114801</v>
      </c>
      <c r="L188" s="98">
        <f t="shared" si="9"/>
        <v>166901952.32896164</v>
      </c>
      <c r="M188" s="98">
        <f t="shared" si="9"/>
        <v>40579186.618240252</v>
      </c>
    </row>
    <row r="189" spans="1:13">
      <c r="A189" s="1" t="s">
        <v>404</v>
      </c>
      <c r="I189" t="s">
        <v>9</v>
      </c>
      <c r="J189" s="98">
        <f t="shared" si="10"/>
        <v>640052293.16943049</v>
      </c>
      <c r="K189" s="98">
        <f t="shared" si="9"/>
        <v>744986419.40869057</v>
      </c>
      <c r="L189" s="98">
        <f t="shared" si="9"/>
        <v>892742934.37592399</v>
      </c>
      <c r="M189" s="98">
        <f t="shared" si="9"/>
        <v>217054274.26489002</v>
      </c>
    </row>
    <row r="190" spans="1:13">
      <c r="A190" t="s">
        <v>2</v>
      </c>
      <c r="B190" s="7">
        <v>4.8769805774434077E-3</v>
      </c>
      <c r="C190" s="7">
        <v>4.8769805774434077E-3</v>
      </c>
      <c r="D190" s="7">
        <v>4.8769805774434077E-3</v>
      </c>
      <c r="E190" s="7">
        <v>4.8769805774434077E-3</v>
      </c>
      <c r="I190" t="s">
        <v>3</v>
      </c>
      <c r="J190" s="98">
        <f t="shared" si="10"/>
        <v>5870969.6421670066</v>
      </c>
      <c r="K190" s="98">
        <f t="shared" si="9"/>
        <v>6833492.6674769642</v>
      </c>
      <c r="L190" s="98">
        <f t="shared" si="9"/>
        <v>8188810.0736680087</v>
      </c>
      <c r="M190" s="98">
        <f t="shared" si="9"/>
        <v>1990960.8457170718</v>
      </c>
    </row>
    <row r="191" spans="1:13">
      <c r="A191" t="s">
        <v>7</v>
      </c>
      <c r="B191" s="7">
        <v>0.10808809247210459</v>
      </c>
      <c r="C191" s="7">
        <v>0.10808809247210459</v>
      </c>
      <c r="D191" s="7">
        <v>0.10808809247210459</v>
      </c>
      <c r="E191" s="7">
        <v>0.10808809247210459</v>
      </c>
      <c r="I191" t="s">
        <v>188</v>
      </c>
      <c r="J191" s="98">
        <f t="shared" si="10"/>
        <v>169755461.07655245</v>
      </c>
      <c r="K191" s="98">
        <f t="shared" si="9"/>
        <v>197586219.86378077</v>
      </c>
      <c r="L191" s="98">
        <f t="shared" si="9"/>
        <v>236774385.56993434</v>
      </c>
      <c r="M191" s="98">
        <f t="shared" si="9"/>
        <v>57567403.163289972</v>
      </c>
    </row>
    <row r="192" spans="1:13">
      <c r="A192" t="s">
        <v>9</v>
      </c>
      <c r="B192" s="7">
        <v>0.57815309826006522</v>
      </c>
      <c r="C192" s="7">
        <v>0.57815309826006522</v>
      </c>
      <c r="D192" s="7">
        <v>0.57815309826006522</v>
      </c>
      <c r="E192" s="7">
        <v>0.57815309826006522</v>
      </c>
      <c r="I192" t="s">
        <v>5</v>
      </c>
      <c r="J192" s="98">
        <f t="shared" si="10"/>
        <v>6023228.1573241036</v>
      </c>
      <c r="K192" s="98">
        <f t="shared" si="9"/>
        <v>7010713.3840369834</v>
      </c>
      <c r="L192" s="98">
        <f t="shared" si="9"/>
        <v>8401179.7738560624</v>
      </c>
      <c r="M192" s="98">
        <f t="shared" si="9"/>
        <v>2042594.6916711635</v>
      </c>
    </row>
    <row r="193" spans="1:13">
      <c r="A193" t="s">
        <v>3</v>
      </c>
      <c r="B193" s="7">
        <v>5.3031905746349995E-3</v>
      </c>
      <c r="C193" s="7">
        <v>5.3031905746349995E-3</v>
      </c>
      <c r="D193" s="7">
        <v>5.3031905746349995E-3</v>
      </c>
      <c r="E193" s="7">
        <v>5.3031905746349995E-3</v>
      </c>
      <c r="I193" t="s">
        <v>4</v>
      </c>
      <c r="J193" s="98">
        <f t="shared" si="10"/>
        <v>13279818.769511474</v>
      </c>
      <c r="K193" s="98">
        <f t="shared" si="9"/>
        <v>15456994.28167784</v>
      </c>
      <c r="L193" s="98">
        <f t="shared" si="9"/>
        <v>18522649.637841146</v>
      </c>
      <c r="M193" s="98">
        <f t="shared" si="9"/>
        <v>4503446.7591893412</v>
      </c>
    </row>
    <row r="194" spans="1:13">
      <c r="A194" t="s">
        <v>188</v>
      </c>
      <c r="B194" s="7">
        <v>0.15333848002009187</v>
      </c>
      <c r="C194" s="7">
        <v>0.15333848002009187</v>
      </c>
      <c r="D194" s="7">
        <v>0.15333848002009187</v>
      </c>
      <c r="E194" s="7">
        <v>0.15333848002009187</v>
      </c>
      <c r="I194" t="s">
        <v>8</v>
      </c>
      <c r="J194" s="98">
        <f t="shared" si="10"/>
        <v>56212154.571094647</v>
      </c>
      <c r="K194" s="98">
        <f t="shared" si="9"/>
        <v>65427922.387088731</v>
      </c>
      <c r="L194" s="98">
        <f t="shared" si="9"/>
        <v>78404537.183820277</v>
      </c>
      <c r="M194" s="98">
        <f t="shared" si="9"/>
        <v>19062643.076985236</v>
      </c>
    </row>
    <row r="195" spans="1:13">
      <c r="A195" t="s">
        <v>5</v>
      </c>
      <c r="B195" s="7">
        <v>5.4407242312033552E-3</v>
      </c>
      <c r="C195" s="7">
        <v>5.4407242312033552E-3</v>
      </c>
      <c r="D195" s="7">
        <v>5.4407242312033552E-3</v>
      </c>
      <c r="E195" s="7">
        <v>5.4407242312033552E-3</v>
      </c>
      <c r="I195" t="s">
        <v>6</v>
      </c>
      <c r="J195" s="98">
        <f t="shared" si="10"/>
        <v>90810219.925323054</v>
      </c>
      <c r="K195" s="98">
        <f t="shared" si="9"/>
        <v>105698208.27120081</v>
      </c>
      <c r="L195" s="98">
        <f t="shared" si="9"/>
        <v>126661810.40616244</v>
      </c>
      <c r="M195" s="98">
        <f t="shared" si="9"/>
        <v>30795524.978313524</v>
      </c>
    </row>
    <row r="196" spans="1:13">
      <c r="A196" t="s">
        <v>4</v>
      </c>
      <c r="B196" s="7">
        <v>1.1995532939826241E-2</v>
      </c>
      <c r="C196" s="7">
        <v>1.1995532939826241E-2</v>
      </c>
      <c r="D196" s="7">
        <v>1.1995532939826241E-2</v>
      </c>
      <c r="E196" s="7">
        <v>1.1995532939826241E-2</v>
      </c>
      <c r="J196" s="6">
        <f>SUM(J187:J195)</f>
        <v>1107063674.1299996</v>
      </c>
      <c r="K196" s="6">
        <f>SUM(K187:K195)</f>
        <v>1288562530.6699998</v>
      </c>
      <c r="L196" s="6">
        <f>SUM(L187:L195)</f>
        <v>1544128946.23</v>
      </c>
      <c r="M196" s="6">
        <f>SUM(M187:M195)</f>
        <v>375426984.51000005</v>
      </c>
    </row>
    <row r="197" spans="1:13">
      <c r="A197" t="s">
        <v>8</v>
      </c>
      <c r="B197" s="7">
        <v>5.077590014437941E-2</v>
      </c>
      <c r="C197" s="7">
        <v>5.077590014437941E-2</v>
      </c>
      <c r="D197" s="7">
        <v>5.077590014437941E-2</v>
      </c>
      <c r="E197" s="7">
        <v>5.077590014437941E-2</v>
      </c>
    </row>
    <row r="198" spans="1:13">
      <c r="A198" t="s">
        <v>6</v>
      </c>
      <c r="B198" s="7">
        <v>8.2028000780250909E-2</v>
      </c>
      <c r="C198" s="7">
        <v>8.2028000780250909E-2</v>
      </c>
      <c r="D198" s="7">
        <v>8.2028000780250909E-2</v>
      </c>
      <c r="E198" s="7">
        <v>8.2028000780250909E-2</v>
      </c>
    </row>
    <row r="201" spans="1:13" ht="18.75">
      <c r="A201" s="2" t="s">
        <v>405</v>
      </c>
    </row>
    <row r="203" spans="1:13">
      <c r="A203" s="1" t="s">
        <v>405</v>
      </c>
      <c r="B203" s="1" t="s">
        <v>372</v>
      </c>
      <c r="C203" s="1" t="s">
        <v>373</v>
      </c>
      <c r="D203" s="1" t="s">
        <v>374</v>
      </c>
      <c r="E203" s="1" t="s">
        <v>375</v>
      </c>
      <c r="I203" s="1" t="s">
        <v>405</v>
      </c>
      <c r="J203" s="1" t="s">
        <v>372</v>
      </c>
      <c r="K203" s="1" t="s">
        <v>373</v>
      </c>
      <c r="L203" s="1" t="s">
        <v>374</v>
      </c>
      <c r="M203" s="1" t="s">
        <v>375</v>
      </c>
    </row>
    <row r="204" spans="1:13">
      <c r="B204" s="5">
        <v>136287308.19000003</v>
      </c>
      <c r="C204" s="5">
        <v>87954790.609999999</v>
      </c>
      <c r="D204" s="5">
        <v>22123735.780000001</v>
      </c>
      <c r="E204" s="5">
        <v>0</v>
      </c>
      <c r="I204" t="s">
        <v>2</v>
      </c>
      <c r="J204" s="98">
        <f>B$204*B219</f>
        <v>4746727.556721013</v>
      </c>
      <c r="K204" s="98">
        <f t="shared" ref="K204:M212" si="11">C$204*C219</f>
        <v>3144825.7285392866</v>
      </c>
      <c r="L204" s="98">
        <f t="shared" si="11"/>
        <v>800915.4339161641</v>
      </c>
      <c r="M204" s="98">
        <f t="shared" si="11"/>
        <v>0</v>
      </c>
    </row>
    <row r="205" spans="1:13">
      <c r="I205" t="s">
        <v>7</v>
      </c>
      <c r="J205" s="98">
        <f t="shared" ref="J205:J212" si="12">B$204*B220</f>
        <v>32465608.321353249</v>
      </c>
      <c r="K205" s="98">
        <f t="shared" si="11"/>
        <v>19945463.789660335</v>
      </c>
      <c r="L205" s="98">
        <f t="shared" si="11"/>
        <v>5181859.9922141461</v>
      </c>
      <c r="M205" s="98">
        <f t="shared" si="11"/>
        <v>0</v>
      </c>
    </row>
    <row r="206" spans="1:13">
      <c r="A206" s="1" t="s">
        <v>406</v>
      </c>
      <c r="B206" s="1">
        <v>2005</v>
      </c>
      <c r="C206" s="1">
        <v>2011</v>
      </c>
      <c r="D206" s="1">
        <v>2016</v>
      </c>
      <c r="I206" t="s">
        <v>9</v>
      </c>
      <c r="J206" s="98">
        <f t="shared" si="12"/>
        <v>25418700.78426275</v>
      </c>
      <c r="K206" s="98">
        <f t="shared" si="11"/>
        <v>17383007.28881564</v>
      </c>
      <c r="L206" s="98">
        <f t="shared" si="11"/>
        <v>3962390.8892578962</v>
      </c>
      <c r="M206" s="98">
        <f t="shared" si="11"/>
        <v>0</v>
      </c>
    </row>
    <row r="207" spans="1:13">
      <c r="A207" t="s">
        <v>2</v>
      </c>
      <c r="B207" s="5">
        <v>4870667.5660395278</v>
      </c>
      <c r="C207" s="5">
        <v>5021660.0890252842</v>
      </c>
      <c r="D207" s="5">
        <v>5483370.1662733173</v>
      </c>
      <c r="E207" s="5"/>
      <c r="I207" t="s">
        <v>3</v>
      </c>
      <c r="J207" s="98">
        <f t="shared" si="12"/>
        <v>1155973.9614243025</v>
      </c>
      <c r="K207" s="98">
        <f t="shared" si="11"/>
        <v>765392.40511489112</v>
      </c>
      <c r="L207" s="98">
        <f t="shared" si="11"/>
        <v>194958.66906491778</v>
      </c>
      <c r="M207" s="98">
        <f t="shared" si="11"/>
        <v>0</v>
      </c>
    </row>
    <row r="208" spans="1:13">
      <c r="A208" t="s">
        <v>7</v>
      </c>
      <c r="B208" s="5">
        <v>33313305.550612248</v>
      </c>
      <c r="C208" s="5">
        <v>31848931.583295863</v>
      </c>
      <c r="D208" s="5">
        <v>35476974.576677434</v>
      </c>
      <c r="E208" s="5"/>
      <c r="I208" t="s">
        <v>188</v>
      </c>
      <c r="J208" s="98">
        <f t="shared" si="12"/>
        <v>22537448.697275907</v>
      </c>
      <c r="K208" s="98">
        <f t="shared" si="11"/>
        <v>14894919.778923089</v>
      </c>
      <c r="L208" s="98">
        <f t="shared" si="11"/>
        <v>3795795.3859300874</v>
      </c>
      <c r="M208" s="98">
        <f t="shared" si="11"/>
        <v>0</v>
      </c>
    </row>
    <row r="209" spans="1:13">
      <c r="A209" t="s">
        <v>9</v>
      </c>
      <c r="B209" s="5">
        <v>26082398.874035213</v>
      </c>
      <c r="C209" s="5">
        <v>27757199.115140297</v>
      </c>
      <c r="D209" s="5">
        <v>27128027.590918232</v>
      </c>
      <c r="E209" s="5"/>
      <c r="I209" t="s">
        <v>5</v>
      </c>
      <c r="J209" s="98">
        <f t="shared" si="12"/>
        <v>2405297.4994624006</v>
      </c>
      <c r="K209" s="98">
        <f t="shared" si="11"/>
        <v>1593587.9861889901</v>
      </c>
      <c r="L209" s="98">
        <f t="shared" si="11"/>
        <v>405849.34623314679</v>
      </c>
      <c r="M209" s="98">
        <f t="shared" si="11"/>
        <v>0</v>
      </c>
    </row>
    <row r="210" spans="1:13">
      <c r="A210" t="s">
        <v>3</v>
      </c>
      <c r="B210" s="5">
        <v>1186157.160657641</v>
      </c>
      <c r="C210" s="5">
        <v>1222179.1682535536</v>
      </c>
      <c r="D210" s="5">
        <v>1334760.8303410767</v>
      </c>
      <c r="E210" s="5"/>
      <c r="I210" t="s">
        <v>4</v>
      </c>
      <c r="J210" s="98">
        <f t="shared" si="12"/>
        <v>419368.46019268362</v>
      </c>
      <c r="K210" s="98">
        <f t="shared" si="11"/>
        <v>277677.03320553835</v>
      </c>
      <c r="L210" s="98">
        <f t="shared" si="11"/>
        <v>70728.799084559694</v>
      </c>
      <c r="M210" s="98">
        <f t="shared" si="11"/>
        <v>0</v>
      </c>
    </row>
    <row r="211" spans="1:13">
      <c r="A211" t="s">
        <v>188</v>
      </c>
      <c r="B211" s="5">
        <v>23125915.502707116</v>
      </c>
      <c r="C211" s="5">
        <v>23784219.107681148</v>
      </c>
      <c r="D211" s="5">
        <v>25987451.727226466</v>
      </c>
      <c r="E211" s="5"/>
      <c r="I211" t="s">
        <v>8</v>
      </c>
      <c r="J211" s="98">
        <f t="shared" si="12"/>
        <v>26532066.858337354</v>
      </c>
      <c r="K211" s="98">
        <f t="shared" si="11"/>
        <v>16298761.323966226</v>
      </c>
      <c r="L211" s="98">
        <f t="shared" si="11"/>
        <v>4234539.5580147617</v>
      </c>
      <c r="M211" s="98">
        <f t="shared" si="11"/>
        <v>0</v>
      </c>
    </row>
    <row r="212" spans="1:13">
      <c r="A212" t="s">
        <v>5</v>
      </c>
      <c r="B212" s="5">
        <v>2468101.3134447439</v>
      </c>
      <c r="C212" s="5">
        <v>2544642.4951224313</v>
      </c>
      <c r="D212" s="5">
        <v>2778598.2176107164</v>
      </c>
      <c r="E212" s="5"/>
      <c r="I212" t="s">
        <v>6</v>
      </c>
      <c r="J212" s="98">
        <f t="shared" si="12"/>
        <v>20606116.050970357</v>
      </c>
      <c r="K212" s="98">
        <f t="shared" si="11"/>
        <v>13651155.275586002</v>
      </c>
      <c r="L212" s="98">
        <f t="shared" si="11"/>
        <v>3476697.7062843246</v>
      </c>
      <c r="M212" s="98">
        <f t="shared" si="11"/>
        <v>0</v>
      </c>
    </row>
    <row r="213" spans="1:13">
      <c r="A213" t="s">
        <v>4</v>
      </c>
      <c r="B213" s="5">
        <v>430318.43156624126</v>
      </c>
      <c r="C213" s="5">
        <v>443394.89550502796</v>
      </c>
      <c r="D213" s="5">
        <v>484236.12577955454</v>
      </c>
      <c r="E213" s="5"/>
      <c r="J213" s="6">
        <f>SUM(J204:J212)</f>
        <v>136287308.19</v>
      </c>
      <c r="K213" s="6">
        <f>SUM(K204:K212)</f>
        <v>87954790.609999985</v>
      </c>
      <c r="L213" s="6">
        <f>SUM(L204:L212)</f>
        <v>22123735.780000005</v>
      </c>
      <c r="M213" s="6">
        <f>SUM(M204:M212)</f>
        <v>0</v>
      </c>
    </row>
    <row r="214" spans="1:13">
      <c r="A214" t="s">
        <v>8</v>
      </c>
      <c r="B214" s="5">
        <v>27224835.628899224</v>
      </c>
      <c r="C214" s="5">
        <v>26025874.342845205</v>
      </c>
      <c r="D214" s="5">
        <v>28991260.371632259</v>
      </c>
      <c r="E214" s="5"/>
    </row>
    <row r="215" spans="1:13">
      <c r="A215" t="s">
        <v>6</v>
      </c>
      <c r="B215" s="5">
        <v>21144154.559576035</v>
      </c>
      <c r="C215" s="5">
        <v>21798175.013131194</v>
      </c>
      <c r="D215" s="5">
        <v>23802788.250158586</v>
      </c>
      <c r="E215" s="5"/>
    </row>
    <row r="216" spans="1:13">
      <c r="B216" s="6">
        <f>SUM(B207:B215)</f>
        <v>139845854.587538</v>
      </c>
      <c r="C216" s="6">
        <f>SUM(C207:C215)</f>
        <v>140446275.81</v>
      </c>
      <c r="D216" s="6">
        <f>SUM(D207:D215)</f>
        <v>151467467.85661763</v>
      </c>
      <c r="E216" s="6"/>
    </row>
    <row r="218" spans="1:13">
      <c r="A218" s="1" t="s">
        <v>407</v>
      </c>
      <c r="B218" s="1">
        <v>2005</v>
      </c>
      <c r="C218" s="1">
        <v>2011</v>
      </c>
      <c r="D218" s="1">
        <v>2016</v>
      </c>
      <c r="E218" s="1" t="s">
        <v>375</v>
      </c>
    </row>
    <row r="219" spans="1:13">
      <c r="A219" t="s">
        <v>2</v>
      </c>
      <c r="B219" s="7">
        <f>B207/B$216</f>
        <v>3.4828830503450363E-2</v>
      </c>
      <c r="C219" s="7">
        <f>C207/C$216</f>
        <v>3.5755024902324496E-2</v>
      </c>
      <c r="D219" s="7">
        <f>D207/D$216</f>
        <v>3.6201636192030318E-2</v>
      </c>
      <c r="E219" s="7">
        <v>3.6201636192030318E-2</v>
      </c>
    </row>
    <row r="220" spans="1:13">
      <c r="A220" t="s">
        <v>7</v>
      </c>
      <c r="B220" s="7">
        <f t="shared" ref="B220:D227" si="13">B208/B$216</f>
        <v>0.2382144658407406</v>
      </c>
      <c r="C220" s="7">
        <f t="shared" si="13"/>
        <v>0.22676949886789499</v>
      </c>
      <c r="D220" s="7">
        <f t="shared" si="13"/>
        <v>0.23422174463404052</v>
      </c>
      <c r="E220" s="7">
        <v>0.23422174463404052</v>
      </c>
    </row>
    <row r="221" spans="1:13">
      <c r="A221" t="s">
        <v>9</v>
      </c>
      <c r="B221" s="7">
        <f t="shared" si="13"/>
        <v>0.18650820184096811</v>
      </c>
      <c r="C221" s="7">
        <f t="shared" si="13"/>
        <v>0.19763570771140332</v>
      </c>
      <c r="D221" s="7">
        <f t="shared" si="13"/>
        <v>0.17910134746953194</v>
      </c>
      <c r="E221" s="7">
        <v>0.17910134746953194</v>
      </c>
    </row>
    <row r="222" spans="1:13">
      <c r="A222" t="s">
        <v>3</v>
      </c>
      <c r="B222" s="7">
        <f t="shared" si="13"/>
        <v>8.4818900363982774E-3</v>
      </c>
      <c r="C222" s="7">
        <f t="shared" si="13"/>
        <v>8.702111616736315E-3</v>
      </c>
      <c r="D222" s="7">
        <f t="shared" si="13"/>
        <v>8.8121947849857107E-3</v>
      </c>
      <c r="E222" s="7">
        <v>8.8121947849857107E-3</v>
      </c>
    </row>
    <row r="223" spans="1:13">
      <c r="A223" t="s">
        <v>188</v>
      </c>
      <c r="B223" s="7">
        <f t="shared" si="13"/>
        <v>0.16536718639901624</v>
      </c>
      <c r="C223" s="7">
        <f t="shared" si="13"/>
        <v>0.16934745311336816</v>
      </c>
      <c r="D223" s="7">
        <f t="shared" si="13"/>
        <v>0.17157117693303456</v>
      </c>
      <c r="E223" s="7">
        <v>0.17157117693303456</v>
      </c>
    </row>
    <row r="224" spans="1:13">
      <c r="A224" t="s">
        <v>5</v>
      </c>
      <c r="B224" s="7">
        <f t="shared" si="13"/>
        <v>1.764872702679799E-2</v>
      </c>
      <c r="C224" s="7">
        <f t="shared" si="13"/>
        <v>1.8118262520288548E-2</v>
      </c>
      <c r="D224" s="7">
        <f t="shared" si="13"/>
        <v>1.8344521479958967E-2</v>
      </c>
      <c r="E224" s="7">
        <v>1.8344521479958967E-2</v>
      </c>
    </row>
    <row r="225" spans="1:13">
      <c r="A225" t="s">
        <v>4</v>
      </c>
      <c r="B225" s="7">
        <f t="shared" si="13"/>
        <v>3.0770910788555325E-3</v>
      </c>
      <c r="C225" s="7">
        <f t="shared" si="13"/>
        <v>3.1570427407051085E-3</v>
      </c>
      <c r="D225" s="7">
        <f t="shared" si="13"/>
        <v>3.1969645537214824E-3</v>
      </c>
      <c r="E225" s="7">
        <v>3.1969645537214824E-3</v>
      </c>
    </row>
    <row r="226" spans="1:13">
      <c r="A226" t="s">
        <v>8</v>
      </c>
      <c r="B226" s="7">
        <f t="shared" si="13"/>
        <v>0.19467745904371836</v>
      </c>
      <c r="C226" s="7">
        <f t="shared" si="13"/>
        <v>0.18530839776808181</v>
      </c>
      <c r="D226" s="7">
        <f t="shared" si="13"/>
        <v>0.1914025551617197</v>
      </c>
      <c r="E226" s="7">
        <v>0.1914025551617197</v>
      </c>
    </row>
    <row r="227" spans="1:13">
      <c r="A227" t="s">
        <v>6</v>
      </c>
      <c r="B227" s="7">
        <f t="shared" si="13"/>
        <v>0.15119614823005445</v>
      </c>
      <c r="C227" s="7">
        <f t="shared" si="13"/>
        <v>0.15520650075919726</v>
      </c>
      <c r="D227" s="7">
        <f t="shared" si="13"/>
        <v>0.15714785879097695</v>
      </c>
      <c r="E227" s="7">
        <v>0.15714785879097695</v>
      </c>
    </row>
    <row r="228" spans="1:13">
      <c r="B228" s="8">
        <f>SUM(B219:B227)</f>
        <v>0.99999999999999989</v>
      </c>
      <c r="C228" s="8">
        <f>SUM(C219:C227)</f>
        <v>1.0000000000000002</v>
      </c>
      <c r="D228" s="8">
        <f>SUM(D219:D227)</f>
        <v>1.0000000000000002</v>
      </c>
      <c r="E228" s="8">
        <v>1.0000000000000002</v>
      </c>
    </row>
    <row r="231" spans="1:13" ht="18.75">
      <c r="A231" s="2" t="s">
        <v>376</v>
      </c>
    </row>
    <row r="233" spans="1:13">
      <c r="A233" s="1" t="s">
        <v>376</v>
      </c>
      <c r="B233" s="1" t="s">
        <v>372</v>
      </c>
      <c r="C233" s="1" t="s">
        <v>373</v>
      </c>
      <c r="D233" s="1" t="s">
        <v>374</v>
      </c>
      <c r="E233" s="1" t="s">
        <v>375</v>
      </c>
      <c r="I233" s="1" t="s">
        <v>376</v>
      </c>
      <c r="J233" s="1" t="s">
        <v>372</v>
      </c>
      <c r="K233" s="1" t="s">
        <v>373</v>
      </c>
      <c r="L233" s="1" t="s">
        <v>374</v>
      </c>
      <c r="M233" s="1" t="s">
        <v>375</v>
      </c>
    </row>
    <row r="234" spans="1:13">
      <c r="B234" s="5">
        <v>12242767.829999998</v>
      </c>
      <c r="C234" s="5">
        <v>52937528.68</v>
      </c>
      <c r="D234" s="5">
        <v>158504925.51999998</v>
      </c>
      <c r="E234" s="5">
        <v>0</v>
      </c>
      <c r="I234" t="s">
        <v>2</v>
      </c>
      <c r="J234" s="98">
        <f>B$234*B249</f>
        <v>123152.02928177605</v>
      </c>
      <c r="K234" s="98">
        <f t="shared" ref="K234:M242" si="14">C$234*C249</f>
        <v>500015.44639707013</v>
      </c>
      <c r="L234" s="98">
        <f t="shared" si="14"/>
        <v>1531646.9308604796</v>
      </c>
      <c r="M234" s="98">
        <f t="shared" si="14"/>
        <v>0</v>
      </c>
    </row>
    <row r="235" spans="1:13">
      <c r="I235" t="s">
        <v>7</v>
      </c>
      <c r="J235" s="98">
        <f t="shared" ref="J235:J242" si="15">B$234*B250</f>
        <v>1181999.2592478739</v>
      </c>
      <c r="K235" s="98">
        <f t="shared" si="14"/>
        <v>3805979.5443618596</v>
      </c>
      <c r="L235" s="98">
        <f t="shared" si="14"/>
        <v>11155958.956159087</v>
      </c>
      <c r="M235" s="98">
        <f t="shared" si="14"/>
        <v>0</v>
      </c>
    </row>
    <row r="236" spans="1:13">
      <c r="A236" s="1" t="s">
        <v>408</v>
      </c>
      <c r="I236" t="s">
        <v>9</v>
      </c>
      <c r="J236" s="98">
        <f t="shared" si="15"/>
        <v>8552490.0126034748</v>
      </c>
      <c r="K236" s="98">
        <f t="shared" si="14"/>
        <v>39070824.07536488</v>
      </c>
      <c r="L236" s="98">
        <f t="shared" si="14"/>
        <v>117261961.17992021</v>
      </c>
      <c r="M236" s="98">
        <f t="shared" si="14"/>
        <v>0</v>
      </c>
    </row>
    <row r="237" spans="1:13">
      <c r="A237" t="s">
        <v>2</v>
      </c>
      <c r="B237" s="39">
        <v>1.8595799300183646</v>
      </c>
      <c r="C237" s="39">
        <v>2.043492069179262</v>
      </c>
      <c r="D237" s="39">
        <v>4.4732364220563516</v>
      </c>
      <c r="E237" s="39"/>
      <c r="I237" t="s">
        <v>3</v>
      </c>
      <c r="J237" s="98">
        <f t="shared" si="15"/>
        <v>83349.145011063141</v>
      </c>
      <c r="K237" s="98">
        <f t="shared" si="14"/>
        <v>373128.26453646057</v>
      </c>
      <c r="L237" s="98">
        <f t="shared" si="14"/>
        <v>965107.19238765386</v>
      </c>
      <c r="M237" s="98">
        <f t="shared" si="14"/>
        <v>0</v>
      </c>
    </row>
    <row r="238" spans="1:13">
      <c r="A238" t="s">
        <v>7</v>
      </c>
      <c r="B238" s="39">
        <v>17.848038011332889</v>
      </c>
      <c r="C238" s="39">
        <v>15.554497506834489</v>
      </c>
      <c r="D238" s="39">
        <v>32.581426515587985</v>
      </c>
      <c r="E238" s="39"/>
      <c r="I238" t="s">
        <v>188</v>
      </c>
      <c r="J238" s="98">
        <f t="shared" si="15"/>
        <v>846268.06333486724</v>
      </c>
      <c r="K238" s="98">
        <f t="shared" si="14"/>
        <v>3480626.1326318132</v>
      </c>
      <c r="L238" s="98">
        <f t="shared" si="14"/>
        <v>10599203.443372257</v>
      </c>
      <c r="M238" s="98">
        <f t="shared" si="14"/>
        <v>0</v>
      </c>
    </row>
    <row r="239" spans="1:13">
      <c r="A239" t="s">
        <v>9</v>
      </c>
      <c r="B239" s="39">
        <v>129.14150803581924</v>
      </c>
      <c r="C239" s="39">
        <v>159.67690540284502</v>
      </c>
      <c r="D239" s="39">
        <v>342.46827065888493</v>
      </c>
      <c r="E239" s="39"/>
      <c r="I239" t="s">
        <v>5</v>
      </c>
      <c r="J239" s="98">
        <f t="shared" si="15"/>
        <v>59207.35306795442</v>
      </c>
      <c r="K239" s="98">
        <f t="shared" si="14"/>
        <v>235978.60176968374</v>
      </c>
      <c r="L239" s="98">
        <f t="shared" si="14"/>
        <v>724783.01694092969</v>
      </c>
      <c r="M239" s="98">
        <f t="shared" si="14"/>
        <v>0</v>
      </c>
    </row>
    <row r="240" spans="1:13">
      <c r="A240" t="s">
        <v>3</v>
      </c>
      <c r="B240" s="39">
        <v>1.2585614557120357</v>
      </c>
      <c r="C240" s="39">
        <v>1.5249221896264735</v>
      </c>
      <c r="D240" s="39">
        <v>2.8186343452871494</v>
      </c>
      <c r="E240" s="39"/>
      <c r="I240" t="s">
        <v>4</v>
      </c>
      <c r="J240" s="98">
        <f t="shared" si="15"/>
        <v>37573.594726236377</v>
      </c>
      <c r="K240" s="98">
        <f t="shared" si="14"/>
        <v>183738.05585621423</v>
      </c>
      <c r="L240" s="98">
        <f t="shared" si="14"/>
        <v>477025.55622237414</v>
      </c>
      <c r="M240" s="98">
        <f t="shared" si="14"/>
        <v>0</v>
      </c>
    </row>
    <row r="241" spans="1:13">
      <c r="A241" t="s">
        <v>188</v>
      </c>
      <c r="B241" s="39">
        <v>12.778539786724446</v>
      </c>
      <c r="C241" s="39">
        <v>14.224824351052035</v>
      </c>
      <c r="D241" s="39">
        <v>30.955399663185691</v>
      </c>
      <c r="E241" s="39"/>
      <c r="I241" t="s">
        <v>8</v>
      </c>
      <c r="J241" s="98">
        <f t="shared" si="15"/>
        <v>763860.16341576201</v>
      </c>
      <c r="K241" s="98">
        <f t="shared" si="14"/>
        <v>2886080.1410934911</v>
      </c>
      <c r="L241" s="98">
        <f t="shared" si="14"/>
        <v>8437386.3567693755</v>
      </c>
      <c r="M241" s="98">
        <f t="shared" si="14"/>
        <v>0</v>
      </c>
    </row>
    <row r="242" spans="1:13">
      <c r="A242" t="s">
        <v>5</v>
      </c>
      <c r="B242" s="39">
        <v>0.89402347745943256</v>
      </c>
      <c r="C242" s="39">
        <v>0.96441100907395017</v>
      </c>
      <c r="D242" s="39">
        <v>2.116757931703376</v>
      </c>
      <c r="E242" s="39"/>
      <c r="I242" t="s">
        <v>6</v>
      </c>
      <c r="J242" s="98">
        <f t="shared" si="15"/>
        <v>594868.20931099111</v>
      </c>
      <c r="K242" s="98">
        <f t="shared" si="14"/>
        <v>2401158.4179885318</v>
      </c>
      <c r="L242" s="98">
        <f t="shared" si="14"/>
        <v>7351852.8873676155</v>
      </c>
      <c r="M242" s="98">
        <f t="shared" si="14"/>
        <v>0</v>
      </c>
    </row>
    <row r="243" spans="1:13">
      <c r="A243" t="s">
        <v>4</v>
      </c>
      <c r="B243" s="39">
        <v>0.56735648660474414</v>
      </c>
      <c r="C243" s="39">
        <v>0.75091132214828726</v>
      </c>
      <c r="D243" s="39">
        <v>1.3931723097220701</v>
      </c>
      <c r="E243" s="39"/>
      <c r="J243" s="6">
        <f>SUM(J234:J242)</f>
        <v>12242767.83</v>
      </c>
      <c r="K243" s="6">
        <f>SUM(K234:K242)</f>
        <v>52937528.680000015</v>
      </c>
      <c r="L243" s="6">
        <f>SUM(L234:L242)</f>
        <v>158504925.51999998</v>
      </c>
      <c r="M243" s="6">
        <f>SUM(M234:M242)</f>
        <v>0</v>
      </c>
    </row>
    <row r="244" spans="1:13">
      <c r="A244" t="s">
        <v>8</v>
      </c>
      <c r="B244" s="39">
        <v>11.534191011813865</v>
      </c>
      <c r="C244" s="39">
        <v>11.794999378192955</v>
      </c>
      <c r="D244" s="39">
        <v>24.641725973268795</v>
      </c>
      <c r="E244" s="39"/>
    </row>
    <row r="245" spans="1:13">
      <c r="A245" t="s">
        <v>6</v>
      </c>
      <c r="B245" s="39">
        <v>8.9824340653749832</v>
      </c>
      <c r="C245" s="39">
        <v>9.813193211047448</v>
      </c>
      <c r="D245" s="39">
        <v>21.471381845747757</v>
      </c>
      <c r="E245" s="39"/>
    </row>
    <row r="246" spans="1:13">
      <c r="B246" s="40">
        <f>SUM(B237:B245)</f>
        <v>184.86423226086001</v>
      </c>
      <c r="C246" s="40">
        <f>SUM(C237:C245)</f>
        <v>216.34815643999991</v>
      </c>
      <c r="D246" s="40">
        <f>SUM(D237:D245)</f>
        <v>462.92000566544408</v>
      </c>
      <c r="E246" s="39"/>
    </row>
    <row r="248" spans="1:13">
      <c r="A248" s="1" t="s">
        <v>409</v>
      </c>
    </row>
    <row r="249" spans="1:13">
      <c r="A249" t="s">
        <v>2</v>
      </c>
      <c r="B249" s="7">
        <f>B237/B$246</f>
        <v>1.0059165622662639E-2</v>
      </c>
      <c r="C249" s="7">
        <f>C237/C$246</f>
        <v>9.4453870224957791E-3</v>
      </c>
      <c r="D249" s="7">
        <f>D237/D$246</f>
        <v>9.663087287891366E-3</v>
      </c>
      <c r="E249" s="7">
        <v>9.663087287891366E-3</v>
      </c>
    </row>
    <row r="250" spans="1:13">
      <c r="A250" t="s">
        <v>7</v>
      </c>
      <c r="B250" s="7">
        <f t="shared" ref="B250:D257" si="16">B238/B$246</f>
        <v>9.6546734828334493E-2</v>
      </c>
      <c r="C250" s="7">
        <f t="shared" si="16"/>
        <v>7.1895678534003291E-2</v>
      </c>
      <c r="D250" s="7">
        <f t="shared" si="16"/>
        <v>7.0382411900199532E-2</v>
      </c>
      <c r="E250" s="7">
        <v>7.0382411900199532E-2</v>
      </c>
    </row>
    <row r="251" spans="1:13">
      <c r="A251" t="s">
        <v>9</v>
      </c>
      <c r="B251" s="7">
        <f t="shared" si="16"/>
        <v>0.69857487549884179</v>
      </c>
      <c r="C251" s="7">
        <f t="shared" si="16"/>
        <v>0.73805530876861625</v>
      </c>
      <c r="D251" s="7">
        <f t="shared" si="16"/>
        <v>0.73980010902010884</v>
      </c>
      <c r="E251" s="7">
        <v>0.73980010902010884</v>
      </c>
    </row>
    <row r="252" spans="1:13">
      <c r="A252" t="s">
        <v>3</v>
      </c>
      <c r="B252" s="7">
        <f t="shared" si="16"/>
        <v>6.8080311714171548E-3</v>
      </c>
      <c r="C252" s="7">
        <f t="shared" si="16"/>
        <v>7.0484639884111147E-3</v>
      </c>
      <c r="D252" s="7">
        <f t="shared" si="16"/>
        <v>6.088815153355456E-3</v>
      </c>
      <c r="E252" s="7">
        <v>6.088815153355456E-3</v>
      </c>
    </row>
    <row r="253" spans="1:13">
      <c r="A253" t="s">
        <v>188</v>
      </c>
      <c r="B253" s="7">
        <f t="shared" si="16"/>
        <v>6.9123916673576855E-2</v>
      </c>
      <c r="C253" s="7">
        <f t="shared" si="16"/>
        <v>6.5749690614983453E-2</v>
      </c>
      <c r="D253" s="7">
        <f t="shared" si="16"/>
        <v>6.6869867977918843E-2</v>
      </c>
      <c r="E253" s="7">
        <v>6.6869867977918843E-2</v>
      </c>
    </row>
    <row r="254" spans="1:13">
      <c r="A254" t="s">
        <v>5</v>
      </c>
      <c r="B254" s="7">
        <f t="shared" si="16"/>
        <v>4.8361084593037187E-3</v>
      </c>
      <c r="C254" s="7">
        <f t="shared" si="16"/>
        <v>4.4576807352708428E-3</v>
      </c>
      <c r="D254" s="7">
        <f>D242/D$246</f>
        <v>4.5726214157898668E-3</v>
      </c>
      <c r="E254" s="7">
        <v>4.5726214157898668E-3</v>
      </c>
    </row>
    <row r="255" spans="1:13">
      <c r="A255" t="s">
        <v>4</v>
      </c>
      <c r="B255" s="7">
        <f t="shared" si="16"/>
        <v>3.0690441285805533E-3</v>
      </c>
      <c r="C255" s="7">
        <f t="shared" si="16"/>
        <v>3.4708468724878568E-3</v>
      </c>
      <c r="D255" s="7">
        <f t="shared" si="16"/>
        <v>3.0095314366882786E-3</v>
      </c>
      <c r="E255" s="7">
        <v>3.0095314366882786E-3</v>
      </c>
    </row>
    <row r="256" spans="1:13">
      <c r="A256" t="s">
        <v>8</v>
      </c>
      <c r="B256" s="7">
        <f t="shared" si="16"/>
        <v>6.2392767225723185E-2</v>
      </c>
      <c r="C256" s="7">
        <f t="shared" si="16"/>
        <v>5.4518603589137009E-2</v>
      </c>
      <c r="D256" s="7">
        <f t="shared" si="16"/>
        <v>5.3231067293897781E-2</v>
      </c>
      <c r="E256" s="7">
        <v>5.3231067293897781E-2</v>
      </c>
    </row>
    <row r="257" spans="1:5">
      <c r="A257" t="s">
        <v>6</v>
      </c>
      <c r="B257" s="7">
        <f t="shared" si="16"/>
        <v>4.8589356391559639E-2</v>
      </c>
      <c r="C257" s="7">
        <f t="shared" si="16"/>
        <v>4.5358339874594457E-2</v>
      </c>
      <c r="D257" s="7">
        <f>D245/D$246</f>
        <v>4.6382488514150097E-2</v>
      </c>
      <c r="E257" s="7">
        <v>4.6382488514150097E-2</v>
      </c>
    </row>
    <row r="258" spans="1:5">
      <c r="B258" s="8">
        <f>SUM(B249:B257)</f>
        <v>1</v>
      </c>
      <c r="C258" s="8">
        <f>SUM(C249:C257)</f>
        <v>1</v>
      </c>
      <c r="D258" s="8">
        <f>SUM(D249:D257)</f>
        <v>1</v>
      </c>
      <c r="E258" s="8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X307"/>
  <sheetViews>
    <sheetView workbookViewId="0">
      <selection activeCell="Q20" sqref="Q20:X20"/>
    </sheetView>
  </sheetViews>
  <sheetFormatPr defaultRowHeight="15"/>
  <cols>
    <col min="1" max="1" width="32.140625" customWidth="1"/>
    <col min="2" max="2" width="14.140625" customWidth="1"/>
    <col min="3" max="4" width="13.7109375" customWidth="1"/>
    <col min="5" max="6" width="12.7109375" customWidth="1"/>
    <col min="8" max="8" width="1.5703125" customWidth="1"/>
    <col min="9" max="9" width="16" customWidth="1"/>
    <col min="10" max="13" width="13.7109375" customWidth="1"/>
    <col min="14" max="14" width="11.7109375" customWidth="1"/>
    <col min="16" max="19" width="16.42578125" customWidth="1"/>
    <col min="21" max="21" width="12.5703125" customWidth="1"/>
    <col min="23" max="23" width="9.42578125" customWidth="1"/>
    <col min="24" max="24" width="9.140625" customWidth="1"/>
  </cols>
  <sheetData>
    <row r="1" spans="1:19" ht="18.75">
      <c r="A1" s="2" t="s">
        <v>371</v>
      </c>
    </row>
    <row r="3" spans="1:19">
      <c r="A3" s="1" t="s">
        <v>410</v>
      </c>
      <c r="B3" s="1" t="s">
        <v>372</v>
      </c>
      <c r="C3" s="1" t="s">
        <v>373</v>
      </c>
      <c r="D3" s="1" t="s">
        <v>374</v>
      </c>
      <c r="E3" s="1" t="s">
        <v>375</v>
      </c>
      <c r="I3" s="1" t="s">
        <v>411</v>
      </c>
      <c r="J3" s="1" t="s">
        <v>372</v>
      </c>
      <c r="K3" s="1" t="s">
        <v>373</v>
      </c>
      <c r="L3" s="1" t="s">
        <v>374</v>
      </c>
      <c r="M3" s="1" t="s">
        <v>375</v>
      </c>
      <c r="O3" s="1" t="s">
        <v>376</v>
      </c>
      <c r="P3" s="1" t="s">
        <v>372</v>
      </c>
      <c r="Q3" s="1" t="s">
        <v>373</v>
      </c>
      <c r="R3" s="1" t="s">
        <v>374</v>
      </c>
      <c r="S3" s="1" t="s">
        <v>375</v>
      </c>
    </row>
    <row r="4" spans="1:19">
      <c r="A4" t="s">
        <v>376</v>
      </c>
      <c r="B4" s="5">
        <v>279387217.63999993</v>
      </c>
      <c r="C4" s="5">
        <v>255623380.41000009</v>
      </c>
      <c r="D4" s="5">
        <v>123550579.54000002</v>
      </c>
      <c r="E4" s="5">
        <v>2132382.52</v>
      </c>
      <c r="I4" t="s">
        <v>2</v>
      </c>
      <c r="J4" s="38">
        <f>B$4*B81+B5+B$6*B44+B11*B103+B$13*B66 + B35*$C$39*B44</f>
        <v>51889087.649938084</v>
      </c>
      <c r="K4" s="38">
        <f>C$4*C81+C5+C$6*C44+C11*C103+C$13*C66 + C35*$C$39*C44</f>
        <v>85312874.469252557</v>
      </c>
      <c r="L4" s="38">
        <f>D$4*D81+D5+D$6*D44+D11*D103+D$13*D66 + D35*$C$39*D44</f>
        <v>43104597.62916597</v>
      </c>
      <c r="M4" s="38">
        <f>E$4*E81+E5+E$6*E44+E11*E103+E$13*E66 + E35*$C$39*E44</f>
        <v>7557674.827155022</v>
      </c>
      <c r="N4" s="5"/>
      <c r="O4" t="s">
        <v>2</v>
      </c>
      <c r="P4" s="43">
        <f>J29+J139+J173+J205+J222+J236+J253+J283</f>
        <v>183094316.9721669</v>
      </c>
      <c r="Q4" s="43">
        <f t="shared" ref="Q4:S12" si="0">K29+K139+K173+K205+K222+K236+K253+K283</f>
        <v>156474288.51995435</v>
      </c>
      <c r="R4" s="43">
        <f t="shared" si="0"/>
        <v>98967788.901456401</v>
      </c>
      <c r="S4" s="43">
        <f t="shared" si="0"/>
        <v>12450700.005284254</v>
      </c>
    </row>
    <row r="5" spans="1:19">
      <c r="A5" t="s">
        <v>2</v>
      </c>
      <c r="B5" s="5">
        <v>15458702.090000002</v>
      </c>
      <c r="C5" s="5">
        <v>24460942.420000002</v>
      </c>
      <c r="D5" s="5"/>
      <c r="E5" s="5"/>
      <c r="I5" t="s">
        <v>7</v>
      </c>
      <c r="J5" s="38">
        <f>B$4*B82+B$6*B45+B$13*B67+ B35*$C$39*B45</f>
        <v>714100.55902289273</v>
      </c>
      <c r="K5" s="38">
        <f>C$4*C82+C$6*C45+C$13*C67+ C35*$C$39*C45</f>
        <v>1196833.2067648014</v>
      </c>
      <c r="L5" s="38">
        <f>D$4*D82+D$6*D45+D$13*D67+ D35*$C$39*D45</f>
        <v>885307.83898080082</v>
      </c>
      <c r="M5" s="38">
        <f>E$4*E82+E$6*E45+E$13*E67+ E35*$C$39*E45</f>
        <v>155224.01639172132</v>
      </c>
      <c r="N5" s="5"/>
      <c r="O5" t="s">
        <v>7</v>
      </c>
      <c r="P5" s="43">
        <f t="shared" ref="P5:P12" si="1">J30+J140+J174+J206+J223+J237+J254+J284</f>
        <v>2386691371.4202304</v>
      </c>
      <c r="Q5" s="43">
        <f t="shared" si="0"/>
        <v>2890629830.4478755</v>
      </c>
      <c r="R5" s="43">
        <f t="shared" si="0"/>
        <v>2529472638.9058199</v>
      </c>
      <c r="S5" s="43">
        <f t="shared" si="0"/>
        <v>171924333.96541864</v>
      </c>
    </row>
    <row r="6" spans="1:19">
      <c r="A6" t="s">
        <v>377</v>
      </c>
      <c r="B6" s="5">
        <v>297908156.90999997</v>
      </c>
      <c r="C6" s="5">
        <v>752719130.50000036</v>
      </c>
      <c r="D6" s="5">
        <v>628761341.69999993</v>
      </c>
      <c r="E6" s="5">
        <v>129042173.89999999</v>
      </c>
      <c r="I6" t="s">
        <v>9</v>
      </c>
      <c r="J6" s="38">
        <f>B$4*B83+B$6*B46+B$13*B68 + B7+ B35*$C$39*B46</f>
        <v>216602676.82406193</v>
      </c>
      <c r="K6" s="38">
        <f>C$4*C83+C$6*C46+C$13*C68 + C7+ C35*$C$39*C46</f>
        <v>268982116.63076794</v>
      </c>
      <c r="L6" s="38">
        <f>D$4*D83+D$6*D46+D$13*D68 + D7+ D35*$C$39*D46</f>
        <v>201668099.18368164</v>
      </c>
      <c r="M6" s="38">
        <f>E$4*E83+E$6*E46+E$13*E68 + E7+ E35*$C$39*E46</f>
        <v>32987236.143849745</v>
      </c>
      <c r="N6" s="5"/>
      <c r="O6" t="s">
        <v>9</v>
      </c>
      <c r="P6" s="43">
        <f t="shared" si="1"/>
        <v>14699029886.813305</v>
      </c>
      <c r="Q6" s="43">
        <f t="shared" si="0"/>
        <v>16577157192.831095</v>
      </c>
      <c r="R6" s="43">
        <f t="shared" si="0"/>
        <v>11119784869.447309</v>
      </c>
      <c r="S6" s="43">
        <f t="shared" si="0"/>
        <v>1837337457.3159184</v>
      </c>
    </row>
    <row r="7" spans="1:19">
      <c r="A7" t="s">
        <v>9</v>
      </c>
      <c r="B7" s="5">
        <v>64846496.830000013</v>
      </c>
      <c r="C7" s="5">
        <v>14638616.609999999</v>
      </c>
      <c r="D7" s="5">
        <v>13528019.940000001</v>
      </c>
      <c r="E7" s="5"/>
      <c r="I7" t="s">
        <v>3</v>
      </c>
      <c r="J7" s="38">
        <f>B$4*B84+B$6*B47+B$13*B69+B8+B9*B107+ B35*$C$39*B47</f>
        <v>70284425.303186253</v>
      </c>
      <c r="K7" s="38">
        <f>C$4*C84+C$6*C47+C$13*C69+C8+C9*C107+ C35*$C$39*C47</f>
        <v>62962825.5387768</v>
      </c>
      <c r="L7" s="38">
        <f>D$4*D84+D$6*D47+D$13*D69+D8+D9*D107+ D35*$C$39*D47</f>
        <v>86456677.499634504</v>
      </c>
      <c r="M7" s="38">
        <f>E$4*E84+E$6*E47+E$13*E69+E8+E9*E107+ E35*$C$39*E47</f>
        <v>1913005.0469768436</v>
      </c>
      <c r="N7" s="5"/>
      <c r="O7" t="s">
        <v>3</v>
      </c>
      <c r="P7" s="43">
        <f t="shared" si="1"/>
        <v>195107487.58122259</v>
      </c>
      <c r="Q7" s="43">
        <f t="shared" si="0"/>
        <v>104464435.5877822</v>
      </c>
      <c r="R7" s="43">
        <f t="shared" si="0"/>
        <v>114655409.02678333</v>
      </c>
      <c r="S7" s="43">
        <f t="shared" si="0"/>
        <v>5736226.8928037789</v>
      </c>
    </row>
    <row r="8" spans="1:19">
      <c r="A8" t="s">
        <v>3</v>
      </c>
      <c r="B8" s="5">
        <v>13650333.16</v>
      </c>
      <c r="C8" s="5">
        <v>4849672.9800000004</v>
      </c>
      <c r="D8" s="5">
        <v>14175668.43</v>
      </c>
      <c r="E8" s="5"/>
      <c r="I8" t="s">
        <v>188</v>
      </c>
      <c r="J8" s="38">
        <f>B$4*B85+B$6*B48+B$13*B70+ B35*$C$39*B48</f>
        <v>0</v>
      </c>
      <c r="K8" s="38">
        <f>C$4*C85+C$6*C48+C$13*C70+ C35*$C$39*C48</f>
        <v>0</v>
      </c>
      <c r="L8" s="38">
        <f>D$4*D85+D$6*D48+D$13*D70+ D35*$C$39*D48</f>
        <v>0</v>
      </c>
      <c r="M8" s="38">
        <f>E$4*E85+E$6*E48+E$13*E70+ E35*$C$39*E48</f>
        <v>0</v>
      </c>
      <c r="N8" s="5"/>
      <c r="O8" t="s">
        <v>188</v>
      </c>
      <c r="P8" s="43">
        <f t="shared" si="1"/>
        <v>660953706.40508568</v>
      </c>
      <c r="Q8" s="43">
        <f t="shared" si="0"/>
        <v>745309282.61022723</v>
      </c>
      <c r="R8" s="43">
        <f t="shared" si="0"/>
        <v>590609702.67487991</v>
      </c>
      <c r="S8" s="43">
        <f t="shared" si="0"/>
        <v>106870656.14101768</v>
      </c>
    </row>
    <row r="9" spans="1:19">
      <c r="A9" t="s">
        <v>378</v>
      </c>
      <c r="B9" s="5">
        <v>46984341.75</v>
      </c>
      <c r="C9" s="5">
        <v>44453274.990000002</v>
      </c>
      <c r="D9" s="5">
        <v>73464063.960000008</v>
      </c>
      <c r="E9" s="5"/>
      <c r="I9" t="s">
        <v>5</v>
      </c>
      <c r="J9" s="38">
        <f>B$4*B86+B$6*B49+B$13*B71+B10+B11*B104+ B35*$C$39*B49</f>
        <v>30885816.442367937</v>
      </c>
      <c r="K9" s="38">
        <f>C$4*C86+C$6*C49+C$13*C71+C10+C11*C104+ C35*$C$39*C49</f>
        <v>41735132.991966933</v>
      </c>
      <c r="L9" s="38">
        <f>D$4*D86+D$6*D49+D$13*D71+D10+D11*D104+ D35*$C$39*D49</f>
        <v>29563171.686355051</v>
      </c>
      <c r="M9" s="38">
        <f>E$4*E86+E$6*E49+E$13*E71+E10+E11*E104+ E35*$C$39*E49</f>
        <v>5183410.8367514014</v>
      </c>
      <c r="N9" s="5"/>
      <c r="O9" t="s">
        <v>5</v>
      </c>
      <c r="P9" s="43">
        <f t="shared" si="1"/>
        <v>92353917.51734896</v>
      </c>
      <c r="Q9" s="43">
        <f t="shared" si="0"/>
        <v>72261059.466678545</v>
      </c>
      <c r="R9" s="43">
        <f t="shared" si="0"/>
        <v>56604721.804865308</v>
      </c>
      <c r="S9" s="43">
        <f t="shared" si="0"/>
        <v>7832827.6620818069</v>
      </c>
    </row>
    <row r="10" spans="1:19">
      <c r="A10" t="s">
        <v>5</v>
      </c>
      <c r="B10" s="5">
        <v>5900135.0499999998</v>
      </c>
      <c r="C10" s="5"/>
      <c r="D10" s="5"/>
      <c r="E10" s="5"/>
      <c r="I10" t="s">
        <v>4</v>
      </c>
      <c r="J10" s="38">
        <f>B$4*B87+B$6*B50+B$13*B72+B12+B9*B108+ B35*$C$39*B50</f>
        <v>46932667.094950378</v>
      </c>
      <c r="K10" s="38">
        <f>C$4*C87+C$6*C50+C$13*C72+C12+C9*C108+ C35*$C$39*C50</f>
        <v>25454382.571075592</v>
      </c>
      <c r="L10" s="38">
        <f>D$4*D87+D$6*D50+D$13*D72+D12+D9*D108+ D35*$C$39*D50</f>
        <v>24548329.21155446</v>
      </c>
      <c r="M10" s="38">
        <f>E$4*E87+E$6*E50+E$13*E72+E12+E9*E108+ E35*$C$39*E50</f>
        <v>1452871.3998758264</v>
      </c>
      <c r="N10" s="5"/>
      <c r="O10" t="s">
        <v>4</v>
      </c>
      <c r="P10" s="43">
        <f t="shared" si="1"/>
        <v>104840965.51548576</v>
      </c>
      <c r="Q10" s="43">
        <f t="shared" si="0"/>
        <v>68170755.782784075</v>
      </c>
      <c r="R10" s="43">
        <f t="shared" si="0"/>
        <v>59679804.41381041</v>
      </c>
      <c r="S10" s="43">
        <f t="shared" si="0"/>
        <v>8133363.1648254776</v>
      </c>
    </row>
    <row r="11" spans="1:19">
      <c r="A11" t="s">
        <v>379</v>
      </c>
      <c r="B11" s="5">
        <v>2801320.3</v>
      </c>
      <c r="C11" s="5">
        <v>4348694.6700000009</v>
      </c>
      <c r="D11" s="5"/>
      <c r="E11" s="5"/>
      <c r="I11" t="s">
        <v>8</v>
      </c>
      <c r="J11" s="38">
        <f>B$4*B88+B$6*B51+B$13*B73+ B35*$C$39*B51</f>
        <v>191612.90132658905</v>
      </c>
      <c r="K11" s="38">
        <f>C$4*C88+C$6*C51+C$13*C73+ C35*$C$39*C51</f>
        <v>321143.40236058715</v>
      </c>
      <c r="L11" s="38">
        <f>D$4*D88+D$6*D51+D$13*D73+ D35*$C$39*D51</f>
        <v>237552.54277688608</v>
      </c>
      <c r="M11" s="38">
        <f>E$4*E88+E$6*E51+E$13*E73+ E35*$C$39*E51</f>
        <v>41650.890425126017</v>
      </c>
      <c r="N11" s="5"/>
      <c r="O11" t="s">
        <v>8</v>
      </c>
      <c r="P11" s="43">
        <f t="shared" si="1"/>
        <v>1313503939.6425569</v>
      </c>
      <c r="Q11" s="43">
        <f t="shared" si="0"/>
        <v>1473661335.74682</v>
      </c>
      <c r="R11" s="43">
        <f t="shared" si="0"/>
        <v>1353419942.8185909</v>
      </c>
      <c r="S11" s="43">
        <f t="shared" si="0"/>
        <v>50674761.382883191</v>
      </c>
    </row>
    <row r="12" spans="1:19">
      <c r="A12" t="s">
        <v>4</v>
      </c>
      <c r="B12" s="5">
        <v>30114079.220000003</v>
      </c>
      <c r="C12" s="5">
        <v>342000</v>
      </c>
      <c r="D12" s="5"/>
      <c r="E12" s="5"/>
      <c r="I12" t="s">
        <v>6</v>
      </c>
      <c r="J12" s="38">
        <f>B$4*B89+B$6*B52+B$13*B74+B14+ B35*$C$39*B52</f>
        <v>660543926.13030279</v>
      </c>
      <c r="K12" s="38">
        <f>C$4*C89+C$6*C52+C$13*C74+C14+ C35*$C$39*C52</f>
        <v>737570349.95265698</v>
      </c>
      <c r="L12" s="38">
        <f>D$4*D89+D$6*D52+D$13*D74+D14+ D35*$C$39*D52</f>
        <v>505891437.35785067</v>
      </c>
      <c r="M12" s="38">
        <f>E$4*E89+E$6*E52+E$13*E74+E14+ E35*$C$39*E52</f>
        <v>81883483.258574292</v>
      </c>
      <c r="N12" s="5"/>
      <c r="O12" t="s">
        <v>6</v>
      </c>
      <c r="P12" s="43">
        <f t="shared" si="1"/>
        <v>1336380740.7025957</v>
      </c>
      <c r="Q12" s="43">
        <f t="shared" si="0"/>
        <v>1169086802.0567904</v>
      </c>
      <c r="R12" s="43">
        <f t="shared" si="0"/>
        <v>870470465.02647746</v>
      </c>
      <c r="S12" s="43">
        <f t="shared" si="0"/>
        <v>130363652.74976738</v>
      </c>
    </row>
    <row r="13" spans="1:19">
      <c r="A13" t="s">
        <v>380</v>
      </c>
      <c r="B13" s="5"/>
      <c r="C13" s="5"/>
      <c r="D13" s="5"/>
      <c r="E13" s="5"/>
      <c r="J13" s="164">
        <f>SUM(J4:J12)</f>
        <v>1078044312.9051569</v>
      </c>
      <c r="K13" s="164">
        <f>SUM(K4:K12)</f>
        <v>1223535658.7636223</v>
      </c>
      <c r="L13" s="164">
        <f>SUM(L4:L12)</f>
        <v>892355172.95000005</v>
      </c>
      <c r="M13" s="164">
        <f>SUM(M4:M12)</f>
        <v>131174556.41999997</v>
      </c>
      <c r="P13" s="6">
        <f>SUM(P4:P12)</f>
        <v>20971956332.569996</v>
      </c>
      <c r="Q13" s="6">
        <f>SUM(Q4:Q12)</f>
        <v>23257214983.050003</v>
      </c>
      <c r="R13" s="6">
        <f>SUM(R4:R12)</f>
        <v>16793665343.019991</v>
      </c>
      <c r="S13" s="6">
        <f>SUM(S4:S12)</f>
        <v>2331323979.2800002</v>
      </c>
    </row>
    <row r="14" spans="1:19">
      <c r="A14" t="s">
        <v>6</v>
      </c>
      <c r="B14" s="5">
        <v>283842932.75999999</v>
      </c>
      <c r="C14" s="5">
        <v>106219131.71000001</v>
      </c>
      <c r="D14" s="5">
        <v>38875499.379999988</v>
      </c>
      <c r="E14" s="5"/>
      <c r="J14" s="139"/>
      <c r="K14" s="139"/>
      <c r="L14" s="139"/>
      <c r="M14" s="139"/>
    </row>
    <row r="15" spans="1:19">
      <c r="A15" s="1" t="s">
        <v>25</v>
      </c>
      <c r="B15" s="6">
        <f>SUM(B4:B14)</f>
        <v>1040893715.7099998</v>
      </c>
      <c r="C15" s="6">
        <f>SUM(C4:C14)</f>
        <v>1207654844.2900004</v>
      </c>
      <c r="D15" s="6">
        <f>SUM(D4:D14)</f>
        <v>892355172.95000005</v>
      </c>
      <c r="E15" s="6">
        <f>SUM(E4:E14)</f>
        <v>131174556.41999999</v>
      </c>
      <c r="J15" s="139"/>
      <c r="K15" s="139"/>
      <c r="L15" s="139"/>
      <c r="M15" s="139"/>
    </row>
    <row r="16" spans="1:19">
      <c r="A16" s="1"/>
      <c r="B16" s="6"/>
      <c r="C16" s="6"/>
      <c r="D16" s="6"/>
      <c r="E16" s="6"/>
      <c r="I16" s="1" t="s">
        <v>412</v>
      </c>
      <c r="J16" s="134" t="s">
        <v>372</v>
      </c>
      <c r="K16" s="134" t="s">
        <v>373</v>
      </c>
      <c r="L16" s="134" t="s">
        <v>374</v>
      </c>
      <c r="M16" s="134" t="s">
        <v>375</v>
      </c>
    </row>
    <row r="17" spans="1:24">
      <c r="A17" s="1" t="s">
        <v>413</v>
      </c>
      <c r="B17" s="1" t="s">
        <v>372</v>
      </c>
      <c r="C17" s="1" t="s">
        <v>373</v>
      </c>
      <c r="D17" s="1" t="s">
        <v>374</v>
      </c>
      <c r="E17" s="1" t="s">
        <v>375</v>
      </c>
      <c r="I17" t="s">
        <v>2</v>
      </c>
      <c r="J17" s="38">
        <f>B$18*B92+B$20*B55+(B$23+B$27)*B66</f>
        <v>93847538.674473718</v>
      </c>
      <c r="K17" s="38">
        <f t="shared" ref="K17:M25" si="2">C$18*C92+C$20*C55+(C$23+C$27)*C66</f>
        <v>30761259.456218943</v>
      </c>
      <c r="L17" s="38">
        <f t="shared" si="2"/>
        <v>27037018.919431347</v>
      </c>
      <c r="M17" s="38">
        <f t="shared" si="2"/>
        <v>0</v>
      </c>
    </row>
    <row r="18" spans="1:24">
      <c r="A18" t="s">
        <v>376</v>
      </c>
      <c r="B18" s="5">
        <v>25388648.690000001</v>
      </c>
      <c r="C18" s="5">
        <v>44803454.160000004</v>
      </c>
      <c r="D18" s="5">
        <v>21323280.48</v>
      </c>
      <c r="E18" s="5"/>
      <c r="I18" t="s">
        <v>7</v>
      </c>
      <c r="J18" s="38">
        <f t="shared" ref="J18:J25" si="3">B$18*B93+B$20*B56+(B$23+B$27)*B67</f>
        <v>1017788.4815085313</v>
      </c>
      <c r="K18" s="38">
        <f t="shared" si="2"/>
        <v>333609.76743176801</v>
      </c>
      <c r="L18" s="38">
        <f t="shared" si="2"/>
        <v>293219.90559577971</v>
      </c>
      <c r="M18" s="38">
        <f t="shared" si="2"/>
        <v>0</v>
      </c>
    </row>
    <row r="19" spans="1:24">
      <c r="A19" t="s">
        <v>2</v>
      </c>
      <c r="B19" s="5"/>
      <c r="C19" s="5"/>
      <c r="D19" s="5"/>
      <c r="E19" s="5"/>
      <c r="I19" t="s">
        <v>9</v>
      </c>
      <c r="J19" s="38">
        <f t="shared" si="3"/>
        <v>155838063.81746134</v>
      </c>
      <c r="K19" s="38">
        <f t="shared" si="2"/>
        <v>51080456.471764982</v>
      </c>
      <c r="L19" s="38">
        <f t="shared" si="2"/>
        <v>44896187.362091005</v>
      </c>
      <c r="M19" s="38">
        <f t="shared" si="2"/>
        <v>0</v>
      </c>
      <c r="Q19" s="1" t="s">
        <v>2</v>
      </c>
      <c r="R19" s="1" t="s">
        <v>3</v>
      </c>
      <c r="S19" s="1" t="s">
        <v>4</v>
      </c>
      <c r="T19" s="1" t="s">
        <v>5</v>
      </c>
      <c r="U19" s="1" t="s">
        <v>6</v>
      </c>
      <c r="V19" s="1" t="s">
        <v>7</v>
      </c>
      <c r="W19" s="1" t="s">
        <v>8</v>
      </c>
      <c r="X19" s="1" t="s">
        <v>9</v>
      </c>
    </row>
    <row r="20" spans="1:24">
      <c r="A20" t="s">
        <v>377</v>
      </c>
      <c r="B20" s="5">
        <v>712086210.29999995</v>
      </c>
      <c r="C20" s="5">
        <v>198942113.30000001</v>
      </c>
      <c r="D20" s="5">
        <v>191640406.08000001</v>
      </c>
      <c r="E20" s="5"/>
      <c r="I20" t="s">
        <v>3</v>
      </c>
      <c r="J20" s="38">
        <f t="shared" si="3"/>
        <v>101175115.67835638</v>
      </c>
      <c r="K20" s="38">
        <f t="shared" si="2"/>
        <v>14903832.962789509</v>
      </c>
      <c r="L20" s="38">
        <f t="shared" si="2"/>
        <v>7159731.737777614</v>
      </c>
      <c r="M20" s="38">
        <f t="shared" si="2"/>
        <v>0</v>
      </c>
      <c r="O20" t="s">
        <v>2</v>
      </c>
      <c r="P20">
        <v>98967788.901456401</v>
      </c>
      <c r="Q20">
        <f>P20/5000000</f>
        <v>19.79355778029128</v>
      </c>
      <c r="R20">
        <f>P23/5000000</f>
        <v>22.931081805356666</v>
      </c>
      <c r="S20">
        <f>P26/5000000</f>
        <v>11.935960882762082</v>
      </c>
      <c r="T20">
        <f>P25/5000000</f>
        <v>11.320944360973062</v>
      </c>
      <c r="U20">
        <f>P28/5000000</f>
        <v>174.09409300529549</v>
      </c>
      <c r="V20">
        <f>P21/5000000</f>
        <v>505.89452778116396</v>
      </c>
      <c r="W20">
        <f>P27/5000000</f>
        <v>270.68398856371817</v>
      </c>
      <c r="X20">
        <f>P22/5000000</f>
        <v>2223.956973889462</v>
      </c>
    </row>
    <row r="21" spans="1:24">
      <c r="A21" t="s">
        <v>9</v>
      </c>
      <c r="B21" s="5"/>
      <c r="C21" s="5"/>
      <c r="D21" s="5"/>
      <c r="E21" s="5"/>
      <c r="I21" t="s">
        <v>188</v>
      </c>
      <c r="J21" s="38">
        <f t="shared" si="3"/>
        <v>0</v>
      </c>
      <c r="K21" s="38">
        <f t="shared" si="2"/>
        <v>0</v>
      </c>
      <c r="L21" s="38">
        <f t="shared" si="2"/>
        <v>0</v>
      </c>
      <c r="M21" s="38">
        <f t="shared" si="2"/>
        <v>0</v>
      </c>
      <c r="O21" t="s">
        <v>7</v>
      </c>
      <c r="P21">
        <v>2529472638.9058199</v>
      </c>
    </row>
    <row r="22" spans="1:24">
      <c r="A22" t="s">
        <v>3</v>
      </c>
      <c r="B22" s="5"/>
      <c r="C22" s="5"/>
      <c r="D22" s="5"/>
      <c r="E22" s="5"/>
      <c r="I22" t="s">
        <v>5</v>
      </c>
      <c r="J22" s="38">
        <f t="shared" si="3"/>
        <v>47562602.836465605</v>
      </c>
      <c r="K22" s="38">
        <f t="shared" si="2"/>
        <v>15590025.981827579</v>
      </c>
      <c r="L22" s="38">
        <f t="shared" si="2"/>
        <v>13702554.280165637</v>
      </c>
      <c r="M22" s="38">
        <f t="shared" si="2"/>
        <v>0</v>
      </c>
      <c r="O22" t="s">
        <v>9</v>
      </c>
      <c r="P22">
        <v>11119784869.447309</v>
      </c>
    </row>
    <row r="23" spans="1:24">
      <c r="A23" t="s">
        <v>378</v>
      </c>
      <c r="B23" s="5">
        <v>94141224.319999993</v>
      </c>
      <c r="C23" s="5"/>
      <c r="D23" s="5"/>
      <c r="E23" s="5"/>
      <c r="I23" t="s">
        <v>4</v>
      </c>
      <c r="J23" s="38">
        <f t="shared" si="3"/>
        <v>24883737.338217363</v>
      </c>
      <c r="K23" s="38">
        <f t="shared" si="2"/>
        <v>5088964.9728228543</v>
      </c>
      <c r="L23" s="38">
        <f t="shared" si="2"/>
        <v>2536352.3510068497</v>
      </c>
      <c r="M23" s="38">
        <f t="shared" si="2"/>
        <v>0</v>
      </c>
      <c r="O23" t="s">
        <v>3</v>
      </c>
      <c r="P23">
        <v>114655409.02678333</v>
      </c>
    </row>
    <row r="24" spans="1:24">
      <c r="A24" t="s">
        <v>5</v>
      </c>
      <c r="B24" s="5"/>
      <c r="C24" s="5"/>
      <c r="D24" s="5"/>
      <c r="E24" s="5"/>
      <c r="I24" t="s">
        <v>8</v>
      </c>
      <c r="J24" s="38">
        <f>B$18*B99+B$20*B62+(B$23+B$27)*B73</f>
        <v>261508.41233868623</v>
      </c>
      <c r="K24" s="38">
        <f t="shared" si="2"/>
        <v>85716.985608299743</v>
      </c>
      <c r="L24" s="38">
        <f t="shared" si="2"/>
        <v>75339.300229454486</v>
      </c>
      <c r="M24" s="38">
        <f t="shared" si="2"/>
        <v>0</v>
      </c>
      <c r="O24" t="s">
        <v>188</v>
      </c>
      <c r="P24">
        <v>590609702.67487991</v>
      </c>
    </row>
    <row r="25" spans="1:24">
      <c r="A25" t="s">
        <v>379</v>
      </c>
      <c r="B25" s="5"/>
      <c r="C25" s="5"/>
      <c r="D25" s="5"/>
      <c r="E25" s="5"/>
      <c r="I25" t="s">
        <v>6</v>
      </c>
      <c r="J25" s="38">
        <f t="shared" si="3"/>
        <v>407029728.0711785</v>
      </c>
      <c r="K25" s="38">
        <f t="shared" si="2"/>
        <v>133415827.93153614</v>
      </c>
      <c r="L25" s="38">
        <f t="shared" si="2"/>
        <v>117263282.70370236</v>
      </c>
      <c r="M25" s="38">
        <f t="shared" si="2"/>
        <v>0</v>
      </c>
      <c r="O25" t="s">
        <v>5</v>
      </c>
      <c r="P25">
        <v>56604721.804865308</v>
      </c>
    </row>
    <row r="26" spans="1:24" s="36" customFormat="1">
      <c r="A26" t="s">
        <v>4</v>
      </c>
      <c r="B26" s="5"/>
      <c r="C26" s="5"/>
      <c r="D26" s="5"/>
      <c r="E26" s="5"/>
      <c r="J26" s="164">
        <f>SUM(J17:J25)</f>
        <v>831616083.31000018</v>
      </c>
      <c r="K26" s="164">
        <f>SUM(K17:K25)</f>
        <v>251259694.53000006</v>
      </c>
      <c r="L26" s="164">
        <f>SUM(L17:L25)</f>
        <v>212963686.56000006</v>
      </c>
      <c r="M26" s="164">
        <f>SUM(M17:M25)</f>
        <v>0</v>
      </c>
      <c r="O26" t="s">
        <v>4</v>
      </c>
      <c r="P26">
        <v>59679804.41381041</v>
      </c>
      <c r="Q26"/>
      <c r="R26"/>
      <c r="S26"/>
      <c r="T26"/>
      <c r="U26"/>
      <c r="V26"/>
      <c r="W26"/>
      <c r="X26"/>
    </row>
    <row r="27" spans="1:24">
      <c r="A27" t="s">
        <v>380</v>
      </c>
      <c r="B27" s="5"/>
      <c r="C27" s="5">
        <v>7514127.0700000003</v>
      </c>
      <c r="D27" s="5"/>
      <c r="E27" s="5"/>
      <c r="O27" t="s">
        <v>8</v>
      </c>
      <c r="P27">
        <v>1353419942.8185909</v>
      </c>
    </row>
    <row r="28" spans="1:24">
      <c r="A28" t="s">
        <v>6</v>
      </c>
      <c r="B28" s="5"/>
      <c r="C28" s="5"/>
      <c r="D28" s="5"/>
      <c r="E28" s="5"/>
      <c r="I28" s="1" t="s">
        <v>414</v>
      </c>
      <c r="J28" s="134" t="s">
        <v>372</v>
      </c>
      <c r="K28" s="134" t="s">
        <v>373</v>
      </c>
      <c r="L28" s="134" t="s">
        <v>374</v>
      </c>
      <c r="M28" s="134" t="s">
        <v>375</v>
      </c>
      <c r="O28" t="s">
        <v>6</v>
      </c>
      <c r="P28">
        <v>870470465.02647746</v>
      </c>
    </row>
    <row r="29" spans="1:24">
      <c r="A29" s="1" t="s">
        <v>25</v>
      </c>
      <c r="B29" s="6">
        <f>SUM(B18:B28)</f>
        <v>831616083.30999994</v>
      </c>
      <c r="C29" s="6">
        <f>SUM(C18:C28)</f>
        <v>251259694.53</v>
      </c>
      <c r="D29" s="6">
        <f>SUM(D18:D28)</f>
        <v>212963686.56</v>
      </c>
      <c r="E29" s="6">
        <f>SUM(E18:E28)</f>
        <v>0</v>
      </c>
      <c r="I29" t="s">
        <v>2</v>
      </c>
      <c r="J29" s="98">
        <f>J4+J17</f>
        <v>145736626.32441181</v>
      </c>
      <c r="K29" s="98">
        <f>K4+K17</f>
        <v>116074133.9254715</v>
      </c>
      <c r="L29" s="98">
        <f>L4+L17</f>
        <v>70141616.548597321</v>
      </c>
      <c r="M29" s="98">
        <f>M4+M17</f>
        <v>7557674.827155022</v>
      </c>
    </row>
    <row r="30" spans="1:24">
      <c r="A30" s="36"/>
      <c r="B30" s="6"/>
      <c r="C30" s="6"/>
      <c r="D30" s="6"/>
      <c r="E30" s="6"/>
      <c r="F30" s="6"/>
      <c r="I30" t="s">
        <v>7</v>
      </c>
      <c r="J30" s="98">
        <f t="shared" ref="J30:M37" si="4">J5+J18</f>
        <v>1731889.0405314239</v>
      </c>
      <c r="K30" s="98">
        <f t="shared" si="4"/>
        <v>1530442.9741965695</v>
      </c>
      <c r="L30" s="98">
        <f t="shared" si="4"/>
        <v>1178527.7445765806</v>
      </c>
      <c r="M30" s="98">
        <f t="shared" si="4"/>
        <v>155224.01639172132</v>
      </c>
    </row>
    <row r="31" spans="1:24">
      <c r="A31" s="36"/>
      <c r="I31" t="s">
        <v>9</v>
      </c>
      <c r="J31" s="98">
        <f t="shared" si="4"/>
        <v>372440740.64152324</v>
      </c>
      <c r="K31" s="98">
        <f t="shared" si="4"/>
        <v>320062573.10253292</v>
      </c>
      <c r="L31" s="98">
        <f t="shared" si="4"/>
        <v>246564286.54577264</v>
      </c>
      <c r="M31" s="98">
        <f t="shared" si="4"/>
        <v>32987236.143849745</v>
      </c>
    </row>
    <row r="32" spans="1:24">
      <c r="A32" s="1" t="s">
        <v>381</v>
      </c>
      <c r="I32" t="s">
        <v>3</v>
      </c>
      <c r="J32" s="98">
        <f t="shared" si="4"/>
        <v>171459540.98154265</v>
      </c>
      <c r="K32" s="98">
        <f t="shared" si="4"/>
        <v>77866658.501566306</v>
      </c>
      <c r="L32" s="98">
        <f t="shared" si="4"/>
        <v>93616409.237412125</v>
      </c>
      <c r="M32" s="98">
        <f t="shared" si="4"/>
        <v>1913005.0469768436</v>
      </c>
    </row>
    <row r="33" spans="1:13">
      <c r="I33" t="s">
        <v>188</v>
      </c>
      <c r="J33" s="98">
        <f t="shared" si="4"/>
        <v>0</v>
      </c>
      <c r="K33" s="98">
        <f t="shared" si="4"/>
        <v>0</v>
      </c>
      <c r="L33" s="98">
        <f t="shared" si="4"/>
        <v>0</v>
      </c>
      <c r="M33" s="98">
        <f t="shared" si="4"/>
        <v>0</v>
      </c>
    </row>
    <row r="34" spans="1:13">
      <c r="B34" s="1" t="s">
        <v>372</v>
      </c>
      <c r="C34" s="1" t="s">
        <v>373</v>
      </c>
      <c r="I34" t="s">
        <v>5</v>
      </c>
      <c r="J34" s="98">
        <f t="shared" si="4"/>
        <v>78448419.278833538</v>
      </c>
      <c r="K34" s="98">
        <f t="shared" si="4"/>
        <v>57325158.973794512</v>
      </c>
      <c r="L34" s="98">
        <f t="shared" si="4"/>
        <v>43265725.966520689</v>
      </c>
      <c r="M34" s="98">
        <f t="shared" si="4"/>
        <v>5183410.8367514014</v>
      </c>
    </row>
    <row r="35" spans="1:13">
      <c r="B35" s="5">
        <v>65066618.269999996</v>
      </c>
      <c r="C35" s="5">
        <v>27814112.590000004</v>
      </c>
      <c r="I35" t="s">
        <v>4</v>
      </c>
      <c r="J35" s="98">
        <f t="shared" si="4"/>
        <v>71816404.433167741</v>
      </c>
      <c r="K35" s="98">
        <f t="shared" si="4"/>
        <v>30543347.543898448</v>
      </c>
      <c r="L35" s="98">
        <f t="shared" si="4"/>
        <v>27084681.562561311</v>
      </c>
      <c r="M35" s="98">
        <f t="shared" si="4"/>
        <v>1452871.3998758264</v>
      </c>
    </row>
    <row r="36" spans="1:13">
      <c r="I36" t="s">
        <v>8</v>
      </c>
      <c r="J36" s="98">
        <f t="shared" si="4"/>
        <v>453121.31366527529</v>
      </c>
      <c r="K36" s="98">
        <f t="shared" si="4"/>
        <v>406860.38796888688</v>
      </c>
      <c r="L36" s="98">
        <f t="shared" si="4"/>
        <v>312891.84300634055</v>
      </c>
      <c r="M36" s="98">
        <f t="shared" si="4"/>
        <v>41650.890425126017</v>
      </c>
    </row>
    <row r="37" spans="1:13">
      <c r="I37" t="s">
        <v>6</v>
      </c>
      <c r="J37" s="98">
        <f t="shared" si="4"/>
        <v>1067573654.2014813</v>
      </c>
      <c r="K37" s="98">
        <f t="shared" si="4"/>
        <v>870986177.88419318</v>
      </c>
      <c r="L37" s="98">
        <f t="shared" si="4"/>
        <v>623154720.061553</v>
      </c>
      <c r="M37" s="98">
        <f t="shared" si="4"/>
        <v>81883483.258574292</v>
      </c>
    </row>
    <row r="38" spans="1:13">
      <c r="A38" s="1" t="s">
        <v>382</v>
      </c>
      <c r="B38" t="s">
        <v>383</v>
      </c>
      <c r="J38" s="6">
        <f>SUM(J29:J37)</f>
        <v>1909660396.215157</v>
      </c>
      <c r="K38" s="6">
        <f>SUM(K29:K37)</f>
        <v>1474795353.2936223</v>
      </c>
      <c r="L38" s="6">
        <f>SUM(L29:L37)</f>
        <v>1105318859.51</v>
      </c>
      <c r="M38" s="6">
        <f>SUM(M29:M37)</f>
        <v>131174556.41999997</v>
      </c>
    </row>
    <row r="39" spans="1:13">
      <c r="A39" t="s">
        <v>264</v>
      </c>
      <c r="B39" s="5">
        <f>(164096/226736)*84808284</f>
        <v>61378432.058711454</v>
      </c>
      <c r="C39" s="7">
        <f>B39/SUM(B39:B40)</f>
        <v>0.5709624717393047</v>
      </c>
    </row>
    <row r="40" spans="1:13">
      <c r="A40" t="s">
        <v>213</v>
      </c>
      <c r="B40" s="5">
        <v>46121509</v>
      </c>
      <c r="C40" s="7">
        <f>B40/SUM(B39:B40)</f>
        <v>0.42903752826069536</v>
      </c>
    </row>
    <row r="43" spans="1:13">
      <c r="A43" s="1" t="s">
        <v>415</v>
      </c>
      <c r="B43" s="1">
        <v>2005</v>
      </c>
      <c r="C43" s="1">
        <v>2011</v>
      </c>
      <c r="D43" s="1">
        <v>2016</v>
      </c>
      <c r="E43" s="1" t="s">
        <v>375</v>
      </c>
      <c r="F43" t="s">
        <v>385</v>
      </c>
    </row>
    <row r="44" spans="1:13">
      <c r="A44" t="s">
        <v>2</v>
      </c>
      <c r="B44" s="7">
        <v>5.7650471948983255E-2</v>
      </c>
      <c r="C44" s="7">
        <v>5.7650471948983255E-2</v>
      </c>
      <c r="D44" s="7">
        <v>5.7650471948983255E-2</v>
      </c>
      <c r="E44" s="7">
        <v>5.7650471948983255E-2</v>
      </c>
      <c r="F44" s="7" t="s">
        <v>386</v>
      </c>
      <c r="G44" s="7"/>
      <c r="H44" s="7"/>
    </row>
    <row r="45" spans="1:13">
      <c r="A45" t="s">
        <v>7</v>
      </c>
      <c r="B45" s="7">
        <v>1.1840596489605879E-3</v>
      </c>
      <c r="C45" s="7">
        <v>1.1840596489605879E-3</v>
      </c>
      <c r="D45" s="7">
        <v>1.1840596489605879E-3</v>
      </c>
      <c r="E45" s="7">
        <v>1.1840596489605879E-3</v>
      </c>
      <c r="F45" s="7" t="s">
        <v>387</v>
      </c>
      <c r="G45" s="7"/>
      <c r="H45" s="7"/>
    </row>
    <row r="46" spans="1:13">
      <c r="A46" t="s">
        <v>9</v>
      </c>
      <c r="B46" s="7">
        <v>0.25162894348834736</v>
      </c>
      <c r="C46" s="7">
        <v>0.25162894348834736</v>
      </c>
      <c r="D46" s="7">
        <v>0.25162894348834736</v>
      </c>
      <c r="E46" s="7">
        <v>0.25162894348834736</v>
      </c>
      <c r="F46" s="7" t="s">
        <v>388</v>
      </c>
      <c r="G46" s="7"/>
      <c r="H46" s="7"/>
    </row>
    <row r="47" spans="1:13">
      <c r="A47" t="s">
        <v>3</v>
      </c>
      <c r="B47" s="7">
        <v>1.4111353665633554E-2</v>
      </c>
      <c r="C47" s="7">
        <v>1.4111353665633554E-2</v>
      </c>
      <c r="D47" s="7">
        <v>1.4111353665633554E-2</v>
      </c>
      <c r="E47" s="7">
        <v>1.4111353665633554E-2</v>
      </c>
      <c r="F47" s="7"/>
      <c r="G47" s="7"/>
      <c r="H47" s="7"/>
    </row>
    <row r="48" spans="1:13">
      <c r="A48" t="s">
        <v>188</v>
      </c>
      <c r="B48" s="7">
        <v>0</v>
      </c>
      <c r="C48" s="7">
        <v>0</v>
      </c>
      <c r="D48" s="7">
        <v>0</v>
      </c>
      <c r="E48" s="7">
        <v>0</v>
      </c>
      <c r="F48" s="7"/>
      <c r="G48" s="7"/>
      <c r="H48" s="7"/>
    </row>
    <row r="49" spans="1:8">
      <c r="A49" t="s">
        <v>5</v>
      </c>
      <c r="B49" s="7">
        <v>3.9539420242122439E-2</v>
      </c>
      <c r="C49" s="7">
        <v>3.9539420242122439E-2</v>
      </c>
      <c r="D49" s="7">
        <v>3.9539420242122439E-2</v>
      </c>
      <c r="E49" s="7">
        <v>3.9539420242122439E-2</v>
      </c>
      <c r="F49" s="7"/>
      <c r="G49" s="7"/>
      <c r="H49" s="7"/>
    </row>
    <row r="50" spans="1:8">
      <c r="A50" t="s">
        <v>4</v>
      </c>
      <c r="B50" s="7">
        <v>1.0955100218547129E-2</v>
      </c>
      <c r="C50" s="7">
        <v>1.0955100218547129E-2</v>
      </c>
      <c r="D50" s="7">
        <v>1.0955100218547129E-2</v>
      </c>
      <c r="E50" s="7">
        <v>1.0955100218547129E-2</v>
      </c>
      <c r="F50" s="7"/>
      <c r="G50" s="7"/>
      <c r="H50" s="7"/>
    </row>
    <row r="51" spans="1:8">
      <c r="A51" t="s">
        <v>8</v>
      </c>
      <c r="B51" s="7">
        <v>3.1771590403391272E-4</v>
      </c>
      <c r="C51" s="7">
        <v>3.1771590403391272E-4</v>
      </c>
      <c r="D51" s="7">
        <v>3.1771590403391272E-4</v>
      </c>
      <c r="E51" s="7">
        <v>3.1771590403391272E-4</v>
      </c>
      <c r="F51" s="7"/>
      <c r="G51" s="7"/>
      <c r="H51" s="7"/>
    </row>
    <row r="52" spans="1:8">
      <c r="A52" t="s">
        <v>6</v>
      </c>
      <c r="B52" s="7">
        <v>0.62461293488337177</v>
      </c>
      <c r="C52" s="7">
        <v>0.62461293488337177</v>
      </c>
      <c r="D52" s="7">
        <v>0.62461293488337177</v>
      </c>
      <c r="E52" s="7">
        <v>0.62461293488337177</v>
      </c>
      <c r="F52" s="7"/>
      <c r="G52" s="7"/>
      <c r="H52" s="7"/>
    </row>
    <row r="53" spans="1:8">
      <c r="B53" s="7"/>
      <c r="C53" s="7"/>
      <c r="D53" s="7"/>
      <c r="E53" s="7"/>
      <c r="F53" s="7"/>
      <c r="G53" s="7"/>
      <c r="H53" s="7"/>
    </row>
    <row r="54" spans="1:8">
      <c r="A54" s="1" t="s">
        <v>384</v>
      </c>
      <c r="B54" s="1">
        <v>2005</v>
      </c>
      <c r="C54" s="1">
        <v>2011</v>
      </c>
      <c r="D54" s="1">
        <v>2016</v>
      </c>
      <c r="E54" s="1" t="s">
        <v>375</v>
      </c>
      <c r="F54" s="7"/>
      <c r="G54" s="7"/>
      <c r="H54" s="7"/>
    </row>
    <row r="55" spans="1:8">
      <c r="A55" t="s">
        <v>2</v>
      </c>
      <c r="B55" s="7">
        <v>0.12743347543623304</v>
      </c>
      <c r="C55" s="7">
        <v>0.12743347543623301</v>
      </c>
      <c r="D55" s="7">
        <v>0.12743347543623301</v>
      </c>
      <c r="E55" s="7">
        <v>0.12743347543623301</v>
      </c>
      <c r="F55" s="7"/>
      <c r="G55" s="7"/>
      <c r="H55" s="7"/>
    </row>
    <row r="56" spans="1:8">
      <c r="A56" t="s">
        <v>7</v>
      </c>
      <c r="B56" s="7">
        <v>1.3820322332318822E-3</v>
      </c>
      <c r="C56" s="7">
        <v>1.3820322332318822E-3</v>
      </c>
      <c r="D56" s="7">
        <v>1.3820322332318822E-3</v>
      </c>
      <c r="E56" s="7">
        <v>1.3820322332318822E-3</v>
      </c>
      <c r="F56" s="7"/>
      <c r="G56" s="7"/>
      <c r="H56" s="7"/>
    </row>
    <row r="57" spans="1:8">
      <c r="A57" t="s">
        <v>9</v>
      </c>
      <c r="B57" s="7">
        <v>0.21160902414709967</v>
      </c>
      <c r="C57" s="7">
        <v>0.21160902414709967</v>
      </c>
      <c r="D57" s="7">
        <v>0.21160902414709967</v>
      </c>
      <c r="E57" s="7">
        <v>0.21160902414709967</v>
      </c>
      <c r="F57" s="7"/>
      <c r="G57" s="7"/>
      <c r="H57" s="7"/>
    </row>
    <row r="58" spans="1:8">
      <c r="A58" t="s">
        <v>3</v>
      </c>
      <c r="B58" s="7">
        <v>3.0772840109234968E-2</v>
      </c>
      <c r="C58" s="7">
        <v>3.0772840109234968E-2</v>
      </c>
      <c r="D58" s="7">
        <v>3.0772840109234968E-2</v>
      </c>
      <c r="E58" s="7">
        <v>3.0772840109234968E-2</v>
      </c>
      <c r="F58" s="7"/>
      <c r="G58" s="7"/>
      <c r="H58" s="7"/>
    </row>
    <row r="59" spans="1:8">
      <c r="A59" t="s">
        <v>188</v>
      </c>
      <c r="B59" s="7">
        <v>0</v>
      </c>
      <c r="C59" s="7">
        <v>0</v>
      </c>
      <c r="D59" s="7">
        <v>0</v>
      </c>
      <c r="E59" s="7">
        <v>0</v>
      </c>
      <c r="F59" s="7"/>
      <c r="G59" s="7"/>
      <c r="H59" s="7"/>
    </row>
    <row r="60" spans="1:8">
      <c r="A60" t="s">
        <v>5</v>
      </c>
      <c r="B60" s="7">
        <v>6.4584195449897741E-2</v>
      </c>
      <c r="C60" s="7">
        <v>6.4584195449897741E-2</v>
      </c>
      <c r="D60" s="7">
        <v>6.4584195449897741E-2</v>
      </c>
      <c r="E60" s="7">
        <v>6.4584195449897741E-2</v>
      </c>
      <c r="F60" s="7"/>
      <c r="G60" s="7"/>
      <c r="H60" s="7"/>
    </row>
    <row r="61" spans="1:8">
      <c r="A61" t="s">
        <v>4</v>
      </c>
      <c r="B61" s="7">
        <v>1.1166764856561838E-2</v>
      </c>
      <c r="C61" s="7">
        <v>1.1166764856561838E-2</v>
      </c>
      <c r="D61" s="7">
        <v>1.1166764856561838E-2</v>
      </c>
      <c r="E61" s="7">
        <v>1.1166764856561838E-2</v>
      </c>
      <c r="F61" s="7"/>
      <c r="G61" s="7"/>
      <c r="H61" s="7"/>
    </row>
    <row r="62" spans="1:8">
      <c r="A62" t="s">
        <v>8</v>
      </c>
      <c r="B62" s="7">
        <v>3.5509642885492711E-4</v>
      </c>
      <c r="C62" s="7">
        <v>3.5509642885492711E-4</v>
      </c>
      <c r="D62" s="7">
        <v>3.5509642885492711E-4</v>
      </c>
      <c r="E62" s="7">
        <v>3.5509642885492711E-4</v>
      </c>
      <c r="F62" s="7"/>
      <c r="G62" s="7"/>
      <c r="H62" s="7"/>
    </row>
    <row r="63" spans="1:8">
      <c r="A63" t="s">
        <v>6</v>
      </c>
      <c r="B63" s="7">
        <v>0.55269657133888617</v>
      </c>
      <c r="C63" s="7">
        <v>0.55269657133888617</v>
      </c>
      <c r="D63" s="7">
        <v>0.55269657133888617</v>
      </c>
      <c r="E63" s="7">
        <v>0.55269657133888617</v>
      </c>
      <c r="F63" s="7"/>
      <c r="G63" s="7"/>
      <c r="H63" s="7"/>
    </row>
    <row r="65" spans="1:5">
      <c r="A65" s="1" t="s">
        <v>389</v>
      </c>
      <c r="B65" s="1">
        <v>2005</v>
      </c>
      <c r="C65" s="1">
        <v>2011</v>
      </c>
      <c r="D65" s="1">
        <v>2016</v>
      </c>
      <c r="E65" s="1" t="s">
        <v>375</v>
      </c>
    </row>
    <row r="66" spans="1:5">
      <c r="A66" t="s">
        <v>2</v>
      </c>
      <c r="B66" s="7">
        <v>0</v>
      </c>
      <c r="C66" s="7">
        <v>0</v>
      </c>
      <c r="D66" s="7">
        <v>0</v>
      </c>
      <c r="E66" s="7">
        <v>0</v>
      </c>
    </row>
    <row r="67" spans="1:5">
      <c r="A67" t="s">
        <v>7</v>
      </c>
      <c r="B67" s="7">
        <v>0</v>
      </c>
      <c r="C67" s="7">
        <v>0</v>
      </c>
      <c r="D67" s="7">
        <v>0</v>
      </c>
      <c r="E67" s="7">
        <v>0</v>
      </c>
    </row>
    <row r="68" spans="1:5">
      <c r="A68" t="s">
        <v>9</v>
      </c>
      <c r="B68" s="7">
        <v>0</v>
      </c>
      <c r="C68" s="7">
        <v>0</v>
      </c>
      <c r="D68" s="7">
        <v>0</v>
      </c>
      <c r="E68" s="7">
        <v>0</v>
      </c>
    </row>
    <row r="69" spans="1:5">
      <c r="A69" t="s">
        <v>3</v>
      </c>
      <c r="B69" s="7">
        <v>0.82494932052212488</v>
      </c>
      <c r="C69" s="7">
        <v>0.75748103344453466</v>
      </c>
      <c r="D69" s="7">
        <v>0.79052550953388501</v>
      </c>
      <c r="E69" s="7">
        <v>0.79052550953388501</v>
      </c>
    </row>
    <row r="70" spans="1:5">
      <c r="A70" t="s">
        <v>188</v>
      </c>
      <c r="B70" s="7">
        <v>0</v>
      </c>
      <c r="C70" s="7">
        <v>0</v>
      </c>
      <c r="D70" s="7">
        <v>0</v>
      </c>
      <c r="E70" s="7">
        <v>0</v>
      </c>
    </row>
    <row r="71" spans="1:5">
      <c r="A71" t="s">
        <v>5</v>
      </c>
      <c r="B71" s="7">
        <v>0</v>
      </c>
      <c r="C71" s="7">
        <v>0</v>
      </c>
      <c r="D71" s="7">
        <v>0</v>
      </c>
      <c r="E71" s="7">
        <v>0</v>
      </c>
    </row>
    <row r="72" spans="1:5">
      <c r="A72" t="s">
        <v>4</v>
      </c>
      <c r="B72" s="7">
        <v>0.17505067947787512</v>
      </c>
      <c r="C72" s="7">
        <v>0.2425189665554654</v>
      </c>
      <c r="D72" s="7">
        <v>0.20947449046611499</v>
      </c>
      <c r="E72" s="7">
        <v>0.20947449046611499</v>
      </c>
    </row>
    <row r="73" spans="1:5">
      <c r="A73" t="s">
        <v>8</v>
      </c>
      <c r="B73" s="7">
        <v>0</v>
      </c>
      <c r="C73" s="7">
        <v>0</v>
      </c>
      <c r="D73" s="7">
        <v>0</v>
      </c>
      <c r="E73" s="7">
        <v>0</v>
      </c>
    </row>
    <row r="74" spans="1:5">
      <c r="A74" t="s">
        <v>6</v>
      </c>
      <c r="B74" s="7">
        <v>0</v>
      </c>
      <c r="C74" s="7">
        <v>0</v>
      </c>
      <c r="D74" s="7">
        <v>0</v>
      </c>
      <c r="E74" s="7">
        <v>0</v>
      </c>
    </row>
    <row r="76" spans="1:5">
      <c r="A76" s="1" t="s">
        <v>390</v>
      </c>
      <c r="B76" s="1">
        <v>2005</v>
      </c>
      <c r="C76" s="1">
        <v>2011</v>
      </c>
      <c r="D76" s="1">
        <v>2016</v>
      </c>
      <c r="E76" s="1" t="s">
        <v>375</v>
      </c>
    </row>
    <row r="77" spans="1:5">
      <c r="A77" t="s">
        <v>391</v>
      </c>
      <c r="B77" s="7">
        <f>'HQ Expenses'!C12/SUM('HQ Expenses'!C11:C12)</f>
        <v>4.0627782241425998E-2</v>
      </c>
      <c r="C77" s="7">
        <f>'HQ Expenses'!C22/SUM('HQ Expenses'!C21:C22)</f>
        <v>5.2559319786340902E-2</v>
      </c>
      <c r="D77" s="7">
        <f>'HQ Expenses'!C32/SUM('HQ Expenses'!C31:C32)</f>
        <v>3.7420899561647951E-2</v>
      </c>
      <c r="E77" s="7">
        <f>'HQ Expenses'!D32/SUM('HQ Expenses'!D31:D32)</f>
        <v>3.7420899561647958E-2</v>
      </c>
    </row>
    <row r="78" spans="1:5">
      <c r="A78" t="s">
        <v>392</v>
      </c>
      <c r="B78" s="7">
        <f>1-B77</f>
        <v>0.95937221775857395</v>
      </c>
      <c r="C78" s="7">
        <f>1-C77</f>
        <v>0.94744068021365913</v>
      </c>
      <c r="D78" s="7">
        <f>1-D77</f>
        <v>0.96257910043835204</v>
      </c>
      <c r="E78" s="7">
        <f>1-E77</f>
        <v>0.96257910043835204</v>
      </c>
    </row>
    <row r="80" spans="1:5">
      <c r="A80" s="1" t="s">
        <v>393</v>
      </c>
      <c r="B80" s="1">
        <v>2005</v>
      </c>
      <c r="C80" s="1">
        <v>2011</v>
      </c>
      <c r="D80" s="1">
        <v>2016</v>
      </c>
      <c r="E80" s="1" t="s">
        <v>375</v>
      </c>
    </row>
    <row r="81" spans="1:5">
      <c r="A81" t="s">
        <v>2</v>
      </c>
      <c r="B81" s="7">
        <f t="shared" ref="B81:E89" si="5">B$77*B66 + B$78*B44</f>
        <v>5.5308261128524522E-2</v>
      </c>
      <c r="C81" s="7">
        <f t="shared" si="5"/>
        <v>5.4620402357983169E-2</v>
      </c>
      <c r="D81" s="7">
        <f t="shared" si="5"/>
        <v>5.5493139428498747E-2</v>
      </c>
      <c r="E81" s="7">
        <f t="shared" si="5"/>
        <v>5.5493139428498747E-2</v>
      </c>
    </row>
    <row r="82" spans="1:5">
      <c r="A82" t="s">
        <v>7</v>
      </c>
      <c r="B82" s="7">
        <f t="shared" si="5"/>
        <v>1.1359539313817576E-3</v>
      </c>
      <c r="C82" s="7">
        <f t="shared" si="5"/>
        <v>1.1218262792247657E-3</v>
      </c>
      <c r="D82" s="7">
        <f t="shared" si="5"/>
        <v>1.1397510717618335E-3</v>
      </c>
      <c r="E82" s="7">
        <f t="shared" si="5"/>
        <v>1.1397510717618335E-3</v>
      </c>
    </row>
    <row r="83" spans="1:5">
      <c r="A83" t="s">
        <v>9</v>
      </c>
      <c r="B83" s="7">
        <f t="shared" si="5"/>
        <v>0.24140581756666268</v>
      </c>
      <c r="C83" s="7">
        <f t="shared" si="5"/>
        <v>0.23840349738004421</v>
      </c>
      <c r="D83" s="7">
        <f t="shared" si="5"/>
        <v>0.24221276206726633</v>
      </c>
      <c r="E83" s="7">
        <f t="shared" si="5"/>
        <v>0.24221276206726633</v>
      </c>
    </row>
    <row r="84" spans="1:5">
      <c r="A84" t="s">
        <v>3</v>
      </c>
      <c r="B84" s="7">
        <f t="shared" si="5"/>
        <v>4.7053902016159672E-2</v>
      </c>
      <c r="C84" s="7">
        <f t="shared" si="5"/>
        <v>5.3182358384602654E-2</v>
      </c>
      <c r="D84" s="7">
        <f t="shared" si="5"/>
        <v>4.3165469810621068E-2</v>
      </c>
      <c r="E84" s="7">
        <f t="shared" si="5"/>
        <v>4.3165469810621075E-2</v>
      </c>
    </row>
    <row r="85" spans="1:5">
      <c r="A85" t="s">
        <v>188</v>
      </c>
      <c r="B85" s="7">
        <f t="shared" si="5"/>
        <v>0</v>
      </c>
      <c r="C85" s="7">
        <f t="shared" si="5"/>
        <v>0</v>
      </c>
      <c r="D85" s="7">
        <f t="shared" si="5"/>
        <v>0</v>
      </c>
      <c r="E85" s="7">
        <f t="shared" si="5"/>
        <v>0</v>
      </c>
    </row>
    <row r="86" spans="1:5">
      <c r="A86" t="s">
        <v>5</v>
      </c>
      <c r="B86" s="7">
        <f t="shared" si="5"/>
        <v>3.7933021286573256E-2</v>
      </c>
      <c r="C86" s="7">
        <f t="shared" si="5"/>
        <v>3.7461255209450206E-2</v>
      </c>
      <c r="D86" s="7">
        <f t="shared" si="5"/>
        <v>3.8059819568516187E-2</v>
      </c>
      <c r="E86" s="7">
        <f t="shared" si="5"/>
        <v>3.8059819568516187E-2</v>
      </c>
    </row>
    <row r="87" spans="1:5">
      <c r="A87" t="s">
        <v>4</v>
      </c>
      <c r="B87" s="7">
        <f t="shared" si="5"/>
        <v>1.7621939679475767E-2</v>
      </c>
      <c r="C87" s="7">
        <f t="shared" si="5"/>
        <v>2.3125939520310716E-2</v>
      </c>
      <c r="D87" s="7">
        <f t="shared" si="5"/>
        <v>1.8383874382040959E-2</v>
      </c>
      <c r="E87" s="7">
        <f t="shared" si="5"/>
        <v>1.8383874382040963E-2</v>
      </c>
    </row>
    <row r="88" spans="1:5">
      <c r="A88" t="s">
        <v>8</v>
      </c>
      <c r="B88" s="7">
        <f t="shared" si="5"/>
        <v>3.0480781147018508E-4</v>
      </c>
      <c r="C88" s="7">
        <f t="shared" si="5"/>
        <v>3.0101697223258793E-4</v>
      </c>
      <c r="D88" s="7">
        <f t="shared" si="5"/>
        <v>3.0582668909992148E-4</v>
      </c>
      <c r="E88" s="7">
        <f t="shared" si="5"/>
        <v>3.0582668909992148E-4</v>
      </c>
    </row>
    <row r="89" spans="1:5">
      <c r="A89" t="s">
        <v>6</v>
      </c>
      <c r="B89" s="7">
        <f t="shared" si="5"/>
        <v>0.59923629657975208</v>
      </c>
      <c r="C89" s="7">
        <f t="shared" si="5"/>
        <v>0.59178370389615176</v>
      </c>
      <c r="D89" s="7">
        <f t="shared" si="5"/>
        <v>0.60123935698219499</v>
      </c>
      <c r="E89" s="7">
        <f t="shared" si="5"/>
        <v>0.60123935698219499</v>
      </c>
    </row>
    <row r="90" spans="1:5">
      <c r="B90" s="7"/>
      <c r="C90" s="7"/>
      <c r="D90" s="7"/>
      <c r="E90" s="7"/>
    </row>
    <row r="91" spans="1:5">
      <c r="A91" s="1" t="s">
        <v>416</v>
      </c>
      <c r="B91" s="1">
        <v>2005</v>
      </c>
      <c r="C91" s="1">
        <v>2011</v>
      </c>
      <c r="D91" s="1">
        <v>2016</v>
      </c>
      <c r="E91" s="1" t="s">
        <v>375</v>
      </c>
    </row>
    <row r="92" spans="1:5">
      <c r="A92" t="s">
        <v>2</v>
      </c>
      <c r="B92" s="7">
        <f>B$77*B66+B$78*B55</f>
        <v>0.12225613594594165</v>
      </c>
      <c r="C92" s="7">
        <f>C$77*C66+C$78*C55</f>
        <v>0.12073565864929522</v>
      </c>
      <c r="D92" s="7">
        <f>D$77*D66+D$78*D55</f>
        <v>0.12266480015114201</v>
      </c>
      <c r="E92" s="7">
        <f>E$77*E66+E$78*E55</f>
        <v>0.12266480015114201</v>
      </c>
    </row>
    <row r="93" spans="1:5">
      <c r="A93" t="s">
        <v>7</v>
      </c>
      <c r="B93" s="7">
        <f t="shared" ref="B93:E100" si="6">B$77*B67+B$78*B56</f>
        <v>1.3258833286095056E-3</v>
      </c>
      <c r="C93" s="7">
        <f t="shared" si="6"/>
        <v>1.3093935591304169E-3</v>
      </c>
      <c r="D93" s="7">
        <f t="shared" si="6"/>
        <v>1.3303153438411518E-3</v>
      </c>
      <c r="E93" s="7">
        <f t="shared" si="6"/>
        <v>1.3303153438411518E-3</v>
      </c>
    </row>
    <row r="94" spans="1:5">
      <c r="A94" t="s">
        <v>9</v>
      </c>
      <c r="B94" s="7">
        <f t="shared" si="6"/>
        <v>0.20301181879373065</v>
      </c>
      <c r="C94" s="7">
        <f t="shared" si="6"/>
        <v>0.20048699777727674</v>
      </c>
      <c r="D94" s="7">
        <f t="shared" si="6"/>
        <v>0.20369042410815272</v>
      </c>
      <c r="E94" s="7">
        <f t="shared" si="6"/>
        <v>0.20369042410815272</v>
      </c>
    </row>
    <row r="95" spans="1:5">
      <c r="A95" t="s">
        <v>3</v>
      </c>
      <c r="B95" s="7">
        <f t="shared" si="6"/>
        <v>6.3038469216711981E-2</v>
      </c>
      <c r="C95" s="7">
        <f t="shared" si="6"/>
        <v>6.8968128434099038E-2</v>
      </c>
      <c r="D95" s="7">
        <f t="shared" si="6"/>
        <v>5.9203468443468715E-2</v>
      </c>
      <c r="E95" s="7">
        <f t="shared" si="6"/>
        <v>5.9203468443468715E-2</v>
      </c>
    </row>
    <row r="96" spans="1:5">
      <c r="A96" t="s">
        <v>188</v>
      </c>
      <c r="B96" s="7">
        <f t="shared" si="6"/>
        <v>0</v>
      </c>
      <c r="C96" s="7">
        <f t="shared" si="6"/>
        <v>0</v>
      </c>
      <c r="D96" s="7">
        <f t="shared" si="6"/>
        <v>0</v>
      </c>
      <c r="E96" s="7">
        <f t="shared" si="6"/>
        <v>0</v>
      </c>
    </row>
    <row r="97" spans="1:5">
      <c r="A97" t="s">
        <v>5</v>
      </c>
      <c r="B97" s="7">
        <f t="shared" si="6"/>
        <v>6.19602828209216E-2</v>
      </c>
      <c r="C97" s="7">
        <f t="shared" si="6"/>
        <v>6.1189694068103026E-2</v>
      </c>
      <c r="D97" s="7">
        <f t="shared" si="6"/>
        <v>6.2167396758697278E-2</v>
      </c>
      <c r="E97" s="7">
        <f t="shared" si="6"/>
        <v>6.2167396758697278E-2</v>
      </c>
    </row>
    <row r="98" spans="1:5">
      <c r="A98" t="s">
        <v>4</v>
      </c>
      <c r="B98" s="7">
        <f t="shared" si="6"/>
        <v>1.7825004852669003E-2</v>
      </c>
      <c r="C98" s="7">
        <f t="shared" si="6"/>
        <v>2.3326479208928552E-2</v>
      </c>
      <c r="D98" s="7">
        <f t="shared" si="6"/>
        <v>1.8587618338895766E-2</v>
      </c>
      <c r="E98" s="7">
        <f t="shared" si="6"/>
        <v>1.8587618338895769E-2</v>
      </c>
    </row>
    <row r="99" spans="1:5">
      <c r="A99" t="s">
        <v>8</v>
      </c>
      <c r="B99" s="7">
        <f t="shared" si="6"/>
        <v>3.4066964846870109E-4</v>
      </c>
      <c r="C99" s="7">
        <f t="shared" si="6"/>
        <v>3.3643280209575338E-4</v>
      </c>
      <c r="D99" s="7">
        <f t="shared" si="6"/>
        <v>3.4180840105604702E-4</v>
      </c>
      <c r="E99" s="7">
        <f t="shared" si="6"/>
        <v>3.4180840105604702E-4</v>
      </c>
    </row>
    <row r="100" spans="1:5">
      <c r="A100" t="s">
        <v>6</v>
      </c>
      <c r="B100" s="7">
        <f t="shared" si="6"/>
        <v>0.53024173539294706</v>
      </c>
      <c r="C100" s="7">
        <f t="shared" si="6"/>
        <v>0.52364721550107152</v>
      </c>
      <c r="D100" s="7">
        <f t="shared" si="6"/>
        <v>0.53201416845474647</v>
      </c>
      <c r="E100" s="7">
        <f t="shared" si="6"/>
        <v>0.53201416845474647</v>
      </c>
    </row>
    <row r="101" spans="1:5">
      <c r="B101" s="7"/>
      <c r="C101" s="7"/>
      <c r="D101" s="7"/>
      <c r="E101" s="7"/>
    </row>
    <row r="102" spans="1:5">
      <c r="A102" s="1" t="s">
        <v>394</v>
      </c>
      <c r="B102" s="1">
        <v>2005</v>
      </c>
      <c r="C102" s="1">
        <v>2011</v>
      </c>
      <c r="D102" s="1">
        <v>2016</v>
      </c>
      <c r="E102" s="1" t="s">
        <v>375</v>
      </c>
    </row>
    <row r="103" spans="1:5">
      <c r="A103" t="s">
        <v>2</v>
      </c>
      <c r="B103" s="7">
        <f>B44/(B44+B49)</f>
        <v>0.59317353532633232</v>
      </c>
      <c r="C103" s="7">
        <f>C44/(C44+C49)</f>
        <v>0.59317353532633232</v>
      </c>
      <c r="D103" s="7">
        <f>D44/(D44+D49)</f>
        <v>0.59317353532633232</v>
      </c>
      <c r="E103" s="7">
        <f>E44/(E44+E49)</f>
        <v>0.59317353532633232</v>
      </c>
    </row>
    <row r="104" spans="1:5">
      <c r="A104" t="s">
        <v>5</v>
      </c>
      <c r="B104" s="7">
        <f>1-B103</f>
        <v>0.40682646467366768</v>
      </c>
      <c r="C104" s="7">
        <f>1-C103</f>
        <v>0.40682646467366768</v>
      </c>
      <c r="D104" s="7">
        <f>1-D103</f>
        <v>0.40682646467366768</v>
      </c>
      <c r="E104" s="7">
        <f>1-E103</f>
        <v>0.40682646467366768</v>
      </c>
    </row>
    <row r="106" spans="1:5">
      <c r="A106" s="1" t="s">
        <v>395</v>
      </c>
      <c r="B106" s="1">
        <v>2005</v>
      </c>
      <c r="C106" s="1">
        <v>2011</v>
      </c>
      <c r="D106" s="1">
        <v>2016</v>
      </c>
      <c r="E106" s="1" t="s">
        <v>375</v>
      </c>
    </row>
    <row r="107" spans="1:5">
      <c r="A107" t="s">
        <v>3</v>
      </c>
      <c r="B107" s="7">
        <f>B69/(B69+B72)</f>
        <v>0.82494932052212488</v>
      </c>
      <c r="C107" s="7">
        <f>C69/(C69+C72)</f>
        <v>0.75748103344453466</v>
      </c>
      <c r="D107" s="7">
        <f>D69/(D69+D72)</f>
        <v>0.79052550953388501</v>
      </c>
      <c r="E107" s="7">
        <f>E69/(E69+E72)</f>
        <v>0.79052550953388501</v>
      </c>
    </row>
    <row r="108" spans="1:5">
      <c r="A108" t="s">
        <v>4</v>
      </c>
      <c r="B108" s="7">
        <f>1-B107</f>
        <v>0.17505067947787512</v>
      </c>
      <c r="C108" s="7">
        <f>1-C107</f>
        <v>0.24251896655546534</v>
      </c>
      <c r="D108" s="7">
        <f>1-D107</f>
        <v>0.20947449046611499</v>
      </c>
      <c r="E108" s="7">
        <f>1-E107</f>
        <v>0.20947449046611499</v>
      </c>
    </row>
    <row r="112" spans="1:5" ht="18.75">
      <c r="A112" s="2" t="s">
        <v>272</v>
      </c>
    </row>
    <row r="114" spans="1:16" s="1" customFormat="1">
      <c r="A114" s="1" t="s">
        <v>417</v>
      </c>
      <c r="B114" s="1" t="s">
        <v>372</v>
      </c>
      <c r="C114" s="1" t="s">
        <v>373</v>
      </c>
      <c r="D114" s="1" t="s">
        <v>374</v>
      </c>
      <c r="E114" s="1" t="s">
        <v>375</v>
      </c>
      <c r="I114" s="1" t="s">
        <v>418</v>
      </c>
      <c r="J114" s="1" t="s">
        <v>372</v>
      </c>
      <c r="K114" s="1" t="s">
        <v>373</v>
      </c>
      <c r="L114" s="1" t="s">
        <v>374</v>
      </c>
      <c r="M114" s="1" t="s">
        <v>375</v>
      </c>
    </row>
    <row r="115" spans="1:16">
      <c r="A115" t="s">
        <v>376</v>
      </c>
      <c r="B115" s="5">
        <v>2811319416.23</v>
      </c>
      <c r="C115" s="5">
        <v>4256332082.54</v>
      </c>
      <c r="D115" s="5">
        <v>3819283209.2099996</v>
      </c>
      <c r="E115" s="5">
        <v>32168937.600000001</v>
      </c>
      <c r="I115" t="s">
        <v>2</v>
      </c>
      <c r="J115" s="38">
        <f>B137*B115+B137*$C133*B130</f>
        <v>218706.21601264185</v>
      </c>
      <c r="K115" s="38">
        <f>C137*C115+C137*$C133*C130</f>
        <v>327729.96718782035</v>
      </c>
      <c r="L115" s="38">
        <f>D137*D115+D137*$C133*D130</f>
        <v>294418.2928527621</v>
      </c>
      <c r="M115" s="38">
        <f>D137*E115+D137*$C133*E130</f>
        <v>5256.6613970066328</v>
      </c>
      <c r="N115" s="5"/>
    </row>
    <row r="116" spans="1:16">
      <c r="A116" t="s">
        <v>7</v>
      </c>
      <c r="B116" s="5">
        <v>39299281.889999993</v>
      </c>
      <c r="C116" s="5">
        <v>27506038.909999996</v>
      </c>
      <c r="D116" s="5">
        <v>63901451.600000001</v>
      </c>
      <c r="E116" s="5">
        <v>65372595.540000007</v>
      </c>
      <c r="I116" t="s">
        <v>7</v>
      </c>
      <c r="J116" s="38">
        <f>B116+B115*B138+B117*B148+B119*B152+B130*$C133*B138</f>
        <v>1550635430.0589242</v>
      </c>
      <c r="K116" s="38">
        <f>C116+C115*C138+C117*C148+C119*C152+C130*$C133*C138</f>
        <v>2292234290.7148685</v>
      </c>
      <c r="L116" s="38">
        <f>D116+D115*D138+D117*D148+D119*D152+D130*$C133*D138</f>
        <v>2139326226.6716428</v>
      </c>
      <c r="M116" s="38">
        <f>E116+E115*D138+E117*D148+E119*D152+E130*$C133*D138</f>
        <v>106253695.69684602</v>
      </c>
      <c r="N116" s="5"/>
    </row>
    <row r="117" spans="1:16">
      <c r="A117" t="s">
        <v>396</v>
      </c>
      <c r="B117" s="5"/>
      <c r="C117" s="5"/>
      <c r="D117" s="5">
        <v>46936364.060000002</v>
      </c>
      <c r="E117" s="5"/>
      <c r="I117" t="s">
        <v>9</v>
      </c>
      <c r="J117" s="38">
        <f>B118+B115*B139+B119*B153+B121*B157+$C133*B130*B139</f>
        <v>657556958.42299283</v>
      </c>
      <c r="K117" s="38">
        <f>C118+C115*C139+C119*C153+C121*C156+$C133*C130*C139</f>
        <v>942052788.52610087</v>
      </c>
      <c r="L117" s="38">
        <f>D118+D115*D139+D119*D153+D121*D157+$C133*D130*D139</f>
        <v>823456176.60565579</v>
      </c>
      <c r="M117" s="38">
        <f>E118+E115*D139+E119*D153+E121*D157+$C133*E130*D139</f>
        <v>15689019.334765699</v>
      </c>
      <c r="N117" s="5"/>
    </row>
    <row r="118" spans="1:16">
      <c r="A118" t="s">
        <v>9</v>
      </c>
      <c r="B118" s="5">
        <v>77548544.780000001</v>
      </c>
      <c r="C118" s="5">
        <v>72702384</v>
      </c>
      <c r="D118" s="5">
        <v>39186964.690000005</v>
      </c>
      <c r="E118" s="5"/>
      <c r="I118" t="s">
        <v>3</v>
      </c>
      <c r="J118" s="38">
        <f t="shared" ref="J118:L121" si="7">B$115*B140+B$130*$C$133*B140</f>
        <v>406304.79120701988</v>
      </c>
      <c r="K118" s="38">
        <f t="shared" si="7"/>
        <v>608845.31916017376</v>
      </c>
      <c r="L118" s="38">
        <f t="shared" si="7"/>
        <v>546960.0507292127</v>
      </c>
      <c r="M118" s="38">
        <f>E$115*D140+E$130*$C$133*D140</f>
        <v>9765.6424691346037</v>
      </c>
      <c r="N118" s="5"/>
    </row>
    <row r="119" spans="1:16">
      <c r="A119" t="s">
        <v>397</v>
      </c>
      <c r="B119" s="5"/>
      <c r="C119" s="5"/>
      <c r="D119" s="5">
        <v>12520963.720000001</v>
      </c>
      <c r="E119" s="5">
        <v>6304103.1600000001</v>
      </c>
      <c r="I119" t="s">
        <v>188</v>
      </c>
      <c r="J119" s="38">
        <f t="shared" si="7"/>
        <v>31000955.513538383</v>
      </c>
      <c r="K119" s="38">
        <f t="shared" si="7"/>
        <v>46454747.919262342</v>
      </c>
      <c r="L119" s="38">
        <f t="shared" si="7"/>
        <v>41732917.177684657</v>
      </c>
      <c r="M119" s="38">
        <f>E$115*D141+E$130*$C$133*D141</f>
        <v>745116.11553334875</v>
      </c>
      <c r="N119" s="5"/>
    </row>
    <row r="120" spans="1:16">
      <c r="A120" t="s">
        <v>8</v>
      </c>
      <c r="B120" s="5">
        <v>9057607.620000001</v>
      </c>
      <c r="C120" s="5">
        <v>19597545.509999998</v>
      </c>
      <c r="D120" s="5">
        <v>151223694.19</v>
      </c>
      <c r="E120" s="5"/>
      <c r="I120" t="s">
        <v>5</v>
      </c>
      <c r="J120" s="38">
        <f t="shared" si="7"/>
        <v>82602.907238997825</v>
      </c>
      <c r="K120" s="38">
        <f t="shared" si="7"/>
        <v>123779.9664436173</v>
      </c>
      <c r="L120" s="38">
        <f t="shared" si="7"/>
        <v>111198.5172500769</v>
      </c>
      <c r="M120" s="38">
        <f>E$115*D142+E$130*$C$133*D142</f>
        <v>1985.382590765782</v>
      </c>
      <c r="N120" s="5"/>
    </row>
    <row r="121" spans="1:16">
      <c r="A121" t="s">
        <v>398</v>
      </c>
      <c r="B121" s="5"/>
      <c r="C121" s="5">
        <v>472125.96</v>
      </c>
      <c r="D121" s="5"/>
      <c r="E121" s="5"/>
      <c r="I121" t="s">
        <v>4</v>
      </c>
      <c r="J121" s="38">
        <f t="shared" si="7"/>
        <v>190992.26170901547</v>
      </c>
      <c r="K121" s="38">
        <f t="shared" si="7"/>
        <v>286200.77108098811</v>
      </c>
      <c r="L121" s="38">
        <f t="shared" si="7"/>
        <v>257110.27635906765</v>
      </c>
      <c r="M121" s="38">
        <f>E$115*D143+E$130*$C$133*D143</f>
        <v>4590.5492196652367</v>
      </c>
      <c r="N121" s="5"/>
    </row>
    <row r="122" spans="1:16">
      <c r="A122" s="1" t="s">
        <v>25</v>
      </c>
      <c r="B122" s="6">
        <f>SUM(B115:B121)</f>
        <v>2937224850.52</v>
      </c>
      <c r="C122" s="6">
        <f>SUM(C115:C121)</f>
        <v>4376610176.9200001</v>
      </c>
      <c r="D122" s="6">
        <f>SUM(D115:D121)</f>
        <v>4133052647.4699993</v>
      </c>
      <c r="E122" s="6">
        <f>SUM(E115:E121)</f>
        <v>103845636.30000001</v>
      </c>
      <c r="I122" t="s">
        <v>8</v>
      </c>
      <c r="J122" s="38">
        <f>B115*B144+B120+B117*B149+B121*B157+B130*$C133*B144</f>
        <v>725394829.05890024</v>
      </c>
      <c r="K122" s="38">
        <f>C115*C144+C120+C117*C149+C121*C157+C130*$C133*C144</f>
        <v>1093285510.3510158</v>
      </c>
      <c r="L122" s="38">
        <f>D115*D144+D120+D117*D149+D121*D157+D130*$C133*D144</f>
        <v>1130636706.4429886</v>
      </c>
      <c r="M122" s="38">
        <f>E115*D144+E120+E117*D149+E121*D157+E130*$C133*D144</f>
        <v>17217353.433425963</v>
      </c>
      <c r="N122" s="5"/>
      <c r="P122" s="5"/>
    </row>
    <row r="123" spans="1:16">
      <c r="I123" t="s">
        <v>6</v>
      </c>
      <c r="J123" s="38">
        <f>B$115*B145+B$130*$C$133*B145</f>
        <v>1504050.0949745465</v>
      </c>
      <c r="K123" s="38">
        <f>C$115*C145+C$130*$C$133*C145</f>
        <v>2253810.1443186868</v>
      </c>
      <c r="L123" s="38">
        <f>D$115*D145+D$130*$C$133*D145</f>
        <v>2024724.62557646</v>
      </c>
      <c r="M123" s="38">
        <f>E$115*D145+E$130*$C$133*D145</f>
        <v>36150.239428768007</v>
      </c>
      <c r="N123" s="5"/>
    </row>
    <row r="124" spans="1:16">
      <c r="J124" s="6">
        <f>SUM(J115:J123)</f>
        <v>2966990829.3254981</v>
      </c>
      <c r="K124" s="6">
        <f>SUM(K115:K123)</f>
        <v>4377627703.6794386</v>
      </c>
      <c r="L124" s="6">
        <f>SUM(L115:L123)</f>
        <v>4138386438.6607394</v>
      </c>
      <c r="M124" s="6">
        <f>SUM(M115:M123)</f>
        <v>139962933.0556764</v>
      </c>
    </row>
    <row r="125" spans="1:16">
      <c r="J125" s="6"/>
      <c r="K125" s="6"/>
      <c r="L125" s="6"/>
      <c r="M125" s="6"/>
    </row>
    <row r="126" spans="1:16">
      <c r="A126" s="1" t="s">
        <v>419</v>
      </c>
      <c r="B126" s="1" t="s">
        <v>372</v>
      </c>
      <c r="C126" s="1" t="s">
        <v>373</v>
      </c>
      <c r="D126" s="1" t="s">
        <v>374</v>
      </c>
      <c r="E126" s="1" t="s">
        <v>375</v>
      </c>
      <c r="I126" s="1" t="s">
        <v>420</v>
      </c>
      <c r="J126" s="1" t="s">
        <v>372</v>
      </c>
      <c r="K126" s="1" t="s">
        <v>373</v>
      </c>
      <c r="L126" s="1" t="s">
        <v>374</v>
      </c>
      <c r="M126" s="1" t="s">
        <v>375</v>
      </c>
    </row>
    <row r="127" spans="1:16">
      <c r="A127" s="36" t="s">
        <v>376</v>
      </c>
      <c r="B127" s="5">
        <v>988569366.30999982</v>
      </c>
      <c r="C127" s="5">
        <v>402299783.00999999</v>
      </c>
      <c r="D127" s="5">
        <v>114389347.27000001</v>
      </c>
      <c r="E127" s="5">
        <v>0</v>
      </c>
      <c r="I127" t="s">
        <v>2</v>
      </c>
      <c r="J127" s="62">
        <f>B$127*B160</f>
        <v>77463.376323284945</v>
      </c>
      <c r="K127" s="62">
        <f>C$127*C160</f>
        <v>31523.836918397006</v>
      </c>
      <c r="L127" s="62">
        <f t="shared" ref="K127:M135" si="8">D$127*D160</f>
        <v>8963.4428871957098</v>
      </c>
      <c r="M127" s="62">
        <f t="shared" si="8"/>
        <v>0</v>
      </c>
    </row>
    <row r="128" spans="1:16">
      <c r="I128" t="s">
        <v>7</v>
      </c>
      <c r="J128" s="62">
        <f t="shared" ref="J128:J135" si="9">B$127*B161</f>
        <v>462454086.61602294</v>
      </c>
      <c r="K128" s="62">
        <f t="shared" si="8"/>
        <v>188196382.60910153</v>
      </c>
      <c r="L128" s="62">
        <f>D$127*D161</f>
        <v>53511491.36636544</v>
      </c>
      <c r="M128" s="62">
        <f t="shared" si="8"/>
        <v>0</v>
      </c>
    </row>
    <row r="129" spans="1:13">
      <c r="A129" s="1" t="s">
        <v>399</v>
      </c>
      <c r="I129" t="s">
        <v>9</v>
      </c>
      <c r="J129" s="62">
        <f t="shared" si="9"/>
        <v>135630552.88728762</v>
      </c>
      <c r="K129" s="62">
        <f t="shared" si="8"/>
        <v>55195056.46806749</v>
      </c>
      <c r="L129" s="62">
        <f t="shared" si="8"/>
        <v>15694083.736943234</v>
      </c>
      <c r="M129" s="62">
        <f t="shared" si="8"/>
        <v>0</v>
      </c>
    </row>
    <row r="130" spans="1:13">
      <c r="A130" s="36" t="s">
        <v>376</v>
      </c>
      <c r="B130" s="5">
        <v>53839572.63000001</v>
      </c>
      <c r="C130" s="5">
        <v>1840463.7799999998</v>
      </c>
      <c r="D130" s="5">
        <v>9647559.0500000007</v>
      </c>
      <c r="E130" s="5">
        <v>65327595.460000008</v>
      </c>
      <c r="I130" t="s">
        <v>3</v>
      </c>
      <c r="J130" s="62">
        <f t="shared" si="9"/>
        <v>157475.28631664248</v>
      </c>
      <c r="K130" s="62">
        <f t="shared" si="8"/>
        <v>64084.803427700608</v>
      </c>
      <c r="L130" s="62">
        <f t="shared" si="8"/>
        <v>18221.781724994653</v>
      </c>
      <c r="M130" s="62">
        <f t="shared" si="8"/>
        <v>0</v>
      </c>
    </row>
    <row r="131" spans="1:13">
      <c r="I131" t="s">
        <v>188</v>
      </c>
      <c r="J131" s="62">
        <f t="shared" si="9"/>
        <v>11209444.262657659</v>
      </c>
      <c r="K131" s="62">
        <f t="shared" si="8"/>
        <v>4561700.1175775258</v>
      </c>
      <c r="L131" s="62">
        <f t="shared" si="8"/>
        <v>1297067.3138001787</v>
      </c>
      <c r="M131" s="62">
        <f t="shared" si="8"/>
        <v>0</v>
      </c>
    </row>
    <row r="132" spans="1:13">
      <c r="A132" s="1" t="s">
        <v>400</v>
      </c>
      <c r="B132" s="1">
        <v>2016</v>
      </c>
      <c r="I132" t="s">
        <v>5</v>
      </c>
      <c r="J132" s="62">
        <f t="shared" si="9"/>
        <v>33867.108422637953</v>
      </c>
      <c r="K132" s="62">
        <f t="shared" si="8"/>
        <v>13782.27045458628</v>
      </c>
      <c r="L132" s="62">
        <f t="shared" si="8"/>
        <v>3918.8311497536715</v>
      </c>
      <c r="M132" s="62">
        <f t="shared" si="8"/>
        <v>0</v>
      </c>
    </row>
    <row r="133" spans="1:13">
      <c r="A133" s="36" t="s">
        <v>272</v>
      </c>
      <c r="B133" s="5">
        <f>(188198/256966)*89351676</f>
        <v>65439811.958967336</v>
      </c>
      <c r="C133" s="7">
        <f>B133/SUM(B133:B134)</f>
        <v>0.5528643217519148</v>
      </c>
      <c r="I133" t="s">
        <v>4</v>
      </c>
      <c r="J133" s="62">
        <f t="shared" si="9"/>
        <v>55599.950250683745</v>
      </c>
      <c r="K133" s="62">
        <f t="shared" si="8"/>
        <v>22626.482959621328</v>
      </c>
      <c r="L133" s="62">
        <f t="shared" si="8"/>
        <v>6433.5819358434155</v>
      </c>
      <c r="M133" s="62">
        <f t="shared" si="8"/>
        <v>0</v>
      </c>
    </row>
    <row r="134" spans="1:13">
      <c r="A134" s="36" t="s">
        <v>213</v>
      </c>
      <c r="B134" s="5">
        <f>27741367+25183869</f>
        <v>52925236</v>
      </c>
      <c r="C134" s="7">
        <f>B134/SUM(B133:B134)</f>
        <v>0.44713567824808531</v>
      </c>
      <c r="I134" t="s">
        <v>8</v>
      </c>
      <c r="J134" s="62">
        <f t="shared" si="9"/>
        <v>378345210.8168059</v>
      </c>
      <c r="K134" s="62">
        <f t="shared" si="8"/>
        <v>153968149.73401028</v>
      </c>
      <c r="L134" s="62">
        <f t="shared" si="8"/>
        <v>43779084.384952977</v>
      </c>
      <c r="M134" s="62">
        <f t="shared" si="8"/>
        <v>0</v>
      </c>
    </row>
    <row r="135" spans="1:13">
      <c r="I135" t="s">
        <v>6</v>
      </c>
      <c r="J135" s="62">
        <f t="shared" si="9"/>
        <v>605666.00591246795</v>
      </c>
      <c r="K135" s="62">
        <f t="shared" si="8"/>
        <v>246476.68748286046</v>
      </c>
      <c r="L135" s="62">
        <f t="shared" si="8"/>
        <v>70082.830240391559</v>
      </c>
      <c r="M135" s="62">
        <f t="shared" si="8"/>
        <v>0</v>
      </c>
    </row>
    <row r="136" spans="1:13">
      <c r="A136" s="1" t="s">
        <v>421</v>
      </c>
      <c r="B136" s="1">
        <v>2005</v>
      </c>
      <c r="C136" s="1">
        <v>2011</v>
      </c>
      <c r="D136" s="1">
        <v>2016</v>
      </c>
      <c r="J136" s="6">
        <f>SUM(J127:J135)</f>
        <v>988569366.30999982</v>
      </c>
      <c r="K136" s="6">
        <f>SUM(K127:K135)</f>
        <v>402299783.00999999</v>
      </c>
      <c r="L136" s="6">
        <f>SUM(L127:L135)</f>
        <v>114389347.27000001</v>
      </c>
      <c r="M136" s="6">
        <f>SUM(M127:M135)</f>
        <v>0</v>
      </c>
    </row>
    <row r="137" spans="1:13">
      <c r="A137" t="s">
        <v>2</v>
      </c>
      <c r="B137" s="7">
        <v>7.6979810742333995E-5</v>
      </c>
      <c r="C137" s="7">
        <v>7.6979810742333995E-5</v>
      </c>
      <c r="D137" s="7">
        <v>7.6979810742333995E-5</v>
      </c>
    </row>
    <row r="138" spans="1:13">
      <c r="A138" t="s">
        <v>7</v>
      </c>
      <c r="B138" s="7">
        <v>0.53195731138874858</v>
      </c>
      <c r="C138" s="7">
        <v>0.53195731138874858</v>
      </c>
      <c r="D138" s="7">
        <v>0.53195731138874858</v>
      </c>
      <c r="I138" s="1" t="s">
        <v>420</v>
      </c>
      <c r="J138" s="1" t="s">
        <v>372</v>
      </c>
      <c r="K138" s="1" t="s">
        <v>373</v>
      </c>
      <c r="L138" s="1" t="s">
        <v>374</v>
      </c>
      <c r="M138" s="1" t="s">
        <v>375</v>
      </c>
    </row>
    <row r="139" spans="1:13">
      <c r="A139" t="s">
        <v>9</v>
      </c>
      <c r="B139" s="7">
        <v>0.20415029222863115</v>
      </c>
      <c r="C139" s="7">
        <v>0.20415029222863115</v>
      </c>
      <c r="D139" s="7">
        <v>0.20415029222863115</v>
      </c>
      <c r="I139" t="s">
        <v>2</v>
      </c>
      <c r="J139" s="5">
        <f>J115+J127</f>
        <v>296169.59233592678</v>
      </c>
      <c r="K139" s="5">
        <f>K115+K127</f>
        <v>359253.80410621734</v>
      </c>
      <c r="L139" s="5">
        <f>L115+L127</f>
        <v>303381.73573995783</v>
      </c>
      <c r="M139" s="5">
        <f>M115+M127</f>
        <v>5256.6613970066328</v>
      </c>
    </row>
    <row r="140" spans="1:13">
      <c r="A140" t="s">
        <v>3</v>
      </c>
      <c r="B140" s="7">
        <v>1.4301041141424168E-4</v>
      </c>
      <c r="C140" s="7">
        <v>1.4301041141424168E-4</v>
      </c>
      <c r="D140" s="7">
        <v>1.4301041141424168E-4</v>
      </c>
      <c r="I140" t="s">
        <v>7</v>
      </c>
      <c r="J140" s="5">
        <f t="shared" ref="J140:M147" si="10">J116+J128</f>
        <v>2013089516.6749473</v>
      </c>
      <c r="K140" s="5">
        <f t="shared" si="10"/>
        <v>2480430673.3239698</v>
      </c>
      <c r="L140" s="5">
        <f t="shared" si="10"/>
        <v>2192837718.0380082</v>
      </c>
      <c r="M140" s="5">
        <f t="shared" si="10"/>
        <v>106253695.69684602</v>
      </c>
    </row>
    <row r="141" spans="1:13">
      <c r="A141" t="s">
        <v>188</v>
      </c>
      <c r="B141" s="7">
        <v>1.0911659173536051E-2</v>
      </c>
      <c r="C141" s="7">
        <v>1.0911659173536051E-2</v>
      </c>
      <c r="D141" s="7">
        <v>1.0911659173536051E-2</v>
      </c>
      <c r="I141" t="s">
        <v>9</v>
      </c>
      <c r="J141" s="5">
        <f t="shared" si="10"/>
        <v>793187511.31028044</v>
      </c>
      <c r="K141" s="5">
        <f t="shared" si="10"/>
        <v>997247844.9941684</v>
      </c>
      <c r="L141" s="5">
        <f t="shared" si="10"/>
        <v>839150260.34259903</v>
      </c>
      <c r="M141" s="5">
        <f t="shared" si="10"/>
        <v>15689019.334765699</v>
      </c>
    </row>
    <row r="142" spans="1:13">
      <c r="A142" t="s">
        <v>5</v>
      </c>
      <c r="B142" s="7">
        <v>2.9074419017231174E-5</v>
      </c>
      <c r="C142" s="7">
        <v>2.9074419017231174E-5</v>
      </c>
      <c r="D142" s="7">
        <v>2.9074419017231174E-5</v>
      </c>
      <c r="I142" t="s">
        <v>3</v>
      </c>
      <c r="J142" s="5">
        <f t="shared" si="10"/>
        <v>563780.07752366236</v>
      </c>
      <c r="K142" s="5">
        <f t="shared" si="10"/>
        <v>672930.12258787442</v>
      </c>
      <c r="L142" s="5">
        <f t="shared" si="10"/>
        <v>565181.83245420735</v>
      </c>
      <c r="M142" s="5">
        <f t="shared" si="10"/>
        <v>9765.6424691346037</v>
      </c>
    </row>
    <row r="143" spans="1:13">
      <c r="A143" t="s">
        <v>4</v>
      </c>
      <c r="B143" s="7">
        <v>6.7225104195303191E-5</v>
      </c>
      <c r="C143" s="7">
        <v>6.7225104195303191E-5</v>
      </c>
      <c r="D143" s="7">
        <v>6.7225104195303191E-5</v>
      </c>
      <c r="I143" t="s">
        <v>188</v>
      </c>
      <c r="J143" s="5">
        <f t="shared" si="10"/>
        <v>42210399.77619604</v>
      </c>
      <c r="K143" s="5">
        <f t="shared" si="10"/>
        <v>51016448.036839865</v>
      </c>
      <c r="L143" s="5">
        <f t="shared" si="10"/>
        <v>43029984.491484836</v>
      </c>
      <c r="M143" s="5">
        <f t="shared" si="10"/>
        <v>745116.11553334875</v>
      </c>
    </row>
    <row r="144" spans="1:13">
      <c r="A144" t="s">
        <v>8</v>
      </c>
      <c r="B144" s="7">
        <v>0.25213505468389835</v>
      </c>
      <c r="C144" s="7">
        <v>0.25213505468389835</v>
      </c>
      <c r="D144" s="7">
        <v>0.25213505468389835</v>
      </c>
      <c r="I144" t="s">
        <v>5</v>
      </c>
      <c r="J144" s="5">
        <f t="shared" si="10"/>
        <v>116470.01566163579</v>
      </c>
      <c r="K144" s="5">
        <f t="shared" si="10"/>
        <v>137562.23689820358</v>
      </c>
      <c r="L144" s="5">
        <f t="shared" si="10"/>
        <v>115117.34839983057</v>
      </c>
      <c r="M144" s="5">
        <f t="shared" si="10"/>
        <v>1985.382590765782</v>
      </c>
    </row>
    <row r="145" spans="1:13">
      <c r="A145" t="s">
        <v>6</v>
      </c>
      <c r="B145" s="7">
        <v>5.2939277981672709E-4</v>
      </c>
      <c r="C145" s="7">
        <v>5.2939277981672709E-4</v>
      </c>
      <c r="D145" s="7">
        <v>5.2939277981672709E-4</v>
      </c>
      <c r="I145" t="s">
        <v>4</v>
      </c>
      <c r="J145" s="5">
        <f t="shared" si="10"/>
        <v>246592.21195969923</v>
      </c>
      <c r="K145" s="5">
        <f>K121+K133</f>
        <v>308827.25404060946</v>
      </c>
      <c r="L145" s="5">
        <f t="shared" si="10"/>
        <v>263543.85829491104</v>
      </c>
      <c r="M145" s="5">
        <f t="shared" si="10"/>
        <v>4590.5492196652367</v>
      </c>
    </row>
    <row r="146" spans="1:13">
      <c r="I146" t="s">
        <v>8</v>
      </c>
      <c r="J146" s="5">
        <f t="shared" si="10"/>
        <v>1103740039.8757062</v>
      </c>
      <c r="K146" s="5">
        <f t="shared" si="10"/>
        <v>1247253660.085026</v>
      </c>
      <c r="L146" s="5">
        <f t="shared" si="10"/>
        <v>1174415790.8279417</v>
      </c>
      <c r="M146" s="5">
        <f t="shared" si="10"/>
        <v>17217353.433425963</v>
      </c>
    </row>
    <row r="147" spans="1:13">
      <c r="A147" s="1" t="s">
        <v>401</v>
      </c>
      <c r="B147" s="1">
        <v>2005</v>
      </c>
      <c r="C147" s="1">
        <v>2011</v>
      </c>
      <c r="D147" s="1">
        <v>2016</v>
      </c>
      <c r="I147" t="s">
        <v>6</v>
      </c>
      <c r="J147" s="5">
        <f t="shared" si="10"/>
        <v>2109716.1008870145</v>
      </c>
      <c r="K147" s="5">
        <f t="shared" si="10"/>
        <v>2500286.8318015472</v>
      </c>
      <c r="L147" s="5">
        <f t="shared" si="10"/>
        <v>2094807.4558168517</v>
      </c>
      <c r="M147" s="5">
        <f t="shared" si="10"/>
        <v>36150.239428768007</v>
      </c>
    </row>
    <row r="148" spans="1:13">
      <c r="A148" t="s">
        <v>7</v>
      </c>
      <c r="B148" s="7">
        <f>B138/(B138+B144)</f>
        <v>0.67843704951906425</v>
      </c>
      <c r="C148" s="7">
        <f>C138/(C138+C144)</f>
        <v>0.67843704951906425</v>
      </c>
      <c r="D148" s="7">
        <f>D138/(D138+D144)</f>
        <v>0.67843704951906425</v>
      </c>
      <c r="J148" s="6">
        <f>SUM(J139:J147)</f>
        <v>3955560195.635498</v>
      </c>
      <c r="K148" s="6">
        <f>SUM(K139:K147)</f>
        <v>4779927486.6894388</v>
      </c>
      <c r="L148" s="6">
        <f>SUM(L139:L147)</f>
        <v>4252775785.9307389</v>
      </c>
      <c r="M148" s="6">
        <f>SUM(M139:M147)</f>
        <v>139962933.0556764</v>
      </c>
    </row>
    <row r="149" spans="1:13">
      <c r="A149" t="s">
        <v>8</v>
      </c>
      <c r="B149" s="7">
        <f>1-B148</f>
        <v>0.32156295048093575</v>
      </c>
      <c r="C149" s="7">
        <f>1-C148</f>
        <v>0.32156295048093575</v>
      </c>
      <c r="D149" s="7">
        <f>1-D148</f>
        <v>0.32156295048093575</v>
      </c>
    </row>
    <row r="151" spans="1:13">
      <c r="A151" s="1" t="s">
        <v>402</v>
      </c>
      <c r="B151" s="1">
        <v>2005</v>
      </c>
      <c r="C151" s="1">
        <v>2011</v>
      </c>
      <c r="D151" s="1">
        <v>2016</v>
      </c>
    </row>
    <row r="152" spans="1:13">
      <c r="A152" t="s">
        <v>7</v>
      </c>
      <c r="B152">
        <f>B138/(B138+B139)</f>
        <v>0.72266243246857409</v>
      </c>
      <c r="C152">
        <f>C138/(C138+C139)</f>
        <v>0.72266243246857409</v>
      </c>
      <c r="D152">
        <f>D138/(D138+D139)</f>
        <v>0.72266243246857409</v>
      </c>
    </row>
    <row r="153" spans="1:13">
      <c r="A153" t="s">
        <v>9</v>
      </c>
      <c r="B153">
        <f>1-B152</f>
        <v>0.27733756753142591</v>
      </c>
      <c r="C153">
        <f>1-C152</f>
        <v>0.27733756753142591</v>
      </c>
      <c r="D153">
        <f>1-D152</f>
        <v>0.27733756753142591</v>
      </c>
    </row>
    <row r="155" spans="1:13">
      <c r="A155" s="1" t="s">
        <v>403</v>
      </c>
      <c r="B155" s="1">
        <v>2005</v>
      </c>
      <c r="C155" s="1">
        <v>2011</v>
      </c>
      <c r="D155" s="1">
        <v>2016</v>
      </c>
    </row>
    <row r="156" spans="1:13">
      <c r="A156" t="s">
        <v>9</v>
      </c>
      <c r="B156">
        <f>B139/(B139+B144)</f>
        <v>0.44741803261932717</v>
      </c>
      <c r="C156">
        <f>C139/(C139+C144)</f>
        <v>0.44741803261932717</v>
      </c>
      <c r="D156">
        <f>D139/(D139+D144)</f>
        <v>0.44741803261932717</v>
      </c>
    </row>
    <row r="157" spans="1:13">
      <c r="A157" t="s">
        <v>8</v>
      </c>
      <c r="B157">
        <f>1-B156</f>
        <v>0.55258196738067289</v>
      </c>
      <c r="C157">
        <f>1-C156</f>
        <v>0.55258196738067289</v>
      </c>
      <c r="D157">
        <f>1-D156</f>
        <v>0.55258196738067289</v>
      </c>
    </row>
    <row r="159" spans="1:13">
      <c r="A159" s="1" t="s">
        <v>422</v>
      </c>
      <c r="B159" s="1">
        <v>2005</v>
      </c>
      <c r="C159" s="1">
        <v>2011</v>
      </c>
      <c r="D159" s="1">
        <v>2016</v>
      </c>
    </row>
    <row r="160" spans="1:13">
      <c r="A160" t="s">
        <v>2</v>
      </c>
      <c r="B160" s="7">
        <v>7.8359070150463929E-5</v>
      </c>
      <c r="C160" s="7">
        <v>7.8359070150463929E-5</v>
      </c>
      <c r="D160" s="7">
        <v>7.8359070150463929E-5</v>
      </c>
    </row>
    <row r="161" spans="1:13">
      <c r="A161" t="s">
        <v>7</v>
      </c>
      <c r="B161" s="7">
        <v>0.46780135251632365</v>
      </c>
      <c r="C161" s="7">
        <v>0.46780135251632365</v>
      </c>
      <c r="D161" s="7">
        <v>0.46780135251632365</v>
      </c>
    </row>
    <row r="162" spans="1:13">
      <c r="A162" t="s">
        <v>9</v>
      </c>
      <c r="B162" s="7">
        <v>0.13719882236848113</v>
      </c>
      <c r="C162" s="7">
        <v>0.13719882236848113</v>
      </c>
      <c r="D162" s="7">
        <v>0.13719882236848113</v>
      </c>
    </row>
    <row r="163" spans="1:13">
      <c r="A163" t="s">
        <v>3</v>
      </c>
      <c r="B163" s="7">
        <v>1.5929614216597191E-4</v>
      </c>
      <c r="C163" s="7">
        <v>1.5929614216597191E-4</v>
      </c>
      <c r="D163" s="7">
        <v>1.5929614216597191E-4</v>
      </c>
    </row>
    <row r="164" spans="1:13">
      <c r="A164" t="s">
        <v>188</v>
      </c>
      <c r="B164" s="7">
        <v>1.1339056868107072E-2</v>
      </c>
      <c r="C164" s="7">
        <v>1.1339056868107072E-2</v>
      </c>
      <c r="D164" s="7">
        <v>1.1339056868107072E-2</v>
      </c>
    </row>
    <row r="165" spans="1:13">
      <c r="A165" t="s">
        <v>5</v>
      </c>
      <c r="B165" s="7">
        <v>3.4258707154817664E-5</v>
      </c>
      <c r="C165" s="7">
        <v>3.4258707154817664E-5</v>
      </c>
      <c r="D165" s="7">
        <v>3.4258707154817664E-5</v>
      </c>
    </row>
    <row r="166" spans="1:13">
      <c r="A166" t="s">
        <v>4</v>
      </c>
      <c r="B166" s="7">
        <v>5.6242841570359239E-5</v>
      </c>
      <c r="C166" s="7">
        <v>5.6242841570359239E-5</v>
      </c>
      <c r="D166" s="7">
        <v>5.6242841570359239E-5</v>
      </c>
    </row>
    <row r="167" spans="1:13">
      <c r="A167" t="s">
        <v>8</v>
      </c>
      <c r="B167" s="7">
        <v>0.38271994228289974</v>
      </c>
      <c r="C167" s="7">
        <v>0.38271994228289974</v>
      </c>
      <c r="D167" s="7">
        <v>0.38271994228289974</v>
      </c>
    </row>
    <row r="168" spans="1:13">
      <c r="A168" t="s">
        <v>6</v>
      </c>
      <c r="B168" s="7">
        <v>6.1266920314678318E-4</v>
      </c>
      <c r="C168" s="7">
        <v>6.1266920314678318E-4</v>
      </c>
      <c r="D168" s="7">
        <v>6.1266920314678318E-4</v>
      </c>
    </row>
    <row r="170" spans="1:13" ht="18.75">
      <c r="A170" s="2" t="s">
        <v>213</v>
      </c>
    </row>
    <row r="172" spans="1:13">
      <c r="A172" s="1" t="s">
        <v>213</v>
      </c>
      <c r="B172" s="1" t="s">
        <v>372</v>
      </c>
      <c r="C172" s="1" t="s">
        <v>373</v>
      </c>
      <c r="D172" s="1" t="s">
        <v>374</v>
      </c>
      <c r="E172" s="1" t="s">
        <v>375</v>
      </c>
      <c r="I172" s="1" t="s">
        <v>213</v>
      </c>
      <c r="J172" s="1" t="s">
        <v>372</v>
      </c>
      <c r="K172" s="1" t="s">
        <v>373</v>
      </c>
      <c r="L172" s="1" t="s">
        <v>374</v>
      </c>
      <c r="M172" s="1" t="s">
        <v>375</v>
      </c>
    </row>
    <row r="173" spans="1:13">
      <c r="A173" t="s">
        <v>376</v>
      </c>
      <c r="B173" s="5">
        <v>13262066391.359997</v>
      </c>
      <c r="C173" s="5">
        <v>15377416700.090006</v>
      </c>
      <c r="D173" s="5">
        <v>9424231267.4499931</v>
      </c>
      <c r="E173" s="5">
        <v>1535502797.2800007</v>
      </c>
      <c r="I173" t="s">
        <v>2</v>
      </c>
      <c r="J173" s="98">
        <f>B191*(B$173+B$176*$C$180 + B$183*$C$187)</f>
        <v>25833936.259842444</v>
      </c>
      <c r="K173" s="98">
        <f t="shared" ref="K173:M181" si="11">C191*(C$173+C$176*$C$180 + C$183*$C$187)</f>
        <v>29862330.941802159</v>
      </c>
      <c r="L173" s="98">
        <f t="shared" si="11"/>
        <v>18294682.803701628</v>
      </c>
      <c r="M173" s="98">
        <f t="shared" si="11"/>
        <v>3036091.9593244782</v>
      </c>
    </row>
    <row r="174" spans="1:13">
      <c r="B174" s="5"/>
      <c r="C174" s="5"/>
      <c r="D174" s="5"/>
      <c r="E174" s="5"/>
      <c r="I174" t="s">
        <v>7</v>
      </c>
      <c r="J174" s="98">
        <f t="shared" ref="J174:J181" si="12">B192*(B$173+B$176*$C$180 + B$183*$C$187)</f>
        <v>210742291.46107003</v>
      </c>
      <c r="K174" s="98">
        <f t="shared" si="11"/>
        <v>243604226.15220085</v>
      </c>
      <c r="L174" s="98">
        <f t="shared" si="11"/>
        <v>149240260.43985558</v>
      </c>
      <c r="M174" s="98">
        <f t="shared" si="11"/>
        <v>24767150.083479866</v>
      </c>
    </row>
    <row r="175" spans="1:13">
      <c r="A175" s="1" t="s">
        <v>381</v>
      </c>
      <c r="B175" s="1" t="s">
        <v>372</v>
      </c>
      <c r="C175" s="1" t="s">
        <v>373</v>
      </c>
      <c r="I175" t="s">
        <v>9</v>
      </c>
      <c r="J175" s="98">
        <f t="shared" si="12"/>
        <v>12357775294.361059</v>
      </c>
      <c r="K175" s="98">
        <f t="shared" si="11"/>
        <v>14284775337.093254</v>
      </c>
      <c r="L175" s="98">
        <f t="shared" si="11"/>
        <v>8751340751.784256</v>
      </c>
      <c r="M175" s="98">
        <f t="shared" si="11"/>
        <v>1452327737.7853653</v>
      </c>
    </row>
    <row r="176" spans="1:13">
      <c r="B176" s="5">
        <v>65066618.269999996</v>
      </c>
      <c r="C176" s="5">
        <v>27814112.590000004</v>
      </c>
      <c r="I176" t="s">
        <v>3</v>
      </c>
      <c r="J176" s="98">
        <f t="shared" si="12"/>
        <v>15402363.720950451</v>
      </c>
      <c r="K176" s="98">
        <f t="shared" si="11"/>
        <v>17804119.28305326</v>
      </c>
      <c r="L176" s="98">
        <f t="shared" si="11"/>
        <v>10907410.929090394</v>
      </c>
      <c r="M176" s="98">
        <f t="shared" si="11"/>
        <v>1810138.1135812216</v>
      </c>
    </row>
    <row r="177" spans="1:13">
      <c r="I177" t="s">
        <v>188</v>
      </c>
      <c r="J177" s="98">
        <f t="shared" si="12"/>
        <v>410376949.61890018</v>
      </c>
      <c r="K177" s="98">
        <f t="shared" si="11"/>
        <v>474368758.87382126</v>
      </c>
      <c r="L177" s="98">
        <f t="shared" si="11"/>
        <v>290614486.60840708</v>
      </c>
      <c r="M177" s="98">
        <f t="shared" si="11"/>
        <v>48228893.363292992</v>
      </c>
    </row>
    <row r="178" spans="1:13">
      <c r="A178" s="1" t="s">
        <v>382</v>
      </c>
      <c r="B178" t="s">
        <v>383</v>
      </c>
      <c r="I178" t="s">
        <v>5</v>
      </c>
      <c r="J178" s="98">
        <f t="shared" si="12"/>
        <v>5111626.5359459314</v>
      </c>
      <c r="K178" s="98">
        <f t="shared" si="11"/>
        <v>5908704.0291492194</v>
      </c>
      <c r="L178" s="98">
        <f t="shared" si="11"/>
        <v>3619873.6865152153</v>
      </c>
      <c r="M178" s="98">
        <f t="shared" si="11"/>
        <v>600735.71711095213</v>
      </c>
    </row>
    <row r="179" spans="1:13">
      <c r="A179" t="s">
        <v>264</v>
      </c>
      <c r="B179" s="5">
        <f>(164096/226736)*84808284</f>
        <v>61378432.058711454</v>
      </c>
      <c r="C179" s="7">
        <f>B179/SUM(B179:B180)</f>
        <v>0.5709624717393047</v>
      </c>
      <c r="I179" t="s">
        <v>4</v>
      </c>
      <c r="J179" s="98">
        <f t="shared" si="12"/>
        <v>18359955.522824962</v>
      </c>
      <c r="K179" s="98">
        <f t="shared" si="11"/>
        <v>21222900.853542287</v>
      </c>
      <c r="L179" s="98">
        <f t="shared" si="11"/>
        <v>13001873.164109182</v>
      </c>
      <c r="M179" s="98">
        <f t="shared" si="11"/>
        <v>2157724.3504720125</v>
      </c>
    </row>
    <row r="180" spans="1:13">
      <c r="A180" t="s">
        <v>213</v>
      </c>
      <c r="B180" s="5">
        <v>46121509</v>
      </c>
      <c r="C180" s="7">
        <f>B180/SUM(B179:B180)</f>
        <v>0.42903752826069536</v>
      </c>
      <c r="I180" t="s">
        <v>8</v>
      </c>
      <c r="J180" s="98">
        <f t="shared" si="12"/>
        <v>121301753.19948639</v>
      </c>
      <c r="K180" s="98">
        <f t="shared" si="11"/>
        <v>140216847.38359585</v>
      </c>
      <c r="L180" s="98">
        <f>D198*(D$173+D$176*$C$180 + D$183*$C$187)</f>
        <v>85901624.746481314</v>
      </c>
      <c r="M180" s="98">
        <f t="shared" si="11"/>
        <v>14255794.155279417</v>
      </c>
    </row>
    <row r="181" spans="1:13">
      <c r="B181" s="5"/>
      <c r="C181" s="7"/>
      <c r="I181" t="s">
        <v>6</v>
      </c>
      <c r="J181" s="98">
        <f t="shared" si="12"/>
        <v>149151835.57926315</v>
      </c>
      <c r="K181" s="98">
        <f t="shared" si="11"/>
        <v>172409710.61652616</v>
      </c>
      <c r="L181" s="98">
        <f t="shared" si="11"/>
        <v>105624071.14683808</v>
      </c>
      <c r="M181" s="98">
        <f t="shared" si="11"/>
        <v>17528830.456417996</v>
      </c>
    </row>
    <row r="182" spans="1:13">
      <c r="A182" s="1" t="s">
        <v>399</v>
      </c>
      <c r="J182" s="100">
        <f>SUM(J173:J181)</f>
        <v>13314056006.259344</v>
      </c>
      <c r="K182" s="100">
        <f>SUM(K173:K181)</f>
        <v>15390172935.226946</v>
      </c>
      <c r="L182" s="100">
        <f>SUM(L173:L181)</f>
        <v>9428545035.3092537</v>
      </c>
      <c r="M182" s="100">
        <f>SUM(M173:M181)</f>
        <v>1564713095.984324</v>
      </c>
    </row>
    <row r="183" spans="1:13">
      <c r="A183" s="36" t="s">
        <v>376</v>
      </c>
      <c r="B183" s="5">
        <v>53839572.63000001</v>
      </c>
      <c r="C183" s="5">
        <v>1840463.7799999998</v>
      </c>
      <c r="D183" s="5">
        <v>9647559.0500000007</v>
      </c>
      <c r="E183" s="5">
        <v>65327595.460000008</v>
      </c>
    </row>
    <row r="185" spans="1:13">
      <c r="A185" s="1" t="s">
        <v>400</v>
      </c>
      <c r="B185" s="1">
        <v>2016</v>
      </c>
    </row>
    <row r="186" spans="1:13">
      <c r="A186" s="36" t="s">
        <v>272</v>
      </c>
      <c r="B186" s="5">
        <f>(188198/256966)*89351676</f>
        <v>65439811.958967336</v>
      </c>
      <c r="C186" s="7">
        <f>B186/SUM(B186:B187)</f>
        <v>0.5528643217519148</v>
      </c>
    </row>
    <row r="187" spans="1:13">
      <c r="A187" s="36" t="s">
        <v>213</v>
      </c>
      <c r="B187" s="5">
        <f>27741367+25183869</f>
        <v>52925236</v>
      </c>
      <c r="C187" s="7">
        <f>B187/SUM(B186:B187)</f>
        <v>0.44713567824808531</v>
      </c>
    </row>
    <row r="188" spans="1:13">
      <c r="B188" s="5"/>
      <c r="C188" s="7"/>
    </row>
    <row r="190" spans="1:13">
      <c r="A190" s="1" t="s">
        <v>393</v>
      </c>
      <c r="B190" s="1">
        <v>2005</v>
      </c>
      <c r="C190" s="1">
        <v>2011</v>
      </c>
      <c r="D190" s="1">
        <v>2016</v>
      </c>
      <c r="E190" s="1" t="s">
        <v>375</v>
      </c>
    </row>
    <row r="191" spans="1:13">
      <c r="A191" t="s">
        <v>2</v>
      </c>
      <c r="B191" s="7">
        <v>1.9403505774421503E-3</v>
      </c>
      <c r="C191" s="7">
        <v>1.9403505774421503E-3</v>
      </c>
      <c r="D191" s="7">
        <v>1.9403505774421503E-3</v>
      </c>
      <c r="E191" s="7">
        <v>1.9403505774421503E-3</v>
      </c>
    </row>
    <row r="192" spans="1:13">
      <c r="A192" t="s">
        <v>7</v>
      </c>
      <c r="B192" s="7">
        <v>1.5828556779541387E-2</v>
      </c>
      <c r="C192" s="7">
        <v>1.5828556779541387E-2</v>
      </c>
      <c r="D192" s="7">
        <v>1.5828556779541387E-2</v>
      </c>
      <c r="E192" s="7">
        <v>1.5828556779541387E-2</v>
      </c>
    </row>
    <row r="193" spans="1:13">
      <c r="A193" t="s">
        <v>9</v>
      </c>
      <c r="B193" s="7">
        <v>0.9281751022041137</v>
      </c>
      <c r="C193" s="7">
        <v>0.9281751022041137</v>
      </c>
      <c r="D193" s="7">
        <v>0.9281751022041137</v>
      </c>
      <c r="E193" s="7">
        <v>0.9281751022041137</v>
      </c>
    </row>
    <row r="194" spans="1:13">
      <c r="A194" t="s">
        <v>3</v>
      </c>
      <c r="B194" s="7">
        <v>1.1568498520442855E-3</v>
      </c>
      <c r="C194" s="7">
        <v>1.1568498520442855E-3</v>
      </c>
      <c r="D194" s="7">
        <v>1.1568498520442855E-3</v>
      </c>
      <c r="E194" s="7">
        <v>1.1568498520442855E-3</v>
      </c>
    </row>
    <row r="195" spans="1:13">
      <c r="A195" t="s">
        <v>188</v>
      </c>
      <c r="B195" s="7">
        <v>3.0822834861590601E-2</v>
      </c>
      <c r="C195" s="7">
        <v>3.0822834861590601E-2</v>
      </c>
      <c r="D195" s="7">
        <v>3.0822834861590601E-2</v>
      </c>
      <c r="E195" s="7">
        <v>3.0822834861590601E-2</v>
      </c>
    </row>
    <row r="196" spans="1:13">
      <c r="A196" t="s">
        <v>5</v>
      </c>
      <c r="B196" s="7">
        <v>3.8392707177608388E-4</v>
      </c>
      <c r="C196" s="7">
        <v>3.8392707177608388E-4</v>
      </c>
      <c r="D196" s="7">
        <v>3.8392707177608388E-4</v>
      </c>
      <c r="E196" s="7">
        <v>3.8392707177608388E-4</v>
      </c>
    </row>
    <row r="197" spans="1:13">
      <c r="A197" t="s">
        <v>4</v>
      </c>
      <c r="B197" s="7">
        <v>1.3789904078962405E-3</v>
      </c>
      <c r="C197" s="7">
        <v>1.3789904078962405E-3</v>
      </c>
      <c r="D197" s="7">
        <v>1.3789904078962405E-3</v>
      </c>
      <c r="E197" s="7">
        <v>1.3789904078962405E-3</v>
      </c>
    </row>
    <row r="198" spans="1:13">
      <c r="A198" t="s">
        <v>8</v>
      </c>
      <c r="B198" s="7">
        <v>9.1108038859427018E-3</v>
      </c>
      <c r="C198" s="7">
        <v>9.1108038859427018E-3</v>
      </c>
      <c r="D198" s="7">
        <v>9.1108038859427018E-3</v>
      </c>
      <c r="E198" s="7">
        <v>9.1108038859427018E-3</v>
      </c>
    </row>
    <row r="199" spans="1:13">
      <c r="A199" t="s">
        <v>6</v>
      </c>
      <c r="B199" s="7">
        <v>1.1202584359652861E-2</v>
      </c>
      <c r="C199" s="7">
        <v>1.1202584359652861E-2</v>
      </c>
      <c r="D199" s="7">
        <v>1.1202584359652861E-2</v>
      </c>
      <c r="E199" s="7">
        <v>1.1202584359652861E-2</v>
      </c>
    </row>
    <row r="202" spans="1:13" ht="18.75">
      <c r="A202" s="2" t="s">
        <v>220</v>
      </c>
    </row>
    <row r="204" spans="1:13">
      <c r="A204" s="1" t="s">
        <v>220</v>
      </c>
      <c r="B204" s="1" t="s">
        <v>372</v>
      </c>
      <c r="C204" s="1" t="s">
        <v>373</v>
      </c>
      <c r="D204" s="1" t="s">
        <v>374</v>
      </c>
      <c r="E204" s="1" t="s">
        <v>375</v>
      </c>
      <c r="I204" s="1" t="s">
        <v>220</v>
      </c>
      <c r="J204" s="1" t="s">
        <v>372</v>
      </c>
      <c r="K204" s="1" t="s">
        <v>373</v>
      </c>
      <c r="L204" s="1" t="s">
        <v>374</v>
      </c>
      <c r="M204" s="1" t="s">
        <v>375</v>
      </c>
    </row>
    <row r="205" spans="1:13">
      <c r="A205" t="s">
        <v>376</v>
      </c>
      <c r="B205" s="5">
        <v>494022669.92000002</v>
      </c>
      <c r="C205" s="5">
        <v>128551119.39000002</v>
      </c>
      <c r="D205" s="5">
        <v>188037446.97</v>
      </c>
      <c r="E205" s="5">
        <v>10681804.59</v>
      </c>
      <c r="I205" t="s">
        <v>2</v>
      </c>
      <c r="J205" s="98">
        <f>B208*B$205</f>
        <v>958577.17284878483</v>
      </c>
      <c r="K205" s="98">
        <f t="shared" ref="K205:M213" si="13">C208*C$205</f>
        <v>249434.23873922133</v>
      </c>
      <c r="L205" s="98">
        <f t="shared" si="13"/>
        <v>364858.56880898721</v>
      </c>
      <c r="M205" s="98">
        <f t="shared" si="13"/>
        <v>20726.445704330712</v>
      </c>
    </row>
    <row r="206" spans="1:13">
      <c r="I206" t="s">
        <v>7</v>
      </c>
      <c r="J206" s="98">
        <f t="shared" ref="J206:J213" si="14">B209*B$205</f>
        <v>7819665.881209353</v>
      </c>
      <c r="K206" s="98">
        <f t="shared" si="13"/>
        <v>2034778.6923382189</v>
      </c>
      <c r="L206" s="98">
        <f t="shared" si="13"/>
        <v>2976361.4060446476</v>
      </c>
      <c r="M206" s="98">
        <f t="shared" si="13"/>
        <v>169077.5504607808</v>
      </c>
    </row>
    <row r="207" spans="1:13">
      <c r="A207" s="1" t="s">
        <v>393</v>
      </c>
      <c r="B207" s="1">
        <v>2005</v>
      </c>
      <c r="C207" s="1">
        <v>2011</v>
      </c>
      <c r="D207" s="1">
        <v>2016</v>
      </c>
      <c r="E207" s="1" t="s">
        <v>375</v>
      </c>
      <c r="I207" t="s">
        <v>9</v>
      </c>
      <c r="J207" s="98">
        <f t="shared" si="14"/>
        <v>458539542.14414513</v>
      </c>
      <c r="K207" s="98">
        <f t="shared" si="13"/>
        <v>119317948.37826648</v>
      </c>
      <c r="L207" s="98">
        <f t="shared" si="13"/>
        <v>174531676.55958036</v>
      </c>
      <c r="M207" s="98">
        <f t="shared" si="13"/>
        <v>9914585.0670476202</v>
      </c>
    </row>
    <row r="208" spans="1:13">
      <c r="A208" t="s">
        <v>2</v>
      </c>
      <c r="B208" s="7">
        <v>1.9403505774421503E-3</v>
      </c>
      <c r="C208" s="7">
        <v>1.9403505774421503E-3</v>
      </c>
      <c r="D208" s="7">
        <v>1.9403505774421503E-3</v>
      </c>
      <c r="E208" s="7">
        <v>1.9403505774421503E-3</v>
      </c>
      <c r="I208" t="s">
        <v>3</v>
      </c>
      <c r="J208" s="98">
        <f t="shared" si="14"/>
        <v>571510.05260347493</v>
      </c>
      <c r="K208" s="98">
        <f t="shared" si="13"/>
        <v>148714.34344644879</v>
      </c>
      <c r="L208" s="98">
        <f t="shared" si="13"/>
        <v>217531.09270602968</v>
      </c>
      <c r="M208" s="98">
        <f t="shared" si="13"/>
        <v>12357.24405950747</v>
      </c>
    </row>
    <row r="209" spans="1:13">
      <c r="A209" t="s">
        <v>7</v>
      </c>
      <c r="B209" s="7">
        <v>1.5828556779541387E-2</v>
      </c>
      <c r="C209" s="7">
        <v>1.5828556779541387E-2</v>
      </c>
      <c r="D209" s="7">
        <v>1.5828556779541387E-2</v>
      </c>
      <c r="E209" s="7">
        <v>1.5828556779541387E-2</v>
      </c>
      <c r="I209" t="s">
        <v>188</v>
      </c>
      <c r="J209" s="98">
        <f t="shared" si="14"/>
        <v>15227179.172826244</v>
      </c>
      <c r="K209" s="98">
        <f t="shared" si="13"/>
        <v>3962309.9242305881</v>
      </c>
      <c r="L209" s="98">
        <f t="shared" si="13"/>
        <v>5795847.1757514095</v>
      </c>
      <c r="M209" s="98">
        <f t="shared" si="13"/>
        <v>329243.49890135048</v>
      </c>
    </row>
    <row r="210" spans="1:13">
      <c r="A210" t="s">
        <v>9</v>
      </c>
      <c r="B210" s="7">
        <v>0.9281751022041137</v>
      </c>
      <c r="C210" s="7">
        <v>0.9281751022041137</v>
      </c>
      <c r="D210" s="7">
        <v>0.9281751022041137</v>
      </c>
      <c r="E210" s="7">
        <v>0.9281751022041137</v>
      </c>
      <c r="I210" t="s">
        <v>5</v>
      </c>
      <c r="J210" s="98">
        <f t="shared" si="14"/>
        <v>189668.67705338844</v>
      </c>
      <c r="K210" s="98">
        <f t="shared" si="13"/>
        <v>49354.254840940463</v>
      </c>
      <c r="L210" s="98">
        <f t="shared" si="13"/>
        <v>72192.666399442751</v>
      </c>
      <c r="M210" s="98">
        <f t="shared" si="13"/>
        <v>4101.0339575230319</v>
      </c>
    </row>
    <row r="211" spans="1:13">
      <c r="A211" t="s">
        <v>3</v>
      </c>
      <c r="B211" s="7">
        <v>1.1568498520442855E-3</v>
      </c>
      <c r="C211" s="7">
        <v>1.1568498520442855E-3</v>
      </c>
      <c r="D211" s="7">
        <v>1.1568498520442855E-3</v>
      </c>
      <c r="E211" s="7">
        <v>1.1568498520442855E-3</v>
      </c>
      <c r="I211" t="s">
        <v>4</v>
      </c>
      <c r="J211" s="98">
        <f t="shared" si="14"/>
        <v>681252.52310297056</v>
      </c>
      <c r="K211" s="98">
        <f t="shared" si="13"/>
        <v>177270.76056313445</v>
      </c>
      <c r="L211" s="98">
        <f t="shared" si="13"/>
        <v>259301.835696928</v>
      </c>
      <c r="M211" s="98">
        <f t="shared" si="13"/>
        <v>14730.106068632034</v>
      </c>
    </row>
    <row r="212" spans="1:13">
      <c r="A212" t="s">
        <v>188</v>
      </c>
      <c r="B212" s="7">
        <v>3.0822834861590601E-2</v>
      </c>
      <c r="C212" s="7">
        <v>3.0822834861590601E-2</v>
      </c>
      <c r="D212" s="7">
        <v>3.0822834861590601E-2</v>
      </c>
      <c r="E212" s="7">
        <v>3.0822834861590601E-2</v>
      </c>
      <c r="I212" t="s">
        <v>8</v>
      </c>
      <c r="J212" s="98">
        <f t="shared" si="14"/>
        <v>4500943.6608509244</v>
      </c>
      <c r="K212" s="98">
        <f t="shared" si="13"/>
        <v>1171204.0380806962</v>
      </c>
      <c r="L212" s="98">
        <f t="shared" si="13"/>
        <v>1713172.3025570207</v>
      </c>
      <c r="M212" s="98">
        <f t="shared" si="13"/>
        <v>97319.826767452585</v>
      </c>
    </row>
    <row r="213" spans="1:13">
      <c r="A213" t="s">
        <v>5</v>
      </c>
      <c r="B213" s="7">
        <v>3.8392707177608388E-4</v>
      </c>
      <c r="C213" s="7">
        <v>3.8392707177608388E-4</v>
      </c>
      <c r="D213" s="7">
        <v>3.8392707177608388E-4</v>
      </c>
      <c r="E213" s="7">
        <v>3.8392707177608388E-4</v>
      </c>
      <c r="I213" t="s">
        <v>6</v>
      </c>
      <c r="J213" s="98">
        <f t="shared" si="14"/>
        <v>5534330.6353597399</v>
      </c>
      <c r="K213" s="98">
        <f t="shared" si="13"/>
        <v>1440104.7594942818</v>
      </c>
      <c r="L213" s="98">
        <f t="shared" si="13"/>
        <v>2106505.3624551762</v>
      </c>
      <c r="M213" s="98">
        <f t="shared" si="13"/>
        <v>119663.81703280214</v>
      </c>
    </row>
    <row r="214" spans="1:13">
      <c r="A214" t="s">
        <v>4</v>
      </c>
      <c r="B214" s="7">
        <v>1.3789904078962405E-3</v>
      </c>
      <c r="C214" s="7">
        <v>1.3789904078962405E-3</v>
      </c>
      <c r="D214" s="7">
        <v>1.3789904078962405E-3</v>
      </c>
      <c r="E214" s="7">
        <v>1.3789904078962405E-3</v>
      </c>
      <c r="J214" s="6">
        <f>SUM(J205:J213)</f>
        <v>494022669.92000008</v>
      </c>
      <c r="K214" s="6">
        <f>SUM(K205:K213)</f>
        <v>128551119.39</v>
      </c>
      <c r="L214" s="6">
        <f>SUM(L205:L213)</f>
        <v>188037446.97000003</v>
      </c>
      <c r="M214" s="6">
        <f>SUM(M205:M213)</f>
        <v>10681804.589999998</v>
      </c>
    </row>
    <row r="215" spans="1:13">
      <c r="A215" t="s">
        <v>8</v>
      </c>
      <c r="B215" s="7">
        <v>9.1108038859427018E-3</v>
      </c>
      <c r="C215" s="7">
        <v>9.1108038859427018E-3</v>
      </c>
      <c r="D215" s="7">
        <v>9.1108038859427018E-3</v>
      </c>
      <c r="E215" s="7">
        <v>9.1108038859427018E-3</v>
      </c>
    </row>
    <row r="216" spans="1:13">
      <c r="A216" t="s">
        <v>6</v>
      </c>
      <c r="B216" s="7">
        <v>1.1202584359652861E-2</v>
      </c>
      <c r="C216" s="7">
        <v>1.1202584359652861E-2</v>
      </c>
      <c r="D216" s="7">
        <v>1.1202584359652861E-2</v>
      </c>
      <c r="E216" s="7">
        <v>1.1202584359652861E-2</v>
      </c>
    </row>
    <row r="219" spans="1:13" ht="18.75">
      <c r="A219" s="2" t="s">
        <v>260</v>
      </c>
    </row>
    <row r="221" spans="1:13">
      <c r="A221" s="1" t="s">
        <v>260</v>
      </c>
      <c r="B221" s="1" t="s">
        <v>372</v>
      </c>
      <c r="C221" s="1" t="s">
        <v>373</v>
      </c>
      <c r="D221" s="1" t="s">
        <v>374</v>
      </c>
      <c r="E221" s="1" t="s">
        <v>375</v>
      </c>
      <c r="I221" s="1" t="s">
        <v>260</v>
      </c>
      <c r="J221" s="1" t="s">
        <v>372</v>
      </c>
      <c r="K221" s="1" t="s">
        <v>373</v>
      </c>
      <c r="L221" s="1" t="s">
        <v>374</v>
      </c>
      <c r="M221" s="1" t="s">
        <v>375</v>
      </c>
    </row>
    <row r="222" spans="1:13">
      <c r="A222" t="s">
        <v>9</v>
      </c>
      <c r="B222" s="5">
        <v>43063314.390000008</v>
      </c>
      <c r="C222" s="5">
        <v>54313238.490000002</v>
      </c>
      <c r="D222" s="5">
        <v>94230607.769999996</v>
      </c>
      <c r="E222" s="5">
        <v>109364604.72</v>
      </c>
      <c r="I222" t="s">
        <v>2</v>
      </c>
      <c r="J222" s="99">
        <v>0</v>
      </c>
      <c r="K222" s="99">
        <v>0</v>
      </c>
      <c r="L222" s="99">
        <v>0</v>
      </c>
      <c r="M222" s="99">
        <v>0</v>
      </c>
    </row>
    <row r="223" spans="1:13">
      <c r="I223" t="s">
        <v>7</v>
      </c>
      <c r="J223" s="99">
        <v>0</v>
      </c>
      <c r="K223" s="99">
        <v>0</v>
      </c>
      <c r="L223" s="99">
        <v>0</v>
      </c>
      <c r="M223" s="99">
        <v>0</v>
      </c>
    </row>
    <row r="224" spans="1:13">
      <c r="I224" t="s">
        <v>9</v>
      </c>
      <c r="J224" s="98">
        <v>43063314.390000008</v>
      </c>
      <c r="K224" s="98">
        <v>54313238.490000002</v>
      </c>
      <c r="L224" s="98">
        <v>94230607.769999996</v>
      </c>
      <c r="M224" s="98">
        <v>109364604.72</v>
      </c>
    </row>
    <row r="225" spans="1:13">
      <c r="I225" t="s">
        <v>3</v>
      </c>
      <c r="J225" s="99">
        <v>0</v>
      </c>
      <c r="K225" s="99">
        <v>0</v>
      </c>
      <c r="L225" s="99">
        <v>0</v>
      </c>
      <c r="M225" s="99">
        <v>0</v>
      </c>
    </row>
    <row r="226" spans="1:13">
      <c r="I226" t="s">
        <v>188</v>
      </c>
      <c r="J226" s="99">
        <v>0</v>
      </c>
      <c r="K226" s="99">
        <v>0</v>
      </c>
      <c r="L226" s="99">
        <v>0</v>
      </c>
      <c r="M226" s="99">
        <v>0</v>
      </c>
    </row>
    <row r="227" spans="1:13">
      <c r="I227" t="s">
        <v>5</v>
      </c>
      <c r="J227" s="99">
        <v>0</v>
      </c>
      <c r="K227" s="99">
        <v>0</v>
      </c>
      <c r="L227" s="99">
        <v>0</v>
      </c>
      <c r="M227" s="99">
        <v>0</v>
      </c>
    </row>
    <row r="228" spans="1:13">
      <c r="I228" t="s">
        <v>4</v>
      </c>
      <c r="J228" s="99">
        <v>0</v>
      </c>
      <c r="K228" s="99">
        <v>0</v>
      </c>
      <c r="L228" s="99">
        <v>0</v>
      </c>
      <c r="M228" s="99">
        <v>0</v>
      </c>
    </row>
    <row r="229" spans="1:13">
      <c r="I229" t="s">
        <v>8</v>
      </c>
      <c r="J229" s="99">
        <v>0</v>
      </c>
      <c r="K229" s="99">
        <v>0</v>
      </c>
      <c r="L229" s="99">
        <v>0</v>
      </c>
      <c r="M229" s="99">
        <v>0</v>
      </c>
    </row>
    <row r="230" spans="1:13">
      <c r="I230" t="s">
        <v>6</v>
      </c>
      <c r="J230" s="99">
        <v>0</v>
      </c>
      <c r="K230" s="99">
        <v>0</v>
      </c>
      <c r="L230" s="99">
        <v>0</v>
      </c>
      <c r="M230" s="99">
        <v>0</v>
      </c>
    </row>
    <row r="231" spans="1:13">
      <c r="J231" s="100">
        <f>SUM(J222:J230)</f>
        <v>43063314.390000008</v>
      </c>
      <c r="K231" s="100">
        <f>SUM(K222:K230)</f>
        <v>54313238.490000002</v>
      </c>
      <c r="L231" s="100">
        <f>SUM(L222:L230)</f>
        <v>94230607.769999996</v>
      </c>
      <c r="M231" s="100">
        <f>SUM(M222:M230)</f>
        <v>109364604.72</v>
      </c>
    </row>
    <row r="233" spans="1:13" ht="18.75">
      <c r="A233" s="2" t="s">
        <v>281</v>
      </c>
    </row>
    <row r="235" spans="1:13">
      <c r="A235" s="1" t="s">
        <v>281</v>
      </c>
      <c r="B235" s="1" t="s">
        <v>372</v>
      </c>
      <c r="C235" s="1" t="s">
        <v>373</v>
      </c>
      <c r="D235" s="1" t="s">
        <v>374</v>
      </c>
      <c r="E235" s="1" t="s">
        <v>375</v>
      </c>
      <c r="I235" s="1" t="s">
        <v>281</v>
      </c>
      <c r="J235" s="1" t="s">
        <v>372</v>
      </c>
      <c r="K235" s="1" t="s">
        <v>373</v>
      </c>
      <c r="L235" s="1" t="s">
        <v>374</v>
      </c>
      <c r="M235" s="1" t="s">
        <v>375</v>
      </c>
    </row>
    <row r="236" spans="1:13">
      <c r="A236" t="s">
        <v>376</v>
      </c>
      <c r="B236" s="5">
        <v>1107063674.1299996</v>
      </c>
      <c r="C236" s="5">
        <v>1288562530.6699996</v>
      </c>
      <c r="D236" s="5">
        <v>1544128946.2299998</v>
      </c>
      <c r="E236" s="5">
        <v>375426984.50999999</v>
      </c>
      <c r="I236" t="s">
        <v>2</v>
      </c>
      <c r="J236" s="98">
        <f>B239*B$236</f>
        <v>5399128.0367251458</v>
      </c>
      <c r="K236" s="98">
        <f t="shared" ref="K236:M244" si="15">C239*C$236</f>
        <v>6284294.4348989138</v>
      </c>
      <c r="L236" s="98">
        <f t="shared" si="15"/>
        <v>7530686.8798318654</v>
      </c>
      <c r="M236" s="98">
        <f t="shared" si="15"/>
        <v>1830950.111703417</v>
      </c>
    </row>
    <row r="237" spans="1:13">
      <c r="I237" t="s">
        <v>7</v>
      </c>
      <c r="J237" s="98">
        <f t="shared" ref="J237:J244" si="16">B240*B$236</f>
        <v>119660400.78187126</v>
      </c>
      <c r="K237" s="98">
        <f t="shared" si="15"/>
        <v>139278265.97114801</v>
      </c>
      <c r="L237" s="98">
        <f t="shared" si="15"/>
        <v>166901952.32896164</v>
      </c>
      <c r="M237" s="98">
        <f t="shared" si="15"/>
        <v>40579186.618240252</v>
      </c>
    </row>
    <row r="238" spans="1:13">
      <c r="A238" s="1" t="s">
        <v>404</v>
      </c>
      <c r="I238" t="s">
        <v>9</v>
      </c>
      <c r="J238" s="98">
        <f t="shared" si="16"/>
        <v>640052293.16943049</v>
      </c>
      <c r="K238" s="98">
        <f t="shared" si="15"/>
        <v>744986419.40869057</v>
      </c>
      <c r="L238" s="98">
        <f t="shared" si="15"/>
        <v>892742934.37592399</v>
      </c>
      <c r="M238" s="98">
        <f t="shared" si="15"/>
        <v>217054274.26489002</v>
      </c>
    </row>
    <row r="239" spans="1:13">
      <c r="A239" t="s">
        <v>2</v>
      </c>
      <c r="B239" s="7">
        <v>4.8769805774434077E-3</v>
      </c>
      <c r="C239" s="7">
        <v>4.8769805774434077E-3</v>
      </c>
      <c r="D239" s="7">
        <v>4.8769805774434077E-3</v>
      </c>
      <c r="E239" s="7">
        <v>4.8769805774434077E-3</v>
      </c>
      <c r="I239" t="s">
        <v>3</v>
      </c>
      <c r="J239" s="98">
        <f t="shared" si="16"/>
        <v>5870969.6421670066</v>
      </c>
      <c r="K239" s="98">
        <f t="shared" si="15"/>
        <v>6833492.6674769642</v>
      </c>
      <c r="L239" s="98">
        <f t="shared" si="15"/>
        <v>8188810.0736680087</v>
      </c>
      <c r="M239" s="98">
        <f t="shared" si="15"/>
        <v>1990960.8457170718</v>
      </c>
    </row>
    <row r="240" spans="1:13">
      <c r="A240" t="s">
        <v>7</v>
      </c>
      <c r="B240" s="7">
        <v>0.10808809247210459</v>
      </c>
      <c r="C240" s="7">
        <v>0.10808809247210459</v>
      </c>
      <c r="D240" s="7">
        <v>0.10808809247210459</v>
      </c>
      <c r="E240" s="7">
        <v>0.10808809247210459</v>
      </c>
      <c r="I240" t="s">
        <v>188</v>
      </c>
      <c r="J240" s="98">
        <f t="shared" si="16"/>
        <v>169755461.07655245</v>
      </c>
      <c r="K240" s="98">
        <f t="shared" si="15"/>
        <v>197586219.86378077</v>
      </c>
      <c r="L240" s="98">
        <f t="shared" si="15"/>
        <v>236774385.56993434</v>
      </c>
      <c r="M240" s="98">
        <f t="shared" si="15"/>
        <v>57567403.163289972</v>
      </c>
    </row>
    <row r="241" spans="1:13">
      <c r="A241" t="s">
        <v>9</v>
      </c>
      <c r="B241" s="7">
        <v>0.57815309826006522</v>
      </c>
      <c r="C241" s="7">
        <v>0.57815309826006522</v>
      </c>
      <c r="D241" s="7">
        <v>0.57815309826006522</v>
      </c>
      <c r="E241" s="7">
        <v>0.57815309826006522</v>
      </c>
      <c r="I241" t="s">
        <v>5</v>
      </c>
      <c r="J241" s="98">
        <f t="shared" si="16"/>
        <v>6023228.1573241036</v>
      </c>
      <c r="K241" s="98">
        <f t="shared" si="15"/>
        <v>7010713.3840369834</v>
      </c>
      <c r="L241" s="98">
        <f t="shared" si="15"/>
        <v>8401179.7738560624</v>
      </c>
      <c r="M241" s="98">
        <f t="shared" si="15"/>
        <v>2042594.6916711635</v>
      </c>
    </row>
    <row r="242" spans="1:13">
      <c r="A242" t="s">
        <v>3</v>
      </c>
      <c r="B242" s="7">
        <v>5.3031905746349995E-3</v>
      </c>
      <c r="C242" s="7">
        <v>5.3031905746349995E-3</v>
      </c>
      <c r="D242" s="7">
        <v>5.3031905746349995E-3</v>
      </c>
      <c r="E242" s="7">
        <v>5.3031905746349995E-3</v>
      </c>
      <c r="I242" t="s">
        <v>4</v>
      </c>
      <c r="J242" s="98">
        <f t="shared" si="16"/>
        <v>13279818.769511474</v>
      </c>
      <c r="K242" s="98">
        <f t="shared" si="15"/>
        <v>15456994.28167784</v>
      </c>
      <c r="L242" s="98">
        <f t="shared" si="15"/>
        <v>18522649.637841146</v>
      </c>
      <c r="M242" s="98">
        <f t="shared" si="15"/>
        <v>4503446.7591893412</v>
      </c>
    </row>
    <row r="243" spans="1:13">
      <c r="A243" t="s">
        <v>188</v>
      </c>
      <c r="B243" s="7">
        <v>0.15333848002009187</v>
      </c>
      <c r="C243" s="7">
        <v>0.15333848002009187</v>
      </c>
      <c r="D243" s="7">
        <v>0.15333848002009187</v>
      </c>
      <c r="E243" s="7">
        <v>0.15333848002009187</v>
      </c>
      <c r="I243" t="s">
        <v>8</v>
      </c>
      <c r="J243" s="98">
        <f t="shared" si="16"/>
        <v>56212154.571094647</v>
      </c>
      <c r="K243" s="98">
        <f t="shared" si="15"/>
        <v>65427922.387088731</v>
      </c>
      <c r="L243" s="98">
        <f t="shared" si="15"/>
        <v>78404537.183820277</v>
      </c>
      <c r="M243" s="98">
        <f t="shared" si="15"/>
        <v>19062643.076985236</v>
      </c>
    </row>
    <row r="244" spans="1:13">
      <c r="A244" t="s">
        <v>5</v>
      </c>
      <c r="B244" s="7">
        <v>5.4407242312033552E-3</v>
      </c>
      <c r="C244" s="7">
        <v>5.4407242312033552E-3</v>
      </c>
      <c r="D244" s="7">
        <v>5.4407242312033552E-3</v>
      </c>
      <c r="E244" s="7">
        <v>5.4407242312033552E-3</v>
      </c>
      <c r="I244" t="s">
        <v>6</v>
      </c>
      <c r="J244" s="98">
        <f t="shared" si="16"/>
        <v>90810219.925323054</v>
      </c>
      <c r="K244" s="98">
        <f t="shared" si="15"/>
        <v>105698208.27120081</v>
      </c>
      <c r="L244" s="98">
        <f t="shared" si="15"/>
        <v>126661810.40616244</v>
      </c>
      <c r="M244" s="98">
        <f t="shared" si="15"/>
        <v>30795524.978313524</v>
      </c>
    </row>
    <row r="245" spans="1:13">
      <c r="A245" t="s">
        <v>4</v>
      </c>
      <c r="B245" s="7">
        <v>1.1995532939826241E-2</v>
      </c>
      <c r="C245" s="7">
        <v>1.1995532939826241E-2</v>
      </c>
      <c r="D245" s="7">
        <v>1.1995532939826241E-2</v>
      </c>
      <c r="E245" s="7">
        <v>1.1995532939826241E-2</v>
      </c>
      <c r="J245" s="6">
        <f>SUM(J236:J244)</f>
        <v>1107063674.1299996</v>
      </c>
      <c r="K245" s="6">
        <f>SUM(K236:K244)</f>
        <v>1288562530.6699998</v>
      </c>
      <c r="L245" s="6">
        <f>SUM(L236:L244)</f>
        <v>1544128946.23</v>
      </c>
      <c r="M245" s="6">
        <f>SUM(M236:M244)</f>
        <v>375426984.51000005</v>
      </c>
    </row>
    <row r="246" spans="1:13">
      <c r="A246" t="s">
        <v>8</v>
      </c>
      <c r="B246" s="7">
        <v>5.077590014437941E-2</v>
      </c>
      <c r="C246" s="7">
        <v>5.077590014437941E-2</v>
      </c>
      <c r="D246" s="7">
        <v>5.077590014437941E-2</v>
      </c>
      <c r="E246" s="7">
        <v>5.077590014437941E-2</v>
      </c>
    </row>
    <row r="247" spans="1:13">
      <c r="A247" t="s">
        <v>6</v>
      </c>
      <c r="B247" s="7">
        <v>8.2028000780250909E-2</v>
      </c>
      <c r="C247" s="7">
        <v>8.2028000780250909E-2</v>
      </c>
      <c r="D247" s="7">
        <v>8.2028000780250909E-2</v>
      </c>
      <c r="E247" s="7">
        <v>8.2028000780250909E-2</v>
      </c>
    </row>
    <row r="250" spans="1:13" ht="18.75">
      <c r="A250" s="2" t="s">
        <v>405</v>
      </c>
    </row>
    <row r="252" spans="1:13">
      <c r="A252" s="1" t="s">
        <v>405</v>
      </c>
      <c r="B252" s="1" t="s">
        <v>372</v>
      </c>
      <c r="C252" s="1" t="s">
        <v>373</v>
      </c>
      <c r="D252" s="1" t="s">
        <v>374</v>
      </c>
      <c r="E252" s="1" t="s">
        <v>375</v>
      </c>
      <c r="I252" s="1" t="s">
        <v>405</v>
      </c>
      <c r="J252" s="1" t="s">
        <v>372</v>
      </c>
      <c r="K252" s="1" t="s">
        <v>373</v>
      </c>
      <c r="L252" s="1" t="s">
        <v>374</v>
      </c>
      <c r="M252" s="1" t="s">
        <v>375</v>
      </c>
    </row>
    <row r="253" spans="1:13">
      <c r="B253" s="5">
        <v>136287308.19000003</v>
      </c>
      <c r="C253" s="5">
        <v>87954790.609999999</v>
      </c>
      <c r="D253" s="5">
        <v>22123735.780000001</v>
      </c>
      <c r="E253" s="5">
        <v>0</v>
      </c>
      <c r="I253" t="s">
        <v>2</v>
      </c>
      <c r="J253" s="98">
        <f>B$253*B268</f>
        <v>4746727.556721013</v>
      </c>
      <c r="K253" s="98">
        <f t="shared" ref="K253:M261" si="17">C$253*C268</f>
        <v>3144825.7285392866</v>
      </c>
      <c r="L253" s="98">
        <f t="shared" si="17"/>
        <v>800915.4339161641</v>
      </c>
      <c r="M253" s="98">
        <f t="shared" si="17"/>
        <v>0</v>
      </c>
    </row>
    <row r="254" spans="1:13">
      <c r="I254" t="s">
        <v>7</v>
      </c>
      <c r="J254" s="98">
        <f t="shared" ref="J254:J261" si="18">B$253*B269</f>
        <v>32465608.321353249</v>
      </c>
      <c r="K254" s="98">
        <f t="shared" si="17"/>
        <v>19945463.789660335</v>
      </c>
      <c r="L254" s="98">
        <f t="shared" si="17"/>
        <v>5181859.9922141461</v>
      </c>
      <c r="M254" s="98">
        <f t="shared" si="17"/>
        <v>0</v>
      </c>
    </row>
    <row r="255" spans="1:13">
      <c r="A255" s="1" t="s">
        <v>406</v>
      </c>
      <c r="B255" s="1">
        <v>2005</v>
      </c>
      <c r="C255" s="1">
        <v>2011</v>
      </c>
      <c r="D255" s="1">
        <v>2016</v>
      </c>
      <c r="I255" t="s">
        <v>9</v>
      </c>
      <c r="J255" s="98">
        <f t="shared" si="18"/>
        <v>25418700.78426275</v>
      </c>
      <c r="K255" s="98">
        <f t="shared" si="17"/>
        <v>17383007.28881564</v>
      </c>
      <c r="L255" s="98">
        <f t="shared" si="17"/>
        <v>3962390.8892578962</v>
      </c>
      <c r="M255" s="98">
        <f t="shared" si="17"/>
        <v>0</v>
      </c>
    </row>
    <row r="256" spans="1:13">
      <c r="A256" t="s">
        <v>2</v>
      </c>
      <c r="B256" s="5">
        <v>4870667.5660395278</v>
      </c>
      <c r="C256" s="5">
        <v>5021660.0890252842</v>
      </c>
      <c r="D256" s="5">
        <v>5483370.1662733173</v>
      </c>
      <c r="E256" s="5"/>
      <c r="I256" t="s">
        <v>3</v>
      </c>
      <c r="J256" s="98">
        <f t="shared" si="18"/>
        <v>1155973.9614243025</v>
      </c>
      <c r="K256" s="98">
        <f t="shared" si="17"/>
        <v>765392.40511489112</v>
      </c>
      <c r="L256" s="98">
        <f t="shared" si="17"/>
        <v>194958.66906491778</v>
      </c>
      <c r="M256" s="98">
        <f t="shared" si="17"/>
        <v>0</v>
      </c>
    </row>
    <row r="257" spans="1:13">
      <c r="A257" t="s">
        <v>7</v>
      </c>
      <c r="B257" s="5">
        <v>33313305.550612248</v>
      </c>
      <c r="C257" s="5">
        <v>31848931.583295863</v>
      </c>
      <c r="D257" s="5">
        <v>35476974.576677434</v>
      </c>
      <c r="E257" s="5"/>
      <c r="I257" t="s">
        <v>188</v>
      </c>
      <c r="J257" s="98">
        <f t="shared" si="18"/>
        <v>22537448.697275907</v>
      </c>
      <c r="K257" s="98">
        <f t="shared" si="17"/>
        <v>14894919.778923089</v>
      </c>
      <c r="L257" s="98">
        <f t="shared" si="17"/>
        <v>3795795.3859300874</v>
      </c>
      <c r="M257" s="98">
        <f t="shared" si="17"/>
        <v>0</v>
      </c>
    </row>
    <row r="258" spans="1:13">
      <c r="A258" t="s">
        <v>9</v>
      </c>
      <c r="B258" s="5">
        <v>26082398.874035213</v>
      </c>
      <c r="C258" s="5">
        <v>27757199.115140297</v>
      </c>
      <c r="D258" s="5">
        <v>27128027.590918232</v>
      </c>
      <c r="E258" s="5"/>
      <c r="I258" t="s">
        <v>5</v>
      </c>
      <c r="J258" s="98">
        <f t="shared" si="18"/>
        <v>2405297.4994624006</v>
      </c>
      <c r="K258" s="98">
        <f t="shared" si="17"/>
        <v>1593587.9861889901</v>
      </c>
      <c r="L258" s="98">
        <f t="shared" si="17"/>
        <v>405849.34623314679</v>
      </c>
      <c r="M258" s="98">
        <f t="shared" si="17"/>
        <v>0</v>
      </c>
    </row>
    <row r="259" spans="1:13">
      <c r="A259" t="s">
        <v>3</v>
      </c>
      <c r="B259" s="5">
        <v>1186157.160657641</v>
      </c>
      <c r="C259" s="5">
        <v>1222179.1682535536</v>
      </c>
      <c r="D259" s="5">
        <v>1334760.8303410767</v>
      </c>
      <c r="E259" s="5"/>
      <c r="I259" t="s">
        <v>4</v>
      </c>
      <c r="J259" s="98">
        <f t="shared" si="18"/>
        <v>419368.46019268362</v>
      </c>
      <c r="K259" s="98">
        <f t="shared" si="17"/>
        <v>277677.03320553835</v>
      </c>
      <c r="L259" s="98">
        <f t="shared" si="17"/>
        <v>70728.799084559694</v>
      </c>
      <c r="M259" s="98">
        <f t="shared" si="17"/>
        <v>0</v>
      </c>
    </row>
    <row r="260" spans="1:13">
      <c r="A260" t="s">
        <v>188</v>
      </c>
      <c r="B260" s="5">
        <v>23125915.502707116</v>
      </c>
      <c r="C260" s="5">
        <v>23784219.107681148</v>
      </c>
      <c r="D260" s="5">
        <v>25987451.727226466</v>
      </c>
      <c r="E260" s="5"/>
      <c r="I260" t="s">
        <v>8</v>
      </c>
      <c r="J260" s="98">
        <f t="shared" si="18"/>
        <v>26532066.858337354</v>
      </c>
      <c r="K260" s="98">
        <f t="shared" si="17"/>
        <v>16298761.323966226</v>
      </c>
      <c r="L260" s="98">
        <f t="shared" si="17"/>
        <v>4234539.5580147617</v>
      </c>
      <c r="M260" s="98">
        <f t="shared" si="17"/>
        <v>0</v>
      </c>
    </row>
    <row r="261" spans="1:13">
      <c r="A261" t="s">
        <v>5</v>
      </c>
      <c r="B261" s="5">
        <v>2468101.3134447439</v>
      </c>
      <c r="C261" s="5">
        <v>2544642.4951224313</v>
      </c>
      <c r="D261" s="5">
        <v>2778598.2176107164</v>
      </c>
      <c r="E261" s="5"/>
      <c r="I261" t="s">
        <v>6</v>
      </c>
      <c r="J261" s="98">
        <f t="shared" si="18"/>
        <v>20606116.050970357</v>
      </c>
      <c r="K261" s="98">
        <f t="shared" si="17"/>
        <v>13651155.275586002</v>
      </c>
      <c r="L261" s="98">
        <f t="shared" si="17"/>
        <v>3476697.7062843246</v>
      </c>
      <c r="M261" s="98">
        <f t="shared" si="17"/>
        <v>0</v>
      </c>
    </row>
    <row r="262" spans="1:13">
      <c r="A262" t="s">
        <v>4</v>
      </c>
      <c r="B262" s="5">
        <v>430318.43156624126</v>
      </c>
      <c r="C262" s="5">
        <v>443394.89550502796</v>
      </c>
      <c r="D262" s="5">
        <v>484236.12577955454</v>
      </c>
      <c r="E262" s="5"/>
      <c r="J262" s="6">
        <f>SUM(J253:J261)</f>
        <v>136287308.19</v>
      </c>
      <c r="K262" s="6">
        <f>SUM(K253:K261)</f>
        <v>87954790.609999985</v>
      </c>
      <c r="L262" s="6">
        <f>SUM(L253:L261)</f>
        <v>22123735.780000005</v>
      </c>
      <c r="M262" s="6">
        <f>SUM(M253:M261)</f>
        <v>0</v>
      </c>
    </row>
    <row r="263" spans="1:13">
      <c r="A263" t="s">
        <v>8</v>
      </c>
      <c r="B263" s="5">
        <v>27224835.628899224</v>
      </c>
      <c r="C263" s="5">
        <v>26025874.342845205</v>
      </c>
      <c r="D263" s="5">
        <v>28991260.371632259</v>
      </c>
      <c r="E263" s="5"/>
    </row>
    <row r="264" spans="1:13">
      <c r="A264" t="s">
        <v>6</v>
      </c>
      <c r="B264" s="5">
        <v>21144154.559576035</v>
      </c>
      <c r="C264" s="5">
        <v>21798175.013131194</v>
      </c>
      <c r="D264" s="5">
        <v>23802788.250158586</v>
      </c>
      <c r="E264" s="5"/>
    </row>
    <row r="265" spans="1:13">
      <c r="B265" s="6">
        <f>SUM(B256:B264)</f>
        <v>139845854.587538</v>
      </c>
      <c r="C265" s="6">
        <f>SUM(C256:C264)</f>
        <v>140446275.81</v>
      </c>
      <c r="D265" s="6">
        <f>SUM(D256:D264)</f>
        <v>151467467.85661763</v>
      </c>
      <c r="E265" s="6"/>
    </row>
    <row r="267" spans="1:13">
      <c r="A267" s="1" t="s">
        <v>407</v>
      </c>
      <c r="B267" s="1">
        <v>2005</v>
      </c>
      <c r="C267" s="1">
        <v>2011</v>
      </c>
      <c r="D267" s="1">
        <v>2016</v>
      </c>
      <c r="E267" s="1" t="s">
        <v>375</v>
      </c>
    </row>
    <row r="268" spans="1:13">
      <c r="A268" t="s">
        <v>2</v>
      </c>
      <c r="B268" s="7">
        <f>B256/B$265</f>
        <v>3.4828830503450363E-2</v>
      </c>
      <c r="C268" s="7">
        <f>C256/C$265</f>
        <v>3.5755024902324496E-2</v>
      </c>
      <c r="D268" s="7">
        <f>D256/D$265</f>
        <v>3.6201636192030318E-2</v>
      </c>
      <c r="E268" s="7">
        <v>3.6201636192030318E-2</v>
      </c>
    </row>
    <row r="269" spans="1:13">
      <c r="A269" t="s">
        <v>7</v>
      </c>
      <c r="B269" s="7">
        <f t="shared" ref="B269:D276" si="19">B257/B$265</f>
        <v>0.2382144658407406</v>
      </c>
      <c r="C269" s="7">
        <f t="shared" si="19"/>
        <v>0.22676949886789499</v>
      </c>
      <c r="D269" s="7">
        <f t="shared" si="19"/>
        <v>0.23422174463404052</v>
      </c>
      <c r="E269" s="7">
        <v>0.23422174463404052</v>
      </c>
    </row>
    <row r="270" spans="1:13">
      <c r="A270" t="s">
        <v>9</v>
      </c>
      <c r="B270" s="7">
        <f t="shared" si="19"/>
        <v>0.18650820184096811</v>
      </c>
      <c r="C270" s="7">
        <f t="shared" si="19"/>
        <v>0.19763570771140332</v>
      </c>
      <c r="D270" s="7">
        <f t="shared" si="19"/>
        <v>0.17910134746953194</v>
      </c>
      <c r="E270" s="7">
        <v>0.17910134746953194</v>
      </c>
    </row>
    <row r="271" spans="1:13">
      <c r="A271" t="s">
        <v>3</v>
      </c>
      <c r="B271" s="7">
        <f t="shared" si="19"/>
        <v>8.4818900363982774E-3</v>
      </c>
      <c r="C271" s="7">
        <f t="shared" si="19"/>
        <v>8.702111616736315E-3</v>
      </c>
      <c r="D271" s="7">
        <f t="shared" si="19"/>
        <v>8.8121947849857107E-3</v>
      </c>
      <c r="E271" s="7">
        <v>8.8121947849857107E-3</v>
      </c>
    </row>
    <row r="272" spans="1:13">
      <c r="A272" t="s">
        <v>188</v>
      </c>
      <c r="B272" s="7">
        <f t="shared" si="19"/>
        <v>0.16536718639901624</v>
      </c>
      <c r="C272" s="7">
        <f t="shared" si="19"/>
        <v>0.16934745311336816</v>
      </c>
      <c r="D272" s="7">
        <f t="shared" si="19"/>
        <v>0.17157117693303456</v>
      </c>
      <c r="E272" s="7">
        <v>0.17157117693303456</v>
      </c>
    </row>
    <row r="273" spans="1:13">
      <c r="A273" t="s">
        <v>5</v>
      </c>
      <c r="B273" s="7">
        <f t="shared" si="19"/>
        <v>1.764872702679799E-2</v>
      </c>
      <c r="C273" s="7">
        <f t="shared" si="19"/>
        <v>1.8118262520288548E-2</v>
      </c>
      <c r="D273" s="7">
        <f t="shared" si="19"/>
        <v>1.8344521479958967E-2</v>
      </c>
      <c r="E273" s="7">
        <v>1.8344521479958967E-2</v>
      </c>
    </row>
    <row r="274" spans="1:13">
      <c r="A274" t="s">
        <v>4</v>
      </c>
      <c r="B274" s="7">
        <f t="shared" si="19"/>
        <v>3.0770910788555325E-3</v>
      </c>
      <c r="C274" s="7">
        <f t="shared" si="19"/>
        <v>3.1570427407051085E-3</v>
      </c>
      <c r="D274" s="7">
        <f t="shared" si="19"/>
        <v>3.1969645537214824E-3</v>
      </c>
      <c r="E274" s="7">
        <v>3.1969645537214824E-3</v>
      </c>
    </row>
    <row r="275" spans="1:13">
      <c r="A275" t="s">
        <v>8</v>
      </c>
      <c r="B275" s="7">
        <f t="shared" si="19"/>
        <v>0.19467745904371836</v>
      </c>
      <c r="C275" s="7">
        <f t="shared" si="19"/>
        <v>0.18530839776808181</v>
      </c>
      <c r="D275" s="7">
        <f t="shared" si="19"/>
        <v>0.1914025551617197</v>
      </c>
      <c r="E275" s="7">
        <v>0.1914025551617197</v>
      </c>
    </row>
    <row r="276" spans="1:13">
      <c r="A276" t="s">
        <v>6</v>
      </c>
      <c r="B276" s="7">
        <f t="shared" si="19"/>
        <v>0.15119614823005445</v>
      </c>
      <c r="C276" s="7">
        <f t="shared" si="19"/>
        <v>0.15520650075919726</v>
      </c>
      <c r="D276" s="7">
        <f t="shared" si="19"/>
        <v>0.15714785879097695</v>
      </c>
      <c r="E276" s="7">
        <v>0.15714785879097695</v>
      </c>
    </row>
    <row r="277" spans="1:13">
      <c r="B277" s="8">
        <f>SUM(B268:B276)</f>
        <v>0.99999999999999989</v>
      </c>
      <c r="C277" s="8">
        <f>SUM(C268:C276)</f>
        <v>1.0000000000000002</v>
      </c>
      <c r="D277" s="8">
        <f>SUM(D268:D276)</f>
        <v>1.0000000000000002</v>
      </c>
      <c r="E277" s="8">
        <v>1.0000000000000002</v>
      </c>
    </row>
    <row r="280" spans="1:13" ht="18.75">
      <c r="A280" s="2" t="s">
        <v>376</v>
      </c>
    </row>
    <row r="282" spans="1:13">
      <c r="A282" s="1" t="s">
        <v>376</v>
      </c>
      <c r="B282" s="1" t="s">
        <v>372</v>
      </c>
      <c r="C282" s="1" t="s">
        <v>373</v>
      </c>
      <c r="D282" s="1" t="s">
        <v>374</v>
      </c>
      <c r="E282" s="1" t="s">
        <v>375</v>
      </c>
      <c r="I282" s="1" t="s">
        <v>376</v>
      </c>
      <c r="J282" s="1" t="s">
        <v>372</v>
      </c>
      <c r="K282" s="1" t="s">
        <v>373</v>
      </c>
      <c r="L282" s="1" t="s">
        <v>374</v>
      </c>
      <c r="M282" s="1" t="s">
        <v>375</v>
      </c>
    </row>
    <row r="283" spans="1:13">
      <c r="B283" s="5">
        <v>12242767.829999998</v>
      </c>
      <c r="C283" s="5">
        <v>52937528.68</v>
      </c>
      <c r="D283" s="5">
        <v>158504925.51999998</v>
      </c>
      <c r="E283" s="5">
        <v>0</v>
      </c>
      <c r="I283" t="s">
        <v>2</v>
      </c>
      <c r="J283" s="98">
        <f>B$283*B298</f>
        <v>123152.02928177605</v>
      </c>
      <c r="K283" s="98">
        <f t="shared" ref="K283:M291" si="20">C$283*C298</f>
        <v>500015.44639707013</v>
      </c>
      <c r="L283" s="98">
        <f t="shared" si="20"/>
        <v>1531646.9308604796</v>
      </c>
      <c r="M283" s="98">
        <f t="shared" si="20"/>
        <v>0</v>
      </c>
    </row>
    <row r="284" spans="1:13">
      <c r="I284" t="s">
        <v>7</v>
      </c>
      <c r="J284" s="98">
        <f t="shared" ref="J284:J291" si="21">B$283*B299</f>
        <v>1181999.2592478739</v>
      </c>
      <c r="K284" s="98">
        <f t="shared" si="20"/>
        <v>3805979.5443618596</v>
      </c>
      <c r="L284" s="98">
        <f t="shared" si="20"/>
        <v>11155958.956159087</v>
      </c>
      <c r="M284" s="98">
        <f t="shared" si="20"/>
        <v>0</v>
      </c>
    </row>
    <row r="285" spans="1:13">
      <c r="A285" s="1" t="s">
        <v>408</v>
      </c>
      <c r="I285" t="s">
        <v>9</v>
      </c>
      <c r="J285" s="98">
        <f t="shared" si="21"/>
        <v>8552490.0126034748</v>
      </c>
      <c r="K285" s="98">
        <f t="shared" si="20"/>
        <v>39070824.07536488</v>
      </c>
      <c r="L285" s="98">
        <f t="shared" si="20"/>
        <v>117261961.17992021</v>
      </c>
      <c r="M285" s="98">
        <f t="shared" si="20"/>
        <v>0</v>
      </c>
    </row>
    <row r="286" spans="1:13">
      <c r="A286" t="s">
        <v>2</v>
      </c>
      <c r="B286" s="39">
        <v>1.8595799300183646</v>
      </c>
      <c r="C286" s="39">
        <v>2.043492069179262</v>
      </c>
      <c r="D286" s="39">
        <v>4.4732364220563516</v>
      </c>
      <c r="E286" s="39"/>
      <c r="I286" t="s">
        <v>3</v>
      </c>
      <c r="J286" s="98">
        <f t="shared" si="21"/>
        <v>83349.145011063141</v>
      </c>
      <c r="K286" s="98">
        <f t="shared" si="20"/>
        <v>373128.26453646057</v>
      </c>
      <c r="L286" s="98">
        <f t="shared" si="20"/>
        <v>965107.19238765386</v>
      </c>
      <c r="M286" s="98">
        <f t="shared" si="20"/>
        <v>0</v>
      </c>
    </row>
    <row r="287" spans="1:13">
      <c r="A287" t="s">
        <v>7</v>
      </c>
      <c r="B287" s="39">
        <v>17.848038011332889</v>
      </c>
      <c r="C287" s="39">
        <v>15.554497506834489</v>
      </c>
      <c r="D287" s="39">
        <v>32.581426515587985</v>
      </c>
      <c r="E287" s="39"/>
      <c r="I287" t="s">
        <v>188</v>
      </c>
      <c r="J287" s="98">
        <f t="shared" si="21"/>
        <v>846268.06333486724</v>
      </c>
      <c r="K287" s="98">
        <f t="shared" si="20"/>
        <v>3480626.1326318132</v>
      </c>
      <c r="L287" s="98">
        <f t="shared" si="20"/>
        <v>10599203.443372257</v>
      </c>
      <c r="M287" s="98">
        <f t="shared" si="20"/>
        <v>0</v>
      </c>
    </row>
    <row r="288" spans="1:13">
      <c r="A288" t="s">
        <v>9</v>
      </c>
      <c r="B288" s="39">
        <v>129.14150803581924</v>
      </c>
      <c r="C288" s="39">
        <v>159.67690540284502</v>
      </c>
      <c r="D288" s="39">
        <v>342.46827065888493</v>
      </c>
      <c r="E288" s="39"/>
      <c r="I288" t="s">
        <v>5</v>
      </c>
      <c r="J288" s="98">
        <f t="shared" si="21"/>
        <v>59207.35306795442</v>
      </c>
      <c r="K288" s="98">
        <f t="shared" si="20"/>
        <v>235978.60176968374</v>
      </c>
      <c r="L288" s="98">
        <f t="shared" si="20"/>
        <v>724783.01694092969</v>
      </c>
      <c r="M288" s="98">
        <f t="shared" si="20"/>
        <v>0</v>
      </c>
    </row>
    <row r="289" spans="1:13">
      <c r="A289" t="s">
        <v>3</v>
      </c>
      <c r="B289" s="39">
        <v>1.2585614557120357</v>
      </c>
      <c r="C289" s="39">
        <v>1.5249221896264735</v>
      </c>
      <c r="D289" s="39">
        <v>2.8186343452871494</v>
      </c>
      <c r="E289" s="39"/>
      <c r="I289" t="s">
        <v>4</v>
      </c>
      <c r="J289" s="98">
        <f t="shared" si="21"/>
        <v>37573.594726236377</v>
      </c>
      <c r="K289" s="98">
        <f t="shared" si="20"/>
        <v>183738.05585621423</v>
      </c>
      <c r="L289" s="98">
        <f t="shared" si="20"/>
        <v>477025.55622237414</v>
      </c>
      <c r="M289" s="98">
        <f t="shared" si="20"/>
        <v>0</v>
      </c>
    </row>
    <row r="290" spans="1:13">
      <c r="A290" t="s">
        <v>188</v>
      </c>
      <c r="B290" s="39">
        <v>12.778539786724446</v>
      </c>
      <c r="C290" s="39">
        <v>14.224824351052035</v>
      </c>
      <c r="D290" s="39">
        <v>30.955399663185691</v>
      </c>
      <c r="E290" s="39"/>
      <c r="I290" t="s">
        <v>8</v>
      </c>
      <c r="J290" s="98">
        <f t="shared" si="21"/>
        <v>763860.16341576201</v>
      </c>
      <c r="K290" s="98">
        <f t="shared" si="20"/>
        <v>2886080.1410934911</v>
      </c>
      <c r="L290" s="98">
        <f t="shared" si="20"/>
        <v>8437386.3567693755</v>
      </c>
      <c r="M290" s="98">
        <f t="shared" si="20"/>
        <v>0</v>
      </c>
    </row>
    <row r="291" spans="1:13">
      <c r="A291" t="s">
        <v>5</v>
      </c>
      <c r="B291" s="39">
        <v>0.89402347745943256</v>
      </c>
      <c r="C291" s="39">
        <v>0.96441100907395017</v>
      </c>
      <c r="D291" s="39">
        <v>2.116757931703376</v>
      </c>
      <c r="E291" s="39"/>
      <c r="I291" t="s">
        <v>6</v>
      </c>
      <c r="J291" s="98">
        <f t="shared" si="21"/>
        <v>594868.20931099111</v>
      </c>
      <c r="K291" s="98">
        <f t="shared" si="20"/>
        <v>2401158.4179885318</v>
      </c>
      <c r="L291" s="98">
        <f t="shared" si="20"/>
        <v>7351852.8873676155</v>
      </c>
      <c r="M291" s="98">
        <f t="shared" si="20"/>
        <v>0</v>
      </c>
    </row>
    <row r="292" spans="1:13">
      <c r="A292" t="s">
        <v>4</v>
      </c>
      <c r="B292" s="39">
        <v>0.56735648660474414</v>
      </c>
      <c r="C292" s="39">
        <v>0.75091132214828726</v>
      </c>
      <c r="D292" s="39">
        <v>1.3931723097220701</v>
      </c>
      <c r="E292" s="39"/>
      <c r="J292" s="6">
        <f>SUM(J283:J291)</f>
        <v>12242767.83</v>
      </c>
      <c r="K292" s="6">
        <f>SUM(K283:K291)</f>
        <v>52937528.680000015</v>
      </c>
      <c r="L292" s="6">
        <f>SUM(L283:L291)</f>
        <v>158504925.51999998</v>
      </c>
      <c r="M292" s="6">
        <f>SUM(M283:M291)</f>
        <v>0</v>
      </c>
    </row>
    <row r="293" spans="1:13">
      <c r="A293" t="s">
        <v>8</v>
      </c>
      <c r="B293" s="39">
        <v>11.534191011813865</v>
      </c>
      <c r="C293" s="39">
        <v>11.794999378192955</v>
      </c>
      <c r="D293" s="39">
        <v>24.641725973268795</v>
      </c>
      <c r="E293" s="39"/>
    </row>
    <row r="294" spans="1:13">
      <c r="A294" t="s">
        <v>6</v>
      </c>
      <c r="B294" s="39">
        <v>8.9824340653749832</v>
      </c>
      <c r="C294" s="39">
        <v>9.813193211047448</v>
      </c>
      <c r="D294" s="39">
        <v>21.471381845747757</v>
      </c>
      <c r="E294" s="39"/>
    </row>
    <row r="295" spans="1:13">
      <c r="B295" s="40">
        <f>SUM(B286:B294)</f>
        <v>184.86423226086001</v>
      </c>
      <c r="C295" s="40">
        <f>SUM(C286:C294)</f>
        <v>216.34815643999991</v>
      </c>
      <c r="D295" s="40">
        <f>SUM(D286:D294)</f>
        <v>462.92000566544408</v>
      </c>
      <c r="E295" s="39"/>
    </row>
    <row r="297" spans="1:13">
      <c r="A297" s="1" t="s">
        <v>409</v>
      </c>
    </row>
    <row r="298" spans="1:13">
      <c r="A298" t="s">
        <v>2</v>
      </c>
      <c r="B298" s="7">
        <f>B286/B$295</f>
        <v>1.0059165622662639E-2</v>
      </c>
      <c r="C298" s="7">
        <f>C286/C$295</f>
        <v>9.4453870224957791E-3</v>
      </c>
      <c r="D298" s="7">
        <f>D286/D$295</f>
        <v>9.663087287891366E-3</v>
      </c>
      <c r="E298" s="7">
        <v>9.663087287891366E-3</v>
      </c>
    </row>
    <row r="299" spans="1:13">
      <c r="A299" t="s">
        <v>7</v>
      </c>
      <c r="B299" s="7">
        <f t="shared" ref="B299:D306" si="22">B287/B$295</f>
        <v>9.6546734828334493E-2</v>
      </c>
      <c r="C299" s="7">
        <f t="shared" si="22"/>
        <v>7.1895678534003291E-2</v>
      </c>
      <c r="D299" s="7">
        <f t="shared" si="22"/>
        <v>7.0382411900199532E-2</v>
      </c>
      <c r="E299" s="7">
        <v>7.0382411900199532E-2</v>
      </c>
    </row>
    <row r="300" spans="1:13">
      <c r="A300" t="s">
        <v>9</v>
      </c>
      <c r="B300" s="7">
        <f t="shared" si="22"/>
        <v>0.69857487549884179</v>
      </c>
      <c r="C300" s="7">
        <f t="shared" si="22"/>
        <v>0.73805530876861625</v>
      </c>
      <c r="D300" s="7">
        <f t="shared" si="22"/>
        <v>0.73980010902010884</v>
      </c>
      <c r="E300" s="7">
        <v>0.73980010902010884</v>
      </c>
    </row>
    <row r="301" spans="1:13">
      <c r="A301" t="s">
        <v>3</v>
      </c>
      <c r="B301" s="7">
        <f t="shared" si="22"/>
        <v>6.8080311714171548E-3</v>
      </c>
      <c r="C301" s="7">
        <f t="shared" si="22"/>
        <v>7.0484639884111147E-3</v>
      </c>
      <c r="D301" s="7">
        <f t="shared" si="22"/>
        <v>6.088815153355456E-3</v>
      </c>
      <c r="E301" s="7">
        <v>6.088815153355456E-3</v>
      </c>
    </row>
    <row r="302" spans="1:13">
      <c r="A302" t="s">
        <v>188</v>
      </c>
      <c r="B302" s="7">
        <f t="shared" si="22"/>
        <v>6.9123916673576855E-2</v>
      </c>
      <c r="C302" s="7">
        <f t="shared" si="22"/>
        <v>6.5749690614983453E-2</v>
      </c>
      <c r="D302" s="7">
        <f t="shared" si="22"/>
        <v>6.6869867977918843E-2</v>
      </c>
      <c r="E302" s="7">
        <v>6.6869867977918843E-2</v>
      </c>
    </row>
    <row r="303" spans="1:13">
      <c r="A303" t="s">
        <v>5</v>
      </c>
      <c r="B303" s="7">
        <f t="shared" si="22"/>
        <v>4.8361084593037187E-3</v>
      </c>
      <c r="C303" s="7">
        <f t="shared" si="22"/>
        <v>4.4576807352708428E-3</v>
      </c>
      <c r="D303" s="7">
        <f>D291/D$295</f>
        <v>4.5726214157898668E-3</v>
      </c>
      <c r="E303" s="7">
        <v>4.5726214157898668E-3</v>
      </c>
    </row>
    <row r="304" spans="1:13">
      <c r="A304" t="s">
        <v>4</v>
      </c>
      <c r="B304" s="7">
        <f t="shared" si="22"/>
        <v>3.0690441285805533E-3</v>
      </c>
      <c r="C304" s="7">
        <f t="shared" si="22"/>
        <v>3.4708468724878568E-3</v>
      </c>
      <c r="D304" s="7">
        <f t="shared" si="22"/>
        <v>3.0095314366882786E-3</v>
      </c>
      <c r="E304" s="7">
        <v>3.0095314366882786E-3</v>
      </c>
    </row>
    <row r="305" spans="1:5">
      <c r="A305" t="s">
        <v>8</v>
      </c>
      <c r="B305" s="7">
        <f t="shared" si="22"/>
        <v>6.2392767225723185E-2</v>
      </c>
      <c r="C305" s="7">
        <f t="shared" si="22"/>
        <v>5.4518603589137009E-2</v>
      </c>
      <c r="D305" s="7">
        <f t="shared" si="22"/>
        <v>5.3231067293897781E-2</v>
      </c>
      <c r="E305" s="7">
        <v>5.3231067293897781E-2</v>
      </c>
    </row>
    <row r="306" spans="1:5">
      <c r="A306" t="s">
        <v>6</v>
      </c>
      <c r="B306" s="7">
        <f t="shared" si="22"/>
        <v>4.8589356391559639E-2</v>
      </c>
      <c r="C306" s="7">
        <f t="shared" si="22"/>
        <v>4.5358339874594457E-2</v>
      </c>
      <c r="D306" s="7">
        <f>D294/D$295</f>
        <v>4.6382488514150097E-2</v>
      </c>
      <c r="E306" s="7">
        <v>4.6382488514150097E-2</v>
      </c>
    </row>
    <row r="307" spans="1:5">
      <c r="B307" s="8">
        <f>SUM(B298:B306)</f>
        <v>1</v>
      </c>
      <c r="C307" s="8">
        <f>SUM(C298:C306)</f>
        <v>1</v>
      </c>
      <c r="D307" s="8">
        <f>SUM(D298:D306)</f>
        <v>1</v>
      </c>
      <c r="E307" s="8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27"/>
  <sheetViews>
    <sheetView workbookViewId="0">
      <selection activeCell="C27" sqref="C27"/>
    </sheetView>
  </sheetViews>
  <sheetFormatPr defaultRowHeight="15"/>
  <cols>
    <col min="1" max="1" width="43.7109375" customWidth="1"/>
    <col min="2" max="5" width="24.7109375" customWidth="1"/>
  </cols>
  <sheetData>
    <row r="1" spans="1:5">
      <c r="A1" s="9" t="s">
        <v>323</v>
      </c>
      <c r="B1" s="1" t="s">
        <v>423</v>
      </c>
      <c r="C1" s="1" t="s">
        <v>424</v>
      </c>
      <c r="D1" s="1" t="s">
        <v>425</v>
      </c>
      <c r="E1" s="1" t="s">
        <v>426</v>
      </c>
    </row>
    <row r="2" spans="1:5">
      <c r="A2" s="223">
        <v>1999</v>
      </c>
      <c r="B2" s="165">
        <v>40000000</v>
      </c>
      <c r="C2" s="165">
        <v>0</v>
      </c>
      <c r="D2" s="165">
        <v>0</v>
      </c>
      <c r="E2" s="165">
        <v>0</v>
      </c>
    </row>
    <row r="3" spans="1:5">
      <c r="A3" s="223">
        <v>2000</v>
      </c>
      <c r="B3" s="165">
        <v>47400000</v>
      </c>
      <c r="C3" s="165">
        <v>0</v>
      </c>
      <c r="D3" s="165">
        <v>0</v>
      </c>
      <c r="E3" s="165">
        <v>0</v>
      </c>
    </row>
    <row r="4" spans="1:5">
      <c r="A4" s="223">
        <v>2001</v>
      </c>
      <c r="B4" s="165">
        <v>40000000</v>
      </c>
      <c r="C4" s="165">
        <v>0</v>
      </c>
      <c r="D4" s="165">
        <v>0</v>
      </c>
      <c r="E4" s="165">
        <v>0</v>
      </c>
    </row>
    <row r="5" spans="1:5">
      <c r="A5" s="223">
        <v>2002</v>
      </c>
      <c r="B5" s="165">
        <v>177625000</v>
      </c>
      <c r="C5" s="165">
        <v>0</v>
      </c>
      <c r="D5" s="165">
        <v>0</v>
      </c>
      <c r="E5" s="165">
        <v>0</v>
      </c>
    </row>
    <row r="6" spans="1:5">
      <c r="A6" s="223">
        <v>2003</v>
      </c>
      <c r="B6" s="165">
        <v>39850000</v>
      </c>
      <c r="C6" s="165">
        <v>0</v>
      </c>
      <c r="D6" s="165">
        <v>0</v>
      </c>
      <c r="E6" s="165">
        <v>0</v>
      </c>
    </row>
    <row r="7" spans="1:5">
      <c r="A7" s="223">
        <v>2004</v>
      </c>
      <c r="B7" s="165">
        <v>72524000</v>
      </c>
      <c r="C7" s="165">
        <v>0</v>
      </c>
      <c r="D7" s="165">
        <v>0</v>
      </c>
      <c r="E7" s="165">
        <v>0</v>
      </c>
    </row>
    <row r="8" spans="1:5">
      <c r="A8" s="223">
        <v>2005</v>
      </c>
      <c r="B8" s="165">
        <v>44328000</v>
      </c>
      <c r="C8" s="165">
        <v>80000000</v>
      </c>
      <c r="D8" s="165">
        <v>0</v>
      </c>
      <c r="E8" s="165">
        <v>0</v>
      </c>
    </row>
    <row r="9" spans="1:5">
      <c r="A9" s="223">
        <v>2006</v>
      </c>
      <c r="B9" s="165">
        <v>0</v>
      </c>
      <c r="C9" s="165">
        <v>70000000</v>
      </c>
      <c r="D9" s="165">
        <v>0</v>
      </c>
      <c r="E9" s="165">
        <v>0</v>
      </c>
    </row>
    <row r="10" spans="1:5">
      <c r="A10" s="223">
        <v>2007</v>
      </c>
      <c r="B10" s="165">
        <v>0</v>
      </c>
      <c r="C10" s="165">
        <v>82543000</v>
      </c>
      <c r="D10" s="165">
        <v>0</v>
      </c>
      <c r="E10" s="165">
        <v>0</v>
      </c>
    </row>
    <row r="11" spans="1:5">
      <c r="A11" s="223">
        <v>2008</v>
      </c>
      <c r="B11" s="165">
        <v>33370964</v>
      </c>
      <c r="C11" s="165">
        <v>81000000</v>
      </c>
      <c r="D11" s="165">
        <v>0</v>
      </c>
      <c r="E11" s="165">
        <v>0</v>
      </c>
    </row>
    <row r="12" spans="1:5">
      <c r="A12" s="223">
        <v>2009</v>
      </c>
      <c r="B12" s="165">
        <v>11531979</v>
      </c>
      <c r="C12" s="165">
        <v>18924957</v>
      </c>
      <c r="D12" s="165">
        <v>40000000</v>
      </c>
      <c r="E12" s="165">
        <v>0</v>
      </c>
    </row>
    <row r="13" spans="1:5">
      <c r="A13" s="223">
        <v>2010</v>
      </c>
      <c r="B13" s="165">
        <v>0</v>
      </c>
      <c r="C13" s="165">
        <v>98439402</v>
      </c>
      <c r="D13" s="165">
        <v>40000000</v>
      </c>
      <c r="E13" s="165">
        <v>0</v>
      </c>
    </row>
    <row r="14" spans="1:5">
      <c r="A14" s="223">
        <v>2011</v>
      </c>
      <c r="B14" s="165">
        <v>0</v>
      </c>
      <c r="C14" s="165">
        <v>12496580</v>
      </c>
      <c r="D14" s="165">
        <v>100000000</v>
      </c>
      <c r="E14" s="165">
        <v>0</v>
      </c>
    </row>
    <row r="15" spans="1:5">
      <c r="A15" s="223">
        <v>2012</v>
      </c>
      <c r="B15" s="165">
        <v>0</v>
      </c>
      <c r="C15" s="165">
        <v>4419927.07</v>
      </c>
      <c r="D15" s="165">
        <v>40000000</v>
      </c>
      <c r="E15" s="165">
        <v>0</v>
      </c>
    </row>
    <row r="16" spans="1:5">
      <c r="A16" s="223">
        <v>2013</v>
      </c>
      <c r="B16" s="165">
        <v>5000886</v>
      </c>
      <c r="C16" s="165">
        <v>1902149</v>
      </c>
      <c r="D16" s="165">
        <v>93465600</v>
      </c>
      <c r="E16" s="165">
        <v>0</v>
      </c>
    </row>
    <row r="17" spans="1:5">
      <c r="A17" s="223">
        <v>2014</v>
      </c>
      <c r="B17" s="165">
        <v>0</v>
      </c>
      <c r="C17" s="165">
        <v>250000</v>
      </c>
      <c r="D17" s="165">
        <v>5000000</v>
      </c>
      <c r="E17" s="165">
        <v>40000000</v>
      </c>
    </row>
    <row r="18" spans="1:5">
      <c r="A18" s="223">
        <v>2015</v>
      </c>
      <c r="B18" s="165">
        <v>0</v>
      </c>
      <c r="C18" s="165">
        <v>1000000</v>
      </c>
      <c r="D18" s="165">
        <v>307112544.63</v>
      </c>
      <c r="E18" s="165">
        <v>40000000</v>
      </c>
    </row>
    <row r="19" spans="1:5">
      <c r="A19" s="223">
        <v>2016</v>
      </c>
      <c r="B19" s="165">
        <v>3005750</v>
      </c>
      <c r="C19" s="165">
        <v>0</v>
      </c>
      <c r="D19" s="165">
        <v>38738415.100000001</v>
      </c>
      <c r="E19" s="165">
        <v>0</v>
      </c>
    </row>
    <row r="20" spans="1:5">
      <c r="A20" s="223">
        <v>2017</v>
      </c>
      <c r="B20" s="165">
        <v>0</v>
      </c>
      <c r="C20" s="165">
        <v>0</v>
      </c>
      <c r="D20" s="165">
        <v>4899750</v>
      </c>
      <c r="E20" s="165">
        <v>196028366.88</v>
      </c>
    </row>
    <row r="21" spans="1:5">
      <c r="A21" s="223">
        <v>2018</v>
      </c>
      <c r="B21" s="165">
        <v>0</v>
      </c>
      <c r="C21" s="165">
        <v>0</v>
      </c>
      <c r="D21" s="165">
        <v>1000000</v>
      </c>
      <c r="E21" s="165">
        <v>232232000</v>
      </c>
    </row>
    <row r="22" spans="1:5">
      <c r="A22" s="223" t="s">
        <v>427</v>
      </c>
      <c r="B22" s="165">
        <v>4713085</v>
      </c>
      <c r="C22" s="165">
        <v>2378089024</v>
      </c>
      <c r="D22" s="165">
        <v>0</v>
      </c>
      <c r="E22" s="165">
        <v>0</v>
      </c>
    </row>
    <row r="23" spans="1:5">
      <c r="A23" s="223" t="s">
        <v>428</v>
      </c>
      <c r="B23" s="165">
        <v>0</v>
      </c>
      <c r="C23" s="165">
        <v>1499999.25</v>
      </c>
      <c r="D23" s="165">
        <v>132037691.06999999</v>
      </c>
      <c r="E23" s="165">
        <v>2157989633.1199999</v>
      </c>
    </row>
    <row r="24" spans="1:5">
      <c r="A24" s="9" t="s">
        <v>10</v>
      </c>
      <c r="B24" s="166">
        <v>519349664</v>
      </c>
      <c r="C24" s="166">
        <v>2830565038.3200002</v>
      </c>
      <c r="D24" s="166">
        <v>802254000.79999995</v>
      </c>
      <c r="E24" s="166">
        <v>2666250000</v>
      </c>
    </row>
    <row r="25" spans="1:5">
      <c r="A25" s="9" t="s">
        <v>429</v>
      </c>
      <c r="B25" s="166">
        <f>SUM(B2:B20)+B22</f>
        <v>519349664</v>
      </c>
      <c r="C25" s="166">
        <f>SUM(C2:C20)+C22</f>
        <v>2829065039.0700002</v>
      </c>
      <c r="D25" s="166">
        <f>SUM(D2:D20)+D22</f>
        <v>669216309.73000002</v>
      </c>
      <c r="E25" s="166">
        <f>SUM(E2:E20)+E22</f>
        <v>276028366.88</v>
      </c>
    </row>
    <row r="27" spans="1:5">
      <c r="A27" t="s">
        <v>430</v>
      </c>
      <c r="B27" s="167">
        <f>B25/5000000</f>
        <v>103.8699328</v>
      </c>
      <c r="C27" s="167">
        <f>C25/5000000</f>
        <v>565.813007814</v>
      </c>
      <c r="D27" s="167">
        <f>D25/5000000</f>
        <v>133.84326194600001</v>
      </c>
      <c r="E27" s="167">
        <f>E25/5000000</f>
        <v>55.205673376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4"/>
  <sheetViews>
    <sheetView showGridLines="0" zoomScale="85" zoomScaleNormal="85" workbookViewId="0">
      <selection activeCell="O18" sqref="O18"/>
    </sheetView>
  </sheetViews>
  <sheetFormatPr defaultRowHeight="15"/>
  <cols>
    <col min="1" max="1" width="28.7109375" customWidth="1"/>
    <col min="2" max="4" width="10.28515625" customWidth="1"/>
    <col min="7" max="7" width="12.140625" customWidth="1"/>
  </cols>
  <sheetData>
    <row r="1" spans="1:9" ht="14.1" customHeight="1">
      <c r="A1" s="1" t="s">
        <v>72</v>
      </c>
      <c r="B1" s="36"/>
    </row>
    <row r="2" spans="1:9" ht="13.5" customHeight="1">
      <c r="A2" s="192" t="s">
        <v>73</v>
      </c>
      <c r="B2" s="207" t="s">
        <v>74</v>
      </c>
      <c r="C2" s="192">
        <v>2011</v>
      </c>
      <c r="D2" s="192">
        <v>2016</v>
      </c>
      <c r="F2" t="s">
        <v>75</v>
      </c>
      <c r="H2" t="s">
        <v>75</v>
      </c>
    </row>
    <row r="3" spans="1:9" ht="14.1" customHeight="1">
      <c r="A3" s="193" t="s">
        <v>11</v>
      </c>
      <c r="B3" s="194">
        <f>'Big Summary'!B5</f>
        <v>6.6854613165188601</v>
      </c>
      <c r="C3" s="194">
        <f>'Big Summary'!B51</f>
        <v>1.9438579235745732</v>
      </c>
      <c r="D3" s="194">
        <f>'Big Summary'!B96</f>
        <v>2.4023978800000001</v>
      </c>
      <c r="F3" s="7"/>
      <c r="H3" s="7"/>
    </row>
    <row r="4" spans="1:9" ht="14.1" customHeight="1">
      <c r="A4" s="191" t="s">
        <v>13</v>
      </c>
      <c r="B4" s="195" t="str">
        <f>'Big Summary'!B6</f>
        <v>-</v>
      </c>
      <c r="C4" s="196" t="str">
        <f>'Big Summary'!B52</f>
        <v>-</v>
      </c>
      <c r="D4" s="196" t="str">
        <f>'Big Summary'!B97</f>
        <v>-</v>
      </c>
      <c r="F4" s="7"/>
      <c r="H4" s="7"/>
    </row>
    <row r="5" spans="1:9" ht="14.1" customHeight="1">
      <c r="A5" s="193" t="s">
        <v>14</v>
      </c>
      <c r="B5" s="194">
        <f>'Big Summary'!B7</f>
        <v>67.799158307149028</v>
      </c>
      <c r="C5" s="194">
        <f>'Big Summary'!B53</f>
        <v>81.468867590768923</v>
      </c>
      <c r="D5" s="194">
        <f>'Big Summary'!B98</f>
        <v>104.85226995397973</v>
      </c>
      <c r="F5" s="7">
        <f>(D5-B5)/B5</f>
        <v>0.54651285608841649</v>
      </c>
      <c r="H5" s="7">
        <f>(D5-C5)/D5</f>
        <v>0.22301283866790789</v>
      </c>
    </row>
    <row r="6" spans="1:9" ht="14.1" customHeight="1">
      <c r="A6" s="191" t="s">
        <v>15</v>
      </c>
      <c r="B6" s="195">
        <f>'Big Summary'!B8</f>
        <v>1.8595799300183646</v>
      </c>
      <c r="C6" s="196">
        <f>'Big Summary'!B54</f>
        <v>2.043492069179262</v>
      </c>
      <c r="D6" s="196">
        <f>'Big Summary'!B99</f>
        <v>4.4732364220563516</v>
      </c>
      <c r="F6" s="7">
        <f>(D6-B6)/B6</f>
        <v>1.4055090882875765</v>
      </c>
      <c r="H6" s="7">
        <f>(D6-C6)/D6</f>
        <v>0.54317369430702556</v>
      </c>
    </row>
    <row r="7" spans="1:9" ht="14.1" customHeight="1">
      <c r="A7" s="193" t="s">
        <v>16</v>
      </c>
      <c r="B7" s="194">
        <f>'Big Summary'!B9</f>
        <v>4.8706675660395273</v>
      </c>
      <c r="C7" s="194">
        <f>'Big Summary'!B55</f>
        <v>5.0216600890252838</v>
      </c>
      <c r="D7" s="194">
        <f>'Big Summary'!B100</f>
        <v>5.4833701662733176</v>
      </c>
      <c r="F7" s="7">
        <f>(D7-B7)/B7</f>
        <v>0.1257943786814413</v>
      </c>
      <c r="H7" s="7">
        <f t="shared" ref="H7:H44" si="0">(D7-C7)/D7</f>
        <v>8.4201880093356427E-2</v>
      </c>
    </row>
    <row r="8" spans="1:9" ht="14.1" customHeight="1">
      <c r="A8" s="191" t="s">
        <v>76</v>
      </c>
      <c r="B8" s="195">
        <f>'Big Summary'!B10</f>
        <v>9.1528374106052528</v>
      </c>
      <c r="C8" s="196">
        <f>'Big Summary'!B56</f>
        <v>12.467567407308341</v>
      </c>
      <c r="D8" s="196">
        <f>'Big Summary'!B101</f>
        <v>15.48688024042241</v>
      </c>
      <c r="F8" s="7">
        <f>(D8-B8)/B8</f>
        <v>0.69203051968103346</v>
      </c>
      <c r="H8" s="7">
        <f t="shared" si="0"/>
        <v>0.19495939700194367</v>
      </c>
    </row>
    <row r="9" spans="1:9" ht="14.1" customHeight="1">
      <c r="A9" s="193" t="s">
        <v>77</v>
      </c>
      <c r="B9" s="194" t="str">
        <f>'Big Summary'!B11</f>
        <v>-</v>
      </c>
      <c r="C9" s="194">
        <f>'Big Summary'!B57</f>
        <v>1.0548693697250138</v>
      </c>
      <c r="D9" s="194">
        <f>'Big Summary'!B102</f>
        <v>1.3919454130385203</v>
      </c>
      <c r="F9" s="7"/>
      <c r="H9" s="7">
        <f t="shared" si="0"/>
        <v>0.2421618262872054</v>
      </c>
    </row>
    <row r="10" spans="1:9" ht="14.1" customHeight="1">
      <c r="A10" s="191" t="s">
        <v>78</v>
      </c>
      <c r="B10" s="195">
        <f>'Big Summary'!B12</f>
        <v>7.5409927812922828E-2</v>
      </c>
      <c r="C10" s="196">
        <f>'Big Summary'!B58</f>
        <v>8.8911036687653502E-2</v>
      </c>
      <c r="D10" s="196">
        <f>'Big Summary'!B103</f>
        <v>0.10784185122566896</v>
      </c>
      <c r="F10" s="7">
        <f>(D10-B10)/B10</f>
        <v>0.43007498287497825</v>
      </c>
      <c r="H10" s="7">
        <f t="shared" si="0"/>
        <v>0.17554237360411212</v>
      </c>
    </row>
    <row r="11" spans="1:9" ht="14.1" customHeight="1">
      <c r="A11" s="193" t="s">
        <v>79</v>
      </c>
      <c r="B11" s="194" t="str">
        <f>'Big Summary'!B13</f>
        <v>-</v>
      </c>
      <c r="C11" s="194" t="str">
        <f>'Big Summary'!B59</f>
        <v>-</v>
      </c>
      <c r="D11" s="194" t="str">
        <f>'Big Summary'!B104</f>
        <v>-</v>
      </c>
      <c r="F11" s="7"/>
      <c r="H11" s="7"/>
    </row>
    <row r="12" spans="1:9" ht="14.1" customHeight="1">
      <c r="A12" s="191" t="s">
        <v>80</v>
      </c>
      <c r="B12" s="195" t="str">
        <f>'Big Summary'!B14</f>
        <v>-</v>
      </c>
      <c r="C12" s="196" t="str">
        <f>'Big Summary'!B60</f>
        <v>-</v>
      </c>
      <c r="D12" s="196" t="str">
        <f>'Big Summary'!B105</f>
        <v>-</v>
      </c>
      <c r="F12" s="7"/>
      <c r="H12" s="7"/>
    </row>
    <row r="13" spans="1:9" ht="14.1" customHeight="1">
      <c r="A13" s="193" t="s">
        <v>81</v>
      </c>
      <c r="B13" s="194">
        <f>'Big Summary'!B15</f>
        <v>1.6760836198033617</v>
      </c>
      <c r="C13" s="194">
        <f>'Big Summary'!B61</f>
        <v>1.7508896740885351</v>
      </c>
      <c r="D13" s="194">
        <f>'Big Summary'!B106</f>
        <v>2.2670860973110543</v>
      </c>
      <c r="F13" s="7">
        <f>(D13-B13)/B13</f>
        <v>0.35260918400779373</v>
      </c>
      <c r="G13" s="8">
        <f>(SUM(D4:D13)-SUM(B4:B13))/SUM(B4:B13)</f>
        <v>0.56920012194566061</v>
      </c>
      <c r="H13" s="7">
        <f>(D13-C13)/D13</f>
        <v>0.22769158340954471</v>
      </c>
      <c r="I13" s="8">
        <f>(SUM(D4:D13)-SUM(C4:C13))/SUM(C4:C13)</f>
        <v>0.29035091070483759</v>
      </c>
    </row>
    <row r="14" spans="1:9" ht="14.1" customHeight="1">
      <c r="A14" s="197" t="s">
        <v>82</v>
      </c>
      <c r="B14" s="195">
        <f>'Big Summary'!B16</f>
        <v>8.6828863481260825</v>
      </c>
      <c r="C14" s="195" t="str">
        <f>'Big Summary'!B62</f>
        <v>-</v>
      </c>
      <c r="D14" s="195">
        <f>'Big Summary'!B107</f>
        <v>1.136206517181727E-2</v>
      </c>
      <c r="F14" s="7">
        <f>(D14-B14)/B14</f>
        <v>-0.99869144144973532</v>
      </c>
      <c r="H14" s="7"/>
    </row>
    <row r="15" spans="1:9" ht="14.1" customHeight="1">
      <c r="A15" s="193" t="s">
        <v>24</v>
      </c>
      <c r="B15" s="194">
        <f>'Big Summary'!B17</f>
        <v>36.618863394433376</v>
      </c>
      <c r="C15" s="194">
        <f>'Big Summary'!B63</f>
        <v>31.294857703990871</v>
      </c>
      <c r="D15" s="194">
        <f>'Big Summary'!B108</f>
        <v>19.79355778029128</v>
      </c>
      <c r="E15" s="139"/>
      <c r="F15" s="7">
        <f>(D15-B15)/B15</f>
        <v>-0.45947099539686415</v>
      </c>
      <c r="H15" s="8">
        <f>(D15-C15)/D15</f>
        <v>-0.5810627908011361</v>
      </c>
    </row>
    <row r="16" spans="1:9" ht="14.1" customHeight="1">
      <c r="A16" s="203" t="s">
        <v>25</v>
      </c>
      <c r="B16" s="204">
        <f>'Big Summary'!B18</f>
        <v>137.4209478205068</v>
      </c>
      <c r="C16" s="204">
        <f>'Big Summary'!B64</f>
        <v>137.13497286434847</v>
      </c>
      <c r="D16" s="204">
        <f>'Big Summary'!B109</f>
        <v>156.26994786977014</v>
      </c>
      <c r="F16" s="7">
        <f>(D16-B16)/B16</f>
        <v>0.13716249486128618</v>
      </c>
      <c r="H16" s="7">
        <f t="shared" si="0"/>
        <v>0.12244820751695699</v>
      </c>
    </row>
    <row r="17" spans="1:8" ht="14.1" customHeight="1">
      <c r="A17" s="191"/>
      <c r="B17" s="196"/>
      <c r="C17" s="196"/>
      <c r="D17" s="196"/>
      <c r="F17" s="7"/>
      <c r="H17" s="7"/>
    </row>
    <row r="18" spans="1:8" ht="14.1" customHeight="1">
      <c r="A18" s="192" t="s">
        <v>83</v>
      </c>
      <c r="B18" s="200"/>
      <c r="C18" s="200"/>
      <c r="D18" s="200"/>
      <c r="F18" s="7"/>
      <c r="H18" s="7"/>
    </row>
    <row r="19" spans="1:8" ht="14.1" customHeight="1">
      <c r="A19" s="193" t="s">
        <v>26</v>
      </c>
      <c r="B19" s="194">
        <f>'Big Summary'!B20</f>
        <v>17.42728408</v>
      </c>
      <c r="C19" s="194">
        <f>'Big Summary'!B66</f>
        <v>4.9495661000000002</v>
      </c>
      <c r="D19" s="194">
        <f>'Big Summary'!B112</f>
        <v>6.7359933600000002</v>
      </c>
      <c r="F19" s="7"/>
      <c r="H19" s="7"/>
    </row>
    <row r="20" spans="1:8" ht="14.1" customHeight="1">
      <c r="A20" s="191" t="s">
        <v>27</v>
      </c>
      <c r="B20" s="195" t="str">
        <f>'Big Summary'!B21</f>
        <v>-</v>
      </c>
      <c r="C20" s="196" t="str">
        <f>'Big Summary'!B67</f>
        <v>-</v>
      </c>
      <c r="D20" s="196" t="str">
        <f>'Big Summary'!B113</f>
        <v>-</v>
      </c>
      <c r="F20" s="7"/>
      <c r="H20" s="7"/>
    </row>
    <row r="21" spans="1:8" ht="14.1" customHeight="1">
      <c r="A21" s="193" t="s">
        <v>84</v>
      </c>
      <c r="B21" s="194" t="str">
        <f>'Big Summary'!B22</f>
        <v>-</v>
      </c>
      <c r="C21" s="194" t="str">
        <f>'Big Summary'!B68</f>
        <v>-</v>
      </c>
      <c r="D21" s="194" t="str">
        <f>'Big Summary'!B114</f>
        <v>-</v>
      </c>
      <c r="F21" s="7"/>
      <c r="H21" s="7"/>
    </row>
    <row r="22" spans="1:8" ht="14.1" customHeight="1">
      <c r="A22" s="197" t="s">
        <v>29</v>
      </c>
      <c r="B22" s="195"/>
      <c r="C22" s="195" t="str">
        <f>'Big Summary'!B69</f>
        <v>-</v>
      </c>
      <c r="D22" s="195" t="str">
        <f>'Big Summary'!B115</f>
        <v>-</v>
      </c>
      <c r="F22" s="7"/>
      <c r="H22" s="7"/>
    </row>
    <row r="23" spans="1:8" ht="14.1" customHeight="1">
      <c r="A23" s="193" t="s">
        <v>30</v>
      </c>
      <c r="B23" s="194">
        <f>'Big Summary'!B24</f>
        <v>9.497901279638258</v>
      </c>
      <c r="C23" s="194">
        <f>'Big Summary'!B70</f>
        <v>11.232363170559752</v>
      </c>
      <c r="D23" s="194">
        <f>'Big Summary'!B116</f>
        <v>13.229927235762583</v>
      </c>
      <c r="F23" s="7"/>
      <c r="H23" s="7"/>
    </row>
    <row r="24" spans="1:8" ht="14.1" customHeight="1">
      <c r="A24" s="197" t="s">
        <v>31</v>
      </c>
      <c r="B24" s="195">
        <f>'Big Summary'!B25</f>
        <v>1.1583688577283087</v>
      </c>
      <c r="C24" s="195">
        <f>'Big Summary'!B71</f>
        <v>1.0058158167747548</v>
      </c>
      <c r="D24" s="195">
        <f>'Big Summary'!B117</f>
        <v>0.89193767761034726</v>
      </c>
      <c r="F24" s="7"/>
      <c r="H24" s="7"/>
    </row>
    <row r="25" spans="1:8" ht="14.1" customHeight="1">
      <c r="A25" s="193" t="s">
        <v>32</v>
      </c>
      <c r="B25" s="194">
        <f>'Big Summary'!B26</f>
        <v>7.8500822729285229</v>
      </c>
      <c r="C25" s="194">
        <f>'Big Summary'!B72</f>
        <v>8.5253183938632553</v>
      </c>
      <c r="D25" s="194">
        <f>'Big Summary'!B118</f>
        <v>12.981682645398424</v>
      </c>
      <c r="F25" s="7"/>
      <c r="H25" s="7"/>
    </row>
    <row r="26" spans="1:8" ht="14.1" customHeight="1">
      <c r="A26" s="197" t="s">
        <v>33</v>
      </c>
      <c r="B26" s="195">
        <f>'Big Summary'!B27</f>
        <v>23.508311099590735</v>
      </c>
      <c r="C26" s="195">
        <f>'Big Summary'!B73</f>
        <v>27.277067964403606</v>
      </c>
      <c r="D26" s="195">
        <f>'Big Summary'!B119</f>
        <v>27.140647896321841</v>
      </c>
      <c r="F26" s="7"/>
      <c r="H26" s="7"/>
    </row>
    <row r="27" spans="1:8" ht="14.1" customHeight="1">
      <c r="A27" s="193" t="s">
        <v>34</v>
      </c>
      <c r="B27" s="194" t="str">
        <f>'Big Summary'!B28</f>
        <v>-</v>
      </c>
      <c r="C27" s="194">
        <f>'Big Summary'!B74</f>
        <v>18.994704236167465</v>
      </c>
      <c r="D27" s="194">
        <f>'Big Summary'!B120</f>
        <v>19.697297844451672</v>
      </c>
      <c r="F27" s="7"/>
      <c r="H27" s="7"/>
    </row>
    <row r="28" spans="1:8" ht="14.1" customHeight="1">
      <c r="A28" s="197" t="s">
        <v>35</v>
      </c>
      <c r="B28" s="195" t="str">
        <f>'Big Summary'!B29</f>
        <v>-</v>
      </c>
      <c r="C28" s="195">
        <f>'Big Summary'!B75</f>
        <v>7.4497303423408985</v>
      </c>
      <c r="D28" s="195">
        <f>'Big Summary'!B121</f>
        <v>7.3619983549521013</v>
      </c>
      <c r="F28" s="8">
        <f>(SUM(D19:D28)-SUM(B19:B28))/SUM(B19:B28)</f>
        <v>0.4811002765575112</v>
      </c>
      <c r="H28" s="8">
        <f>(SUM(D19:D28)-SUM(C19:C28))/SUM(C19:C28)</f>
        <v>0.10832713541577743</v>
      </c>
    </row>
    <row r="29" spans="1:8" ht="14.1" customHeight="1">
      <c r="A29" s="193" t="s">
        <v>36</v>
      </c>
      <c r="B29" s="194">
        <f>'Big Summary'!B30</f>
        <v>0.380276</v>
      </c>
      <c r="C29" s="194">
        <f>'Big Summary'!B76</f>
        <v>0.380276</v>
      </c>
      <c r="D29" s="194">
        <f>'Big Summary'!B122</f>
        <v>0.380276</v>
      </c>
      <c r="F29" s="7">
        <f>(D29-B29)/B29</f>
        <v>0</v>
      </c>
      <c r="H29" s="7">
        <f t="shared" si="0"/>
        <v>0</v>
      </c>
    </row>
    <row r="30" spans="1:8" ht="14.1" customHeight="1">
      <c r="A30" s="197" t="s">
        <v>37</v>
      </c>
      <c r="B30" s="195">
        <f>'Big Summary'!B31</f>
        <v>1.9023099999999999</v>
      </c>
      <c r="C30" s="195">
        <f>'Big Summary'!B77</f>
        <v>2.23697554</v>
      </c>
      <c r="D30" s="195">
        <f>'Big Summary'!B123</f>
        <v>2.3696280000000001</v>
      </c>
      <c r="F30" s="7">
        <f>(D30-B30)/B30</f>
        <v>0.2456581734838171</v>
      </c>
      <c r="H30" s="7">
        <f t="shared" si="0"/>
        <v>5.5980288889226529E-2</v>
      </c>
    </row>
    <row r="31" spans="1:8" ht="14.1" customHeight="1">
      <c r="A31" s="193" t="s">
        <v>38</v>
      </c>
      <c r="B31" s="194">
        <f>'Big Summary'!B32</f>
        <v>1.3180761303125301</v>
      </c>
      <c r="C31" s="194">
        <f>'Big Summary'!B78</f>
        <v>1.8456461126743029</v>
      </c>
      <c r="D31" s="194">
        <f>'Big Summary'!B124</f>
        <v>2.4028906222707977</v>
      </c>
      <c r="F31" s="7">
        <f>(D31-B31)/B31</f>
        <v>0.82302870601339728</v>
      </c>
      <c r="H31" s="7">
        <f t="shared" si="0"/>
        <v>0.23190589885022875</v>
      </c>
    </row>
    <row r="32" spans="1:8" ht="14.1" customHeight="1">
      <c r="A32" s="197" t="s">
        <v>39</v>
      </c>
      <c r="B32" s="195" t="str">
        <f>'Big Summary'!B33</f>
        <v>-</v>
      </c>
      <c r="C32" s="195" t="str">
        <f>'Big Summary'!B79</f>
        <v>-</v>
      </c>
      <c r="D32" s="195" t="str">
        <f>'Big Summary'!B125</f>
        <v>-</v>
      </c>
      <c r="F32" s="7"/>
      <c r="H32" s="7"/>
    </row>
    <row r="33" spans="1:9" ht="14.1" customHeight="1">
      <c r="A33" s="193" t="s">
        <v>40</v>
      </c>
      <c r="B33" s="194">
        <f>'Big Summary'!B34</f>
        <v>23.347843341481244</v>
      </c>
      <c r="C33" s="194">
        <f>'Big Summary'!B80</f>
        <v>31.293946119588202</v>
      </c>
      <c r="D33" s="194">
        <f>'Big Summary'!B126</f>
        <v>37.557479080379935</v>
      </c>
      <c r="F33" s="7">
        <f>(D33-B33)/B33</f>
        <v>0.60860592265723146</v>
      </c>
      <c r="H33" s="7">
        <f t="shared" si="0"/>
        <v>0.16677192170929833</v>
      </c>
    </row>
    <row r="34" spans="1:9" ht="14.1" customHeight="1">
      <c r="A34" s="197" t="s">
        <v>41</v>
      </c>
      <c r="B34" s="195">
        <f>'Big Summary'!B35</f>
        <v>5.396875472116208</v>
      </c>
      <c r="C34" s="195">
        <f>'Big Summary'!B81</f>
        <v>7.7970732347141709</v>
      </c>
      <c r="D34" s="195">
        <f>'Big Summary'!B127</f>
        <v>9.6883046098516878</v>
      </c>
      <c r="F34" s="7">
        <f>(D34-B34)/B34</f>
        <v>0.79516919741947212</v>
      </c>
      <c r="H34" s="7">
        <f t="shared" si="0"/>
        <v>0.19520767061910832</v>
      </c>
    </row>
    <row r="35" spans="1:9" ht="14.1" customHeight="1">
      <c r="A35" s="193" t="s">
        <v>42</v>
      </c>
      <c r="B35" s="194">
        <f>'Big Summary'!B36</f>
        <v>0</v>
      </c>
      <c r="C35" s="194">
        <f>'Big Summary'!B82</f>
        <v>8.0483653262528168E-2</v>
      </c>
      <c r="D35" s="194">
        <f>'Big Summary'!B128</f>
        <v>9.5516407328277528E-2</v>
      </c>
      <c r="F35" s="7"/>
      <c r="H35" s="7">
        <f t="shared" si="0"/>
        <v>0.15738399806102138</v>
      </c>
    </row>
    <row r="36" spans="1:9" ht="14.1" customHeight="1">
      <c r="A36" s="197" t="s">
        <v>43</v>
      </c>
      <c r="B36" s="195">
        <f>'Big Summary'!B37</f>
        <v>2.9028274047369958E-2</v>
      </c>
      <c r="C36" s="195">
        <f>'Big Summary'!B83</f>
        <v>3.752327516071996E-2</v>
      </c>
      <c r="D36" s="195">
        <f>'Big Summary'!B129</f>
        <v>4.6754046040602695E-2</v>
      </c>
      <c r="F36" s="7">
        <f>(D36-B36)/B36</f>
        <v>0.61063816485633393</v>
      </c>
      <c r="H36" s="7">
        <f t="shared" si="0"/>
        <v>0.1974325574275741</v>
      </c>
    </row>
    <row r="37" spans="1:9" ht="14.1" customHeight="1">
      <c r="A37" s="193" t="s">
        <v>44</v>
      </c>
      <c r="B37" s="194" t="str">
        <f>'Big Summary'!B38</f>
        <v>-</v>
      </c>
      <c r="C37" s="194" t="str">
        <f>'Big Summary'!B84</f>
        <v>-</v>
      </c>
      <c r="D37" s="194" t="str">
        <f>'Big Summary'!B130</f>
        <v>-</v>
      </c>
      <c r="F37" s="7"/>
      <c r="G37" s="8">
        <f>(SUM(D32:D37)-SUM(B32:B37))/SUM(B32:B37)</f>
        <v>0.64691981198196069</v>
      </c>
      <c r="H37" s="7"/>
      <c r="I37" s="8">
        <f>(SUM(D32:D37)-SUM(C32:C37))/SUM(C32:C37)</f>
        <v>0.20860063705479778</v>
      </c>
    </row>
    <row r="38" spans="1:9" ht="14.1" customHeight="1">
      <c r="A38" s="197" t="s">
        <v>45</v>
      </c>
      <c r="B38" s="195" t="str">
        <f>'Big Summary'!B39</f>
        <v>-</v>
      </c>
      <c r="C38" s="195" t="str">
        <f>'Big Summary'!B85</f>
        <v>-</v>
      </c>
      <c r="D38" s="195" t="str">
        <f>'Big Summary'!B131</f>
        <v>-</v>
      </c>
      <c r="F38" s="7"/>
      <c r="H38" s="7"/>
    </row>
    <row r="39" spans="1:9" ht="14.1" customHeight="1">
      <c r="A39" s="193" t="s">
        <v>46</v>
      </c>
      <c r="B39" s="194" t="str">
        <f>'Big Summary'!B40</f>
        <v>-</v>
      </c>
      <c r="C39" s="194" t="str">
        <f>'Big Summary'!B86</f>
        <v>-</v>
      </c>
      <c r="D39" s="194" t="str">
        <f>'Big Summary'!B132</f>
        <v>-</v>
      </c>
      <c r="F39" s="7"/>
      <c r="H39" s="7"/>
    </row>
    <row r="40" spans="1:9" ht="14.1" customHeight="1">
      <c r="A40" s="197" t="s">
        <v>47</v>
      </c>
      <c r="B40" s="195">
        <f>'Big Summary'!B41</f>
        <v>6.0205424409098498</v>
      </c>
      <c r="C40" s="195">
        <f>'Big Summary'!B87</f>
        <v>7.5788633846179358</v>
      </c>
      <c r="D40" s="195">
        <f>'Big Summary'!B133</f>
        <v>9.6103098323597571</v>
      </c>
      <c r="F40" s="7">
        <f>(D40-B40)/B40</f>
        <v>0.5962531493935298</v>
      </c>
      <c r="H40" s="7">
        <f t="shared" si="0"/>
        <v>0.21138199321124396</v>
      </c>
    </row>
    <row r="41" spans="1:9" ht="14.1" customHeight="1">
      <c r="A41" s="198" t="s">
        <v>25</v>
      </c>
      <c r="B41" s="199">
        <f>'Big Summary'!B42</f>
        <v>97.836899248753042</v>
      </c>
      <c r="C41" s="199">
        <f>'Big Summary'!B88</f>
        <v>130.68535334412761</v>
      </c>
      <c r="D41" s="199">
        <f>'Big Summary'!B134</f>
        <v>150.19064361272802</v>
      </c>
      <c r="F41" s="7">
        <f>(D41-B41)/B41</f>
        <v>0.53511246539880752</v>
      </c>
      <c r="H41" s="7">
        <f t="shared" si="0"/>
        <v>0.12987020895186727</v>
      </c>
    </row>
    <row r="42" spans="1:9" ht="14.1" customHeight="1">
      <c r="A42" s="191"/>
      <c r="B42" s="196"/>
      <c r="C42" s="196"/>
      <c r="D42" s="196"/>
      <c r="F42" s="7"/>
      <c r="H42" s="7"/>
    </row>
    <row r="43" spans="1:9" ht="14.1" customHeight="1">
      <c r="A43" s="201" t="s">
        <v>48</v>
      </c>
      <c r="B43" s="202">
        <f>'Big Summary'!B44</f>
        <v>1.404592223135672</v>
      </c>
      <c r="C43" s="202">
        <f>'Big Summary'!B90</f>
        <v>1.0493522751798925</v>
      </c>
      <c r="D43" s="202">
        <f>'Big Summary'!B136</f>
        <v>1.0404772501855564</v>
      </c>
      <c r="F43" s="7">
        <f>(D43-B43)/B43</f>
        <v>-0.25923180190849249</v>
      </c>
      <c r="H43" s="7">
        <f t="shared" si="0"/>
        <v>-8.5297636183331929E-3</v>
      </c>
    </row>
    <row r="44" spans="1:9" ht="14.1" customHeight="1">
      <c r="A44" s="201" t="s">
        <v>49</v>
      </c>
      <c r="B44" s="202">
        <f>'Big Summary'!B45</f>
        <v>0.98592860577461638</v>
      </c>
      <c r="C44" s="202">
        <f>'Big Summary'!B91</f>
        <v>0.90010269485899774</v>
      </c>
      <c r="D44" s="202">
        <f>'Big Summary'!B137</f>
        <v>0.9922892767685132</v>
      </c>
      <c r="F44" s="7">
        <f>(D44-B44)/B44</f>
        <v>6.4514519171491235E-3</v>
      </c>
      <c r="H44" s="7">
        <f t="shared" si="0"/>
        <v>9.290293069550247E-2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4"/>
  <sheetViews>
    <sheetView showGridLines="0" zoomScale="85" zoomScaleNormal="85" workbookViewId="0">
      <selection activeCell="B2" sqref="B2"/>
    </sheetView>
  </sheetViews>
  <sheetFormatPr defaultRowHeight="15"/>
  <cols>
    <col min="1" max="1" width="28.7109375" customWidth="1"/>
    <col min="2" max="4" width="10.28515625" customWidth="1"/>
    <col min="7" max="7" width="12.28515625" customWidth="1"/>
  </cols>
  <sheetData>
    <row r="1" spans="1:9" s="36" customFormat="1" ht="14.1" customHeight="1">
      <c r="A1" s="1" t="s">
        <v>85</v>
      </c>
    </row>
    <row r="2" spans="1:9" ht="14.1" customHeight="1">
      <c r="A2" s="192" t="s">
        <v>73</v>
      </c>
      <c r="B2" s="207" t="s">
        <v>74</v>
      </c>
      <c r="C2" s="192">
        <v>2011</v>
      </c>
      <c r="D2" s="192">
        <v>2016</v>
      </c>
      <c r="F2" t="s">
        <v>75</v>
      </c>
      <c r="H2" t="s">
        <v>75</v>
      </c>
    </row>
    <row r="3" spans="1:9" ht="14.1" customHeight="1">
      <c r="A3" s="193" t="s">
        <v>11</v>
      </c>
      <c r="B3" s="194">
        <f>'Big Summary'!C5</f>
        <v>6.3834438692718773</v>
      </c>
      <c r="C3" s="194">
        <f>'Big Summary'!C51</f>
        <v>2.6848351865343489</v>
      </c>
      <c r="D3" s="194">
        <f>'Big Summary'!C96</f>
        <v>3.8725772300000001</v>
      </c>
      <c r="F3" s="7"/>
      <c r="H3" s="7"/>
    </row>
    <row r="4" spans="1:9" ht="14.1" customHeight="1">
      <c r="A4" s="191" t="s">
        <v>13</v>
      </c>
      <c r="B4" s="195">
        <f>'Big Summary'!C6</f>
        <v>25.500670559233544</v>
      </c>
      <c r="C4" s="196">
        <f>'Big Summary'!C52</f>
        <v>38.702720954989836</v>
      </c>
      <c r="D4" s="196">
        <f>'Big Summary'!C97</f>
        <v>36.33588857021693</v>
      </c>
      <c r="F4" s="7">
        <f>(D4-B4)/B4</f>
        <v>0.42489933689449821</v>
      </c>
      <c r="H4" s="7">
        <f>(D4-C4)/D4</f>
        <v>-6.5137594755640654E-2</v>
      </c>
    </row>
    <row r="5" spans="1:9" ht="14.1" customHeight="1">
      <c r="A5" s="193" t="s">
        <v>14</v>
      </c>
      <c r="B5" s="194">
        <f>'Big Summary'!C7</f>
        <v>16.372249528504899</v>
      </c>
      <c r="C5" s="194">
        <f>'Big Summary'!C53</f>
        <v>19.67323285870571</v>
      </c>
      <c r="D5" s="194">
        <f>'Big Summary'!C98</f>
        <v>25.319894378920345</v>
      </c>
      <c r="F5" s="7">
        <f>(D5-B5)/B5</f>
        <v>0.54651285608841682</v>
      </c>
      <c r="H5" s="7">
        <f>(D5-C5)/D5</f>
        <v>0.22301283866790808</v>
      </c>
    </row>
    <row r="6" spans="1:9" ht="14.1" customHeight="1">
      <c r="A6" s="191" t="s">
        <v>15</v>
      </c>
      <c r="B6" s="195">
        <f>'Big Summary'!C8</f>
        <v>1.2585614557120357</v>
      </c>
      <c r="C6" s="196">
        <f>'Big Summary'!C54</f>
        <v>1.5249221896264735</v>
      </c>
      <c r="D6" s="196">
        <f>'Big Summary'!C99</f>
        <v>2.8186343452871494</v>
      </c>
      <c r="F6" s="7">
        <f t="shared" ref="F6:F44" si="0">(D6-B6)/B6</f>
        <v>1.2395683043483139</v>
      </c>
      <c r="H6" s="7">
        <f>(D6-C6)/D6</f>
        <v>0.4589854508172746</v>
      </c>
    </row>
    <row r="7" spans="1:9" ht="14.1" customHeight="1">
      <c r="A7" s="193" t="s">
        <v>16</v>
      </c>
      <c r="B7" s="194">
        <f>'Big Summary'!C9</f>
        <v>1.1861571606576411</v>
      </c>
      <c r="C7" s="194">
        <f>'Big Summary'!C55</f>
        <v>1.2221791682535537</v>
      </c>
      <c r="D7" s="194">
        <f>'Big Summary'!C100</f>
        <v>1.3347608303410767</v>
      </c>
      <c r="F7" s="7">
        <f t="shared" si="0"/>
        <v>0.12528160231401825</v>
      </c>
      <c r="H7" s="7">
        <f t="shared" ref="H7:H44" si="1">(D7-C7)/D7</f>
        <v>8.4345943878765636E-2</v>
      </c>
    </row>
    <row r="8" spans="1:9" ht="14.1" customHeight="1">
      <c r="A8" s="191" t="s">
        <v>76</v>
      </c>
      <c r="B8" s="195">
        <f>'Big Summary'!C10</f>
        <v>5.4569822213273591</v>
      </c>
      <c r="C8" s="196">
        <f>'Big Summary'!C56</f>
        <v>7.4332461763223936</v>
      </c>
      <c r="D8" s="196">
        <f>'Big Summary'!C101</f>
        <v>9.2333804638426908</v>
      </c>
      <c r="F8" s="7">
        <f t="shared" si="0"/>
        <v>0.69203051968103324</v>
      </c>
      <c r="H8" s="7">
        <f t="shared" si="1"/>
        <v>0.19495939700194359</v>
      </c>
    </row>
    <row r="9" spans="1:9" ht="14.1" customHeight="1">
      <c r="A9" s="193" t="s">
        <v>77</v>
      </c>
      <c r="B9" s="194" t="str">
        <f>'Big Summary'!C11</f>
        <v>-</v>
      </c>
      <c r="C9" s="194">
        <f>'Big Summary'!C57</f>
        <v>0.62892009747079525</v>
      </c>
      <c r="D9" s="194">
        <f>'Big Summary'!C102</f>
        <v>0.82988706466130491</v>
      </c>
      <c r="F9" s="7"/>
      <c r="H9" s="7">
        <f t="shared" si="1"/>
        <v>0.24216182628720534</v>
      </c>
    </row>
    <row r="10" spans="1:9" ht="14.1" customHeight="1">
      <c r="A10" s="191" t="s">
        <v>78</v>
      </c>
      <c r="B10" s="195">
        <f>'Big Summary'!C12</f>
        <v>0.15330083114241644</v>
      </c>
      <c r="C10" s="196">
        <f>'Big Summary'!C58</f>
        <v>0.18074723338503709</v>
      </c>
      <c r="D10" s="196">
        <f>'Big Summary'!C103</f>
        <v>0.21923168347071109</v>
      </c>
      <c r="F10" s="7">
        <f t="shared" si="0"/>
        <v>0.43007498287497808</v>
      </c>
      <c r="H10" s="7">
        <f t="shared" si="1"/>
        <v>0.17554237360411204</v>
      </c>
    </row>
    <row r="11" spans="1:9" ht="14.1" customHeight="1">
      <c r="A11" s="193" t="s">
        <v>79</v>
      </c>
      <c r="B11" s="194" t="str">
        <f>'Big Summary'!C13</f>
        <v>-</v>
      </c>
      <c r="C11" s="194" t="str">
        <f>'Big Summary'!C59</f>
        <v>-</v>
      </c>
      <c r="D11" s="194" t="str">
        <f>'Big Summary'!C104</f>
        <v>-</v>
      </c>
      <c r="F11" s="7"/>
      <c r="H11" s="7"/>
    </row>
    <row r="12" spans="1:9" ht="14.1" customHeight="1">
      <c r="A12" s="191" t="s">
        <v>80</v>
      </c>
      <c r="B12" s="195" t="str">
        <f>'Big Summary'!C14</f>
        <v>-</v>
      </c>
      <c r="C12" s="196" t="str">
        <f>'Big Summary'!C60</f>
        <v>-</v>
      </c>
      <c r="D12" s="196" t="str">
        <f>'Big Summary'!C105</f>
        <v>-</v>
      </c>
      <c r="F12" s="7"/>
      <c r="H12" s="7"/>
    </row>
    <row r="13" spans="1:9" ht="14.1" customHeight="1">
      <c r="A13" s="193" t="s">
        <v>81</v>
      </c>
      <c r="B13" s="194">
        <f>'Big Summary'!C15</f>
        <v>1.8225602324421892</v>
      </c>
      <c r="C13" s="194">
        <f>'Big Summary'!C61</f>
        <v>1.9039037513902857</v>
      </c>
      <c r="D13" s="194">
        <f>'Big Summary'!C106</f>
        <v>2.4652117088086842</v>
      </c>
      <c r="F13" s="7">
        <f t="shared" si="0"/>
        <v>0.35260918400779362</v>
      </c>
      <c r="G13" s="8">
        <f>(SUM(D4:D13)-SUM(B4:B13))/SUM(B4:B13)</f>
        <v>0.51799337950545721</v>
      </c>
      <c r="H13" s="7">
        <f>(D13-C13)/D13</f>
        <v>0.22769158340954462</v>
      </c>
      <c r="I13" s="8">
        <f>(SUM(D4:D13)-SUM(C4:C13))/SUM(C4:C13)</f>
        <v>0.10224540001172662</v>
      </c>
    </row>
    <row r="14" spans="1:9" ht="14.1" customHeight="1">
      <c r="A14" s="197" t="s">
        <v>86</v>
      </c>
      <c r="B14" s="195">
        <f>'Big Summary'!C16</f>
        <v>2.392879376704073</v>
      </c>
      <c r="C14" s="195" t="str">
        <f>'Big Summary'!C62</f>
        <v>-</v>
      </c>
      <c r="D14" s="195">
        <f>'Big Summary'!C107</f>
        <v>2.3097940614065927E-2</v>
      </c>
      <c r="F14" s="7">
        <f t="shared" si="0"/>
        <v>-0.99034721898690903</v>
      </c>
      <c r="H14" s="7"/>
    </row>
    <row r="15" spans="1:9" ht="14.1" customHeight="1">
      <c r="A15" s="193" t="s">
        <v>24</v>
      </c>
      <c r="B15" s="194">
        <f>'Big Summary'!C17</f>
        <v>39.021497516244516</v>
      </c>
      <c r="C15" s="194">
        <f>'Big Summary'!C63</f>
        <v>20.892887117556441</v>
      </c>
      <c r="D15" s="194">
        <f>'Big Summary'!C108</f>
        <v>22.931081805356666</v>
      </c>
      <c r="E15" s="139"/>
      <c r="F15" s="7">
        <f t="shared" si="0"/>
        <v>-0.41234746832023722</v>
      </c>
      <c r="H15" s="8">
        <f t="shared" si="1"/>
        <v>8.8883494686417513E-2</v>
      </c>
    </row>
    <row r="16" spans="1:9" ht="14.1" customHeight="1">
      <c r="A16" s="203" t="s">
        <v>25</v>
      </c>
      <c r="B16" s="204">
        <f>'Big Summary'!C18</f>
        <v>99.548302751240556</v>
      </c>
      <c r="C16" s="204">
        <f>'Big Summary'!C64</f>
        <v>94.847594734234875</v>
      </c>
      <c r="D16" s="204">
        <f>'Big Summary'!C109</f>
        <v>105.38364602151964</v>
      </c>
      <c r="F16" s="7">
        <f t="shared" si="0"/>
        <v>5.8618209542566649E-2</v>
      </c>
      <c r="H16" s="7">
        <f t="shared" si="1"/>
        <v>9.9978048635110534E-2</v>
      </c>
    </row>
    <row r="17" spans="1:8" ht="14.1" customHeight="1">
      <c r="A17" s="191"/>
      <c r="B17" s="196"/>
      <c r="C17" s="196"/>
      <c r="D17" s="196"/>
      <c r="F17" s="7"/>
      <c r="H17" s="7"/>
    </row>
    <row r="18" spans="1:8" ht="14.1" customHeight="1">
      <c r="A18" s="192" t="s">
        <v>83</v>
      </c>
      <c r="B18" s="200"/>
      <c r="C18" s="200"/>
      <c r="D18" s="200"/>
      <c r="F18" s="7"/>
      <c r="H18" s="7"/>
    </row>
    <row r="19" spans="1:8" ht="14.1" customHeight="1">
      <c r="A19" s="193" t="s">
        <v>26</v>
      </c>
      <c r="B19" s="194">
        <f>'Big Summary'!C20</f>
        <v>21.668492369999996</v>
      </c>
      <c r="C19" s="194">
        <f>'Big Summary'!C66</f>
        <v>5.2924726700000004</v>
      </c>
      <c r="D19" s="194">
        <f>'Big Summary'!C112</f>
        <v>7.9278017900000002</v>
      </c>
      <c r="F19" s="7"/>
      <c r="H19" s="7"/>
    </row>
    <row r="20" spans="1:8" ht="14.1" customHeight="1">
      <c r="A20" s="191" t="s">
        <v>27</v>
      </c>
      <c r="B20" s="195" t="str">
        <f>'Big Summary'!C21</f>
        <v>-</v>
      </c>
      <c r="C20" s="196" t="str">
        <f>'Big Summary'!C67</f>
        <v>-</v>
      </c>
      <c r="D20" s="196" t="str">
        <f>'Big Summary'!C113</f>
        <v>-</v>
      </c>
      <c r="F20" s="7"/>
      <c r="H20" s="7"/>
    </row>
    <row r="21" spans="1:8" ht="14.1" customHeight="1">
      <c r="A21" s="193" t="s">
        <v>84</v>
      </c>
      <c r="B21" s="194" t="str">
        <f>'Big Summary'!C22</f>
        <v>-</v>
      </c>
      <c r="C21" s="194" t="str">
        <f>'Big Summary'!C68</f>
        <v>-</v>
      </c>
      <c r="D21" s="194" t="str">
        <f>'Big Summary'!C114</f>
        <v>-</v>
      </c>
      <c r="F21" s="7"/>
      <c r="H21" s="7"/>
    </row>
    <row r="22" spans="1:8" ht="14.1" customHeight="1">
      <c r="A22" s="197" t="s">
        <v>29</v>
      </c>
      <c r="B22" s="195"/>
      <c r="C22" s="195" t="str">
        <f>'Big Summary'!C69</f>
        <v>-</v>
      </c>
      <c r="D22" s="195" t="str">
        <f>'Big Summary'!C115</f>
        <v>-</v>
      </c>
      <c r="F22" s="7"/>
      <c r="H22" s="7"/>
    </row>
    <row r="23" spans="1:8" ht="14.1" customHeight="1">
      <c r="A23" s="193" t="s">
        <v>30</v>
      </c>
      <c r="B23" s="194">
        <f>'Big Summary'!C24</f>
        <v>12.000186453273338</v>
      </c>
      <c r="C23" s="194">
        <f>'Big Summary'!C70</f>
        <v>16.394658665621566</v>
      </c>
      <c r="D23" s="194">
        <f>'Big Summary'!C116</f>
        <v>20.056022765783847</v>
      </c>
      <c r="F23" s="7"/>
      <c r="H23" s="7"/>
    </row>
    <row r="24" spans="1:8" ht="14.1" customHeight="1">
      <c r="A24" s="197" t="s">
        <v>31</v>
      </c>
      <c r="B24" s="195">
        <f>'Big Summary'!C25</f>
        <v>1.3851508822180039</v>
      </c>
      <c r="C24" s="195">
        <f>'Big Summary'!C71</f>
        <v>1.2411795297150288</v>
      </c>
      <c r="D24" s="195">
        <f>'Big Summary'!C117</f>
        <v>1.1448609288339042</v>
      </c>
      <c r="F24" s="7"/>
      <c r="H24" s="7"/>
    </row>
    <row r="25" spans="1:8" ht="14.1" customHeight="1">
      <c r="A25" s="193" t="s">
        <v>32</v>
      </c>
      <c r="B25" s="194">
        <f>'Big Summary'!C26</f>
        <v>9.733841159668394</v>
      </c>
      <c r="C25" s="194">
        <f>'Big Summary'!C72</f>
        <v>11.287639752823672</v>
      </c>
      <c r="D25" s="194">
        <f>'Big Summary'!C118</f>
        <v>17.625990706260836</v>
      </c>
      <c r="F25" s="7"/>
      <c r="H25" s="7"/>
    </row>
    <row r="26" spans="1:8" ht="14.1" customHeight="1">
      <c r="A26" s="197" t="s">
        <v>33</v>
      </c>
      <c r="B26" s="195">
        <f>'Big Summary'!C27</f>
        <v>27.852797983068367</v>
      </c>
      <c r="C26" s="195">
        <f>'Big Summary'!C73</f>
        <v>32.363218730375962</v>
      </c>
      <c r="D26" s="195">
        <f>'Big Summary'!C119</f>
        <v>32.63725260725446</v>
      </c>
      <c r="F26" s="7"/>
      <c r="H26" s="7"/>
    </row>
    <row r="27" spans="1:8" ht="14.1" customHeight="1">
      <c r="A27" s="193" t="s">
        <v>34</v>
      </c>
      <c r="B27" s="194" t="str">
        <f>'Big Summary'!C28</f>
        <v>-</v>
      </c>
      <c r="C27" s="194">
        <f>'Big Summary'!C74</f>
        <v>18.78688801969146</v>
      </c>
      <c r="D27" s="194">
        <f>'Big Summary'!C120</f>
        <v>22.016933608395227</v>
      </c>
      <c r="F27" s="7"/>
      <c r="H27" s="7"/>
    </row>
    <row r="28" spans="1:8" ht="14.1" customHeight="1">
      <c r="A28" s="197" t="s">
        <v>35</v>
      </c>
      <c r="B28" s="195" t="str">
        <f>'Big Summary'!C29</f>
        <v>-</v>
      </c>
      <c r="C28" s="195">
        <f>'Big Summary'!C75</f>
        <v>8.8020091418211219</v>
      </c>
      <c r="D28" s="195">
        <f>'Big Summary'!C121</f>
        <v>8.8317188457929436</v>
      </c>
      <c r="F28" s="8">
        <f>(SUM(D19:D28)-SUM(B19:B28))/SUM(B19:B28)</f>
        <v>0.51761935186091923</v>
      </c>
      <c r="H28" s="8">
        <f>(SUM(D19:D28)-SUM(C19:C28))/SUM(C19:C28)</f>
        <v>0.1706790352391625</v>
      </c>
    </row>
    <row r="29" spans="1:8" ht="14.1" customHeight="1">
      <c r="A29" s="193" t="s">
        <v>36</v>
      </c>
      <c r="B29" s="194">
        <f>'Big Summary'!C30</f>
        <v>0.14626</v>
      </c>
      <c r="C29" s="194">
        <f>'Big Summary'!C76</f>
        <v>0.14626</v>
      </c>
      <c r="D29" s="194">
        <f>'Big Summary'!C122</f>
        <v>0.14626</v>
      </c>
      <c r="F29" s="7">
        <f t="shared" si="0"/>
        <v>0</v>
      </c>
      <c r="H29" s="7">
        <f t="shared" si="1"/>
        <v>0</v>
      </c>
    </row>
    <row r="30" spans="1:8" ht="14.1" customHeight="1">
      <c r="A30" s="197" t="s">
        <v>37</v>
      </c>
      <c r="B30" s="195">
        <f>'Big Summary'!C31</f>
        <v>0.39353399999999999</v>
      </c>
      <c r="C30" s="195">
        <f>'Big Summary'!C77</f>
        <v>0.46276782999999999</v>
      </c>
      <c r="D30" s="195">
        <f>'Big Summary'!C123</f>
        <v>0.49020999999999998</v>
      </c>
      <c r="F30" s="7">
        <f t="shared" si="0"/>
        <v>0.24566111187343403</v>
      </c>
      <c r="H30" s="7">
        <f t="shared" si="1"/>
        <v>5.5980436955590442E-2</v>
      </c>
    </row>
    <row r="31" spans="1:8" ht="14.1" customHeight="1">
      <c r="A31" s="193" t="s">
        <v>38</v>
      </c>
      <c r="B31" s="194">
        <f>'Big Summary'!C32</f>
        <v>0.44279382682356777</v>
      </c>
      <c r="C31" s="194">
        <f>'Big Summary'!C78</f>
        <v>0.53235418124912615</v>
      </c>
      <c r="D31" s="194">
        <f>'Big Summary'!C124</f>
        <v>0.72294993903376215</v>
      </c>
      <c r="F31" s="7">
        <f t="shared" si="0"/>
        <v>0.63270103429382996</v>
      </c>
      <c r="H31" s="7">
        <f t="shared" si="1"/>
        <v>0.26363617657865945</v>
      </c>
    </row>
    <row r="32" spans="1:8" ht="14.1" customHeight="1">
      <c r="A32" s="197" t="s">
        <v>39</v>
      </c>
      <c r="B32" s="195">
        <f>'Big Summary'!C33</f>
        <v>8.4362470983548032</v>
      </c>
      <c r="C32" s="195">
        <f>'Big Summary'!C79</f>
        <v>9.0043721950504239</v>
      </c>
      <c r="D32" s="195">
        <f>'Big Summary'!C125</f>
        <v>9.5021342072587398</v>
      </c>
      <c r="F32" s="7">
        <f t="shared" si="0"/>
        <v>0.12634612244961396</v>
      </c>
      <c r="H32" s="7"/>
    </row>
    <row r="33" spans="1:9" ht="14.1" customHeight="1">
      <c r="A33" s="193" t="s">
        <v>40</v>
      </c>
      <c r="B33" s="194">
        <f>'Big Summary'!C34</f>
        <v>5.9972064641540745</v>
      </c>
      <c r="C33" s="194">
        <f>'Big Summary'!C80</f>
        <v>8.0382694543716706</v>
      </c>
      <c r="D33" s="194">
        <f>'Big Summary'!C126</f>
        <v>9.6471418376364788</v>
      </c>
      <c r="F33" s="7">
        <f t="shared" si="0"/>
        <v>0.60860592265723168</v>
      </c>
      <c r="H33" s="7">
        <f t="shared" si="1"/>
        <v>0.16677192170929842</v>
      </c>
    </row>
    <row r="34" spans="1:9" ht="14.1" customHeight="1">
      <c r="A34" s="197" t="s">
        <v>41</v>
      </c>
      <c r="B34" s="195">
        <f>'Big Summary'!C35</f>
        <v>3.2684162206299883</v>
      </c>
      <c r="C34" s="195">
        <f>'Big Summary'!C81</f>
        <v>4.7895795097031346</v>
      </c>
      <c r="D34" s="195">
        <f>'Big Summary'!C127</f>
        <v>5.9840068668280262</v>
      </c>
      <c r="F34" s="7">
        <f t="shared" si="0"/>
        <v>0.83085826984257438</v>
      </c>
      <c r="H34" s="7">
        <f t="shared" si="1"/>
        <v>0.19960327314230306</v>
      </c>
    </row>
    <row r="35" spans="1:9" ht="14.1" customHeight="1">
      <c r="A35" s="193" t="s">
        <v>42</v>
      </c>
      <c r="B35" s="194">
        <f>'Big Summary'!C36</f>
        <v>0</v>
      </c>
      <c r="C35" s="194">
        <f>'Big Summary'!C82</f>
        <v>0</v>
      </c>
      <c r="D35" s="194">
        <f>'Big Summary'!C128</f>
        <v>0</v>
      </c>
      <c r="F35" s="7"/>
      <c r="H35" s="7"/>
    </row>
    <row r="36" spans="1:9" ht="14.1" customHeight="1">
      <c r="A36" s="197" t="s">
        <v>43</v>
      </c>
      <c r="B36" s="195">
        <f>'Big Summary'!C37</f>
        <v>8.1231711793957606E-2</v>
      </c>
      <c r="C36" s="195">
        <f>'Big Summary'!C83</f>
        <v>0.10500382724949285</v>
      </c>
      <c r="D36" s="195">
        <f>'Big Summary'!C129</f>
        <v>0.13083489521195849</v>
      </c>
      <c r="F36" s="7">
        <f t="shared" si="0"/>
        <v>0.61063816485633382</v>
      </c>
      <c r="H36" s="7">
        <f t="shared" si="1"/>
        <v>0.1974325574275741</v>
      </c>
    </row>
    <row r="37" spans="1:9" ht="14.1" customHeight="1">
      <c r="A37" s="193" t="s">
        <v>44</v>
      </c>
      <c r="B37" s="194" t="str">
        <f>'Big Summary'!C38</f>
        <v>-</v>
      </c>
      <c r="C37" s="194" t="str">
        <f>'Big Summary'!C84</f>
        <v>-</v>
      </c>
      <c r="D37" s="194" t="str">
        <f>'Big Summary'!C130</f>
        <v>-</v>
      </c>
      <c r="F37" s="7"/>
      <c r="G37" s="8">
        <f>(SUM(D32:D37)-SUM(B32:B37))/SUM(B32:B37)</f>
        <v>0.42068119074358568</v>
      </c>
      <c r="H37" s="7"/>
      <c r="I37" s="8">
        <f>(SUM(D32:D37)-SUM(C32:C37))/SUM(C32:C37)</f>
        <v>0.15165513516986859</v>
      </c>
    </row>
    <row r="38" spans="1:9" ht="14.1" customHeight="1">
      <c r="A38" s="197" t="s">
        <v>45</v>
      </c>
      <c r="B38" s="195" t="str">
        <f>'Big Summary'!C39</f>
        <v>-</v>
      </c>
      <c r="C38" s="195" t="str">
        <f>'Big Summary'!C85</f>
        <v>-</v>
      </c>
      <c r="D38" s="195" t="str">
        <f>'Big Summary'!C131</f>
        <v>-</v>
      </c>
      <c r="F38" s="7"/>
      <c r="H38" s="7"/>
    </row>
    <row r="39" spans="1:9" ht="14.1" customHeight="1">
      <c r="A39" s="193" t="s">
        <v>46</v>
      </c>
      <c r="B39" s="194" t="str">
        <f>'Big Summary'!C40</f>
        <v>-</v>
      </c>
      <c r="C39" s="194" t="str">
        <f>'Big Summary'!C86</f>
        <v>-</v>
      </c>
      <c r="D39" s="194" t="str">
        <f>'Big Summary'!C132</f>
        <v>-</v>
      </c>
      <c r="F39" s="7"/>
      <c r="H39" s="7"/>
    </row>
    <row r="40" spans="1:9" ht="14.1" customHeight="1">
      <c r="A40" s="197" t="s">
        <v>47</v>
      </c>
      <c r="B40" s="195">
        <f>'Big Summary'!C41</f>
        <v>7.0791102978557641</v>
      </c>
      <c r="C40" s="195">
        <f>'Big Summary'!C87</f>
        <v>8.7523669991295545</v>
      </c>
      <c r="D40" s="195">
        <f>'Big Summary'!C133</f>
        <v>11.116024349553287</v>
      </c>
      <c r="F40" s="7">
        <f t="shared" si="0"/>
        <v>0.57025726141324418</v>
      </c>
      <c r="H40" s="7">
        <f t="shared" si="1"/>
        <v>0.21263513609690135</v>
      </c>
    </row>
    <row r="41" spans="1:9" ht="14.1" customHeight="1">
      <c r="A41" s="198" t="s">
        <v>25</v>
      </c>
      <c r="B41" s="199">
        <f>'Big Summary'!C42</f>
        <v>98.485268467840243</v>
      </c>
      <c r="C41" s="199">
        <f>'Big Summary'!C88</f>
        <v>125.9990405068022</v>
      </c>
      <c r="D41" s="199">
        <f>'Big Summary'!C134</f>
        <v>147.98014334784349</v>
      </c>
      <c r="F41" s="7">
        <f t="shared" si="0"/>
        <v>0.50256120179197661</v>
      </c>
      <c r="H41" s="7">
        <f t="shared" si="1"/>
        <v>0.14854089436426823</v>
      </c>
    </row>
    <row r="42" spans="1:9" ht="14.1" customHeight="1">
      <c r="A42" s="191"/>
      <c r="B42" s="196"/>
      <c r="C42" s="196"/>
      <c r="D42" s="196"/>
      <c r="F42" s="7"/>
      <c r="H42" s="7"/>
    </row>
    <row r="43" spans="1:9" ht="14.1" customHeight="1">
      <c r="A43" s="201" t="s">
        <v>48</v>
      </c>
      <c r="B43" s="202">
        <f>'Big Summary'!C44</f>
        <v>1.0107938405401966</v>
      </c>
      <c r="C43" s="202">
        <f>'Big Summary'!C90</f>
        <v>0.75276442068711169</v>
      </c>
      <c r="D43" s="202">
        <f>'Big Summary'!C136</f>
        <v>0.71214720865490622</v>
      </c>
      <c r="F43" s="7">
        <f t="shared" si="0"/>
        <v>-0.29545751062915582</v>
      </c>
      <c r="H43" s="7">
        <f t="shared" si="1"/>
        <v>-5.7034853943923616E-2</v>
      </c>
    </row>
    <row r="44" spans="1:9" ht="14.1" customHeight="1">
      <c r="A44" s="201" t="s">
        <v>49</v>
      </c>
      <c r="B44" s="202">
        <f>'Big Summary'!C45</f>
        <v>0.70950881367161434</v>
      </c>
      <c r="C44" s="202">
        <f>'Big Summary'!C91</f>
        <v>0.64569858919711698</v>
      </c>
      <c r="D44" s="202">
        <f>'Big Summary'!C137</f>
        <v>0.67916529506326917</v>
      </c>
      <c r="F44" s="7">
        <f t="shared" si="0"/>
        <v>-4.2766936821153026E-2</v>
      </c>
      <c r="H44" s="7">
        <f t="shared" si="1"/>
        <v>4.9276230851923203E-2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4"/>
  <sheetViews>
    <sheetView showGridLines="0" zoomScale="85" zoomScaleNormal="85" workbookViewId="0">
      <selection activeCell="A18" sqref="A18"/>
    </sheetView>
  </sheetViews>
  <sheetFormatPr defaultRowHeight="15"/>
  <cols>
    <col min="1" max="1" width="28.7109375" customWidth="1"/>
    <col min="2" max="4" width="10.28515625" customWidth="1"/>
  </cols>
  <sheetData>
    <row r="1" spans="1:9" s="36" customFormat="1" ht="14.1" customHeight="1">
      <c r="A1" s="1" t="s">
        <v>87</v>
      </c>
    </row>
    <row r="2" spans="1:9" ht="14.1" customHeight="1">
      <c r="A2" s="192" t="s">
        <v>73</v>
      </c>
      <c r="B2" s="207" t="s">
        <v>74</v>
      </c>
      <c r="C2" s="192">
        <v>2011</v>
      </c>
      <c r="D2" s="192">
        <v>2016</v>
      </c>
      <c r="F2" t="s">
        <v>75</v>
      </c>
      <c r="H2" t="s">
        <v>75</v>
      </c>
    </row>
    <row r="3" spans="1:9" ht="14.1" customHeight="1">
      <c r="A3" s="193" t="s">
        <v>11</v>
      </c>
      <c r="B3" s="194">
        <f>'Big Summary'!D5</f>
        <v>7.9084873099349036</v>
      </c>
      <c r="C3" s="194">
        <f>'Big Summary'!D51</f>
        <v>1.6856060857906128</v>
      </c>
      <c r="D3" s="194">
        <f>'Big Summary'!D96</f>
        <v>2.34895845</v>
      </c>
      <c r="F3" s="7"/>
      <c r="H3" s="7"/>
    </row>
    <row r="4" spans="1:9" ht="14.1" customHeight="1">
      <c r="A4" s="191" t="s">
        <v>13</v>
      </c>
      <c r="B4" s="195">
        <f>'Big Summary'!D6</f>
        <v>5.4111320507664535</v>
      </c>
      <c r="C4" s="196">
        <f>'Big Summary'!D52</f>
        <v>12.391259285010172</v>
      </c>
      <c r="D4" s="196">
        <f>'Big Summary'!D97</f>
        <v>9.6283315997830758</v>
      </c>
      <c r="F4" s="7">
        <f>(D4-B4)/B4</f>
        <v>0.77935624365686695</v>
      </c>
      <c r="H4" s="7">
        <f>(D4-C4)/D4</f>
        <v>-0.28695809409901751</v>
      </c>
    </row>
    <row r="5" spans="1:9" ht="14.1" customHeight="1">
      <c r="A5" s="193" t="s">
        <v>14</v>
      </c>
      <c r="B5" s="194">
        <f>'Big Summary'!D7</f>
        <v>5.941117557196276</v>
      </c>
      <c r="C5" s="194">
        <f>'Big Summary'!D53</f>
        <v>7.1389694458401438</v>
      </c>
      <c r="D5" s="194">
        <f>'Big Summary'!D98</f>
        <v>9.1880146817366501</v>
      </c>
      <c r="F5" s="7">
        <f>(D5-B5)/B5</f>
        <v>0.54651285608841671</v>
      </c>
      <c r="H5" s="7">
        <f>(D5-C5)/D5</f>
        <v>0.22301283866790808</v>
      </c>
    </row>
    <row r="6" spans="1:9" ht="14.1" customHeight="1">
      <c r="A6" s="191" t="s">
        <v>15</v>
      </c>
      <c r="B6" s="195">
        <f>'Big Summary'!D8</f>
        <v>0.56735648660474414</v>
      </c>
      <c r="C6" s="196">
        <f>'Big Summary'!D54</f>
        <v>0.75091132214828726</v>
      </c>
      <c r="D6" s="196">
        <f>'Big Summary'!D99</f>
        <v>1.3931723097220701</v>
      </c>
      <c r="F6" s="7">
        <f t="shared" ref="F6:F44" si="0">(D6-B6)/B6</f>
        <v>1.4555501569379969</v>
      </c>
      <c r="H6" s="7">
        <f>(D6-C6)/D6</f>
        <v>0.46100613907687427</v>
      </c>
    </row>
    <row r="7" spans="1:9" ht="14.1" customHeight="1">
      <c r="A7" s="193" t="s">
        <v>16</v>
      </c>
      <c r="B7" s="194">
        <f>'Big Summary'!D9</f>
        <v>0.43031843156624128</v>
      </c>
      <c r="C7" s="194">
        <f>'Big Summary'!D55</f>
        <v>0.44339489550502797</v>
      </c>
      <c r="D7" s="194">
        <f>'Big Summary'!D100</f>
        <v>0.48423612577955455</v>
      </c>
      <c r="F7" s="7">
        <f t="shared" si="0"/>
        <v>0.12529719913940851</v>
      </c>
      <c r="H7" s="7">
        <f t="shared" ref="H7:H44" si="1">(D7-C7)/D7</f>
        <v>8.4341560037012375E-2</v>
      </c>
    </row>
    <row r="8" spans="1:9" ht="14.1" customHeight="1">
      <c r="A8" s="191" t="s">
        <v>76</v>
      </c>
      <c r="B8" s="195">
        <f>'Big Summary'!D10</f>
        <v>6.5048425480393952</v>
      </c>
      <c r="C8" s="196">
        <f>'Big Summary'!D56</f>
        <v>8.8605925467046625</v>
      </c>
      <c r="D8" s="196">
        <f>'Big Summary'!D101</f>
        <v>11.006392117002394</v>
      </c>
      <c r="F8" s="7">
        <f t="shared" si="0"/>
        <v>0.69203051968103313</v>
      </c>
      <c r="H8" s="7">
        <f t="shared" si="1"/>
        <v>0.19495939700194351</v>
      </c>
    </row>
    <row r="9" spans="1:9" ht="14.1" customHeight="1">
      <c r="A9" s="193" t="s">
        <v>77</v>
      </c>
      <c r="B9" s="194" t="str">
        <f>'Big Summary'!D11</f>
        <v>-</v>
      </c>
      <c r="C9" s="194">
        <f>'Big Summary'!D57</f>
        <v>0.74968655630877412</v>
      </c>
      <c r="D9" s="194">
        <f>'Big Summary'!D102</f>
        <v>0.98924359093171021</v>
      </c>
      <c r="F9" s="7"/>
      <c r="H9" s="7">
        <f t="shared" si="1"/>
        <v>0.2421618262872054</v>
      </c>
    </row>
    <row r="10" spans="1:9" ht="14.1" customHeight="1">
      <c r="A10" s="191" t="s">
        <v>78</v>
      </c>
      <c r="B10" s="195">
        <f>'Big Summary'!D12</f>
        <v>5.4126071361878393E-2</v>
      </c>
      <c r="C10" s="196">
        <f>'Big Summary'!D58</f>
        <v>6.3816598903968583E-2</v>
      </c>
      <c r="D10" s="196">
        <f>'Big Summary'!D103</f>
        <v>7.7404340575928085E-2</v>
      </c>
      <c r="F10" s="7">
        <f t="shared" si="0"/>
        <v>0.43007498287497808</v>
      </c>
      <c r="H10" s="7">
        <f t="shared" si="1"/>
        <v>0.17554237360411212</v>
      </c>
    </row>
    <row r="11" spans="1:9" ht="14.1" customHeight="1">
      <c r="A11" s="193" t="s">
        <v>79</v>
      </c>
      <c r="B11" s="194" t="str">
        <f>'Big Summary'!D13</f>
        <v>-</v>
      </c>
      <c r="C11" s="194" t="str">
        <f>'Big Summary'!D59</f>
        <v>-</v>
      </c>
      <c r="D11" s="194" t="str">
        <f>'Big Summary'!D104</f>
        <v>-</v>
      </c>
      <c r="F11" s="7"/>
      <c r="H11" s="7"/>
    </row>
    <row r="12" spans="1:9" ht="14.1" customHeight="1">
      <c r="A12" s="191" t="s">
        <v>80</v>
      </c>
      <c r="B12" s="195" t="str">
        <f>'Big Summary'!D14</f>
        <v>-</v>
      </c>
      <c r="C12" s="196" t="str">
        <f>'Big Summary'!D60</f>
        <v>-</v>
      </c>
      <c r="D12" s="196" t="str">
        <f>'Big Summary'!D105</f>
        <v>-</v>
      </c>
      <c r="F12" s="7"/>
      <c r="H12" s="7"/>
    </row>
    <row r="13" spans="1:9" ht="14.1" customHeight="1">
      <c r="A13" s="193" t="s">
        <v>81</v>
      </c>
      <c r="B13" s="194">
        <f>'Big Summary'!D15</f>
        <v>4.1225335947091395</v>
      </c>
      <c r="C13" s="194">
        <f>'Big Summary'!D61</f>
        <v>4.3065282762599582</v>
      </c>
      <c r="D13" s="194">
        <f>'Big Summary'!D106</f>
        <v>5.5761768015842454</v>
      </c>
      <c r="F13" s="7">
        <f t="shared" si="0"/>
        <v>0.35260918400779362</v>
      </c>
      <c r="G13" s="8">
        <f>(SUM(D4:D13)-SUM(B4:B13))/SUM(B4:B13)</f>
        <v>0.66481095589778461</v>
      </c>
      <c r="H13" s="7">
        <f>(D13-C13)/D13</f>
        <v>0.22769158340954468</v>
      </c>
      <c r="I13" s="8">
        <f>(SUM(D4:D13)-SUM(C4:C13))/SUM(C4:C13)</f>
        <v>0.10482051524731432</v>
      </c>
    </row>
    <row r="14" spans="1:9" ht="14.1" customHeight="1">
      <c r="A14" s="197" t="s">
        <v>86</v>
      </c>
      <c r="B14" s="195">
        <f>'Big Summary'!D16</f>
        <v>1.0796912189157744</v>
      </c>
      <c r="C14" s="195" t="str">
        <f>'Big Summary'!D62</f>
        <v>-</v>
      </c>
      <c r="D14" s="195">
        <f>'Big Summary'!D107</f>
        <v>8.1552120277020891E-3</v>
      </c>
      <c r="F14" s="7">
        <f t="shared" si="0"/>
        <v>-0.99244671820532948</v>
      </c>
      <c r="H14" s="7"/>
    </row>
    <row r="15" spans="1:9" ht="14.1" customHeight="1">
      <c r="A15" s="193" t="s">
        <v>24</v>
      </c>
      <c r="B15" s="194">
        <f>'Big Summary'!D17</f>
        <v>20.968193103097153</v>
      </c>
      <c r="C15" s="194">
        <f>'Big Summary'!D63</f>
        <v>13.634151156556815</v>
      </c>
      <c r="D15" s="194">
        <f>'Big Summary'!D108</f>
        <v>11.935960882762082</v>
      </c>
      <c r="E15" s="139"/>
      <c r="F15" s="7">
        <f t="shared" si="0"/>
        <v>-0.43075872946825094</v>
      </c>
      <c r="H15" s="8">
        <f t="shared" si="1"/>
        <v>-0.14227512057678238</v>
      </c>
    </row>
    <row r="16" spans="1:9" ht="14.1" customHeight="1">
      <c r="A16" s="203" t="s">
        <v>25</v>
      </c>
      <c r="B16" s="204">
        <f>'Big Summary'!D18</f>
        <v>52.987798372191961</v>
      </c>
      <c r="C16" s="204">
        <f>'Big Summary'!D64</f>
        <v>50.02491616902843</v>
      </c>
      <c r="D16" s="204">
        <f>'Big Summary'!D109</f>
        <v>52.636046111905408</v>
      </c>
      <c r="F16" s="7">
        <f t="shared" si="0"/>
        <v>-6.6383633797314455E-3</v>
      </c>
      <c r="H16" s="7">
        <f t="shared" si="1"/>
        <v>4.9607258442734427E-2</v>
      </c>
    </row>
    <row r="17" spans="1:8" ht="14.1" customHeight="1">
      <c r="A17" s="191"/>
      <c r="B17" s="196"/>
      <c r="C17" s="196"/>
      <c r="D17" s="196"/>
      <c r="F17" s="7"/>
      <c r="H17" s="7"/>
    </row>
    <row r="18" spans="1:8" ht="14.1" customHeight="1">
      <c r="A18" s="192" t="s">
        <v>83</v>
      </c>
      <c r="B18" s="200"/>
      <c r="C18" s="200"/>
      <c r="D18" s="200"/>
      <c r="F18" s="7"/>
      <c r="H18" s="7"/>
    </row>
    <row r="19" spans="1:8" ht="14.1" customHeight="1">
      <c r="A19" s="193" t="s">
        <v>26</v>
      </c>
      <c r="B19" s="194">
        <f>'Big Summary'!D20</f>
        <v>19.659776370000003</v>
      </c>
      <c r="C19" s="194">
        <f>'Big Summary'!D66</f>
        <v>6.5663249300000004</v>
      </c>
      <c r="D19" s="194">
        <f>'Big Summary'!D112</f>
        <v>9.7867518399999991</v>
      </c>
      <c r="F19" s="7"/>
      <c r="H19" s="7"/>
    </row>
    <row r="20" spans="1:8" ht="14.1" customHeight="1">
      <c r="A20" s="191" t="s">
        <v>27</v>
      </c>
      <c r="B20" s="195" t="str">
        <f>'Big Summary'!D21</f>
        <v>-</v>
      </c>
      <c r="C20" s="196" t="str">
        <f>'Big Summary'!D67</f>
        <v>-</v>
      </c>
      <c r="D20" s="196" t="str">
        <f>'Big Summary'!D113</f>
        <v>-</v>
      </c>
      <c r="F20" s="7"/>
      <c r="H20" s="7"/>
    </row>
    <row r="21" spans="1:8" ht="14.1" customHeight="1">
      <c r="A21" s="193" t="s">
        <v>84</v>
      </c>
      <c r="B21" s="194" t="str">
        <f>'Big Summary'!D22</f>
        <v>-</v>
      </c>
      <c r="C21" s="194" t="str">
        <f>'Big Summary'!D68</f>
        <v>-</v>
      </c>
      <c r="D21" s="194" t="str">
        <f>'Big Summary'!D114</f>
        <v>-</v>
      </c>
      <c r="F21" s="7"/>
      <c r="H21" s="7"/>
    </row>
    <row r="22" spans="1:8" ht="14.1" customHeight="1">
      <c r="A22" s="197" t="s">
        <v>29</v>
      </c>
      <c r="B22" s="195"/>
      <c r="C22" s="195" t="str">
        <f>'Big Summary'!D69</f>
        <v>-</v>
      </c>
      <c r="D22" s="195" t="str">
        <f>'Big Summary'!D115</f>
        <v>-</v>
      </c>
      <c r="F22" s="7"/>
      <c r="H22" s="7"/>
    </row>
    <row r="23" spans="1:8" ht="14.1" customHeight="1">
      <c r="A23" s="193" t="s">
        <v>30</v>
      </c>
      <c r="B23" s="194">
        <f>'Big Summary'!D24</f>
        <v>9.8163392656817905</v>
      </c>
      <c r="C23" s="194">
        <f>'Big Summary'!D70</f>
        <v>11.257859007395917</v>
      </c>
      <c r="D23" s="194">
        <f>'Big Summary'!D116</f>
        <v>14.103459282451192</v>
      </c>
      <c r="F23" s="7"/>
      <c r="H23" s="7"/>
    </row>
    <row r="24" spans="1:8" ht="14.1" customHeight="1">
      <c r="A24" s="197" t="s">
        <v>31</v>
      </c>
      <c r="B24" s="195">
        <f>'Big Summary'!D25</f>
        <v>1.1568533907721241</v>
      </c>
      <c r="C24" s="195">
        <f>'Big Summary'!D71</f>
        <v>1.0594302222511836</v>
      </c>
      <c r="D24" s="195">
        <f>'Big Summary'!D117</f>
        <v>0.9888324303439634</v>
      </c>
      <c r="F24" s="7"/>
      <c r="H24" s="7"/>
    </row>
    <row r="25" spans="1:8" ht="14.1" customHeight="1">
      <c r="A25" s="193" t="s">
        <v>32</v>
      </c>
      <c r="B25" s="194">
        <f>'Big Summary'!D26</f>
        <v>7.3731652620742167</v>
      </c>
      <c r="C25" s="194">
        <f>'Big Summary'!D72</f>
        <v>9.3837267748377435</v>
      </c>
      <c r="D25" s="194">
        <f>'Big Summary'!D118</f>
        <v>15.23751206518194</v>
      </c>
      <c r="F25" s="7"/>
      <c r="H25" s="7"/>
    </row>
    <row r="26" spans="1:8" ht="14.1" customHeight="1">
      <c r="A26" s="197" t="s">
        <v>33</v>
      </c>
      <c r="B26" s="195">
        <f>'Big Summary'!D27</f>
        <v>20.507764815507556</v>
      </c>
      <c r="C26" s="195">
        <f>'Big Summary'!D73</f>
        <v>24.083065214926332</v>
      </c>
      <c r="D26" s="195">
        <f>'Big Summary'!D119</f>
        <v>24.417467588925231</v>
      </c>
      <c r="F26" s="7"/>
      <c r="H26" s="7"/>
    </row>
    <row r="27" spans="1:8" ht="14.1" customHeight="1">
      <c r="A27" s="193" t="s">
        <v>34</v>
      </c>
      <c r="B27" s="194" t="str">
        <f>'Big Summary'!D28</f>
        <v>-</v>
      </c>
      <c r="C27" s="194">
        <f>'Big Summary'!D74</f>
        <v>20.652795418056353</v>
      </c>
      <c r="D27" s="194">
        <f>'Big Summary'!D120</f>
        <v>22.155652748352917</v>
      </c>
      <c r="F27" s="7"/>
      <c r="H27" s="7"/>
    </row>
    <row r="28" spans="1:8" ht="14.1" customHeight="1">
      <c r="A28" s="197" t="s">
        <v>35</v>
      </c>
      <c r="B28" s="195" t="str">
        <f>'Big Summary'!D29</f>
        <v>-</v>
      </c>
      <c r="C28" s="195">
        <f>'Big Summary'!D75</f>
        <v>6.645299429690076</v>
      </c>
      <c r="D28" s="195">
        <f>'Big Summary'!D121</f>
        <v>6.6522882923819449</v>
      </c>
      <c r="F28" s="8">
        <f>(SUM(D19:D28)-SUM(B19:B28))/SUM(B19:B28)</f>
        <v>0.59521012403699847</v>
      </c>
      <c r="H28" s="8">
        <f>(SUM(D19:D28)-SUM(C19:C28))/SUM(C19:C28)</f>
        <v>0.17192367814892409</v>
      </c>
    </row>
    <row r="29" spans="1:8" ht="14.1" customHeight="1">
      <c r="A29" s="193" t="s">
        <v>36</v>
      </c>
      <c r="B29" s="194">
        <f>'Big Summary'!D30</f>
        <v>2.9252E-2</v>
      </c>
      <c r="C29" s="194">
        <f>'Big Summary'!D76</f>
        <v>2.9252E-2</v>
      </c>
      <c r="D29" s="194">
        <f>'Big Summary'!D122</f>
        <v>2.9252E-2</v>
      </c>
      <c r="F29" s="7">
        <f t="shared" si="0"/>
        <v>0</v>
      </c>
      <c r="H29" s="7">
        <f t="shared" si="1"/>
        <v>0</v>
      </c>
    </row>
    <row r="30" spans="1:8" ht="14.1" customHeight="1">
      <c r="A30" s="197" t="s">
        <v>37</v>
      </c>
      <c r="B30" s="195">
        <f>'Big Summary'!D31</f>
        <v>4.1840000000000002E-2</v>
      </c>
      <c r="C30" s="195">
        <f>'Big Summary'!D77</f>
        <v>4.9200480000000005E-2</v>
      </c>
      <c r="D30" s="195">
        <f>'Big Summary'!D123</f>
        <v>5.2117999999999998E-2</v>
      </c>
      <c r="F30" s="7">
        <f t="shared" si="0"/>
        <v>0.24565009560229434</v>
      </c>
      <c r="H30" s="7">
        <f t="shared" si="1"/>
        <v>5.5979124294869204E-2</v>
      </c>
    </row>
    <row r="31" spans="1:8" ht="14.1" customHeight="1">
      <c r="A31" s="193" t="s">
        <v>38</v>
      </c>
      <c r="B31" s="194">
        <f>'Big Summary'!D32</f>
        <v>0.61369724901812206</v>
      </c>
      <c r="C31" s="194">
        <f>'Big Summary'!D78</f>
        <v>0.59121783851616438</v>
      </c>
      <c r="D31" s="194">
        <f>'Big Summary'!D124</f>
        <v>0.83834203864288226</v>
      </c>
      <c r="F31" s="7">
        <f t="shared" si="0"/>
        <v>0.36605148545830712</v>
      </c>
      <c r="H31" s="7">
        <f t="shared" si="1"/>
        <v>0.29477729701681832</v>
      </c>
    </row>
    <row r="32" spans="1:8" ht="14.1" customHeight="1">
      <c r="A32" s="197" t="s">
        <v>39</v>
      </c>
      <c r="B32" s="195">
        <f>'Big Summary'!D33</f>
        <v>2.264854011645197</v>
      </c>
      <c r="C32" s="195">
        <f>'Big Summary'!D79</f>
        <v>3.8617576649495771</v>
      </c>
      <c r="D32" s="195">
        <f>'Big Summary'!D125</f>
        <v>5.1081846027412583</v>
      </c>
      <c r="F32" s="7">
        <f t="shared" si="0"/>
        <v>1.2554145108146098</v>
      </c>
      <c r="H32" s="7"/>
    </row>
    <row r="33" spans="1:9" ht="14.1" customHeight="1">
      <c r="A33" s="193" t="s">
        <v>40</v>
      </c>
      <c r="B33" s="194">
        <f>'Big Summary'!D34</f>
        <v>3.1312046379453311</v>
      </c>
      <c r="C33" s="194">
        <f>'Big Summary'!D80</f>
        <v>4.1968651149536669</v>
      </c>
      <c r="D33" s="194">
        <f>'Big Summary'!D126</f>
        <v>5.0368743256506523</v>
      </c>
      <c r="F33" s="7">
        <f t="shared" si="0"/>
        <v>0.60860592265723168</v>
      </c>
      <c r="H33" s="7">
        <f t="shared" si="1"/>
        <v>0.16677192170929833</v>
      </c>
    </row>
    <row r="34" spans="1:9" ht="14.1" customHeight="1">
      <c r="A34" s="197" t="s">
        <v>41</v>
      </c>
      <c r="B34" s="195">
        <f>'Big Summary'!D35</f>
        <v>3.4624163004762822</v>
      </c>
      <c r="C34" s="195">
        <f>'Big Summary'!D81</f>
        <v>4.5056424343126311</v>
      </c>
      <c r="D34" s="195">
        <f>'Big Summary'!D127</f>
        <v>5.3583020657241551</v>
      </c>
      <c r="F34" s="7">
        <f t="shared" si="0"/>
        <v>0.54756147173494973</v>
      </c>
      <c r="H34" s="7">
        <f t="shared" si="1"/>
        <v>0.15912869803772253</v>
      </c>
    </row>
    <row r="35" spans="1:9" ht="14.1" customHeight="1">
      <c r="A35" s="193" t="s">
        <v>42</v>
      </c>
      <c r="B35" s="194">
        <f>'Big Summary'!D36</f>
        <v>0</v>
      </c>
      <c r="C35" s="194">
        <f>'Big Summary'!D82</f>
        <v>0.40987456927359522</v>
      </c>
      <c r="D35" s="194">
        <f>'Big Summary'!D128</f>
        <v>0.48643102947299344</v>
      </c>
      <c r="F35" s="7"/>
      <c r="H35" s="7">
        <f t="shared" si="1"/>
        <v>0.15738399806102135</v>
      </c>
    </row>
    <row r="36" spans="1:9" ht="14.1" customHeight="1">
      <c r="A36" s="197" t="s">
        <v>43</v>
      </c>
      <c r="B36" s="195">
        <f>'Big Summary'!D37</f>
        <v>3.1794797391284241E-2</v>
      </c>
      <c r="C36" s="195">
        <f>'Big Summary'!D83</f>
        <v>4.1099409811469409E-2</v>
      </c>
      <c r="D36" s="195">
        <f>'Big Summary'!D129</f>
        <v>5.1209914122277003E-2</v>
      </c>
      <c r="F36" s="7">
        <f t="shared" si="0"/>
        <v>0.61063816485633393</v>
      </c>
      <c r="H36" s="7">
        <f t="shared" si="1"/>
        <v>0.19743255742757412</v>
      </c>
    </row>
    <row r="37" spans="1:9" ht="14.1" customHeight="1">
      <c r="A37" s="193" t="s">
        <v>44</v>
      </c>
      <c r="B37" s="194" t="str">
        <f>'Big Summary'!D38</f>
        <v>-</v>
      </c>
      <c r="C37" s="194" t="str">
        <f>'Big Summary'!D84</f>
        <v>-</v>
      </c>
      <c r="D37" s="194" t="str">
        <f>'Big Summary'!D130</f>
        <v>-</v>
      </c>
      <c r="F37" s="7"/>
      <c r="G37" s="8">
        <f>(SUM(D32:D37)-SUM(B32:B37))/SUM(B32:B37)</f>
        <v>0.80433242110542036</v>
      </c>
      <c r="H37" s="7"/>
      <c r="I37" s="8">
        <f>(SUM(D32:D37)-SUM(C32:C37))/SUM(C32:C37)</f>
        <v>0.23247845848025486</v>
      </c>
    </row>
    <row r="38" spans="1:9" ht="14.1" customHeight="1">
      <c r="A38" s="197" t="s">
        <v>45</v>
      </c>
      <c r="B38" s="195" t="str">
        <f>'Big Summary'!D39</f>
        <v>-</v>
      </c>
      <c r="C38" s="195" t="str">
        <f>'Big Summary'!D85</f>
        <v>-</v>
      </c>
      <c r="D38" s="195" t="str">
        <f>'Big Summary'!D131</f>
        <v>-</v>
      </c>
      <c r="F38" s="7"/>
      <c r="H38" s="7"/>
    </row>
    <row r="39" spans="1:9" ht="14.1" customHeight="1">
      <c r="A39" s="193" t="s">
        <v>46</v>
      </c>
      <c r="B39" s="194" t="str">
        <f>'Big Summary'!D40</f>
        <v>-</v>
      </c>
      <c r="C39" s="194" t="str">
        <f>'Big Summary'!D86</f>
        <v>-</v>
      </c>
      <c r="D39" s="194" t="str">
        <f>'Big Summary'!D132</f>
        <v>-</v>
      </c>
      <c r="F39" s="7"/>
      <c r="H39" s="7"/>
    </row>
    <row r="40" spans="1:9" ht="14.1" customHeight="1">
      <c r="A40" s="197" t="s">
        <v>47</v>
      </c>
      <c r="B40" s="195">
        <f>'Big Summary'!D41</f>
        <v>15.781332125187763</v>
      </c>
      <c r="C40" s="195">
        <f>'Big Summary'!D87</f>
        <v>19.457467267936316</v>
      </c>
      <c r="D40" s="195">
        <f>'Big Summary'!D133</f>
        <v>24.959152846999956</v>
      </c>
      <c r="F40" s="7">
        <f t="shared" si="0"/>
        <v>0.58156185099000302</v>
      </c>
      <c r="H40" s="7">
        <f t="shared" si="1"/>
        <v>0.22042757672061503</v>
      </c>
    </row>
    <row r="41" spans="1:9" ht="14.1" customHeight="1">
      <c r="A41" s="198" t="s">
        <v>25</v>
      </c>
      <c r="B41" s="199">
        <f>'Big Summary'!D42</f>
        <v>83.870290225699662</v>
      </c>
      <c r="C41" s="199">
        <f>'Big Summary'!D88</f>
        <v>112.790877776911</v>
      </c>
      <c r="D41" s="199">
        <f>'Big Summary'!D134</f>
        <v>135.26183107099138</v>
      </c>
      <c r="F41" s="7">
        <f t="shared" si="0"/>
        <v>0.612750244538253</v>
      </c>
      <c r="H41" s="7">
        <f t="shared" si="1"/>
        <v>0.16612929986351158</v>
      </c>
    </row>
    <row r="42" spans="1:9" ht="14.1" customHeight="1">
      <c r="A42" s="197"/>
      <c r="B42" s="195"/>
      <c r="C42" s="195"/>
      <c r="D42" s="195"/>
      <c r="F42" s="7"/>
      <c r="H42" s="7"/>
    </row>
    <row r="43" spans="1:9" ht="14.1" customHeight="1">
      <c r="A43" s="201" t="s">
        <v>48</v>
      </c>
      <c r="B43" s="202">
        <f>'Big Summary'!D44</f>
        <v>0.63178269956618505</v>
      </c>
      <c r="C43" s="202">
        <f>'Big Summary'!D90</f>
        <v>0.44351916710828931</v>
      </c>
      <c r="D43" s="202">
        <f>'Big Summary'!D136</f>
        <v>0.38914190126762138</v>
      </c>
      <c r="F43" s="7">
        <f t="shared" si="0"/>
        <v>-0.38405736413037822</v>
      </c>
      <c r="H43" s="7">
        <f t="shared" si="1"/>
        <v>-0.13973634209920638</v>
      </c>
    </row>
    <row r="44" spans="1:9" ht="14.1" customHeight="1">
      <c r="A44" s="201" t="s">
        <v>49</v>
      </c>
      <c r="B44" s="202">
        <f>'Big Summary'!D45</f>
        <v>0.44346866362768256</v>
      </c>
      <c r="C44" s="202">
        <f>'Big Summary'!D91</f>
        <v>0.38043734880867491</v>
      </c>
      <c r="D44" s="202">
        <f>'Big Summary'!D137</f>
        <v>0.37111944129514474</v>
      </c>
      <c r="F44" s="7">
        <f t="shared" si="0"/>
        <v>-0.16314393387055451</v>
      </c>
      <c r="H44" s="7">
        <f t="shared" si="1"/>
        <v>-2.5107570438811396E-2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5"/>
  <sheetViews>
    <sheetView showGridLines="0" zoomScale="85" zoomScaleNormal="85" workbookViewId="0">
      <selection activeCell="B2" sqref="B2"/>
    </sheetView>
  </sheetViews>
  <sheetFormatPr defaultRowHeight="15"/>
  <cols>
    <col min="1" max="1" width="28.7109375" customWidth="1"/>
    <col min="2" max="4" width="10.28515625" customWidth="1"/>
  </cols>
  <sheetData>
    <row r="1" spans="1:9" s="36" customFormat="1" ht="14.1" customHeight="1">
      <c r="A1" s="1" t="s">
        <v>88</v>
      </c>
    </row>
    <row r="2" spans="1:9" s="191" customFormat="1" ht="14.1" customHeight="1">
      <c r="A2" s="192" t="s">
        <v>73</v>
      </c>
      <c r="B2" s="207" t="s">
        <v>74</v>
      </c>
      <c r="C2" s="192">
        <v>2011</v>
      </c>
      <c r="D2" s="192">
        <v>2016</v>
      </c>
      <c r="F2" t="s">
        <v>75</v>
      </c>
      <c r="G2"/>
      <c r="H2" t="s">
        <v>75</v>
      </c>
      <c r="I2"/>
    </row>
    <row r="3" spans="1:9" s="191" customFormat="1" ht="14.1" customHeight="1">
      <c r="A3" s="193" t="s">
        <v>11</v>
      </c>
      <c r="B3" s="194" t="str">
        <f>'Big Summary'!E5</f>
        <v>-</v>
      </c>
      <c r="C3" s="194" t="str">
        <f>'Big Summary'!E51</f>
        <v>-</v>
      </c>
      <c r="D3" s="194" t="str">
        <f>'Big Summary'!E96</f>
        <v>-</v>
      </c>
      <c r="F3" s="7"/>
      <c r="G3"/>
      <c r="H3" s="7"/>
      <c r="I3"/>
    </row>
    <row r="4" spans="1:9" s="191" customFormat="1" ht="14.1" customHeight="1">
      <c r="A4" s="191" t="s">
        <v>13</v>
      </c>
      <c r="B4" s="195" t="str">
        <f>'Big Summary'!E6</f>
        <v>-</v>
      </c>
      <c r="C4" s="196" t="str">
        <f>'Big Summary'!E52</f>
        <v>-</v>
      </c>
      <c r="D4" s="196" t="str">
        <f>'Big Summary'!E97</f>
        <v>-</v>
      </c>
      <c r="F4" s="7"/>
      <c r="G4"/>
      <c r="H4" s="7"/>
      <c r="I4"/>
    </row>
    <row r="5" spans="1:9" s="191" customFormat="1" ht="14.1" customHeight="1">
      <c r="A5" s="193" t="s">
        <v>14</v>
      </c>
      <c r="B5" s="194">
        <f>'Big Summary'!E7</f>
        <v>34.361097635123144</v>
      </c>
      <c r="C5" s="194">
        <f>'Big Summary'!E53</f>
        <v>41.289003925792898</v>
      </c>
      <c r="D5" s="194">
        <f>'Big Summary'!E98</f>
        <v>53.13987924202722</v>
      </c>
      <c r="F5" s="7">
        <f>(D5-B5)/B5</f>
        <v>0.54651285608841627</v>
      </c>
      <c r="G5"/>
      <c r="H5" s="7">
        <f>(D5-C5)/D5</f>
        <v>0.22301283866790786</v>
      </c>
      <c r="I5"/>
    </row>
    <row r="6" spans="1:9" s="191" customFormat="1" ht="14.1" customHeight="1">
      <c r="A6" s="191" t="s">
        <v>15</v>
      </c>
      <c r="B6" s="195">
        <f>'Big Summary'!E8</f>
        <v>0.89402347745943256</v>
      </c>
      <c r="C6" s="196">
        <f>'Big Summary'!E54</f>
        <v>0.96441100907395017</v>
      </c>
      <c r="D6" s="196">
        <f>'Big Summary'!E99</f>
        <v>2.116757931703376</v>
      </c>
      <c r="F6" s="7">
        <f>(D6-B6)/B6</f>
        <v>1.3676760007674702</v>
      </c>
      <c r="G6"/>
      <c r="H6" s="7">
        <f>(D6-C6)/D6</f>
        <v>0.54439239620664648</v>
      </c>
      <c r="I6"/>
    </row>
    <row r="7" spans="1:9" s="191" customFormat="1" ht="14.1" customHeight="1">
      <c r="A7" s="193" t="s">
        <v>16</v>
      </c>
      <c r="B7" s="194">
        <f>'Big Summary'!E9</f>
        <v>2.4681013134447438</v>
      </c>
      <c r="C7" s="194">
        <f>'Big Summary'!E55</f>
        <v>2.5446424951224311</v>
      </c>
      <c r="D7" s="194">
        <f>'Big Summary'!E100</f>
        <v>2.7785982176107162</v>
      </c>
      <c r="F7" s="7">
        <f>(D7-B7)/B7</f>
        <v>0.12580395402513281</v>
      </c>
      <c r="G7"/>
      <c r="H7" s="7">
        <f t="shared" ref="H7:H44" si="0">(D7-C7)/D7</f>
        <v>8.4199191162463521E-2</v>
      </c>
      <c r="I7"/>
    </row>
    <row r="8" spans="1:9" s="191" customFormat="1" ht="14.1" customHeight="1">
      <c r="A8" s="191" t="s">
        <v>76</v>
      </c>
      <c r="B8" s="195">
        <f>'Big Summary'!E10</f>
        <v>1.811024309910324</v>
      </c>
      <c r="C8" s="196">
        <f>'Big Summary'!E56</f>
        <v>2.466892685531485</v>
      </c>
      <c r="D8" s="196">
        <f>'Big Summary'!E101</f>
        <v>3.0643084042525501</v>
      </c>
      <c r="F8" s="7">
        <f>(D8-B8)/B8</f>
        <v>0.69203051968103324</v>
      </c>
      <c r="G8"/>
      <c r="H8" s="7">
        <f t="shared" si="0"/>
        <v>0.19495939700194359</v>
      </c>
      <c r="I8"/>
    </row>
    <row r="9" spans="1:9" s="191" customFormat="1" ht="14.1" customHeight="1">
      <c r="A9" s="193" t="s">
        <v>77</v>
      </c>
      <c r="B9" s="194" t="str">
        <f>'Big Summary'!E11</f>
        <v>-</v>
      </c>
      <c r="C9" s="194">
        <f>'Big Summary'!E57</f>
        <v>0.20872151297457084</v>
      </c>
      <c r="D9" s="194">
        <f>'Big Summary'!E102</f>
        <v>0.27541699562586575</v>
      </c>
      <c r="F9" s="7"/>
      <c r="G9"/>
      <c r="H9" s="7">
        <f t="shared" si="0"/>
        <v>0.2421618262872054</v>
      </c>
      <c r="I9"/>
    </row>
    <row r="10" spans="1:9" s="191" customFormat="1" ht="14.1" customHeight="1">
      <c r="A10" s="191" t="s">
        <v>78</v>
      </c>
      <c r="B10" s="195">
        <f>'Big Summary'!E12</f>
        <v>3.2969337545075084E-2</v>
      </c>
      <c r="C10" s="196">
        <f>'Big Summary'!E58</f>
        <v>3.887204331119206E-2</v>
      </c>
      <c r="D10" s="196">
        <f>'Big Summary'!E103</f>
        <v>4.7148624825172632E-2</v>
      </c>
      <c r="F10" s="7">
        <f>(D10-B10)/B10</f>
        <v>0.43007498287497836</v>
      </c>
      <c r="G10"/>
      <c r="H10" s="7">
        <f t="shared" si="0"/>
        <v>0.17554237360411215</v>
      </c>
      <c r="I10"/>
    </row>
    <row r="11" spans="1:9" s="191" customFormat="1" ht="14.1" customHeight="1">
      <c r="A11" s="193" t="s">
        <v>79</v>
      </c>
      <c r="B11" s="194" t="str">
        <f>'Big Summary'!E13</f>
        <v>-</v>
      </c>
      <c r="C11" s="194" t="str">
        <f>'Big Summary'!E59</f>
        <v>-</v>
      </c>
      <c r="D11" s="194" t="str">
        <f>'Big Summary'!E104</f>
        <v>-</v>
      </c>
      <c r="F11" s="7"/>
      <c r="G11"/>
      <c r="H11" s="7"/>
      <c r="I11"/>
    </row>
    <row r="12" spans="1:9" s="191" customFormat="1" ht="14.1" customHeight="1">
      <c r="A12" s="191" t="s">
        <v>80</v>
      </c>
      <c r="B12" s="195" t="str">
        <f>'Big Summary'!E14</f>
        <v>-</v>
      </c>
      <c r="C12" s="196" t="str">
        <f>'Big Summary'!E60</f>
        <v>-</v>
      </c>
      <c r="D12" s="196" t="str">
        <f>'Big Summary'!E105</f>
        <v>-</v>
      </c>
      <c r="F12" s="7"/>
      <c r="G12"/>
      <c r="H12" s="7"/>
      <c r="I12"/>
    </row>
    <row r="13" spans="1:9" s="191" customFormat="1" ht="14.1" customHeight="1">
      <c r="A13" s="193" t="s">
        <v>81</v>
      </c>
      <c r="B13" s="194">
        <f>'Big Summary'!E15</f>
        <v>1.8698267542758118</v>
      </c>
      <c r="C13" s="194">
        <f>'Big Summary'!E61</f>
        <v>1.9532798469685475</v>
      </c>
      <c r="D13" s="194">
        <f>'Big Summary'!E106</f>
        <v>2.5291448403369472</v>
      </c>
      <c r="F13" s="7">
        <f>(D13-B13)/B13</f>
        <v>0.35260918400779373</v>
      </c>
      <c r="G13" s="8">
        <f>(SUM(D4:D13)-SUM(B4:B13))/SUM(B4:B13)</f>
        <v>0.54333538042780216</v>
      </c>
      <c r="H13" s="7">
        <f>(D13-C13)/D13</f>
        <v>0.22769158340954473</v>
      </c>
      <c r="I13" s="8">
        <f>(SUM(D4:D13)-SUM(C4:C13))/SUM(C4:C13)</f>
        <v>0.29283714910980368</v>
      </c>
    </row>
    <row r="14" spans="1:9" s="191" customFormat="1" ht="14.1" customHeight="1">
      <c r="A14" s="197" t="s">
        <v>86</v>
      </c>
      <c r="B14" s="195">
        <f>'Big Summary'!E16</f>
        <v>4.2698773578804978</v>
      </c>
      <c r="C14" s="195" t="str">
        <f>'Big Summary'!E62</f>
        <v>-</v>
      </c>
      <c r="D14" s="195">
        <f>'Big Summary'!E107</f>
        <v>4.9675125374485608E-3</v>
      </c>
      <c r="F14" s="7">
        <f>(D14-B14)/B14</f>
        <v>-0.99883661470316454</v>
      </c>
      <c r="G14"/>
      <c r="H14" s="7"/>
      <c r="I14"/>
    </row>
    <row r="15" spans="1:9" s="191" customFormat="1" ht="14.1" customHeight="1">
      <c r="A15" s="193" t="s">
        <v>24</v>
      </c>
      <c r="B15" s="194">
        <f>'Big Summary'!E17</f>
        <v>18.470783503469793</v>
      </c>
      <c r="C15" s="194">
        <f>'Big Summary'!E63</f>
        <v>14.45221189333571</v>
      </c>
      <c r="D15" s="194">
        <f>'Big Summary'!E108</f>
        <v>11.320944360973062</v>
      </c>
      <c r="E15" s="197"/>
      <c r="F15" s="7">
        <f>(D15-B15)/B15</f>
        <v>-0.38708910973666122</v>
      </c>
      <c r="G15"/>
      <c r="H15" s="8">
        <f t="shared" si="0"/>
        <v>-0.27659066527675324</v>
      </c>
      <c r="I15"/>
    </row>
    <row r="16" spans="1:9" s="191" customFormat="1" ht="14.1" customHeight="1">
      <c r="A16" s="203" t="s">
        <v>25</v>
      </c>
      <c r="B16" s="204">
        <f>'Big Summary'!E18</f>
        <v>64.177703689108824</v>
      </c>
      <c r="C16" s="204">
        <f>'Big Summary'!E64</f>
        <v>63.918035412110783</v>
      </c>
      <c r="D16" s="204">
        <f>'Big Summary'!E109</f>
        <v>75.27716612989235</v>
      </c>
      <c r="F16" s="7">
        <f>(D16-B16)/B16</f>
        <v>0.17294888727324695</v>
      </c>
      <c r="G16"/>
      <c r="H16" s="7">
        <f t="shared" si="0"/>
        <v>0.15089742749057725</v>
      </c>
      <c r="I16"/>
    </row>
    <row r="17" spans="1:9" s="191" customFormat="1" ht="14.1" customHeight="1">
      <c r="B17" s="196"/>
      <c r="C17" s="196"/>
      <c r="D17" s="196"/>
      <c r="F17" s="7"/>
      <c r="G17"/>
      <c r="H17" s="7"/>
      <c r="I17"/>
    </row>
    <row r="18" spans="1:9" s="191" customFormat="1" ht="14.1" customHeight="1">
      <c r="A18" s="192" t="s">
        <v>83</v>
      </c>
      <c r="B18" s="200"/>
      <c r="C18" s="200"/>
      <c r="D18" s="200"/>
      <c r="F18" s="7"/>
      <c r="G18"/>
      <c r="H18" s="7"/>
      <c r="I18"/>
    </row>
    <row r="19" spans="1:9" s="191" customFormat="1" ht="14.1" customHeight="1">
      <c r="A19" s="193" t="s">
        <v>26</v>
      </c>
      <c r="B19" s="194">
        <f>'Big Summary'!E20</f>
        <v>7.6568718499999999</v>
      </c>
      <c r="C19" s="194">
        <f>'Big Summary'!E66</f>
        <v>2.2551980300000003</v>
      </c>
      <c r="D19" s="194">
        <f>'Big Summary'!E112</f>
        <v>2.8271205300000002</v>
      </c>
      <c r="F19" s="7"/>
      <c r="G19"/>
      <c r="H19" s="7"/>
      <c r="I19"/>
    </row>
    <row r="20" spans="1:9" s="191" customFormat="1" ht="14.1" customHeight="1">
      <c r="A20" s="191" t="s">
        <v>27</v>
      </c>
      <c r="B20" s="195" t="str">
        <f>'Big Summary'!E21</f>
        <v>-</v>
      </c>
      <c r="C20" s="196" t="str">
        <f>'Big Summary'!E67</f>
        <v>-</v>
      </c>
      <c r="D20" s="196" t="str">
        <f>'Big Summary'!E113</f>
        <v>-</v>
      </c>
      <c r="F20" s="7"/>
      <c r="G20"/>
      <c r="H20" s="7"/>
      <c r="I20"/>
    </row>
    <row r="21" spans="1:9" s="191" customFormat="1" ht="14.1" customHeight="1">
      <c r="A21" s="193" t="s">
        <v>84</v>
      </c>
      <c r="B21" s="194" t="str">
        <f>'Big Summary'!E22</f>
        <v>-</v>
      </c>
      <c r="C21" s="194" t="str">
        <f>'Big Summary'!E68</f>
        <v>-</v>
      </c>
      <c r="D21" s="194" t="str">
        <f>'Big Summary'!E114</f>
        <v>-</v>
      </c>
      <c r="F21" s="7"/>
      <c r="G21"/>
      <c r="H21" s="7"/>
      <c r="I21"/>
    </row>
    <row r="22" spans="1:9" s="191" customFormat="1" ht="14.1" customHeight="1">
      <c r="A22" s="197" t="s">
        <v>29</v>
      </c>
      <c r="B22" s="195"/>
      <c r="C22" s="195" t="str">
        <f>'Big Summary'!E69</f>
        <v>-</v>
      </c>
      <c r="D22" s="195" t="str">
        <f>'Big Summary'!E115</f>
        <v>-</v>
      </c>
      <c r="F22" s="7"/>
      <c r="G22"/>
      <c r="H22" s="7"/>
      <c r="I22"/>
    </row>
    <row r="23" spans="1:9" s="191" customFormat="1" ht="14.1" customHeight="1">
      <c r="A23" s="193" t="s">
        <v>30</v>
      </c>
      <c r="B23" s="194">
        <f>'Big Summary'!E24</f>
        <v>2.9359321894058827</v>
      </c>
      <c r="C23" s="194">
        <f>'Big Summary'!E70</f>
        <v>3.7229849251175726</v>
      </c>
      <c r="D23" s="194">
        <f>'Big Summary'!E116</f>
        <v>4.4426835619230891</v>
      </c>
      <c r="F23" s="7"/>
      <c r="G23"/>
      <c r="H23" s="7"/>
      <c r="I23"/>
    </row>
    <row r="24" spans="1:9" s="191" customFormat="1" ht="14.1" customHeight="1">
      <c r="A24" s="197" t="s">
        <v>31</v>
      </c>
      <c r="B24" s="195">
        <f>'Big Summary'!E25</f>
        <v>0.34972639394996974</v>
      </c>
      <c r="C24" s="195">
        <f>'Big Summary'!E71</f>
        <v>0.30715378911439772</v>
      </c>
      <c r="D24" s="195">
        <f>'Big Summary'!E117</f>
        <v>0.27596263096294638</v>
      </c>
      <c r="F24" s="7"/>
      <c r="G24"/>
      <c r="H24" s="7"/>
      <c r="I24"/>
    </row>
    <row r="25" spans="1:9" s="191" customFormat="1" ht="14.1" customHeight="1">
      <c r="A25" s="193" t="s">
        <v>32</v>
      </c>
      <c r="B25" s="194">
        <f>'Big Summary'!E26</f>
        <v>1.487986195165357</v>
      </c>
      <c r="C25" s="194">
        <f>'Big Summary'!E72</f>
        <v>1.8612471073106021</v>
      </c>
      <c r="D25" s="194">
        <f>'Big Summary'!E118</f>
        <v>3.0159859583986268</v>
      </c>
      <c r="F25" s="7"/>
      <c r="G25"/>
      <c r="H25" s="7"/>
      <c r="I25"/>
    </row>
    <row r="26" spans="1:9" s="191" customFormat="1" ht="14.1" customHeight="1">
      <c r="A26" s="197" t="s">
        <v>33</v>
      </c>
      <c r="B26" s="195">
        <f>'Big Summary'!E27</f>
        <v>8.7521254537541999</v>
      </c>
      <c r="C26" s="195">
        <f>'Big Summary'!E73</f>
        <v>10.200375194716923</v>
      </c>
      <c r="D26" s="195">
        <f>'Big Summary'!E119</f>
        <v>10.197675280363875</v>
      </c>
      <c r="F26" s="7"/>
      <c r="G26"/>
      <c r="H26" s="7"/>
      <c r="I26"/>
    </row>
    <row r="27" spans="1:9" s="191" customFormat="1" ht="14.1" customHeight="1">
      <c r="A27" s="193" t="s">
        <v>34</v>
      </c>
      <c r="B27" s="194" t="str">
        <f>'Big Summary'!E28</f>
        <v>-</v>
      </c>
      <c r="C27" s="194">
        <f>'Big Summary'!E74</f>
        <v>4.1548160932569935</v>
      </c>
      <c r="D27" s="194">
        <f>'Big Summary'!E120</f>
        <v>4.661530903936872</v>
      </c>
      <c r="F27" s="7"/>
      <c r="G27"/>
      <c r="H27" s="7"/>
      <c r="I27"/>
    </row>
    <row r="28" spans="1:9" s="191" customFormat="1" ht="14.1" customHeight="1">
      <c r="A28" s="197" t="s">
        <v>35</v>
      </c>
      <c r="B28" s="195" t="str">
        <f>'Big Summary'!E29</f>
        <v>-</v>
      </c>
      <c r="C28" s="195">
        <f>'Big Summary'!E75</f>
        <v>2.7810295791232784</v>
      </c>
      <c r="D28" s="195">
        <f>'Big Summary'!E121</f>
        <v>2.7654466322035818</v>
      </c>
      <c r="F28" s="8">
        <f>(SUM(D19:D28)-SUM(B19:B28))/SUM(B19:B28)</f>
        <v>0.33063691433345732</v>
      </c>
      <c r="G28"/>
      <c r="H28" s="8">
        <f>(SUM(D19:D28)-SUM(C19:C28))/SUM(C19:C28)</f>
        <v>0.11484488415988676</v>
      </c>
      <c r="I28"/>
    </row>
    <row r="29" spans="1:9" s="191" customFormat="1" ht="14.1" customHeight="1">
      <c r="A29" s="193" t="s">
        <v>36</v>
      </c>
      <c r="B29" s="194">
        <f>'Big Summary'!E30</f>
        <v>0.380276</v>
      </c>
      <c r="C29" s="194">
        <f>'Big Summary'!E76</f>
        <v>0.380276</v>
      </c>
      <c r="D29" s="194">
        <f>'Big Summary'!E122</f>
        <v>0.380276</v>
      </c>
      <c r="F29" s="7">
        <f>(D29-B29)/B29</f>
        <v>0</v>
      </c>
      <c r="G29"/>
      <c r="H29" s="7">
        <f t="shared" si="0"/>
        <v>0</v>
      </c>
      <c r="I29"/>
    </row>
    <row r="30" spans="1:9" s="191" customFormat="1" ht="14.1" customHeight="1">
      <c r="A30" s="197" t="s">
        <v>37</v>
      </c>
      <c r="B30" s="195">
        <f>'Big Summary'!E31</f>
        <v>0.74392800000000003</v>
      </c>
      <c r="C30" s="195">
        <f>'Big Summary'!E77</f>
        <v>0.87480347999999997</v>
      </c>
      <c r="D30" s="195">
        <f>'Big Summary'!E123</f>
        <v>0.92667900000000003</v>
      </c>
      <c r="F30" s="7">
        <f>(D30-B30)/B30</f>
        <v>0.24565683775849273</v>
      </c>
      <c r="G30"/>
      <c r="H30" s="7">
        <f t="shared" si="0"/>
        <v>5.5980031920438537E-2</v>
      </c>
      <c r="I30"/>
    </row>
    <row r="31" spans="1:9" s="191" customFormat="1" ht="14.1" customHeight="1">
      <c r="A31" s="193" t="s">
        <v>38</v>
      </c>
      <c r="B31" s="194">
        <f>'Big Summary'!E32</f>
        <v>0.9060621854321842</v>
      </c>
      <c r="C31" s="194">
        <f>'Big Summary'!E78</f>
        <v>1.2643846122672802</v>
      </c>
      <c r="D31" s="194">
        <f>'Big Summary'!E124</f>
        <v>1.628851821067328</v>
      </c>
      <c r="F31" s="7">
        <f>(D31-B31)/B31</f>
        <v>0.79772630097169217</v>
      </c>
      <c r="G31"/>
      <c r="H31" s="7">
        <f t="shared" si="0"/>
        <v>0.22375713007535919</v>
      </c>
      <c r="I31"/>
    </row>
    <row r="32" spans="1:9" s="191" customFormat="1" ht="14.1" customHeight="1">
      <c r="A32" s="197" t="s">
        <v>39</v>
      </c>
      <c r="B32" s="195" t="str">
        <f>'Big Summary'!E33</f>
        <v>-</v>
      </c>
      <c r="C32" s="195" t="str">
        <f>'Big Summary'!E79</f>
        <v>-</v>
      </c>
      <c r="D32" s="195" t="str">
        <f>'Big Summary'!E125</f>
        <v>-</v>
      </c>
      <c r="F32" s="7"/>
      <c r="G32"/>
      <c r="H32" s="7"/>
      <c r="I32"/>
    </row>
    <row r="33" spans="1:9" s="191" customFormat="1" ht="14.1" customHeight="1">
      <c r="A33" s="193" t="s">
        <v>40</v>
      </c>
      <c r="B33" s="194">
        <f>'Big Summary'!E34</f>
        <v>13.336314645140984</v>
      </c>
      <c r="C33" s="194">
        <f>'Big Summary'!E80</f>
        <v>17.875137580584756</v>
      </c>
      <c r="D33" s="194">
        <f>'Big Summary'!E126</f>
        <v>21.452874724594157</v>
      </c>
      <c r="F33" s="7">
        <f>(D33-B33)/B33</f>
        <v>0.60860592265723112</v>
      </c>
      <c r="G33"/>
      <c r="H33" s="7">
        <f t="shared" si="0"/>
        <v>0.16677192170929828</v>
      </c>
      <c r="I33"/>
    </row>
    <row r="34" spans="1:9" s="191" customFormat="1" ht="14.1" customHeight="1">
      <c r="A34" s="197" t="s">
        <v>41</v>
      </c>
      <c r="B34" s="195">
        <f>'Big Summary'!E35</f>
        <v>1.0567206731960874</v>
      </c>
      <c r="C34" s="195">
        <f>'Big Summary'!E81</f>
        <v>1.5118680351869425</v>
      </c>
      <c r="D34" s="195">
        <f>'Big Summary'!E127</f>
        <v>1.8714150153047713</v>
      </c>
      <c r="F34" s="7">
        <f>(D34-B34)/B34</f>
        <v>0.77096470502901515</v>
      </c>
      <c r="G34"/>
      <c r="H34" s="7">
        <f t="shared" si="0"/>
        <v>0.19212573222796037</v>
      </c>
      <c r="I34"/>
    </row>
    <row r="35" spans="1:9" s="191" customFormat="1" ht="14.1" customHeight="1">
      <c r="A35" s="193" t="s">
        <v>42</v>
      </c>
      <c r="B35" s="194">
        <f>'Big Summary'!E36</f>
        <v>0</v>
      </c>
      <c r="C35" s="194">
        <f>'Big Summary'!E82</f>
        <v>2.6446633093650786E-2</v>
      </c>
      <c r="D35" s="194">
        <f>'Big Summary'!E128</f>
        <v>3.1386340910679766E-2</v>
      </c>
      <c r="F35" s="7"/>
      <c r="G35"/>
      <c r="H35" s="7">
        <f t="shared" si="0"/>
        <v>0.15738399806102138</v>
      </c>
      <c r="I35"/>
    </row>
    <row r="36" spans="1:9" s="191" customFormat="1" ht="14.1" customHeight="1">
      <c r="A36" s="197" t="s">
        <v>43</v>
      </c>
      <c r="B36" s="195">
        <f>'Big Summary'!E37</f>
        <v>1.8951795643075819E-2</v>
      </c>
      <c r="C36" s="195">
        <f>'Big Summary'!E83</f>
        <v>2.4497958147439301E-2</v>
      </c>
      <c r="D36" s="195">
        <f>'Big Summary'!E129</f>
        <v>3.0524485355295904E-2</v>
      </c>
      <c r="F36" s="7">
        <f>(D36-B36)/B36</f>
        <v>0.61063816485633404</v>
      </c>
      <c r="G36"/>
      <c r="H36" s="7">
        <f t="shared" si="0"/>
        <v>0.19743255742757412</v>
      </c>
      <c r="I36"/>
    </row>
    <row r="37" spans="1:9" s="191" customFormat="1" ht="14.1" customHeight="1">
      <c r="A37" s="193" t="s">
        <v>44</v>
      </c>
      <c r="B37" s="194" t="str">
        <f>'Big Summary'!E38</f>
        <v>-</v>
      </c>
      <c r="C37" s="194" t="str">
        <f>'Big Summary'!E84</f>
        <v>-</v>
      </c>
      <c r="D37" s="194" t="str">
        <f>'Big Summary'!E130</f>
        <v>-</v>
      </c>
      <c r="F37" s="7"/>
      <c r="G37" s="8">
        <f>(SUM(D32:D37)-SUM(B32:B37))/SUM(B32:B37)</f>
        <v>0.62269091563920731</v>
      </c>
      <c r="H37" s="7"/>
      <c r="I37" s="8">
        <f>(SUM(D32:D37)-SUM(C32:C37))/SUM(C32:C37)</f>
        <v>0.20312071577010571</v>
      </c>
    </row>
    <row r="38" spans="1:9" s="191" customFormat="1" ht="14.1" customHeight="1">
      <c r="A38" s="197" t="s">
        <v>45</v>
      </c>
      <c r="B38" s="195" t="str">
        <f>'Big Summary'!E39</f>
        <v>-</v>
      </c>
      <c r="C38" s="195" t="str">
        <f>'Big Summary'!E85</f>
        <v>-</v>
      </c>
      <c r="D38" s="195" t="str">
        <f>'Big Summary'!E131</f>
        <v>-</v>
      </c>
      <c r="F38" s="7"/>
      <c r="G38"/>
      <c r="H38" s="7"/>
      <c r="I38"/>
    </row>
    <row r="39" spans="1:9" s="191" customFormat="1" ht="14.1" customHeight="1">
      <c r="A39" s="193" t="s">
        <v>46</v>
      </c>
      <c r="B39" s="194" t="str">
        <f>'Big Summary'!E40</f>
        <v>-</v>
      </c>
      <c r="C39" s="194" t="str">
        <f>'Big Summary'!E86</f>
        <v>-</v>
      </c>
      <c r="D39" s="194" t="str">
        <f>'Big Summary'!E132</f>
        <v>-</v>
      </c>
      <c r="F39" s="7"/>
      <c r="G39"/>
      <c r="H39" s="7"/>
      <c r="I39"/>
    </row>
    <row r="40" spans="1:9" s="191" customFormat="1" ht="14.1" customHeight="1">
      <c r="A40" s="197" t="s">
        <v>47</v>
      </c>
      <c r="B40" s="195">
        <f>'Big Summary'!E41</f>
        <v>6.1251496547596975</v>
      </c>
      <c r="C40" s="195">
        <f>'Big Summary'!E87</f>
        <v>7.6814732368008656</v>
      </c>
      <c r="D40" s="195">
        <f>'Big Summary'!E133</f>
        <v>10.052467030721424</v>
      </c>
      <c r="F40" s="7">
        <f>(D40-B40)/B40</f>
        <v>0.64117900742390976</v>
      </c>
      <c r="G40"/>
      <c r="H40" s="7">
        <f t="shared" si="0"/>
        <v>0.23586188213048054</v>
      </c>
      <c r="I40"/>
    </row>
    <row r="41" spans="1:9" s="191" customFormat="1" ht="14.1" customHeight="1">
      <c r="A41" s="198" t="s">
        <v>25</v>
      </c>
      <c r="B41" s="199">
        <f>'Big Summary'!E42</f>
        <v>43.750045036447439</v>
      </c>
      <c r="C41" s="199">
        <f>'Big Summary'!E88</f>
        <v>54.921692254720696</v>
      </c>
      <c r="D41" s="199">
        <f>'Big Summary'!E134</f>
        <v>64.560879915742646</v>
      </c>
      <c r="F41" s="7">
        <f>(D41-B41)/B41</f>
        <v>0.47567573614971242</v>
      </c>
      <c r="G41"/>
      <c r="H41" s="7">
        <f t="shared" si="0"/>
        <v>0.14930384582121398</v>
      </c>
      <c r="I41"/>
    </row>
    <row r="42" spans="1:9" s="191" customFormat="1" ht="14.1" customHeight="1">
      <c r="B42" s="196"/>
      <c r="C42" s="196"/>
      <c r="D42" s="196"/>
      <c r="F42" s="7"/>
      <c r="G42"/>
      <c r="H42" s="7"/>
      <c r="I42"/>
    </row>
    <row r="43" spans="1:9" s="191" customFormat="1" ht="14.1" customHeight="1">
      <c r="A43" s="201" t="s">
        <v>48</v>
      </c>
      <c r="B43" s="202">
        <f>'Big Summary'!E44</f>
        <v>1.4669174314139206</v>
      </c>
      <c r="C43" s="202">
        <f>'Big Summary'!E90</f>
        <v>1.1638030946982851</v>
      </c>
      <c r="D43" s="202">
        <f>'Big Summary'!E136</f>
        <v>1.1659873011045598</v>
      </c>
      <c r="F43" s="7">
        <f>(D43-B43)/B43</f>
        <v>-0.20514455951300725</v>
      </c>
      <c r="G43"/>
      <c r="H43" s="7">
        <f t="shared" si="0"/>
        <v>1.8732677484613821E-3</v>
      </c>
      <c r="I43"/>
    </row>
    <row r="44" spans="1:9" s="191" customFormat="1" ht="14.1" customHeight="1">
      <c r="A44" s="201" t="s">
        <v>49</v>
      </c>
      <c r="B44" s="202">
        <f>'Big Summary'!E45</f>
        <v>1.0296766806181512</v>
      </c>
      <c r="C44" s="202">
        <f>'Big Summary'!E91</f>
        <v>0.998275151825049</v>
      </c>
      <c r="D44" s="202">
        <f>'Big Summary'!E137</f>
        <v>1.1119865384158838</v>
      </c>
      <c r="F44" s="7">
        <f>(D44-B44)/B44</f>
        <v>7.9937575888694573E-2</v>
      </c>
      <c r="G44"/>
      <c r="H44" s="7">
        <f t="shared" si="0"/>
        <v>0.10225967910800972</v>
      </c>
      <c r="I44"/>
    </row>
    <row r="45" spans="1:9">
      <c r="F45" s="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4"/>
  <sheetViews>
    <sheetView showGridLines="0" zoomScale="85" zoomScaleNormal="85" workbookViewId="0">
      <selection activeCell="B2" sqref="B2"/>
    </sheetView>
  </sheetViews>
  <sheetFormatPr defaultRowHeight="15"/>
  <cols>
    <col min="1" max="1" width="28.7109375" customWidth="1"/>
    <col min="2" max="4" width="10.28515625" customWidth="1"/>
  </cols>
  <sheetData>
    <row r="1" spans="1:9" s="36" customFormat="1" ht="14.1" customHeight="1">
      <c r="A1" s="1" t="s">
        <v>89</v>
      </c>
    </row>
    <row r="2" spans="1:9" s="191" customFormat="1" ht="14.1" customHeight="1">
      <c r="A2" s="192" t="s">
        <v>73</v>
      </c>
      <c r="B2" s="207" t="s">
        <v>74</v>
      </c>
      <c r="C2" s="192">
        <v>2011</v>
      </c>
      <c r="D2" s="192">
        <v>2016</v>
      </c>
      <c r="F2" t="s">
        <v>75</v>
      </c>
      <c r="G2"/>
      <c r="H2" t="s">
        <v>75</v>
      </c>
      <c r="I2"/>
    </row>
    <row r="3" spans="1:9" s="191" customFormat="1" ht="14.1" customHeight="1">
      <c r="A3" s="193" t="s">
        <v>11</v>
      </c>
      <c r="B3" s="194" t="str">
        <f>'Big Summary'!F5</f>
        <v>-</v>
      </c>
      <c r="C3" s="194" t="str">
        <f>'Big Summary'!F51</f>
        <v>-</v>
      </c>
      <c r="D3" s="194" t="str">
        <f>'Big Summary'!F96</f>
        <v>-</v>
      </c>
      <c r="F3" s="7"/>
      <c r="G3"/>
      <c r="H3" s="7"/>
      <c r="I3"/>
    </row>
    <row r="4" spans="1:9" s="191" customFormat="1" ht="14.1" customHeight="1">
      <c r="A4" s="191" t="s">
        <v>13</v>
      </c>
      <c r="B4" s="195" t="str">
        <f>'Big Summary'!F6</f>
        <v>-</v>
      </c>
      <c r="C4" s="196" t="str">
        <f>'Big Summary'!F52</f>
        <v>-</v>
      </c>
      <c r="D4" s="196" t="str">
        <f>'Big Summary'!F97</f>
        <v>-</v>
      </c>
      <c r="F4" s="7"/>
      <c r="G4"/>
      <c r="H4" s="7"/>
      <c r="I4"/>
    </row>
    <row r="5" spans="1:9" s="191" customFormat="1" ht="14.1" customHeight="1">
      <c r="A5" s="193" t="s">
        <v>14</v>
      </c>
      <c r="B5" s="194">
        <f>'Big Summary'!F7</f>
        <v>294.05430721988415</v>
      </c>
      <c r="C5" s="194">
        <f>'Big Summary'!F53</f>
        <v>353.34172307661191</v>
      </c>
      <c r="D5" s="194">
        <f>'Big Summary'!F98</f>
        <v>454.75876650372373</v>
      </c>
      <c r="F5" s="7">
        <f>(D5-B5)/B5</f>
        <v>0.5465128560884166</v>
      </c>
      <c r="G5"/>
      <c r="H5" s="7">
        <f>(D5-C5)/D5</f>
        <v>0.22301283866790808</v>
      </c>
      <c r="I5"/>
    </row>
    <row r="6" spans="1:9" s="191" customFormat="1" ht="14.1" customHeight="1">
      <c r="A6" s="191" t="s">
        <v>15</v>
      </c>
      <c r="B6" s="195">
        <f>'Big Summary'!F8</f>
        <v>8.9824340653749832</v>
      </c>
      <c r="C6" s="196">
        <f>'Big Summary'!F54</f>
        <v>9.813193211047448</v>
      </c>
      <c r="D6" s="196">
        <f>'Big Summary'!F99</f>
        <v>21.471381845747757</v>
      </c>
      <c r="F6" s="7">
        <f>(D6-B6)/B6</f>
        <v>1.3903745565485992</v>
      </c>
      <c r="G6"/>
      <c r="H6" s="7">
        <f>(D6-C6)/D6</f>
        <v>0.54296405878549103</v>
      </c>
      <c r="I6"/>
    </row>
    <row r="7" spans="1:9" s="191" customFormat="1" ht="14.1" customHeight="1">
      <c r="A7" s="193" t="s">
        <v>16</v>
      </c>
      <c r="B7" s="194">
        <f>'Big Summary'!F9</f>
        <v>21.144154559576034</v>
      </c>
      <c r="C7" s="194">
        <f>'Big Summary'!F55</f>
        <v>21.798175013131193</v>
      </c>
      <c r="D7" s="194">
        <f>'Big Summary'!F100</f>
        <v>23.802788250158585</v>
      </c>
      <c r="F7" s="7">
        <f>(D7-B7)/B7</f>
        <v>0.12573847221422602</v>
      </c>
      <c r="G7"/>
      <c r="H7" s="7">
        <f t="shared" ref="H7:H44" si="0">(D7-C7)/D7</f>
        <v>8.4217580560715891E-2</v>
      </c>
      <c r="I7"/>
    </row>
    <row r="8" spans="1:9" s="191" customFormat="1" ht="14.1" customHeight="1">
      <c r="A8" s="191" t="s">
        <v>76</v>
      </c>
      <c r="B8" s="195">
        <f>'Big Summary'!F10</f>
        <v>52.843766695840301</v>
      </c>
      <c r="C8" s="196">
        <f>'Big Summary'!F56</f>
        <v>71.981309596200688</v>
      </c>
      <c r="D8" s="196">
        <f>'Big Summary'!F101</f>
        <v>89.413266024265951</v>
      </c>
      <c r="F8" s="7">
        <f>(D8-B8)/B8</f>
        <v>0.69203051968103346</v>
      </c>
      <c r="G8"/>
      <c r="H8" s="7">
        <f t="shared" si="0"/>
        <v>0.19495939700194362</v>
      </c>
      <c r="I8"/>
    </row>
    <row r="9" spans="1:9" s="191" customFormat="1" ht="14.1" customHeight="1">
      <c r="A9" s="193" t="s">
        <v>77</v>
      </c>
      <c r="B9" s="194" t="str">
        <f>'Big Summary'!F11</f>
        <v>-</v>
      </c>
      <c r="C9" s="194">
        <f>'Big Summary'!F57</f>
        <v>6.0902721601661867</v>
      </c>
      <c r="D9" s="194">
        <f>'Big Summary'!F102</f>
        <v>8.0363755369154521</v>
      </c>
      <c r="F9" s="7"/>
      <c r="G9"/>
      <c r="H9" s="7">
        <f t="shared" si="0"/>
        <v>0.24216182628720523</v>
      </c>
      <c r="I9"/>
    </row>
    <row r="10" spans="1:9" s="191" customFormat="1" ht="14.1" customHeight="1">
      <c r="A10" s="191" t="s">
        <v>78</v>
      </c>
      <c r="B10" s="195">
        <f>'Big Summary'!F12</f>
        <v>0.58961062572315803</v>
      </c>
      <c r="C10" s="196">
        <f>'Big Summary'!F58</f>
        <v>0.69517228693220479</v>
      </c>
      <c r="D10" s="196">
        <f>'Big Summary'!F103</f>
        <v>0.84318740548395044</v>
      </c>
      <c r="F10" s="7">
        <f>(D10-B10)/B10</f>
        <v>0.43007498287497825</v>
      </c>
      <c r="G10"/>
      <c r="H10" s="7">
        <f t="shared" si="0"/>
        <v>0.17554237360411218</v>
      </c>
      <c r="I10"/>
    </row>
    <row r="11" spans="1:9" s="191" customFormat="1" ht="14.1" customHeight="1">
      <c r="A11" s="193" t="s">
        <v>79</v>
      </c>
      <c r="B11" s="194" t="str">
        <f>'Big Summary'!F13</f>
        <v>-</v>
      </c>
      <c r="C11" s="194" t="str">
        <f>'Big Summary'!F59</f>
        <v>-</v>
      </c>
      <c r="D11" s="194" t="str">
        <f>'Big Summary'!F104</f>
        <v>-</v>
      </c>
      <c r="F11" s="7"/>
      <c r="G11"/>
      <c r="H11" s="7"/>
      <c r="I11"/>
    </row>
    <row r="12" spans="1:9" s="191" customFormat="1" ht="14.1" customHeight="1">
      <c r="A12" s="191" t="s">
        <v>80</v>
      </c>
      <c r="B12" s="195" t="str">
        <f>'Big Summary'!F14</f>
        <v>-</v>
      </c>
      <c r="C12" s="196" t="str">
        <f>'Big Summary'!F60</f>
        <v>-</v>
      </c>
      <c r="D12" s="196" t="str">
        <f>'Big Summary'!F105</f>
        <v>-</v>
      </c>
      <c r="F12" s="7"/>
      <c r="G12"/>
      <c r="H12" s="7"/>
      <c r="I12"/>
    </row>
    <row r="13" spans="1:9" s="191" customFormat="1" ht="14.1" customHeight="1">
      <c r="A13" s="193" t="s">
        <v>81</v>
      </c>
      <c r="B13" s="194">
        <f>'Big Summary'!F15</f>
        <v>28.190759895350702</v>
      </c>
      <c r="C13" s="194">
        <f>'Big Summary'!F61</f>
        <v>29.448954588118657</v>
      </c>
      <c r="D13" s="194">
        <f>'Big Summary'!F106</f>
        <v>38.131080738609946</v>
      </c>
      <c r="F13" s="7">
        <f>(D13-B13)/B13</f>
        <v>0.35260918400779356</v>
      </c>
      <c r="G13" s="8">
        <f>(SUM(D4:D13)-SUM(B4:B13))/SUM(B4:B13)</f>
        <v>0.56838085891374079</v>
      </c>
      <c r="H13" s="7">
        <f>(D13-C13)/D13</f>
        <v>0.22769158340954468</v>
      </c>
      <c r="I13" s="8">
        <f>(SUM(D4:D13)-SUM(C4:C13))/SUM(C4:C13)</f>
        <v>0.29054564358571289</v>
      </c>
    </row>
    <row r="14" spans="1:9" s="191" customFormat="1" ht="14.1" customHeight="1">
      <c r="A14" s="197" t="s">
        <v>86</v>
      </c>
      <c r="B14" s="195">
        <f>'Big Summary'!F16</f>
        <v>38.432342610176292</v>
      </c>
      <c r="C14" s="195" t="str">
        <f>'Big Summary'!F62</f>
        <v>-</v>
      </c>
      <c r="D14" s="195">
        <f>'Big Summary'!F107</f>
        <v>8.8837034456283562E-2</v>
      </c>
      <c r="F14" s="7">
        <f>(D14-B14)/B14</f>
        <v>-0.99768848244934305</v>
      </c>
      <c r="G14"/>
      <c r="H14" s="7"/>
      <c r="I14"/>
    </row>
    <row r="15" spans="1:9" s="191" customFormat="1" ht="14.1" customHeight="1">
      <c r="A15" s="193" t="s">
        <v>24</v>
      </c>
      <c r="B15" s="194">
        <f>'Big Summary'!F17</f>
        <v>267.27614814051913</v>
      </c>
      <c r="C15" s="194">
        <f>'Big Summary'!F63</f>
        <v>233.81736041135807</v>
      </c>
      <c r="D15" s="194">
        <f>'Big Summary'!F108</f>
        <v>174.09409300529549</v>
      </c>
      <c r="E15" s="197"/>
      <c r="F15" s="7">
        <f>(D15-B15)/B15</f>
        <v>-0.34863588009444685</v>
      </c>
      <c r="G15"/>
      <c r="H15" s="8">
        <f t="shared" si="0"/>
        <v>-0.34305165887647865</v>
      </c>
      <c r="I15"/>
    </row>
    <row r="16" spans="1:9" s="191" customFormat="1" ht="14.1" customHeight="1">
      <c r="A16" s="203" t="s">
        <v>25</v>
      </c>
      <c r="B16" s="204">
        <f>'Big Summary'!F18</f>
        <v>711.51352381244476</v>
      </c>
      <c r="C16" s="204">
        <f>'Big Summary'!F64</f>
        <v>726.98616034356633</v>
      </c>
      <c r="D16" s="204">
        <f>'Big Summary'!F109</f>
        <v>810.63977634465721</v>
      </c>
      <c r="F16" s="7">
        <f>(D16-B16)/B16</f>
        <v>0.13931745387083067</v>
      </c>
      <c r="G16"/>
      <c r="H16" s="7">
        <f t="shared" si="0"/>
        <v>0.10319456118758738</v>
      </c>
      <c r="I16"/>
    </row>
    <row r="17" spans="1:9" s="191" customFormat="1" ht="14.1" customHeight="1">
      <c r="B17" s="196"/>
      <c r="C17" s="196"/>
      <c r="D17" s="196"/>
      <c r="F17" s="7"/>
      <c r="G17"/>
      <c r="H17" s="7"/>
      <c r="I17"/>
    </row>
    <row r="18" spans="1:9" s="191" customFormat="1" ht="14.1" customHeight="1">
      <c r="A18" s="192" t="s">
        <v>83</v>
      </c>
      <c r="B18" s="200"/>
      <c r="C18" s="200"/>
      <c r="D18" s="200"/>
      <c r="F18" s="7"/>
      <c r="G18"/>
      <c r="H18" s="7"/>
      <c r="I18"/>
    </row>
    <row r="19" spans="1:9" s="191" customFormat="1" ht="14.1" customHeight="1">
      <c r="A19" s="193" t="s">
        <v>26</v>
      </c>
      <c r="B19" s="194">
        <f>'Big Summary'!F20</f>
        <v>76.936580159999991</v>
      </c>
      <c r="C19" s="194">
        <f>'Big Summary'!F66</f>
        <v>26.113743420000006</v>
      </c>
      <c r="D19" s="194">
        <f>'Big Summary'!F112</f>
        <v>37.859870380000004</v>
      </c>
      <c r="F19" s="7"/>
      <c r="G19"/>
      <c r="H19" s="7"/>
      <c r="I19"/>
    </row>
    <row r="20" spans="1:9" s="191" customFormat="1" ht="14.1" customHeight="1">
      <c r="A20" s="191" t="s">
        <v>27</v>
      </c>
      <c r="B20" s="195" t="str">
        <f>'Big Summary'!F21</f>
        <v>-</v>
      </c>
      <c r="C20" s="196" t="str">
        <f>'Big Summary'!F67</f>
        <v>-</v>
      </c>
      <c r="D20" s="196" t="str">
        <f>'Big Summary'!F113</f>
        <v>-</v>
      </c>
      <c r="F20" s="7"/>
      <c r="G20"/>
      <c r="H20" s="7"/>
      <c r="I20"/>
    </row>
    <row r="21" spans="1:9" s="191" customFormat="1" ht="14.1" customHeight="1">
      <c r="A21" s="193" t="s">
        <v>84</v>
      </c>
      <c r="B21" s="194" t="str">
        <f>'Big Summary'!F22</f>
        <v>-</v>
      </c>
      <c r="C21" s="194" t="str">
        <f>'Big Summary'!F68</f>
        <v>-</v>
      </c>
      <c r="D21" s="194" t="str">
        <f>'Big Summary'!F114</f>
        <v>-</v>
      </c>
      <c r="F21" s="7"/>
      <c r="G21"/>
      <c r="H21" s="7"/>
      <c r="I21"/>
    </row>
    <row r="22" spans="1:9" s="191" customFormat="1" ht="14.1" customHeight="1">
      <c r="A22" s="197" t="s">
        <v>29</v>
      </c>
      <c r="B22" s="195"/>
      <c r="C22" s="195" t="str">
        <f>'Big Summary'!F69</f>
        <v>-</v>
      </c>
      <c r="D22" s="195" t="str">
        <f>'Big Summary'!F115</f>
        <v>-</v>
      </c>
      <c r="F22" s="7"/>
      <c r="G22"/>
      <c r="H22" s="7"/>
      <c r="I22"/>
    </row>
    <row r="23" spans="1:9" s="191" customFormat="1" ht="14.1" customHeight="1">
      <c r="A23" s="193" t="s">
        <v>30</v>
      </c>
      <c r="B23" s="194">
        <f>'Big Summary'!F24</f>
        <v>32.576140454963479</v>
      </c>
      <c r="C23" s="194">
        <f>'Big Summary'!F70</f>
        <v>40.485857255680571</v>
      </c>
      <c r="D23" s="194">
        <f>'Big Summary'!F116</f>
        <v>47.369442812590705</v>
      </c>
      <c r="F23" s="7"/>
      <c r="G23"/>
      <c r="H23" s="7"/>
      <c r="I23"/>
    </row>
    <row r="24" spans="1:9" s="191" customFormat="1" ht="14.1" customHeight="1">
      <c r="A24" s="197" t="s">
        <v>31</v>
      </c>
      <c r="B24" s="195">
        <f>'Big Summary'!F25</f>
        <v>3.7854646285110398</v>
      </c>
      <c r="C24" s="195">
        <f>'Big Summary'!F71</f>
        <v>3.3547739873888465</v>
      </c>
      <c r="D24" s="195">
        <f>'Big Summary'!F117</f>
        <v>3.082610290389165</v>
      </c>
      <c r="F24" s="7"/>
      <c r="G24"/>
      <c r="H24" s="7"/>
      <c r="I24"/>
    </row>
    <row r="25" spans="1:9" s="191" customFormat="1" ht="14.1" customHeight="1">
      <c r="A25" s="193" t="s">
        <v>32</v>
      </c>
      <c r="B25" s="194">
        <f>'Big Summary'!F26</f>
        <v>32.550950229363991</v>
      </c>
      <c r="C25" s="194">
        <f>'Big Summary'!F72</f>
        <v>40.829704955631399</v>
      </c>
      <c r="D25" s="194">
        <f>'Big Summary'!F118</f>
        <v>58.380233772798618</v>
      </c>
      <c r="F25" s="7"/>
      <c r="G25"/>
      <c r="H25" s="7"/>
      <c r="I25"/>
    </row>
    <row r="26" spans="1:9" s="191" customFormat="1" ht="14.1" customHeight="1">
      <c r="A26" s="197" t="s">
        <v>33</v>
      </c>
      <c r="B26" s="195">
        <f>'Big Summary'!F27</f>
        <v>64.699503787108796</v>
      </c>
      <c r="C26" s="195">
        <f>'Big Summary'!F73</f>
        <v>74.808883585422308</v>
      </c>
      <c r="D26" s="195">
        <f>'Big Summary'!F119</f>
        <v>75.304224841644015</v>
      </c>
      <c r="F26" s="7"/>
      <c r="G26"/>
      <c r="H26" s="7"/>
      <c r="I26"/>
    </row>
    <row r="27" spans="1:9" s="191" customFormat="1" ht="14.1" customHeight="1">
      <c r="A27" s="193" t="s">
        <v>34</v>
      </c>
      <c r="B27" s="194" t="str">
        <f>'Big Summary'!F28</f>
        <v>-</v>
      </c>
      <c r="C27" s="194">
        <f>'Big Summary'!F74</f>
        <v>92.034287048562234</v>
      </c>
      <c r="D27" s="194">
        <f>'Big Summary'!F120</f>
        <v>102.35197038231301</v>
      </c>
      <c r="F27" s="7"/>
      <c r="G27"/>
      <c r="H27" s="7"/>
      <c r="I27"/>
    </row>
    <row r="28" spans="1:9" s="191" customFormat="1" ht="14.1" customHeight="1">
      <c r="A28" s="197" t="s">
        <v>35</v>
      </c>
      <c r="B28" s="195" t="str">
        <f>'Big Summary'!F29</f>
        <v>-</v>
      </c>
      <c r="C28" s="195">
        <f>'Big Summary'!F75</f>
        <v>20.453154241142428</v>
      </c>
      <c r="D28" s="195">
        <f>'Big Summary'!F121</f>
        <v>20.41216606263502</v>
      </c>
      <c r="F28" s="8">
        <f>(SUM(D19:D28)-SUM(B19:B28))/SUM(B19:B28)</f>
        <v>0.6374388348182235</v>
      </c>
      <c r="G28"/>
      <c r="H28" s="8">
        <f>(SUM(D19:D28)-SUM(C19:C28))/SUM(C19:C28)</f>
        <v>0.15660242452975243</v>
      </c>
      <c r="I28"/>
    </row>
    <row r="29" spans="1:9" s="191" customFormat="1" ht="14.1" customHeight="1">
      <c r="A29" s="193" t="s">
        <v>36</v>
      </c>
      <c r="B29" s="194">
        <f>'Big Summary'!F30</f>
        <v>7.3422520000000002</v>
      </c>
      <c r="C29" s="194">
        <f>'Big Summary'!F76</f>
        <v>7.3422520000000002</v>
      </c>
      <c r="D29" s="194">
        <f>'Big Summary'!F122</f>
        <v>7.3422520000000002</v>
      </c>
      <c r="F29" s="7">
        <f>(D29-B29)/B29</f>
        <v>0</v>
      </c>
      <c r="G29"/>
      <c r="H29" s="7">
        <f t="shared" si="0"/>
        <v>0</v>
      </c>
      <c r="I29"/>
    </row>
    <row r="30" spans="1:9" s="191" customFormat="1" ht="14.1" customHeight="1">
      <c r="A30" s="197" t="s">
        <v>37</v>
      </c>
      <c r="B30" s="195">
        <f>'Big Summary'!F31</f>
        <v>15.957179</v>
      </c>
      <c r="C30" s="195">
        <f>'Big Summary'!F77</f>
        <v>18.764459420000001</v>
      </c>
      <c r="D30" s="195">
        <f>'Big Summary'!F123</f>
        <v>19.877184</v>
      </c>
      <c r="F30" s="7">
        <f>(D30-B30)/B30</f>
        <v>0.24565776945912557</v>
      </c>
      <c r="G30"/>
      <c r="H30" s="7">
        <f t="shared" si="0"/>
        <v>5.5979990928292374E-2</v>
      </c>
      <c r="I30"/>
    </row>
    <row r="31" spans="1:9" s="191" customFormat="1" ht="14.1" customHeight="1">
      <c r="A31" s="193" t="s">
        <v>38</v>
      </c>
      <c r="B31" s="194">
        <f>'Big Summary'!F32</f>
        <v>14.355933916373981</v>
      </c>
      <c r="C31" s="194">
        <f>'Big Summary'!F78</f>
        <v>20.016834594603782</v>
      </c>
      <c r="D31" s="194">
        <f>'Big Summary'!F124</f>
        <v>25.891867025357779</v>
      </c>
      <c r="F31" s="7">
        <f>(D31-B31)/B31</f>
        <v>0.8035654925818676</v>
      </c>
      <c r="G31"/>
      <c r="H31" s="7">
        <f t="shared" si="0"/>
        <v>0.22690648090383564</v>
      </c>
      <c r="I31"/>
    </row>
    <row r="32" spans="1:9" s="191" customFormat="1" ht="14.1" customHeight="1">
      <c r="A32" s="197" t="s">
        <v>39</v>
      </c>
      <c r="B32" s="195" t="str">
        <f>'Big Summary'!F33</f>
        <v>-</v>
      </c>
      <c r="C32" s="195" t="str">
        <f>'Big Summary'!F79</f>
        <v>-</v>
      </c>
      <c r="D32" s="195" t="str">
        <f>'Big Summary'!F125</f>
        <v>-</v>
      </c>
      <c r="F32" s="7"/>
      <c r="G32"/>
      <c r="H32" s="7"/>
      <c r="I32"/>
    </row>
    <row r="33" spans="1:9" s="191" customFormat="1" ht="14.1" customHeight="1">
      <c r="A33" s="193" t="s">
        <v>40</v>
      </c>
      <c r="B33" s="194">
        <f>'Big Summary'!F34</f>
        <v>169.6379766495057</v>
      </c>
      <c r="C33" s="194">
        <f>'Big Summary'!F80</f>
        <v>227.37182289012225</v>
      </c>
      <c r="D33" s="194">
        <f>'Big Summary'!F126</f>
        <v>272.88065394598402</v>
      </c>
      <c r="F33" s="7">
        <f>(D33-B33)/B33</f>
        <v>0.60860592265723157</v>
      </c>
      <c r="G33"/>
      <c r="H33" s="7">
        <f t="shared" si="0"/>
        <v>0.16677192170929833</v>
      </c>
      <c r="I33"/>
    </row>
    <row r="34" spans="1:9" s="191" customFormat="1" ht="14.1" customHeight="1">
      <c r="A34" s="197" t="s">
        <v>41</v>
      </c>
      <c r="B34" s="195">
        <f>'Big Summary'!F35</f>
        <v>30.016297924369624</v>
      </c>
      <c r="C34" s="195">
        <f>'Big Summary'!F81</f>
        <v>41.844898454707291</v>
      </c>
      <c r="D34" s="195">
        <f>'Big Summary'!F127</f>
        <v>51.259082104731434</v>
      </c>
      <c r="F34" s="7">
        <f>(D34-B34)/B34</f>
        <v>0.70770833344891693</v>
      </c>
      <c r="G34"/>
      <c r="H34" s="7">
        <f t="shared" si="0"/>
        <v>0.18365884177928291</v>
      </c>
      <c r="I34"/>
    </row>
    <row r="35" spans="1:9" s="191" customFormat="1" ht="14.1" customHeight="1">
      <c r="A35" s="193" t="s">
        <v>42</v>
      </c>
      <c r="B35" s="194">
        <f>'Big Summary'!F36</f>
        <v>0</v>
      </c>
      <c r="C35" s="194">
        <f>'Big Summary'!F82</f>
        <v>1.5446188933559304</v>
      </c>
      <c r="D35" s="194">
        <f>'Big Summary'!F128</f>
        <v>1.8331231424534351</v>
      </c>
      <c r="F35" s="7"/>
      <c r="G35"/>
      <c r="H35" s="7">
        <f t="shared" si="0"/>
        <v>0.1573839980610213</v>
      </c>
      <c r="I35"/>
    </row>
    <row r="36" spans="1:9" s="191" customFormat="1" ht="14.1" customHeight="1">
      <c r="A36" s="197" t="s">
        <v>43</v>
      </c>
      <c r="B36" s="195">
        <f>'Big Summary'!F37</f>
        <v>0.29969305533536195</v>
      </c>
      <c r="C36" s="195">
        <f>'Big Summary'!F83</f>
        <v>0.3873969551463749</v>
      </c>
      <c r="D36" s="195">
        <f>'Big Summary'!F129</f>
        <v>0.48269707266553513</v>
      </c>
      <c r="F36" s="7">
        <f>(D36-B36)/B36</f>
        <v>0.61063816485633404</v>
      </c>
      <c r="G36"/>
      <c r="H36" s="7">
        <f t="shared" si="0"/>
        <v>0.19743255742757423</v>
      </c>
      <c r="I36"/>
    </row>
    <row r="37" spans="1:9" s="191" customFormat="1" ht="14.1" customHeight="1">
      <c r="A37" s="193" t="s">
        <v>44</v>
      </c>
      <c r="B37" s="194" t="str">
        <f>'Big Summary'!F38</f>
        <v>-</v>
      </c>
      <c r="C37" s="194" t="str">
        <f>'Big Summary'!F84</f>
        <v>-</v>
      </c>
      <c r="D37" s="194" t="str">
        <f>'Big Summary'!F130</f>
        <v>-</v>
      </c>
      <c r="F37" s="7"/>
      <c r="G37" s="8">
        <f>(SUM(D32:D37)-SUM(B32:B37))/SUM(B32:B37)</f>
        <v>0.63265355589844996</v>
      </c>
      <c r="H37" s="7"/>
      <c r="I37" s="8">
        <f>(SUM(D32:D37)-SUM(C32:C37))/SUM(C32:C37)</f>
        <v>0.20397225391858745</v>
      </c>
    </row>
    <row r="38" spans="1:9" s="191" customFormat="1" ht="14.1" customHeight="1">
      <c r="A38" s="197" t="s">
        <v>45</v>
      </c>
      <c r="B38" s="195" t="str">
        <f>'Big Summary'!F39</f>
        <v>-</v>
      </c>
      <c r="C38" s="195" t="str">
        <f>'Big Summary'!F85</f>
        <v>-</v>
      </c>
      <c r="D38" s="195" t="str">
        <f>'Big Summary'!F131</f>
        <v>-</v>
      </c>
      <c r="F38" s="7"/>
      <c r="G38"/>
      <c r="H38" s="7"/>
      <c r="I38"/>
    </row>
    <row r="39" spans="1:9" s="191" customFormat="1" ht="14.1" customHeight="1">
      <c r="A39" s="193" t="s">
        <v>46</v>
      </c>
      <c r="B39" s="194" t="str">
        <f>'Big Summary'!F40</f>
        <v>-</v>
      </c>
      <c r="C39" s="194" t="str">
        <f>'Big Summary'!F86</f>
        <v>-</v>
      </c>
      <c r="D39" s="194" t="str">
        <f>'Big Summary'!F132</f>
        <v>-</v>
      </c>
      <c r="F39" s="7"/>
      <c r="G39"/>
      <c r="H39" s="7"/>
      <c r="I39"/>
    </row>
    <row r="40" spans="1:9" s="191" customFormat="1" ht="14.1" customHeight="1">
      <c r="A40" s="197" t="s">
        <v>47</v>
      </c>
      <c r="B40" s="195">
        <f>'Big Summary'!F41</f>
        <v>91.100689381221869</v>
      </c>
      <c r="C40" s="195">
        <f>'Big Summary'!F87</f>
        <v>114.07069611222603</v>
      </c>
      <c r="D40" s="195">
        <f>'Big Summary'!F133</f>
        <v>148.0410547333083</v>
      </c>
      <c r="F40" s="7">
        <f>(D40-B40)/B40</f>
        <v>0.62502672305598672</v>
      </c>
      <c r="G40"/>
      <c r="H40" s="7">
        <f t="shared" si="0"/>
        <v>0.22946579705392461</v>
      </c>
      <c r="I40"/>
    </row>
    <row r="41" spans="1:9" s="191" customFormat="1" ht="14.1" customHeight="1">
      <c r="A41" s="198" t="s">
        <v>25</v>
      </c>
      <c r="B41" s="199">
        <f>'Big Summary'!F42</f>
        <v>539.25866118675378</v>
      </c>
      <c r="C41" s="199">
        <f>'Big Summary'!F88</f>
        <v>729.42338381398952</v>
      </c>
      <c r="D41" s="199">
        <f>'Big Summary'!F134</f>
        <v>872.36843256687121</v>
      </c>
      <c r="F41" s="7">
        <f>(D41-B41)/B41</f>
        <v>0.61771798091668717</v>
      </c>
      <c r="G41"/>
      <c r="H41" s="7">
        <f t="shared" si="0"/>
        <v>0.16385857559320186</v>
      </c>
      <c r="I41"/>
    </row>
    <row r="42" spans="1:9" s="191" customFormat="1" ht="14.1" customHeight="1">
      <c r="A42" s="197"/>
      <c r="B42" s="195"/>
      <c r="C42" s="195"/>
      <c r="D42" s="195"/>
      <c r="F42" s="7"/>
      <c r="G42"/>
      <c r="H42" s="7"/>
      <c r="I42"/>
    </row>
    <row r="43" spans="1:9" s="191" customFormat="1" ht="14.1" customHeight="1">
      <c r="A43" s="201" t="s">
        <v>48</v>
      </c>
      <c r="B43" s="202">
        <f>'Big Summary'!F44</f>
        <v>1.319429014355759</v>
      </c>
      <c r="C43" s="202">
        <f>'Big Summary'!F90</f>
        <v>0.99665869846716526</v>
      </c>
      <c r="D43" s="202">
        <f>'Big Summary'!F136</f>
        <v>0.92924015368073032</v>
      </c>
      <c r="F43" s="7">
        <f>(D43-B43)/B43</f>
        <v>-0.2957255422077763</v>
      </c>
      <c r="G43"/>
      <c r="H43" s="7">
        <f t="shared" si="0"/>
        <v>-7.2552337002861275E-2</v>
      </c>
      <c r="I43"/>
    </row>
    <row r="44" spans="1:9" s="191" customFormat="1" ht="14.1" customHeight="1">
      <c r="A44" s="201" t="s">
        <v>49</v>
      </c>
      <c r="B44" s="202">
        <f>'Big Summary'!F45</f>
        <v>0.92614980142652925</v>
      </c>
      <c r="C44" s="202">
        <f>'Big Summary'!F91</f>
        <v>0.85490373591763158</v>
      </c>
      <c r="D44" s="202">
        <f>'Big Summary'!F137</f>
        <v>0.88620394138908198</v>
      </c>
      <c r="F44" s="7">
        <f>(D44-B44)/B44</f>
        <v>-4.3131100364022637E-2</v>
      </c>
      <c r="G44"/>
      <c r="H44" s="7">
        <f t="shared" si="0"/>
        <v>3.5319415779610321E-2</v>
      </c>
      <c r="I4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4"/>
  <sheetViews>
    <sheetView showGridLines="0" zoomScale="85" zoomScaleNormal="85" workbookViewId="0">
      <selection activeCell="B2" sqref="B2"/>
    </sheetView>
  </sheetViews>
  <sheetFormatPr defaultRowHeight="15"/>
  <cols>
    <col min="1" max="1" width="28.7109375" customWidth="1"/>
    <col min="2" max="4" width="10.28515625" customWidth="1"/>
  </cols>
  <sheetData>
    <row r="1" spans="1:9" ht="14.1" customHeight="1">
      <c r="A1" s="145" t="s">
        <v>90</v>
      </c>
    </row>
    <row r="2" spans="1:9" ht="14.1" customHeight="1">
      <c r="A2" s="144" t="s">
        <v>73</v>
      </c>
      <c r="B2" s="207" t="s">
        <v>74</v>
      </c>
      <c r="C2" s="144">
        <v>2011</v>
      </c>
      <c r="D2" s="144">
        <v>2016</v>
      </c>
      <c r="F2" t="s">
        <v>75</v>
      </c>
      <c r="H2" t="s">
        <v>75</v>
      </c>
    </row>
    <row r="3" spans="1:9" ht="14.1" customHeight="1">
      <c r="A3" s="150" t="s">
        <v>11</v>
      </c>
      <c r="B3" s="149" t="str">
        <f>'Big Summary'!G5</f>
        <v>-</v>
      </c>
      <c r="C3" s="149" t="str">
        <f>'Big Summary'!G51</f>
        <v>-</v>
      </c>
      <c r="D3" s="149" t="str">
        <f>'Big Summary'!G96</f>
        <v>-</v>
      </c>
      <c r="F3" s="7"/>
      <c r="H3" s="7"/>
    </row>
    <row r="4" spans="1:9" ht="14.1" customHeight="1">
      <c r="A4" t="s">
        <v>13</v>
      </c>
      <c r="B4" s="146" t="str">
        <f>'Big Summary'!G6</f>
        <v>-</v>
      </c>
      <c r="C4" s="151" t="str">
        <f>'Big Summary'!G52</f>
        <v>-</v>
      </c>
      <c r="D4" s="151" t="str">
        <f>'Big Summary'!G97</f>
        <v>-</v>
      </c>
      <c r="F4" s="7"/>
      <c r="H4" s="7"/>
    </row>
    <row r="5" spans="1:9" ht="14.1" customHeight="1">
      <c r="A5" s="150" t="s">
        <v>14</v>
      </c>
      <c r="B5" s="149">
        <f>'Big Summary'!G7</f>
        <v>0.73529048663008756</v>
      </c>
      <c r="C5" s="149">
        <f>'Big Summary'!G53</f>
        <v>0.88354022073017668</v>
      </c>
      <c r="D5" s="149">
        <f>'Big Summary'!G98</f>
        <v>1.1371361905329385</v>
      </c>
      <c r="F5" s="7">
        <f>(D5-B5)/B5</f>
        <v>0.54651285608841671</v>
      </c>
      <c r="H5" s="7">
        <f>(D5-C5)/D5</f>
        <v>0.22301283866790808</v>
      </c>
    </row>
    <row r="6" spans="1:9" ht="14.1" customHeight="1">
      <c r="A6" t="s">
        <v>15</v>
      </c>
      <c r="B6" s="146">
        <f>'Big Summary'!G8</f>
        <v>17.848038011332889</v>
      </c>
      <c r="C6" s="151">
        <f>'Big Summary'!G54</f>
        <v>15.554497506834489</v>
      </c>
      <c r="D6" s="151">
        <f>'Big Summary'!G99</f>
        <v>32.581426515587985</v>
      </c>
      <c r="F6" s="7">
        <f>(D6-B6)/B6</f>
        <v>0.82549065028323576</v>
      </c>
      <c r="H6" s="7">
        <f>(D6-C6)/D6</f>
        <v>0.52259617916383361</v>
      </c>
    </row>
    <row r="7" spans="1:9" ht="14.1" customHeight="1">
      <c r="A7" s="150" t="s">
        <v>16</v>
      </c>
      <c r="B7" s="149">
        <f>'Big Summary'!G9</f>
        <v>33.313305550612249</v>
      </c>
      <c r="C7" s="149">
        <f>'Big Summary'!G55</f>
        <v>31.848931583295862</v>
      </c>
      <c r="D7" s="149">
        <f>'Big Summary'!G100</f>
        <v>35.476974576677435</v>
      </c>
      <c r="F7" s="7">
        <f>(D7-B7)/B7</f>
        <v>6.4949094372456259E-2</v>
      </c>
      <c r="H7" s="7">
        <f t="shared" ref="H7:H44" si="0">(D7-C7)/D7</f>
        <v>0.1022647234346372</v>
      </c>
    </row>
    <row r="8" spans="1:9" ht="14.1" customHeight="1">
      <c r="A8" t="s">
        <v>76</v>
      </c>
      <c r="B8" s="146">
        <f>'Big Summary'!G10</f>
        <v>74.664964327558565</v>
      </c>
      <c r="C8" s="151">
        <f>'Big Summary'!G56</f>
        <v>101.70512530240082</v>
      </c>
      <c r="D8" s="151">
        <f>'Big Summary'!G101</f>
        <v>126.33539839312473</v>
      </c>
      <c r="F8" s="7">
        <f>(D8-B8)/B8</f>
        <v>0.69203051968103335</v>
      </c>
      <c r="H8" s="7">
        <f t="shared" si="0"/>
        <v>0.19495939700194365</v>
      </c>
    </row>
    <row r="9" spans="1:9" ht="14.1" customHeight="1">
      <c r="A9" s="150" t="s">
        <v>77</v>
      </c>
      <c r="B9" s="149" t="str">
        <f>'Big Summary'!G11</f>
        <v>-</v>
      </c>
      <c r="C9" s="149">
        <f>'Big Summary'!G57</f>
        <v>8.6051767695001633</v>
      </c>
      <c r="D9" s="149">
        <f>'Big Summary'!G102</f>
        <v>11.354900119826045</v>
      </c>
      <c r="F9" s="7"/>
      <c r="H9" s="7">
        <f t="shared" si="0"/>
        <v>0.24216182628720531</v>
      </c>
    </row>
    <row r="10" spans="1:9" ht="14.1" customHeight="1">
      <c r="A10" t="s">
        <v>78</v>
      </c>
      <c r="B10" s="146">
        <f>'Big Summary'!G12</f>
        <v>450.19505918466763</v>
      </c>
      <c r="C10" s="151">
        <f>'Big Summary'!G58</f>
        <v>530.79628352208738</v>
      </c>
      <c r="D10" s="151">
        <f>'Big Summary'!G103</f>
        <v>643.8126915539134</v>
      </c>
      <c r="F10" s="7">
        <f>(D10-B10)/B10</f>
        <v>0.43007498287497831</v>
      </c>
      <c r="H10" s="7">
        <f t="shared" si="0"/>
        <v>0.17554237360411204</v>
      </c>
    </row>
    <row r="11" spans="1:9" ht="14.1" customHeight="1">
      <c r="A11" s="150" t="s">
        <v>79</v>
      </c>
      <c r="B11" s="149" t="str">
        <f>'Big Summary'!G13</f>
        <v>-</v>
      </c>
      <c r="C11" s="149" t="str">
        <f>'Big Summary'!G59</f>
        <v>-</v>
      </c>
      <c r="D11" s="149" t="str">
        <f>'Big Summary'!G104</f>
        <v>-</v>
      </c>
      <c r="F11" s="7"/>
      <c r="H11" s="7"/>
    </row>
    <row r="12" spans="1:9" ht="14.1" customHeight="1">
      <c r="A12" t="s">
        <v>80</v>
      </c>
      <c r="B12" s="146">
        <f>'Big Summary'!G14</f>
        <v>105.42</v>
      </c>
      <c r="C12" s="151" t="str">
        <f>'Big Summary'!G60</f>
        <v>-</v>
      </c>
      <c r="D12" s="151" t="str">
        <f>'Big Summary'!G105</f>
        <v>-</v>
      </c>
      <c r="F12" s="7"/>
      <c r="H12" s="7"/>
    </row>
    <row r="13" spans="1:9" ht="14.1" customHeight="1">
      <c r="A13" s="150" t="s">
        <v>81</v>
      </c>
      <c r="B13" s="149">
        <f>'Big Summary'!G15</f>
        <v>37.146894151310114</v>
      </c>
      <c r="C13" s="149">
        <f>'Big Summary'!G61</f>
        <v>38.804814166502737</v>
      </c>
      <c r="D13" s="149">
        <f>'Big Summary'!G106</f>
        <v>50.245230186427456</v>
      </c>
      <c r="F13" s="7">
        <f>(D13-B13)/B13</f>
        <v>0.35260918400779362</v>
      </c>
      <c r="G13" s="8">
        <f>(SUM(D4:D13)-SUM(B4:B13))/SUM(B4:B13)</f>
        <v>0.25248750077999221</v>
      </c>
      <c r="H13" s="7">
        <f>(D13-C13)/D13</f>
        <v>0.22769158340954468</v>
      </c>
      <c r="I13" s="8">
        <f>(SUM(D4:D13)-SUM(C4:C13))/SUM(C4:C13)</f>
        <v>0.23722298181611565</v>
      </c>
    </row>
    <row r="14" spans="1:9" ht="14.1" customHeight="1">
      <c r="A14" s="139" t="s">
        <v>86</v>
      </c>
      <c r="B14" s="146">
        <f>'Big Summary'!G16</f>
        <v>126.32986446639676</v>
      </c>
      <c r="C14" s="146" t="str">
        <f>'Big Summary'!G62</f>
        <v>-</v>
      </c>
      <c r="D14" s="146">
        <f>'Big Summary'!G107</f>
        <v>67.831196114866927</v>
      </c>
      <c r="F14" s="7">
        <f>(D14-B14)/B14</f>
        <v>-0.46306286006576253</v>
      </c>
      <c r="H14" s="7"/>
    </row>
    <row r="15" spans="1:9" ht="14.1" customHeight="1">
      <c r="A15" s="150" t="s">
        <v>24</v>
      </c>
      <c r="B15" s="149">
        <f>'Big Summary'!G17</f>
        <v>477.33827428404607</v>
      </c>
      <c r="C15" s="149">
        <f>'Big Summary'!G63</f>
        <v>578.12596608957506</v>
      </c>
      <c r="D15" s="149">
        <f>'Big Summary'!G108</f>
        <v>505.89452778116396</v>
      </c>
      <c r="E15" s="139"/>
      <c r="F15" s="7">
        <f>(D15-B15)/B15</f>
        <v>5.9823934169010592E-2</v>
      </c>
      <c r="H15" s="8">
        <f t="shared" si="0"/>
        <v>-0.14277963951342923</v>
      </c>
    </row>
    <row r="16" spans="1:9" ht="14.1" customHeight="1">
      <c r="A16" s="134" t="s">
        <v>25</v>
      </c>
      <c r="B16" s="205">
        <f>'Big Summary'!G18</f>
        <v>1322.9916904625543</v>
      </c>
      <c r="C16" s="205">
        <f>'Big Summary'!G64</f>
        <v>1306.3243351609267</v>
      </c>
      <c r="D16" s="205">
        <f>'Big Summary'!G109</f>
        <v>1474.6694814321208</v>
      </c>
      <c r="F16" s="7">
        <f>(D16-B16)/B16</f>
        <v>0.11464757644587763</v>
      </c>
      <c r="H16" s="7">
        <f>(D16-C16)/D16</f>
        <v>0.11415788309913776</v>
      </c>
    </row>
    <row r="17" spans="1:8" ht="14.1" customHeight="1">
      <c r="B17" s="151"/>
      <c r="C17" s="151"/>
      <c r="D17" s="151"/>
      <c r="F17" s="7"/>
      <c r="H17" s="7"/>
    </row>
    <row r="18" spans="1:8" ht="14.1" customHeight="1">
      <c r="A18" s="144" t="s">
        <v>83</v>
      </c>
      <c r="B18" s="152"/>
      <c r="C18" s="152"/>
      <c r="D18" s="152"/>
      <c r="F18" s="7"/>
      <c r="H18" s="7"/>
    </row>
    <row r="19" spans="1:8" ht="14.1" customHeight="1">
      <c r="A19" s="148" t="s">
        <v>26</v>
      </c>
      <c r="B19" s="149">
        <f>'Big Summary'!G20</f>
        <v>110.52924668</v>
      </c>
      <c r="C19" s="149">
        <f>'Big Summary'!G66</f>
        <v>34.726000479999996</v>
      </c>
      <c r="D19" s="149">
        <f>'Big Summary'!G112</f>
        <v>53.979819989999996</v>
      </c>
      <c r="F19" s="7"/>
      <c r="H19" s="7"/>
    </row>
    <row r="20" spans="1:8" ht="14.1" customHeight="1">
      <c r="A20" s="36" t="s">
        <v>27</v>
      </c>
      <c r="B20" s="146" t="str">
        <f>'Big Summary'!G21</f>
        <v>-</v>
      </c>
      <c r="C20" s="151" t="str">
        <f>'Big Summary'!G67</f>
        <v>-</v>
      </c>
      <c r="D20" s="151" t="str">
        <f>'Big Summary'!G113</f>
        <v>-</v>
      </c>
      <c r="F20" s="7"/>
      <c r="H20" s="7"/>
    </row>
    <row r="21" spans="1:8" ht="14.1" customHeight="1">
      <c r="A21" s="148" t="s">
        <v>84</v>
      </c>
      <c r="B21" s="149" t="str">
        <f>'Big Summary'!G22</f>
        <v>-</v>
      </c>
      <c r="C21" s="149" t="str">
        <f>'Big Summary'!G68</f>
        <v>-</v>
      </c>
      <c r="D21" s="149" t="str">
        <f>'Big Summary'!G114</f>
        <v>-</v>
      </c>
      <c r="F21" s="7"/>
      <c r="H21" s="7"/>
    </row>
    <row r="22" spans="1:8" ht="14.1" customHeight="1">
      <c r="A22" s="143" t="s">
        <v>29</v>
      </c>
      <c r="B22" s="146"/>
      <c r="C22" s="146" t="str">
        <f>'Big Summary'!G69</f>
        <v>-</v>
      </c>
      <c r="D22" s="146" t="str">
        <f>'Big Summary'!G115</f>
        <v>-</v>
      </c>
      <c r="F22" s="7"/>
      <c r="H22" s="7"/>
    </row>
    <row r="23" spans="1:8" ht="14.1" customHeight="1">
      <c r="A23" s="148" t="s">
        <v>30</v>
      </c>
      <c r="B23" s="149">
        <f>'Big Summary'!G24</f>
        <v>53.078413143314023</v>
      </c>
      <c r="C23" s="149">
        <f>'Big Summary'!G70</f>
        <v>64.516450537168254</v>
      </c>
      <c r="D23" s="149">
        <f>'Big Summary'!G116</f>
        <v>73.967888256875398</v>
      </c>
      <c r="F23" s="7"/>
      <c r="H23" s="7"/>
    </row>
    <row r="24" spans="1:8" ht="14.1" customHeight="1">
      <c r="A24" s="143" t="s">
        <v>31</v>
      </c>
      <c r="B24" s="146">
        <f>'Big Summary'!G25</f>
        <v>5.4271322363144332</v>
      </c>
      <c r="C24" s="146">
        <f>'Big Summary'!G71</f>
        <v>4.7671930494499453</v>
      </c>
      <c r="D24" s="146">
        <f>'Big Summary'!G117</f>
        <v>4.3782194459551658</v>
      </c>
      <c r="F24" s="7"/>
      <c r="H24" s="7"/>
    </row>
    <row r="25" spans="1:8" ht="14.1" customHeight="1">
      <c r="A25" s="148" t="s">
        <v>32</v>
      </c>
      <c r="B25" s="149">
        <f>'Big Summary'!G26</f>
        <v>52.131912830324858</v>
      </c>
      <c r="C25" s="149">
        <f>'Big Summary'!G72</f>
        <v>63.856177384921487</v>
      </c>
      <c r="D25" s="149">
        <f>'Big Summary'!G118</f>
        <v>94.994655566375386</v>
      </c>
      <c r="F25" s="7"/>
      <c r="H25" s="7"/>
    </row>
    <row r="26" spans="1:8" ht="14.1" customHeight="1">
      <c r="A26" s="143" t="s">
        <v>33</v>
      </c>
      <c r="B26" s="146">
        <f>'Big Summary'!G27</f>
        <v>93.826602308862832</v>
      </c>
      <c r="C26" s="146">
        <f>'Big Summary'!G73</f>
        <v>110.86476957032693</v>
      </c>
      <c r="D26" s="146">
        <f>'Big Summary'!G119</f>
        <v>112.53166017085078</v>
      </c>
      <c r="F26" s="7"/>
      <c r="H26" s="7"/>
    </row>
    <row r="27" spans="1:8" ht="14.1" customHeight="1">
      <c r="A27" s="148" t="s">
        <v>34</v>
      </c>
      <c r="B27" s="149" t="str">
        <f>'Big Summary'!G28</f>
        <v>-</v>
      </c>
      <c r="C27" s="149">
        <f>'Big Summary'!G74</f>
        <v>111.79976499137842</v>
      </c>
      <c r="D27" s="149">
        <f>'Big Summary'!G120</f>
        <v>130.21209292137408</v>
      </c>
      <c r="F27" s="7"/>
      <c r="H27" s="7"/>
    </row>
    <row r="28" spans="1:8" ht="14.1" customHeight="1">
      <c r="A28" s="143" t="s">
        <v>35</v>
      </c>
      <c r="B28" s="146" t="str">
        <f>'Big Summary'!G29</f>
        <v>-</v>
      </c>
      <c r="C28" s="146">
        <f>'Big Summary'!G75</f>
        <v>30.754975969691465</v>
      </c>
      <c r="D28" s="146">
        <f>'Big Summary'!G121</f>
        <v>30.722188903360479</v>
      </c>
      <c r="F28" s="8">
        <f>(SUM(D19:D28)-SUM(B19:B28))/SUM(B19:B28)</f>
        <v>0.5898322720193766</v>
      </c>
      <c r="H28" s="8">
        <f>(SUM(D19:D28)-SUM(C19:C28))/SUM(C19:C28)</f>
        <v>0.18871104032426839</v>
      </c>
    </row>
    <row r="29" spans="1:8" ht="14.1" customHeight="1">
      <c r="A29" s="148" t="s">
        <v>36</v>
      </c>
      <c r="B29" s="149">
        <f>'Big Summary'!G30</f>
        <v>11.583792000000001</v>
      </c>
      <c r="C29" s="149">
        <f>'Big Summary'!G76</f>
        <v>11.583792000000001</v>
      </c>
      <c r="D29" s="149">
        <f>'Big Summary'!G122</f>
        <v>11.583792000000001</v>
      </c>
      <c r="F29" s="7">
        <f>(D29-B29)/B29</f>
        <v>0</v>
      </c>
      <c r="H29" s="7">
        <f t="shared" si="0"/>
        <v>0</v>
      </c>
    </row>
    <row r="30" spans="1:8" ht="14.1" customHeight="1">
      <c r="A30" s="143" t="s">
        <v>37</v>
      </c>
      <c r="B30" s="146">
        <f>'Big Summary'!G31</f>
        <v>23.089206000000001</v>
      </c>
      <c r="C30" s="146">
        <f>'Big Summary'!G77</f>
        <v>27.151193829999997</v>
      </c>
      <c r="D30" s="146">
        <f>'Big Summary'!G123</f>
        <v>28.76125</v>
      </c>
      <c r="F30" s="7">
        <f>(D30-B30)/B30</f>
        <v>0.24565781950232501</v>
      </c>
      <c r="H30" s="7">
        <f t="shared" si="0"/>
        <v>5.5980048502759915E-2</v>
      </c>
    </row>
    <row r="31" spans="1:8" ht="14.1" customHeight="1">
      <c r="A31" s="148" t="s">
        <v>38</v>
      </c>
      <c r="B31" s="149">
        <f>'Big Summary'!G32</f>
        <v>19.890597785103761</v>
      </c>
      <c r="C31" s="149">
        <f>'Big Summary'!G78</f>
        <v>18.368336524087784</v>
      </c>
      <c r="D31" s="149">
        <f>'Big Summary'!G124</f>
        <v>25.211479097180195</v>
      </c>
      <c r="F31" s="7">
        <f>(D31-B31)/B31</f>
        <v>0.26750736049075846</v>
      </c>
      <c r="H31" s="7">
        <f t="shared" si="0"/>
        <v>0.27142963515606627</v>
      </c>
    </row>
    <row r="32" spans="1:8" ht="14.1" customHeight="1">
      <c r="A32" s="143" t="s">
        <v>39</v>
      </c>
      <c r="B32" s="146" t="str">
        <f>'Big Summary'!G33</f>
        <v>-</v>
      </c>
      <c r="C32" s="146" t="str">
        <f>'Big Summary'!G79</f>
        <v>-</v>
      </c>
      <c r="D32" s="146" t="str">
        <f>'Big Summary'!G125</f>
        <v>-</v>
      </c>
      <c r="F32" s="7"/>
      <c r="H32" s="7"/>
    </row>
    <row r="33" spans="1:9" ht="14.1" customHeight="1">
      <c r="A33" s="148" t="s">
        <v>40</v>
      </c>
      <c r="B33" s="149">
        <f>'Big Summary'!G34</f>
        <v>0.53062767019343882</v>
      </c>
      <c r="C33" s="149">
        <f>'Big Summary'!G80</f>
        <v>0.71121916820016662</v>
      </c>
      <c r="D33" s="149">
        <f>'Big Summary'!G126</f>
        <v>0.85357081299897364</v>
      </c>
      <c r="F33" s="7">
        <f>(D33-B33)/B33</f>
        <v>0.60860592265723124</v>
      </c>
      <c r="H33" s="7">
        <f t="shared" si="0"/>
        <v>0.16677192170929842</v>
      </c>
    </row>
    <row r="34" spans="1:9" ht="14.1" customHeight="1">
      <c r="A34" s="143" t="s">
        <v>41</v>
      </c>
      <c r="B34" s="146">
        <f>'Big Summary'!G35</f>
        <v>43.282030527944123</v>
      </c>
      <c r="C34" s="146">
        <f>'Big Summary'!G81</f>
        <v>61.541656263542151</v>
      </c>
      <c r="D34" s="146">
        <f>'Big Summary'!G127</f>
        <v>75.990367268018531</v>
      </c>
      <c r="F34" s="7">
        <f>(D34-B34)/B34</f>
        <v>0.75570245529393465</v>
      </c>
      <c r="H34" s="7">
        <f t="shared" si="0"/>
        <v>0.19013871789190964</v>
      </c>
    </row>
    <row r="35" spans="1:9" ht="14.1" customHeight="1">
      <c r="A35" s="148" t="s">
        <v>42</v>
      </c>
      <c r="B35" s="149">
        <f>'Big Summary'!G36</f>
        <v>0</v>
      </c>
      <c r="C35" s="149">
        <f>'Big Summary'!G82</f>
        <v>1.3592528011987788</v>
      </c>
      <c r="D35" s="149">
        <f>'Big Summary'!G128</f>
        <v>1.6131343317370497</v>
      </c>
      <c r="F35" s="7"/>
      <c r="H35" s="7">
        <f t="shared" si="0"/>
        <v>0.15738399806102141</v>
      </c>
    </row>
    <row r="36" spans="1:9" ht="14.1" customHeight="1">
      <c r="A36" s="143" t="s">
        <v>43</v>
      </c>
      <c r="B36" s="146">
        <f>'Big Summary'!G37</f>
        <v>219.04327232133537</v>
      </c>
      <c r="C36" s="146">
        <f>'Big Summary'!G83</f>
        <v>283.14535566273753</v>
      </c>
      <c r="D36" s="146">
        <f>'Big Summary'!G129</f>
        <v>352.79945415576179</v>
      </c>
      <c r="F36" s="7">
        <f>(D36-B36)/B36</f>
        <v>0.61063816485633393</v>
      </c>
      <c r="H36" s="7">
        <f t="shared" si="0"/>
        <v>0.19743255742757418</v>
      </c>
    </row>
    <row r="37" spans="1:9" ht="14.1" customHeight="1">
      <c r="A37" s="148" t="s">
        <v>44</v>
      </c>
      <c r="B37" s="149" t="str">
        <f>'Big Summary'!G38</f>
        <v>-</v>
      </c>
      <c r="C37" s="149" t="str">
        <f>'Big Summary'!G84</f>
        <v>-</v>
      </c>
      <c r="D37" s="149" t="str">
        <f>'Big Summary'!G130</f>
        <v>-</v>
      </c>
      <c r="F37" s="7"/>
      <c r="G37" s="8">
        <f>(SUM(D32:D37)-SUM(B32:B37))/SUM(B32:B37)</f>
        <v>0.64065739630161389</v>
      </c>
      <c r="H37" s="7"/>
      <c r="I37" s="8">
        <f>(SUM(D32:D37)-SUM(C32:C37))/SUM(C32:C37)</f>
        <v>0.24368340006256109</v>
      </c>
    </row>
    <row r="38" spans="1:9" ht="14.1" customHeight="1">
      <c r="A38" s="143" t="s">
        <v>45</v>
      </c>
      <c r="B38" s="146">
        <f>'Big Summary'!G39</f>
        <v>38.1</v>
      </c>
      <c r="C38" s="146" t="str">
        <f>'Big Summary'!G85</f>
        <v>-</v>
      </c>
      <c r="D38" s="146" t="str">
        <f>'Big Summary'!G131</f>
        <v>-</v>
      </c>
      <c r="F38" s="7"/>
      <c r="H38" s="7"/>
    </row>
    <row r="39" spans="1:9" ht="14.1" customHeight="1">
      <c r="A39" s="148" t="s">
        <v>46</v>
      </c>
      <c r="B39" s="149">
        <f>'Big Summary'!G40</f>
        <v>10.5</v>
      </c>
      <c r="C39" s="149" t="str">
        <f>'Big Summary'!G86</f>
        <v>-</v>
      </c>
      <c r="D39" s="149" t="str">
        <f>'Big Summary'!G132</f>
        <v>-</v>
      </c>
      <c r="F39" s="7"/>
      <c r="H39" s="7"/>
    </row>
    <row r="40" spans="1:9" ht="14.1" customHeight="1">
      <c r="A40" s="143" t="s">
        <v>47</v>
      </c>
      <c r="B40" s="146">
        <f>'Big Summary'!G41</f>
        <v>143.89121104149112</v>
      </c>
      <c r="C40" s="146">
        <f>'Big Summary'!G87</f>
        <v>180.68622978042725</v>
      </c>
      <c r="D40" s="146">
        <f>'Big Summary'!G133</f>
        <v>221.86079773888741</v>
      </c>
      <c r="F40" s="7">
        <f>(D40-B40)/B40</f>
        <v>0.54186483061091006</v>
      </c>
      <c r="H40" s="7">
        <f t="shared" si="0"/>
        <v>0.18558739704397603</v>
      </c>
    </row>
    <row r="41" spans="1:9" ht="14.1" customHeight="1">
      <c r="A41" s="186" t="s">
        <v>25</v>
      </c>
      <c r="B41" s="187">
        <f>'Big Summary'!G42</f>
        <v>824.90404454488396</v>
      </c>
      <c r="C41" s="187">
        <f>'Big Summary'!G88</f>
        <v>1005.8323680131302</v>
      </c>
      <c r="D41" s="187">
        <f>'Big Summary'!G134</f>
        <v>1219.4603706593753</v>
      </c>
      <c r="F41" s="7">
        <f>(D41-B41)/B41</f>
        <v>0.4783057238277646</v>
      </c>
      <c r="H41" s="7">
        <f t="shared" si="0"/>
        <v>0.17518240673186786</v>
      </c>
    </row>
    <row r="42" spans="1:9" ht="14.1" customHeight="1">
      <c r="B42" s="151"/>
      <c r="C42" s="151"/>
      <c r="D42" s="151"/>
      <c r="F42" s="7"/>
      <c r="H42" s="7"/>
    </row>
    <row r="43" spans="1:9" ht="14.1" customHeight="1">
      <c r="A43" s="147" t="s">
        <v>48</v>
      </c>
      <c r="B43" s="153">
        <f>'Big Summary'!G44</f>
        <v>1.6038128303668038</v>
      </c>
      <c r="C43" s="153">
        <f>'Big Summary'!G90</f>
        <v>1.2987495498294341</v>
      </c>
      <c r="D43" s="153">
        <f>'Big Summary'!G136</f>
        <v>1.2092803644244308</v>
      </c>
      <c r="F43" s="7">
        <f>(D43-B43)/B43</f>
        <v>-0.24599657670286909</v>
      </c>
      <c r="H43" s="7">
        <f t="shared" si="0"/>
        <v>-7.3985477675052744E-2</v>
      </c>
    </row>
    <row r="44" spans="1:9" ht="14.1" customHeight="1">
      <c r="A44" s="147" t="s">
        <v>49</v>
      </c>
      <c r="B44" s="153">
        <f>'Big Summary'!G45</f>
        <v>1.1257679785788257</v>
      </c>
      <c r="C44" s="153">
        <f>'Big Summary'!G91</f>
        <v>1.1140281461227866</v>
      </c>
      <c r="D44" s="153">
        <f>'Big Summary'!G137</f>
        <v>1.1532745555091042</v>
      </c>
      <c r="F44" s="7">
        <f>(D44-B44)/B44</f>
        <v>2.4433611058117758E-2</v>
      </c>
      <c r="H44" s="7">
        <f t="shared" si="0"/>
        <v>3.4030412965273996E-2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5CC1E376D8740B9551298980C3917" ma:contentTypeVersion="2" ma:contentTypeDescription="Create a new document." ma:contentTypeScope="" ma:versionID="7dbd9f21dbef2285d472d224196236c5">
  <xsd:schema xmlns:xsd="http://www.w3.org/2001/XMLSchema" xmlns:xs="http://www.w3.org/2001/XMLSchema" xmlns:p="http://schemas.microsoft.com/office/2006/metadata/properties" xmlns:ns2="1d886726-b6f7-4725-97a0-fa553a89522c" targetNamespace="http://schemas.microsoft.com/office/2006/metadata/properties" ma:root="true" ma:fieldsID="cf6999b78ae2094a7c477f3a7248950b" ns2:_="">
    <xsd:import namespace="1d886726-b6f7-4725-97a0-fa553a8952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86726-b6f7-4725-97a0-fa553a8952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3E999C-8127-4DAD-94CA-2AA02EC92B23}"/>
</file>

<file path=customXml/itemProps2.xml><?xml version="1.0" encoding="utf-8"?>
<ds:datastoreItem xmlns:ds="http://schemas.openxmlformats.org/officeDocument/2006/customXml" ds:itemID="{96797968-F734-4F17-A67C-92CAF9C1B2D9}"/>
</file>

<file path=customXml/itemProps3.xml><?xml version="1.0" encoding="utf-8"?>
<ds:datastoreItem xmlns:ds="http://schemas.openxmlformats.org/officeDocument/2006/customXml" ds:itemID="{9050C3DD-12E6-4E43-9CC5-D54F00EBD7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Barron, Robert</dc:creator>
  <cp:keywords/>
  <dc:description/>
  <cp:lastModifiedBy>Willens, Kevin</cp:lastModifiedBy>
  <cp:revision/>
  <dcterms:created xsi:type="dcterms:W3CDTF">2017-11-08T20:18:15Z</dcterms:created>
  <dcterms:modified xsi:type="dcterms:W3CDTF">2022-09-06T12:36:21Z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0x0101006BF5CC1E376D8740B9551298980C3917</vt:lpwstr>
  </property>
</Properties>
</file>