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317\Desktop\"/>
    </mc:Choice>
  </mc:AlternateContent>
  <xr:revisionPtr revIDLastSave="0" documentId="13_ncr:1_{0F4FB58F-323F-4F5C-AF90-62D28F1A6A62}" xr6:coauthVersionLast="47" xr6:coauthVersionMax="47" xr10:uidLastSave="{00000000-0000-0000-0000-000000000000}"/>
  <bookViews>
    <workbookView xWindow="-120" yWindow="-16320" windowWidth="29040" windowHeight="15720" xr2:uid="{150A2819-8368-405F-B604-D331B35755A1}"/>
  </bookViews>
  <sheets>
    <sheet name="Lab vs Industry" sheetId="1" r:id="rId1"/>
    <sheet name="Panasonic 18650" sheetId="2" r:id="rId2"/>
    <sheet name="Tesla 4680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G8" i="1"/>
  <c r="F7" i="1"/>
  <c r="P7" i="5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6" i="5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6" i="5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6" i="5"/>
  <c r="N5" i="5"/>
  <c r="H19" i="5"/>
  <c r="D11" i="5"/>
  <c r="D12" i="5" s="1"/>
  <c r="F24" i="3"/>
  <c r="F25" i="3"/>
  <c r="C28" i="3"/>
  <c r="C27" i="3"/>
  <c r="C26" i="3"/>
  <c r="C25" i="3"/>
  <c r="C24" i="3"/>
  <c r="J30" i="3"/>
  <c r="L17" i="5"/>
  <c r="I4" i="3"/>
  <c r="I11" i="5"/>
  <c r="L6" i="3"/>
  <c r="L4" i="3"/>
  <c r="J4" i="3"/>
  <c r="J5" i="3"/>
  <c r="L5" i="3"/>
  <c r="I5" i="3"/>
  <c r="M25" i="3"/>
  <c r="L20" i="3"/>
  <c r="C18" i="3"/>
  <c r="H16" i="3"/>
  <c r="C17" i="3"/>
  <c r="D32" i="3"/>
  <c r="C22" i="3"/>
  <c r="C20" i="3"/>
  <c r="D16" i="3"/>
  <c r="G9" i="1"/>
  <c r="D4" i="2"/>
  <c r="D3" i="2"/>
  <c r="H5" i="3"/>
  <c r="D13" i="3"/>
  <c r="E11" i="3"/>
  <c r="G11" i="3" s="1"/>
  <c r="F10" i="3"/>
  <c r="E10" i="3"/>
  <c r="D12" i="2"/>
  <c r="E10" i="2"/>
  <c r="G10" i="2" s="1"/>
  <c r="F9" i="2"/>
  <c r="E9" i="2"/>
  <c r="G9" i="2" s="1"/>
  <c r="F4" i="2"/>
  <c r="F3" i="2"/>
  <c r="C21" i="1"/>
  <c r="I12" i="5" l="1"/>
  <c r="E4" i="2"/>
  <c r="G4" i="2" s="1"/>
  <c r="E3" i="2"/>
  <c r="G3" i="2" s="1"/>
  <c r="H4" i="2" s="1"/>
  <c r="G10" i="3"/>
  <c r="C29" i="3" l="1"/>
</calcChain>
</file>

<file path=xl/sharedStrings.xml><?xml version="1.0" encoding="utf-8"?>
<sst xmlns="http://schemas.openxmlformats.org/spreadsheetml/2006/main" count="115" uniqueCount="84">
  <si>
    <t>Academic vs. Industry</t>
  </si>
  <si>
    <t>N/P Ratio</t>
  </si>
  <si>
    <t>Cathode areal capacity (mAh/cm2)</t>
  </si>
  <si>
    <t>Anode Areal Capacity (mAh/cm2)</t>
  </si>
  <si>
    <t>Electrode porosity (%)</t>
  </si>
  <si>
    <t>Electrolyte weight/Cell Capacity (g/Ah)</t>
  </si>
  <si>
    <t>&gt;250</t>
  </si>
  <si>
    <t>cm2</t>
  </si>
  <si>
    <t>Cathode</t>
  </si>
  <si>
    <t>Anode</t>
  </si>
  <si>
    <t>mAh/g</t>
  </si>
  <si>
    <t>g</t>
  </si>
  <si>
    <t>mAh</t>
  </si>
  <si>
    <t>Areal Capacity</t>
  </si>
  <si>
    <t>n/p ratio</t>
  </si>
  <si>
    <t>Density</t>
  </si>
  <si>
    <t>Cu</t>
  </si>
  <si>
    <t>Al</t>
  </si>
  <si>
    <t>g/cm3</t>
  </si>
  <si>
    <t>cm</t>
  </si>
  <si>
    <t>~1.3</t>
  </si>
  <si>
    <t>Note</t>
  </si>
  <si>
    <t>Cathdoe: 200 mAh/g, Anode: 300mAh/g</t>
  </si>
  <si>
    <t>Cathode NCM811</t>
  </si>
  <si>
    <t>mAh/cm2</t>
  </si>
  <si>
    <t>~26.6</t>
  </si>
  <si>
    <t>~19.5</t>
  </si>
  <si>
    <t>mg/cm2</t>
  </si>
  <si>
    <t>Anode Graphite</t>
  </si>
  <si>
    <t>Assuming Cathode: 200 mAh/g,  Anode: 300 mAh/g</t>
  </si>
  <si>
    <t>Thickness</t>
  </si>
  <si>
    <t>~65</t>
  </si>
  <si>
    <t>~135</t>
  </si>
  <si>
    <t>&lt;60</t>
  </si>
  <si>
    <t>&gt;40%</t>
  </si>
  <si>
    <t>Average cathode thickness (um)</t>
  </si>
  <si>
    <t>Average anode thickness (um)</t>
  </si>
  <si>
    <t>Li-ion pouch cell (VW ID.3, 78Ah) (NCM622-811/Gr)</t>
  </si>
  <si>
    <t>Pouch Cell (Lab, 1Ah) (NCM622/Li)</t>
  </si>
  <si>
    <t>Panasonic NCR18650B, 3.3 Ah (NCA/Gr)</t>
  </si>
  <si>
    <t>Tesla 4680, 22 Ah (NCM811/Gr)</t>
  </si>
  <si>
    <t>4.9-A</t>
  </si>
  <si>
    <t>A: https://iopscience.iop.org/article/10.1149/1945-7111/ad14d0/pdf</t>
  </si>
  <si>
    <t>5.5-B</t>
  </si>
  <si>
    <t>Tesla Prismatic, (LFP/Gr)</t>
  </si>
  <si>
    <t>d_acs</t>
  </si>
  <si>
    <t>a</t>
  </si>
  <si>
    <t>um</t>
  </si>
  <si>
    <t>m</t>
  </si>
  <si>
    <t>mm</t>
  </si>
  <si>
    <t>r_o</t>
  </si>
  <si>
    <t>r_i</t>
  </si>
  <si>
    <t>sigma_1</t>
  </si>
  <si>
    <t>L1</t>
  </si>
  <si>
    <t>sigma_0</t>
  </si>
  <si>
    <t>L0</t>
  </si>
  <si>
    <t>L_t</t>
  </si>
  <si>
    <t>k</t>
  </si>
  <si>
    <t>a/2pi</t>
  </si>
  <si>
    <t>d_o</t>
  </si>
  <si>
    <t>d_i</t>
  </si>
  <si>
    <t>Discharge Capacity (mAh/g)</t>
  </si>
  <si>
    <t>Total Electrode Length (cm)</t>
  </si>
  <si>
    <t>Electrode Width (cm)</t>
  </si>
  <si>
    <t>Cathode Coating Thickness (um)</t>
  </si>
  <si>
    <t>Density of Electrode Material (g/cm3)</t>
  </si>
  <si>
    <t>Estimated Porosity</t>
  </si>
  <si>
    <t>Active cathode material percentage</t>
  </si>
  <si>
    <t>Areal cathode capacity</t>
  </si>
  <si>
    <t>Cell capacity</t>
  </si>
  <si>
    <t>x</t>
  </si>
  <si>
    <t>X</t>
  </si>
  <si>
    <t>&gt;70</t>
  </si>
  <si>
    <t>Coin Cell 2032 (Lab) (Li metal)</t>
  </si>
  <si>
    <t>&lt;1</t>
  </si>
  <si>
    <t>&gt;50</t>
  </si>
  <si>
    <t>Reference</t>
  </si>
  <si>
    <r>
      <t xml:space="preserve">Shuru Chen, et al., “Critical Parameters for Evaluating Coin Cells and Pouch Cells of Rechargeable Li-metal Batteries”, </t>
    </r>
    <r>
      <rPr>
        <b/>
        <i/>
        <sz val="10"/>
        <color theme="1"/>
        <rFont val="Aptos"/>
        <family val="2"/>
      </rPr>
      <t>Joule</t>
    </r>
    <r>
      <rPr>
        <sz val="10"/>
        <color theme="1"/>
        <rFont val="Aptos"/>
        <family val="2"/>
      </rPr>
      <t>, 3, 1094-1105 (2019)</t>
    </r>
  </si>
  <si>
    <r>
      <t xml:space="preserve">Jun Liu, et al., “Pathways for practical high-energy long-cycling lithium metal batteries”, </t>
    </r>
    <r>
      <rPr>
        <b/>
        <i/>
        <sz val="10"/>
        <color theme="1"/>
        <rFont val="Aptos"/>
        <family val="2"/>
      </rPr>
      <t>Nature Energy</t>
    </r>
    <r>
      <rPr>
        <sz val="10"/>
        <color theme="1"/>
        <rFont val="Aptos"/>
        <family val="2"/>
      </rPr>
      <t>,</t>
    </r>
    <r>
      <rPr>
        <i/>
        <sz val="10"/>
        <color theme="1"/>
        <rFont val="Aptos"/>
        <family val="2"/>
      </rPr>
      <t xml:space="preserve"> </t>
    </r>
    <r>
      <rPr>
        <sz val="10"/>
        <color theme="1"/>
        <rFont val="Aptos"/>
        <family val="2"/>
      </rPr>
      <t>4, 180 (2019)</t>
    </r>
  </si>
  <si>
    <r>
      <t xml:space="preserve">Sandro Stock, et al., “Cell teardown and characterization of an automotive prismatic LFP battery”, </t>
    </r>
    <r>
      <rPr>
        <b/>
        <i/>
        <sz val="10"/>
        <color theme="1"/>
        <rFont val="Aptos"/>
        <family val="2"/>
      </rPr>
      <t>Electrochim. Acta</t>
    </r>
    <r>
      <rPr>
        <i/>
        <sz val="10"/>
        <color theme="1"/>
        <rFont val="Aptos"/>
        <family val="2"/>
      </rPr>
      <t xml:space="preserve">, </t>
    </r>
    <r>
      <rPr>
        <sz val="10"/>
        <color theme="1"/>
        <rFont val="Aptos"/>
        <family val="2"/>
      </rPr>
      <t>471, 143341 (2023)</t>
    </r>
  </si>
  <si>
    <r>
      <t xml:space="preserve">Markus Hagen, et al., “Lithium-Sulfur Cells: The Gap between the State-of-the-Art and the Requirements for High Energy Battery Cells”, </t>
    </r>
    <r>
      <rPr>
        <b/>
        <i/>
        <sz val="10"/>
        <color theme="1"/>
        <rFont val="Aptos"/>
        <family val="2"/>
      </rPr>
      <t>Adv. Energy Mater.</t>
    </r>
    <r>
      <rPr>
        <sz val="10"/>
        <color theme="1"/>
        <rFont val="Aptos"/>
        <family val="2"/>
      </rPr>
      <t>, 5, 1401986 (2015)</t>
    </r>
  </si>
  <si>
    <r>
      <t xml:space="preserve">F. J. Günter, et al., “State of the Art of Lithium-Ion Pouch Cells in Automotive Applications: Cell Teardown and Characterization”, </t>
    </r>
    <r>
      <rPr>
        <i/>
        <sz val="10"/>
        <color theme="1"/>
        <rFont val="Aptos"/>
        <family val="2"/>
      </rPr>
      <t>J. Electrochem. Soc.</t>
    </r>
    <r>
      <rPr>
        <sz val="10"/>
        <color theme="1"/>
        <rFont val="Aptos"/>
        <family val="2"/>
      </rPr>
      <t>, 169, 030515 (2022)</t>
    </r>
  </si>
  <si>
    <t>https://insideevs.com/news/598656/tesla-4680-battery-cell-specs/#:~:text=Tesla's%204680%2Dtype%20battery%20cell%20weight%20was%20355%20g.,rumor%20about%2098%20Wh%20capacity.</t>
  </si>
  <si>
    <r>
      <t xml:space="preserve">Manuel Ank, et al., “Lithium-Ion Cells in Automotive Applications: Tesla 4680 Cylindrical Cell Teardown and Characterization”, </t>
    </r>
    <r>
      <rPr>
        <b/>
        <i/>
        <sz val="10"/>
        <color theme="1"/>
        <rFont val="Aptos"/>
        <family val="2"/>
      </rPr>
      <t>J. Electrochem. Soc.</t>
    </r>
    <r>
      <rPr>
        <sz val="10"/>
        <color theme="1"/>
        <rFont val="Aptos"/>
        <family val="2"/>
      </rPr>
      <t>, 170, 120536 (2023)
https://insideevs.com/news/598656/tesla-4680-battery-cell-specs/#:~:text=Tesla's%204680%2Dtype%20battery%20cell%20weight%20was%20355%20g.,rumor%20about%2098%20Wh%20capacity.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</si>
</sst>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"/>
      <family val="2"/>
    </font>
    <font>
      <b/>
      <i/>
      <sz val="10"/>
      <color theme="1"/>
      <name val="Aptos"/>
      <family val="2"/>
    </font>
    <font>
      <i/>
      <sz val="10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1"/>
    <xf numFmtId="0" fontId="0" fillId="0" borderId="0" xfId="0" applyAlignment="1">
      <alignment horizontal="right" vertical="center" wrapText="1"/>
    </xf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sideevs.com/news/598656/tesla-4680-battery-cell-specs/" TargetMode="External"/><Relationship Id="rId1" Type="http://schemas.openxmlformats.org/officeDocument/2006/relationships/hyperlink" Target="https://iopscience.iop.org/article/10.1149/1945-7111/ad14d0/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8729-D5CB-4058-9AE6-C4289C501CF1}">
  <dimension ref="A1:I21"/>
  <sheetViews>
    <sheetView tabSelected="1" topLeftCell="A10" zoomScale="83" zoomScaleNormal="83" workbookViewId="0">
      <selection activeCell="G21" sqref="G21"/>
    </sheetView>
  </sheetViews>
  <sheetFormatPr defaultRowHeight="14.4" x14ac:dyDescent="0.3"/>
  <cols>
    <col min="3" max="3" width="33.88671875" bestFit="1" customWidth="1"/>
    <col min="4" max="4" width="25.6640625" bestFit="1" customWidth="1"/>
    <col min="5" max="5" width="30.5546875" customWidth="1"/>
    <col min="6" max="6" width="21" customWidth="1"/>
    <col min="7" max="7" width="33.88671875" bestFit="1" customWidth="1"/>
    <col min="8" max="8" width="29.109375" customWidth="1"/>
    <col min="9" max="9" width="21.6640625" bestFit="1" customWidth="1"/>
  </cols>
  <sheetData>
    <row r="1" spans="1:9" x14ac:dyDescent="0.3">
      <c r="A1" t="s">
        <v>0</v>
      </c>
    </row>
    <row r="3" spans="1:9" x14ac:dyDescent="0.3">
      <c r="D3" t="s">
        <v>73</v>
      </c>
      <c r="E3" t="s">
        <v>38</v>
      </c>
      <c r="F3" t="s">
        <v>37</v>
      </c>
      <c r="G3" t="s">
        <v>39</v>
      </c>
      <c r="H3" t="s">
        <v>40</v>
      </c>
      <c r="I3" t="s">
        <v>44</v>
      </c>
    </row>
    <row r="4" spans="1:9" x14ac:dyDescent="0.3">
      <c r="C4" s="3" t="s">
        <v>2</v>
      </c>
      <c r="D4" s="4" t="s">
        <v>74</v>
      </c>
      <c r="E4" s="3">
        <v>3.5</v>
      </c>
      <c r="F4" s="3">
        <v>5.0199999999999996</v>
      </c>
      <c r="G4" s="4">
        <v>4.93</v>
      </c>
      <c r="H4" s="6" t="s">
        <v>41</v>
      </c>
      <c r="I4">
        <v>3.44</v>
      </c>
    </row>
    <row r="5" spans="1:9" x14ac:dyDescent="0.3">
      <c r="C5" s="3" t="s">
        <v>3</v>
      </c>
      <c r="D5" s="4" t="s">
        <v>75</v>
      </c>
      <c r="E5" s="3">
        <v>10</v>
      </c>
      <c r="F5" s="3">
        <v>5.23</v>
      </c>
      <c r="G5" s="3">
        <v>4.97</v>
      </c>
      <c r="H5" s="6" t="s">
        <v>43</v>
      </c>
      <c r="I5" s="3">
        <v>3.66</v>
      </c>
    </row>
    <row r="6" spans="1:9" x14ac:dyDescent="0.3">
      <c r="C6" s="3" t="s">
        <v>1</v>
      </c>
      <c r="D6" s="4" t="s">
        <v>75</v>
      </c>
      <c r="E6" s="3">
        <v>2.86</v>
      </c>
      <c r="F6" s="3">
        <v>1.04</v>
      </c>
      <c r="G6" s="3">
        <v>1.01</v>
      </c>
      <c r="H6" s="3">
        <v>1.1200000000000001</v>
      </c>
      <c r="I6">
        <v>1.06</v>
      </c>
    </row>
    <row r="7" spans="1:9" x14ac:dyDescent="0.3">
      <c r="C7" s="3" t="s">
        <v>5</v>
      </c>
      <c r="D7" s="4" t="s">
        <v>72</v>
      </c>
      <c r="E7" s="3">
        <v>3</v>
      </c>
      <c r="F7" s="3">
        <f>0.95</f>
        <v>0.95</v>
      </c>
      <c r="G7" s="4" t="s">
        <v>20</v>
      </c>
      <c r="H7" s="3"/>
    </row>
    <row r="8" spans="1:9" x14ac:dyDescent="0.3">
      <c r="C8" s="3" t="s">
        <v>35</v>
      </c>
      <c r="D8" s="4" t="s">
        <v>33</v>
      </c>
      <c r="E8" s="3">
        <v>67</v>
      </c>
      <c r="F8" s="3">
        <v>87.3</v>
      </c>
      <c r="G8" s="4">
        <f>165/2</f>
        <v>82.5</v>
      </c>
      <c r="H8" s="4" t="s">
        <v>31</v>
      </c>
      <c r="I8">
        <v>94</v>
      </c>
    </row>
    <row r="9" spans="1:9" x14ac:dyDescent="0.3">
      <c r="C9" s="3" t="s">
        <v>36</v>
      </c>
      <c r="D9" s="4" t="s">
        <v>6</v>
      </c>
      <c r="E9" s="3">
        <v>50</v>
      </c>
      <c r="F9" s="3">
        <v>115.3</v>
      </c>
      <c r="G9" s="3">
        <f>190/2</f>
        <v>95</v>
      </c>
      <c r="H9" s="4" t="s">
        <v>32</v>
      </c>
      <c r="I9">
        <v>71</v>
      </c>
    </row>
    <row r="10" spans="1:9" x14ac:dyDescent="0.3">
      <c r="C10" s="3" t="s">
        <v>4</v>
      </c>
      <c r="D10" s="4" t="s">
        <v>34</v>
      </c>
      <c r="E10" s="3">
        <v>34</v>
      </c>
      <c r="F10" s="3">
        <v>22</v>
      </c>
      <c r="G10" s="3"/>
      <c r="H10" s="3"/>
      <c r="I10">
        <v>32</v>
      </c>
    </row>
    <row r="11" spans="1:9" ht="193.2" x14ac:dyDescent="0.3">
      <c r="C11" s="3" t="s">
        <v>76</v>
      </c>
      <c r="D11" s="9" t="s">
        <v>78</v>
      </c>
      <c r="E11" s="9" t="s">
        <v>77</v>
      </c>
      <c r="F11" s="9" t="s">
        <v>81</v>
      </c>
      <c r="G11" s="9" t="s">
        <v>80</v>
      </c>
      <c r="H11" s="10" t="s">
        <v>83</v>
      </c>
      <c r="I11" s="9" t="s">
        <v>79</v>
      </c>
    </row>
    <row r="13" spans="1:9" ht="57.6" x14ac:dyDescent="0.3">
      <c r="C13" t="s">
        <v>21</v>
      </c>
      <c r="G13" s="2" t="s">
        <v>29</v>
      </c>
      <c r="H13" t="s">
        <v>22</v>
      </c>
    </row>
    <row r="14" spans="1:9" x14ac:dyDescent="0.3">
      <c r="E14">
        <f>22*72*5</f>
        <v>7920</v>
      </c>
      <c r="H14" s="5" t="s">
        <v>42</v>
      </c>
    </row>
    <row r="15" spans="1:9" x14ac:dyDescent="0.3">
      <c r="H15" s="5" t="s">
        <v>82</v>
      </c>
    </row>
    <row r="21" spans="3:3" x14ac:dyDescent="0.3">
      <c r="C21">
        <f>25*1000/(3.3*100*7)</f>
        <v>10.822510822510823</v>
      </c>
    </row>
  </sheetData>
  <hyperlinks>
    <hyperlink ref="H14" r:id="rId1" display="https://iopscience.iop.org/article/10.1149/1945-7111/ad14d0/pdf" xr:uid="{B116B3C7-90CE-476D-BCA8-107F29A14583}"/>
    <hyperlink ref="H15" r:id="rId2" location=":~:text=Tesla's%204680%2Dtype%20battery%20cell%20weight%20was%20355%20g.,rumor%20about%2098%20Wh%20capacity." xr:uid="{4B02C674-30E3-4E39-B3F3-5318867DA1A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662-4C7B-49BB-9B19-F73A9831D5D6}">
  <dimension ref="B2:H12"/>
  <sheetViews>
    <sheetView workbookViewId="0">
      <selection activeCell="E10" sqref="E10"/>
    </sheetView>
  </sheetViews>
  <sheetFormatPr defaultRowHeight="14.4" x14ac:dyDescent="0.3"/>
  <sheetData>
    <row r="2" spans="2:8" x14ac:dyDescent="0.3">
      <c r="C2" t="s">
        <v>10</v>
      </c>
      <c r="D2" t="s">
        <v>11</v>
      </c>
      <c r="E2" t="s">
        <v>12</v>
      </c>
      <c r="F2" t="s">
        <v>7</v>
      </c>
      <c r="G2" t="s">
        <v>13</v>
      </c>
      <c r="H2" t="s">
        <v>14</v>
      </c>
    </row>
    <row r="3" spans="2:8" x14ac:dyDescent="0.3">
      <c r="B3" t="s">
        <v>8</v>
      </c>
      <c r="C3">
        <v>200</v>
      </c>
      <c r="D3">
        <f>(20-G10)/2</f>
        <v>9.3230830000000005</v>
      </c>
      <c r="E3">
        <f>C3*D3</f>
        <v>1864.6166000000001</v>
      </c>
      <c r="F3">
        <f>62*6.1</f>
        <v>378.2</v>
      </c>
      <c r="G3">
        <f>E3/F3</f>
        <v>4.9302395557905871</v>
      </c>
    </row>
    <row r="4" spans="2:8" x14ac:dyDescent="0.3">
      <c r="B4" t="s">
        <v>9</v>
      </c>
      <c r="C4">
        <v>300</v>
      </c>
      <c r="D4">
        <f>(14.4-G9)/2</f>
        <v>5.5329920000000001</v>
      </c>
      <c r="E4">
        <f>C4*D4</f>
        <v>1659.8976</v>
      </c>
      <c r="F4">
        <f>54.8*6.1</f>
        <v>334.28</v>
      </c>
      <c r="G4">
        <f>E4/F4</f>
        <v>4.9655905229149218</v>
      </c>
      <c r="H4">
        <f>G4/G3</f>
        <v>1.0071702331548607</v>
      </c>
    </row>
    <row r="8" spans="2:8" x14ac:dyDescent="0.3">
      <c r="C8" t="s">
        <v>15</v>
      </c>
      <c r="D8" t="s">
        <v>18</v>
      </c>
      <c r="E8" t="s">
        <v>7</v>
      </c>
      <c r="F8" t="s">
        <v>19</v>
      </c>
      <c r="G8" t="s">
        <v>11</v>
      </c>
    </row>
    <row r="9" spans="2:8" x14ac:dyDescent="0.3">
      <c r="C9" t="s">
        <v>16</v>
      </c>
      <c r="D9">
        <v>8.9600000000000009</v>
      </c>
      <c r="E9">
        <f>61*6.1</f>
        <v>372.09999999999997</v>
      </c>
      <c r="F9">
        <f>10^-3</f>
        <v>1E-3</v>
      </c>
      <c r="G9">
        <f>D9*E9*F9</f>
        <v>3.3340160000000001</v>
      </c>
    </row>
    <row r="10" spans="2:8" x14ac:dyDescent="0.3">
      <c r="C10" t="s">
        <v>17</v>
      </c>
      <c r="D10">
        <v>2.7</v>
      </c>
      <c r="E10">
        <f>54.8*6.1</f>
        <v>334.28</v>
      </c>
      <c r="F10">
        <v>1.5E-3</v>
      </c>
      <c r="G10">
        <f>D10*E10*F10</f>
        <v>1.353834</v>
      </c>
    </row>
    <row r="12" spans="2:8" x14ac:dyDescent="0.3">
      <c r="D12">
        <f>4.3/3.3</f>
        <v>1.303030303030303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59F7-A33B-4B0D-AF5F-BB1992CC3012}">
  <dimension ref="B3:M32"/>
  <sheetViews>
    <sheetView topLeftCell="A22" workbookViewId="0">
      <selection activeCell="H21" sqref="H21"/>
    </sheetView>
  </sheetViews>
  <sheetFormatPr defaultRowHeight="14.4" x14ac:dyDescent="0.3"/>
  <cols>
    <col min="2" max="2" width="15.21875" bestFit="1" customWidth="1"/>
    <col min="3" max="3" width="16" customWidth="1"/>
    <col min="4" max="4" width="20" customWidth="1"/>
  </cols>
  <sheetData>
    <row r="3" spans="2:12" x14ac:dyDescent="0.3">
      <c r="C3" t="s">
        <v>10</v>
      </c>
      <c r="D3" t="s">
        <v>27</v>
      </c>
      <c r="E3" t="s">
        <v>24</v>
      </c>
      <c r="F3" t="s">
        <v>7</v>
      </c>
      <c r="G3" t="s">
        <v>13</v>
      </c>
      <c r="H3" t="s">
        <v>14</v>
      </c>
      <c r="I3" t="s">
        <v>30</v>
      </c>
    </row>
    <row r="4" spans="2:12" x14ac:dyDescent="0.3">
      <c r="B4" t="s">
        <v>23</v>
      </c>
      <c r="C4">
        <v>190</v>
      </c>
      <c r="D4" s="1" t="s">
        <v>25</v>
      </c>
      <c r="E4">
        <v>4.9000000000000004</v>
      </c>
      <c r="I4">
        <f>(1.95-0.19)/2</f>
        <v>0.88</v>
      </c>
      <c r="J4">
        <f>50/0.7*I$4</f>
        <v>62.857142857142861</v>
      </c>
      <c r="L4">
        <f>50/0.7*2</f>
        <v>142.85714285714286</v>
      </c>
    </row>
    <row r="5" spans="2:12" x14ac:dyDescent="0.3">
      <c r="B5" t="s">
        <v>28</v>
      </c>
      <c r="C5">
        <v>280</v>
      </c>
      <c r="D5" s="1" t="s">
        <v>26</v>
      </c>
      <c r="E5">
        <v>5.5</v>
      </c>
      <c r="H5">
        <f>E5/E4</f>
        <v>1.1224489795918366</v>
      </c>
      <c r="I5">
        <f>(1.13-0.03)/2</f>
        <v>0.54999999999999993</v>
      </c>
      <c r="J5">
        <f>I$5*100/0.4</f>
        <v>137.49999999999997</v>
      </c>
      <c r="L5">
        <f>1.13*100/0.4</f>
        <v>282.49999999999994</v>
      </c>
    </row>
    <row r="6" spans="2:12" x14ac:dyDescent="0.3">
      <c r="L6">
        <f>SUM(L4:L5)</f>
        <v>425.35714285714278</v>
      </c>
    </row>
    <row r="9" spans="2:12" x14ac:dyDescent="0.3">
      <c r="C9" t="s">
        <v>15</v>
      </c>
      <c r="D9" t="s">
        <v>18</v>
      </c>
      <c r="E9" t="s">
        <v>7</v>
      </c>
      <c r="F9" t="s">
        <v>19</v>
      </c>
      <c r="G9" t="s">
        <v>11</v>
      </c>
    </row>
    <row r="10" spans="2:12" x14ac:dyDescent="0.3">
      <c r="C10" t="s">
        <v>16</v>
      </c>
      <c r="D10">
        <v>8.9600000000000009</v>
      </c>
      <c r="E10">
        <f>61*6.1</f>
        <v>372.09999999999997</v>
      </c>
      <c r="F10">
        <f>10^-3</f>
        <v>1E-3</v>
      </c>
      <c r="G10">
        <f>D10*E10*F10</f>
        <v>3.3340160000000001</v>
      </c>
    </row>
    <row r="11" spans="2:12" x14ac:dyDescent="0.3">
      <c r="C11" t="s">
        <v>17</v>
      </c>
      <c r="D11">
        <v>2.7</v>
      </c>
      <c r="E11">
        <f>54.8*6.1</f>
        <v>334.28</v>
      </c>
      <c r="F11">
        <v>1.5E-3</v>
      </c>
      <c r="G11">
        <f>D11*E11*F11</f>
        <v>1.353834</v>
      </c>
    </row>
    <row r="13" spans="2:12" x14ac:dyDescent="0.3">
      <c r="D13">
        <f>4.3/3.3</f>
        <v>1.303030303030303</v>
      </c>
    </row>
    <row r="16" spans="2:12" x14ac:dyDescent="0.3">
      <c r="B16" t="s">
        <v>45</v>
      </c>
      <c r="C16">
        <v>283</v>
      </c>
      <c r="D16">
        <f>252*(10^-6)</f>
        <v>2.52E-4</v>
      </c>
      <c r="E16" t="s">
        <v>46</v>
      </c>
      <c r="H16">
        <f>283*10^-3</f>
        <v>0.28300000000000003</v>
      </c>
    </row>
    <row r="17" spans="2:13" x14ac:dyDescent="0.3">
      <c r="B17" t="s">
        <v>46</v>
      </c>
      <c r="C17">
        <f>C16/(2*PI())</f>
        <v>45.040848895006384</v>
      </c>
      <c r="D17" t="s">
        <v>47</v>
      </c>
      <c r="E17" t="s">
        <v>57</v>
      </c>
      <c r="F17" t="s">
        <v>58</v>
      </c>
    </row>
    <row r="18" spans="2:13" x14ac:dyDescent="0.3">
      <c r="C18">
        <f>C17*(10^-6)</f>
        <v>4.5040848895006382E-5</v>
      </c>
      <c r="D18" t="s">
        <v>48</v>
      </c>
    </row>
    <row r="19" spans="2:13" x14ac:dyDescent="0.3">
      <c r="B19" t="s">
        <v>59</v>
      </c>
      <c r="C19">
        <v>46</v>
      </c>
      <c r="D19" t="s">
        <v>49</v>
      </c>
    </row>
    <row r="20" spans="2:13" x14ac:dyDescent="0.3">
      <c r="B20" t="s">
        <v>50</v>
      </c>
      <c r="C20">
        <f>C19*10^-3/2</f>
        <v>2.3E-2</v>
      </c>
      <c r="D20" t="s">
        <v>48</v>
      </c>
      <c r="L20">
        <f>58*2+52.5*2+10+20+16*2</f>
        <v>283</v>
      </c>
    </row>
    <row r="21" spans="2:13" x14ac:dyDescent="0.3">
      <c r="B21" t="s">
        <v>60</v>
      </c>
      <c r="C21">
        <v>2</v>
      </c>
      <c r="D21" t="s">
        <v>49</v>
      </c>
    </row>
    <row r="22" spans="2:13" x14ac:dyDescent="0.3">
      <c r="B22" t="s">
        <v>51</v>
      </c>
      <c r="C22">
        <f>C21*10^-3/2</f>
        <v>1E-3</v>
      </c>
      <c r="D22" t="s">
        <v>48</v>
      </c>
    </row>
    <row r="24" spans="2:13" x14ac:dyDescent="0.3">
      <c r="B24" t="s">
        <v>52</v>
      </c>
      <c r="C24">
        <f>C20/C18</f>
        <v>510.64756913473667</v>
      </c>
      <c r="F24">
        <f>C24-C25</f>
        <v>488.44550091148727</v>
      </c>
    </row>
    <row r="25" spans="2:13" x14ac:dyDescent="0.3">
      <c r="B25" t="s">
        <v>54</v>
      </c>
      <c r="C25">
        <f>C22/C18</f>
        <v>22.202068223249423</v>
      </c>
      <c r="F25" s="7">
        <f>F24/(2*PI())</f>
        <v>77.738515901060069</v>
      </c>
      <c r="M25">
        <f>185*21.4/1000*0.96</f>
        <v>3.8006399999999996</v>
      </c>
    </row>
    <row r="26" spans="2:13" x14ac:dyDescent="0.3">
      <c r="B26" t="s">
        <v>53</v>
      </c>
      <c r="C26">
        <f>(C24/2)*((C24^2+1)^(1/2))+0.5*LN(C24+((C24^2+1)^(1/2)))</f>
        <v>130384.18434526963</v>
      </c>
    </row>
    <row r="27" spans="2:13" x14ac:dyDescent="0.3">
      <c r="B27" t="s">
        <v>55</v>
      </c>
      <c r="C27">
        <f>(C25/2)*(C25^2+1)^(1/2)+0.5*LN(C25+(C25^2+1)^(1/2))</f>
        <v>248.6127097371934</v>
      </c>
    </row>
    <row r="28" spans="2:13" x14ac:dyDescent="0.3">
      <c r="B28" t="s">
        <v>56</v>
      </c>
      <c r="C28">
        <f>(C26-C27)*C16/(2*PI())</f>
        <v>5861416.6179012954</v>
      </c>
    </row>
    <row r="29" spans="2:13" x14ac:dyDescent="0.3">
      <c r="C29" s="7">
        <f>C28*10^-6</f>
        <v>5.8614166179012948</v>
      </c>
      <c r="D29" t="s">
        <v>48</v>
      </c>
    </row>
    <row r="30" spans="2:13" x14ac:dyDescent="0.3">
      <c r="J30">
        <f>52.5*2+58*2+30+16*2</f>
        <v>283</v>
      </c>
    </row>
    <row r="32" spans="2:13" x14ac:dyDescent="0.3">
      <c r="D32">
        <f>126+125+16*2</f>
        <v>283</v>
      </c>
      <c r="F32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CCDF-8673-41F8-8862-182404A050E8}">
  <dimension ref="C3:P19"/>
  <sheetViews>
    <sheetView topLeftCell="G1" workbookViewId="0">
      <selection activeCell="U11" sqref="U11"/>
    </sheetView>
  </sheetViews>
  <sheetFormatPr defaultRowHeight="14.4" x14ac:dyDescent="0.3"/>
  <cols>
    <col min="3" max="3" width="30.77734375" bestFit="1" customWidth="1"/>
    <col min="8" max="8" width="30.77734375" bestFit="1" customWidth="1"/>
  </cols>
  <sheetData>
    <row r="3" spans="3:16" x14ac:dyDescent="0.3">
      <c r="C3" t="s">
        <v>61</v>
      </c>
      <c r="D3">
        <v>200</v>
      </c>
      <c r="E3" t="s">
        <v>70</v>
      </c>
      <c r="H3" t="s">
        <v>61</v>
      </c>
      <c r="I3">
        <v>200</v>
      </c>
    </row>
    <row r="4" spans="3:16" x14ac:dyDescent="0.3">
      <c r="C4" s="8" t="s">
        <v>62</v>
      </c>
      <c r="D4" s="8">
        <v>586</v>
      </c>
      <c r="H4" t="s">
        <v>62</v>
      </c>
      <c r="I4">
        <v>700</v>
      </c>
    </row>
    <row r="5" spans="3:16" x14ac:dyDescent="0.3">
      <c r="C5" t="s">
        <v>63</v>
      </c>
      <c r="D5">
        <v>6.8</v>
      </c>
      <c r="H5" t="s">
        <v>63</v>
      </c>
      <c r="I5">
        <v>7.1</v>
      </c>
      <c r="N5">
        <f>1.33</f>
        <v>1.33</v>
      </c>
      <c r="O5">
        <v>1.56</v>
      </c>
      <c r="P5">
        <v>1.36</v>
      </c>
    </row>
    <row r="6" spans="3:16" x14ac:dyDescent="0.3">
      <c r="C6" t="s">
        <v>64</v>
      </c>
      <c r="D6">
        <v>52.5</v>
      </c>
      <c r="E6" t="s">
        <v>70</v>
      </c>
      <c r="H6" t="s">
        <v>64</v>
      </c>
      <c r="I6">
        <v>65</v>
      </c>
      <c r="N6">
        <f>N5+0.42</f>
        <v>1.75</v>
      </c>
      <c r="O6">
        <f>O5+0.42</f>
        <v>1.98</v>
      </c>
      <c r="P6">
        <f>P5+0.42</f>
        <v>1.78</v>
      </c>
    </row>
    <row r="7" spans="3:16" x14ac:dyDescent="0.3">
      <c r="C7" t="s">
        <v>65</v>
      </c>
      <c r="D7">
        <v>4.87</v>
      </c>
      <c r="E7" t="s">
        <v>71</v>
      </c>
      <c r="H7" t="s">
        <v>65</v>
      </c>
      <c r="I7">
        <v>4.87</v>
      </c>
      <c r="N7">
        <f t="shared" ref="N7:N19" si="0">N6+0.42</f>
        <v>2.17</v>
      </c>
      <c r="O7">
        <f t="shared" ref="O7:O19" si="1">O6+0.42</f>
        <v>2.4</v>
      </c>
      <c r="P7">
        <f t="shared" ref="P7:P19" si="2">P6+0.42</f>
        <v>2.2000000000000002</v>
      </c>
    </row>
    <row r="8" spans="3:16" x14ac:dyDescent="0.3">
      <c r="C8" t="s">
        <v>66</v>
      </c>
      <c r="D8">
        <v>0.35</v>
      </c>
      <c r="E8" t="s">
        <v>70</v>
      </c>
      <c r="H8" t="s">
        <v>66</v>
      </c>
      <c r="I8">
        <v>0.22</v>
      </c>
      <c r="N8">
        <f t="shared" si="0"/>
        <v>2.59</v>
      </c>
      <c r="O8">
        <f t="shared" si="1"/>
        <v>2.82</v>
      </c>
      <c r="P8">
        <f t="shared" si="2"/>
        <v>2.62</v>
      </c>
    </row>
    <row r="9" spans="3:16" x14ac:dyDescent="0.3">
      <c r="C9" t="s">
        <v>67</v>
      </c>
      <c r="D9">
        <v>0.96</v>
      </c>
      <c r="E9" t="s">
        <v>70</v>
      </c>
      <c r="H9" t="s">
        <v>67</v>
      </c>
      <c r="I9">
        <v>0.96</v>
      </c>
      <c r="N9">
        <f t="shared" si="0"/>
        <v>3.01</v>
      </c>
      <c r="O9">
        <f t="shared" si="1"/>
        <v>3.2399999999999998</v>
      </c>
      <c r="P9">
        <f t="shared" si="2"/>
        <v>3.04</v>
      </c>
    </row>
    <row r="10" spans="3:16" x14ac:dyDescent="0.3">
      <c r="N10">
        <f t="shared" si="0"/>
        <v>3.4299999999999997</v>
      </c>
      <c r="O10">
        <f t="shared" si="1"/>
        <v>3.6599999999999997</v>
      </c>
      <c r="P10">
        <f t="shared" si="2"/>
        <v>3.46</v>
      </c>
    </row>
    <row r="11" spans="3:16" x14ac:dyDescent="0.3">
      <c r="C11" t="s">
        <v>68</v>
      </c>
      <c r="D11">
        <f>D7*(1-D8)*D9*(D6*10^-4)*200</f>
        <v>3.1908240000000005</v>
      </c>
      <c r="H11" t="s">
        <v>68</v>
      </c>
      <c r="I11">
        <f>I7*(1-I8)*I9*(I6*10^-4)*200</f>
        <v>4.7406528000000003</v>
      </c>
      <c r="N11">
        <f t="shared" si="0"/>
        <v>3.8499999999999996</v>
      </c>
      <c r="O11">
        <f t="shared" si="1"/>
        <v>4.08</v>
      </c>
      <c r="P11">
        <f t="shared" si="2"/>
        <v>3.88</v>
      </c>
    </row>
    <row r="12" spans="3:16" x14ac:dyDescent="0.3">
      <c r="C12" t="s">
        <v>69</v>
      </c>
      <c r="D12">
        <f>D11*(D4*D5)</f>
        <v>12714.795475200001</v>
      </c>
      <c r="H12" t="s">
        <v>69</v>
      </c>
      <c r="I12">
        <f>I11*(I4*I5)</f>
        <v>23561.044416000001</v>
      </c>
      <c r="N12">
        <f t="shared" si="0"/>
        <v>4.2699999999999996</v>
      </c>
      <c r="O12">
        <f t="shared" si="1"/>
        <v>4.5</v>
      </c>
      <c r="P12">
        <f t="shared" si="2"/>
        <v>4.3</v>
      </c>
    </row>
    <row r="13" spans="3:16" x14ac:dyDescent="0.3">
      <c r="N13">
        <f t="shared" si="0"/>
        <v>4.6899999999999995</v>
      </c>
      <c r="O13">
        <f t="shared" si="1"/>
        <v>4.92</v>
      </c>
      <c r="P13">
        <f t="shared" si="2"/>
        <v>4.72</v>
      </c>
    </row>
    <row r="14" spans="3:16" x14ac:dyDescent="0.3">
      <c r="N14">
        <f t="shared" si="0"/>
        <v>5.1099999999999994</v>
      </c>
      <c r="O14">
        <f t="shared" si="1"/>
        <v>5.34</v>
      </c>
      <c r="P14">
        <f t="shared" si="2"/>
        <v>5.14</v>
      </c>
    </row>
    <row r="15" spans="3:16" x14ac:dyDescent="0.3">
      <c r="N15">
        <f t="shared" si="0"/>
        <v>5.5299999999999994</v>
      </c>
      <c r="O15">
        <f t="shared" si="1"/>
        <v>5.76</v>
      </c>
      <c r="P15">
        <f t="shared" si="2"/>
        <v>5.56</v>
      </c>
    </row>
    <row r="16" spans="3:16" x14ac:dyDescent="0.3">
      <c r="N16">
        <f t="shared" si="0"/>
        <v>5.9499999999999993</v>
      </c>
      <c r="O16">
        <f t="shared" si="1"/>
        <v>6.18</v>
      </c>
      <c r="P16">
        <f t="shared" si="2"/>
        <v>5.9799999999999995</v>
      </c>
    </row>
    <row r="17" spans="8:16" x14ac:dyDescent="0.3">
      <c r="L17">
        <f>23*3.7/0.355</f>
        <v>239.71830985915497</v>
      </c>
      <c r="N17">
        <f t="shared" si="0"/>
        <v>6.3699999999999992</v>
      </c>
      <c r="O17">
        <f t="shared" si="1"/>
        <v>6.6</v>
      </c>
      <c r="P17">
        <f t="shared" si="2"/>
        <v>6.3999999999999995</v>
      </c>
    </row>
    <row r="18" spans="8:16" x14ac:dyDescent="0.3">
      <c r="N18">
        <f t="shared" si="0"/>
        <v>6.7899999999999991</v>
      </c>
      <c r="O18">
        <f t="shared" si="1"/>
        <v>7.02</v>
      </c>
      <c r="P18">
        <f t="shared" si="2"/>
        <v>6.8199999999999994</v>
      </c>
    </row>
    <row r="19" spans="8:16" x14ac:dyDescent="0.3">
      <c r="H19">
        <f>10^-4</f>
        <v>1E-4</v>
      </c>
      <c r="N19">
        <f t="shared" si="0"/>
        <v>7.2099999999999991</v>
      </c>
      <c r="O19">
        <f t="shared" si="1"/>
        <v>7.4399999999999995</v>
      </c>
      <c r="P19">
        <f t="shared" si="2"/>
        <v>7.2399999999999993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 vs Industry</vt:lpstr>
      <vt:lpstr>Panasonic 18650</vt:lpstr>
      <vt:lpstr>Tesla 4680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Joo Kim</dc:creator>
  <cp:lastModifiedBy>Sung Joo Kim</cp:lastModifiedBy>
  <dcterms:created xsi:type="dcterms:W3CDTF">2024-04-05T20:29:08Z</dcterms:created>
  <dcterms:modified xsi:type="dcterms:W3CDTF">2024-04-18T19:55:08Z</dcterms:modified>
</cp:coreProperties>
</file>