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4CA9453-879B-4AA4-92E3-2D35FF039C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dedValues" sheetId="1" r:id="rId1"/>
  </sheets>
  <definedNames>
    <definedName name="_C2_sweep">GradedValues!$H$10</definedName>
    <definedName name="_C4_Sweep">GradedValues!$H$9</definedName>
    <definedName name="a">GradedValues!$B$35</definedName>
    <definedName name="alpha_HT">GradedValues!$O$19</definedName>
    <definedName name="alpha_trim">GradedValues!$O$16</definedName>
    <definedName name="AR_HT">GradedValues!$H$25</definedName>
    <definedName name="AR_VT">GradedValues!$K$25</definedName>
    <definedName name="AR_wing">GradedValues!$H$7</definedName>
    <definedName name="b">GradedValues!$B$4</definedName>
    <definedName name="b_HT">GradedValues!$B$11</definedName>
    <definedName name="b_v">GradedValues!$B$17</definedName>
    <definedName name="b2v">GradedValues!$B$53</definedName>
    <definedName name="c_HT_r">GradedValues!$B$12</definedName>
    <definedName name="c_HT_t">GradedValues!$B$13</definedName>
    <definedName name="C_l_alpha">GradedValues!$B$29</definedName>
    <definedName name="C_L_w">GradedValues!$T$66</definedName>
    <definedName name="c_r">GradedValues!$B$5</definedName>
    <definedName name="c_t">GradedValues!$B$6</definedName>
    <definedName name="c_V_r">GradedValues!$B$18</definedName>
    <definedName name="c_V_t">GradedValues!$B$19</definedName>
    <definedName name="cbar">GradedValues!$H$8</definedName>
    <definedName name="cbar_ht">GradedValues!$H$26</definedName>
    <definedName name="cbar_vt">GradedValues!$K$26</definedName>
    <definedName name="CD_trim">GradedValues!$O$23</definedName>
    <definedName name="CD0">GradedValues!$O$9</definedName>
    <definedName name="CD0_Fus">GradedValues!$N$65</definedName>
    <definedName name="CD0_HT">GradedValues!$N$63</definedName>
    <definedName name="CD0_VT">GradedValues!$N$64</definedName>
    <definedName name="CD0_wing">GradedValues!$N$62</definedName>
    <definedName name="Cffuse">GradedValues!$K$6</definedName>
    <definedName name="CfH">GradedValues!$H$36</definedName>
    <definedName name="CfV">GradedValues!$K$36</definedName>
    <definedName name="Cfwing">GradedValues!$H$19</definedName>
    <definedName name="CL_alpha">GradedValues!$O$11</definedName>
    <definedName name="CL_alpha__wing_M0">GradedValues!$L$52</definedName>
    <definedName name="CL_alpha_HT">GradedValues!$H$34</definedName>
    <definedName name="CL_alpha_M0">GradedValues!$L$52</definedName>
    <definedName name="CL_alpha_VT">GradedValues!$K$34</definedName>
    <definedName name="CL_alpha_wing">GradedValues!$H$17</definedName>
    <definedName name="Cl_beta_H">GradedValues!$R$12</definedName>
    <definedName name="Cl_beta_WB1">GradedValues!$R$9</definedName>
    <definedName name="Cl_beta_WB2">GradedValues!$R$10</definedName>
    <definedName name="Cl_beta_WB3">GradedValues!$R$11</definedName>
    <definedName name="CL_ih">GradedValues!$O$12</definedName>
    <definedName name="CL_trim">GradedValues!$O$22</definedName>
    <definedName name="CL_w_0">GradedValues!$L$60</definedName>
    <definedName name="CL0">GradedValues!$O$10</definedName>
    <definedName name="Cm_alpha">GradedValues!$O$14</definedName>
    <definedName name="Cm_ih">GradedValues!$O$15</definedName>
    <definedName name="Cm0">GradedValues!$O$13</definedName>
    <definedName name="CY_beta">GradedValues!$R$8</definedName>
    <definedName name="CY_beta_B">GradedValues!$R$5</definedName>
    <definedName name="CY_beta_H">GradedValues!$R$6</definedName>
    <definedName name="CY_beta_V">GradedValues!$R$7</definedName>
    <definedName name="CY_beta_wing">GradedValues!$R$4</definedName>
    <definedName name="d">GradedValues!$T$54</definedName>
    <definedName name="de_da">GradedValues!$O$3</definedName>
    <definedName name="de_da_M0">GradedValues!$L$53</definedName>
    <definedName name="e0">GradedValues!$O$4</definedName>
    <definedName name="eta_HT">GradedValues!$B$31</definedName>
    <definedName name="eta_VT">GradedValues!$B$32</definedName>
    <definedName name="g">GradedValues!$B$36</definedName>
    <definedName name="GAMMA">GradedValues!$B$7</definedName>
    <definedName name="GAMMA_H">GradedValues!$B$14</definedName>
    <definedName name="H_C2_sweep">GradedValues!$H$27</definedName>
    <definedName name="HT_Area">GradedValues!$H$23</definedName>
    <definedName name="iH_trim">GradedValues!$O$17</definedName>
    <definedName name="iw">GradedValues!$B$9</definedName>
    <definedName name="K_AR">GradedValues!$L$55</definedName>
    <definedName name="k_HT">GradedValues!$H$33</definedName>
    <definedName name="K_int">GradedValues!$T$57</definedName>
    <definedName name="K_lambda">GradedValues!$L$54</definedName>
    <definedName name="K_mr">GradedValues!$L$56</definedName>
    <definedName name="K_q">GradedValues!$L$79</definedName>
    <definedName name="k_VT">GradedValues!$K$33</definedName>
    <definedName name="k_wing">GradedValues!$H$16</definedName>
    <definedName name="K_y_v">GradedValues!$T$64</definedName>
    <definedName name="l_b">GradedValues!$B$23</definedName>
    <definedName name="LAMBDA">GradedValues!$B$8</definedName>
    <definedName name="LAMBDA_H_LE">GradedValues!$B$15</definedName>
    <definedName name="lambda_HT">GradedValues!$H$21</definedName>
    <definedName name="LAMBDA_LE">GradedValues!$B$8</definedName>
    <definedName name="LAMBDA_V_LE">GradedValues!$B$20</definedName>
    <definedName name="lambda_VT">GradedValues!$K$21</definedName>
    <definedName name="lambda_wing">GradedValues!$H$3</definedName>
    <definedName name="m">GradedValues!$L$57</definedName>
    <definedName name="Mach">GradedValues!$B$54</definedName>
    <definedName name="Mass">GradedValues!$K$9</definedName>
    <definedName name="r_">GradedValues!$L$58</definedName>
    <definedName name="Re_fuse">GradedValues!$K$5</definedName>
    <definedName name="Re_H">GradedValues!$H$35</definedName>
    <definedName name="Re_V">GradedValues!$K$35</definedName>
    <definedName name="Re_wing">GradedValues!$H$18</definedName>
    <definedName name="rho">GradedValues!$B$33</definedName>
    <definedName name="rho_balsa">GradedValues!$B$30</definedName>
    <definedName name="S_ht">GradedValues!$H$22</definedName>
    <definedName name="S_p2v">GradedValues!$T$58</definedName>
    <definedName name="S_v_sw">GradedValues!$T$52</definedName>
    <definedName name="S_vt">GradedValues!$K$22</definedName>
    <definedName name="S_wet_Fus">GradedValues!$L$65</definedName>
    <definedName name="S_wet_HT">GradedValues!$L$63</definedName>
    <definedName name="S_wet_VT">GradedValues!$L$64</definedName>
    <definedName name="S_wet_wing">GradedValues!$L$62</definedName>
    <definedName name="S_wing">GradedValues!$H$4</definedName>
    <definedName name="S2v">GradedValues!$K$24</definedName>
    <definedName name="sidewash_effect">GradedValues!$R$3</definedName>
    <definedName name="SM">GradedValues!$O$21</definedName>
    <definedName name="t_lifting">GradedValues!$B$52</definedName>
    <definedName name="TE_Sweep">GradedValues!$H$11</definedName>
    <definedName name="TE_Sweep_ht">GradedValues!$H$28</definedName>
    <definedName name="TE_sweep_vt">GradedValues!$K$28</definedName>
    <definedName name="V_C2_sweep">GradedValues!$K$27</definedName>
    <definedName name="viscosity">GradedValues!$B$34</definedName>
    <definedName name="Vtrim">GradedValues!$B$3</definedName>
    <definedName name="W_ballast">GradedValues!$B$27</definedName>
    <definedName name="W_C2_sweep">GradedValues!$H$10</definedName>
    <definedName name="w_max">GradedValues!$B$25</definedName>
    <definedName name="Wing_Area">GradedValues!$H$5</definedName>
    <definedName name="Wing_Chord__root">GradedValues!$B$5</definedName>
    <definedName name="Wing_span">GradedValues!$B$4</definedName>
    <definedName name="Wt">GradedValues!$K$8</definedName>
    <definedName name="wt_HT">GradedValues!$H$24</definedName>
    <definedName name="wt_VT">GradedValues!$K$23</definedName>
    <definedName name="wt_wing">GradedValues!$H$6</definedName>
    <definedName name="x_ballast">GradedValues!$B$26</definedName>
    <definedName name="X_h">GradedValues!$T$74</definedName>
    <definedName name="x_HT_LE">GradedValues!$B$16</definedName>
    <definedName name="x_rLE_tLE">GradedValues!$B$56</definedName>
    <definedName name="x_rLE_tLE_h">GradedValues!$B$57</definedName>
    <definedName name="x_rLE_tLE_v">GradedValues!$B$58</definedName>
    <definedName name="X_v">GradedValues!$T$69</definedName>
    <definedName name="x_VT_LE">GradedValues!$B$21</definedName>
    <definedName name="X_w">GradedValues!$T$71</definedName>
    <definedName name="x_wing_LE">GradedValues!$B$10</definedName>
    <definedName name="XAC_bar">GradedValues!$O$20</definedName>
    <definedName name="xac_HT">GradedValues!$H$31</definedName>
    <definedName name="xac_HT_bar">GradedValues!$O$6</definedName>
    <definedName name="xac_VT">GradedValues!$K$31</definedName>
    <definedName name="xac_VT_bar">GradedValues!$O$7</definedName>
    <definedName name="xac_wing">GradedValues!$H$14</definedName>
    <definedName name="xac_wing_bar">GradedValues!$O$5</definedName>
    <definedName name="XCG">GradedValues!$E$4</definedName>
    <definedName name="XCG_bar">GradedValues!$O$8</definedName>
    <definedName name="Xcg_ft">GradedValues!$K$10</definedName>
    <definedName name="xcg_ht">GradedValues!$H$32</definedName>
    <definedName name="xcg_vt">GradedValues!$K$32</definedName>
    <definedName name="xcg_wing">GradedValues!$H$15</definedName>
    <definedName name="xmac_ht">GradedValues!$H$29</definedName>
    <definedName name="xmac_vt">GradedValues!$K$29</definedName>
    <definedName name="xmac_wing">GradedValues!$H$12</definedName>
    <definedName name="ymac_ht">GradedValues!$H$30</definedName>
    <definedName name="ymac_vt">GradedValues!$K$30</definedName>
    <definedName name="ymac_wing">GradedValues!$H$13</definedName>
    <definedName name="Z_h">GradedValues!$T$75</definedName>
    <definedName name="z_HT">GradedValues!$B$22</definedName>
    <definedName name="z_max">GradedValues!$B$24</definedName>
    <definedName name="Z_v">GradedValues!$T$68</definedName>
    <definedName name="Z_w">GradedValues!$T$72</definedName>
    <definedName name="z_w_alt.">GradedValues!$T$53</definedName>
    <definedName name="z_w_sw">GradedValues!$T$53</definedName>
    <definedName name="zbar_F">GradedValues!$P$65</definedName>
    <definedName name="zbar_H">GradedValues!$P$63</definedName>
    <definedName name="zbar_V">GradedValues!$P$64</definedName>
    <definedName name="zbar_W">GradedValues!$P$62</definedName>
    <definedName name="Zcg_ft">GradedValues!$K$12</definedName>
  </definedNames>
  <calcPr calcId="18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3" i="1" l="1"/>
  <c r="K4" i="1"/>
  <c r="L65" i="1"/>
  <c r="W10" i="1"/>
  <c r="W6" i="1"/>
  <c r="W5" i="1"/>
  <c r="W7" i="1"/>
  <c r="R10" i="1"/>
  <c r="T62" i="1"/>
  <c r="T63" i="1"/>
  <c r="T60" i="1"/>
  <c r="T61" i="1"/>
  <c r="T64" i="1"/>
  <c r="R4" i="1"/>
  <c r="T58" i="1"/>
  <c r="T54" i="1"/>
  <c r="T56" i="1"/>
  <c r="K5" i="1"/>
  <c r="L58" i="1"/>
  <c r="L57" i="1"/>
  <c r="L56" i="1"/>
  <c r="K6" i="1"/>
  <c r="B54" i="1"/>
  <c r="W4" i="1"/>
  <c r="E64" i="1"/>
  <c r="D64" i="1"/>
  <c r="H43" i="1"/>
  <c r="D67" i="1"/>
  <c r="B53" i="1"/>
  <c r="B44" i="1"/>
  <c r="E61" i="1"/>
  <c r="B43" i="1"/>
  <c r="D61" i="1"/>
  <c r="B42" i="1"/>
  <c r="K22" i="1"/>
  <c r="T52" i="1"/>
  <c r="H22" i="1"/>
  <c r="H23" i="1"/>
  <c r="E40" i="1"/>
  <c r="E41" i="1"/>
  <c r="B64" i="1"/>
  <c r="K3" i="1"/>
  <c r="E42" i="1"/>
  <c r="B52" i="1"/>
  <c r="H4" i="1"/>
  <c r="W9" i="1"/>
  <c r="B41" i="1"/>
  <c r="B40" i="1"/>
  <c r="K21" i="1"/>
  <c r="H21" i="1"/>
  <c r="H3" i="1"/>
  <c r="L54" i="1"/>
  <c r="K26" i="1"/>
  <c r="K35" i="1"/>
  <c r="K36" i="1"/>
  <c r="X57" i="1"/>
  <c r="X58" i="1"/>
  <c r="N65" i="1"/>
  <c r="K23" i="1"/>
  <c r="H40" i="1"/>
  <c r="H41" i="1"/>
  <c r="B67" i="1"/>
  <c r="H5" i="1"/>
  <c r="H6" i="1"/>
  <c r="D40" i="1"/>
  <c r="D41" i="1"/>
  <c r="B63" i="1"/>
  <c r="B61" i="1"/>
  <c r="H25" i="1"/>
  <c r="C64" i="1"/>
  <c r="C61" i="1"/>
  <c r="H26" i="1"/>
  <c r="H35" i="1"/>
  <c r="H36" i="1"/>
  <c r="H29" i="1"/>
  <c r="H7" i="1"/>
  <c r="H10" i="1"/>
  <c r="K29" i="1"/>
  <c r="H13" i="1"/>
  <c r="D44" i="1"/>
  <c r="K30" i="1"/>
  <c r="H12" i="1"/>
  <c r="H8" i="1"/>
  <c r="W11" i="1"/>
  <c r="K24" i="1"/>
  <c r="K25" i="1"/>
  <c r="H24" i="1"/>
  <c r="F40" i="1"/>
  <c r="F41" i="1"/>
  <c r="B65" i="1"/>
  <c r="H30" i="1"/>
  <c r="F44" i="1"/>
  <c r="L55" i="1"/>
  <c r="L79" i="1"/>
  <c r="H18" i="1"/>
  <c r="H19" i="1"/>
  <c r="C40" i="1"/>
  <c r="C41" i="1"/>
  <c r="B62" i="1"/>
  <c r="K33" i="1"/>
  <c r="H28" i="1"/>
  <c r="H33" i="1"/>
  <c r="H27" i="1"/>
  <c r="H44" i="1"/>
  <c r="E67" i="1"/>
  <c r="H9" i="1"/>
  <c r="H16" i="1"/>
  <c r="H17" i="1"/>
  <c r="E3" i="1"/>
  <c r="H14" i="1"/>
  <c r="H15" i="1"/>
  <c r="H31" i="1"/>
  <c r="H32" i="1"/>
  <c r="K32" i="1"/>
  <c r="H42" i="1"/>
  <c r="K31" i="1"/>
  <c r="G40" i="1"/>
  <c r="G41" i="1"/>
  <c r="G44" i="1"/>
  <c r="E66" i="1"/>
  <c r="E65" i="1"/>
  <c r="G43" i="1"/>
  <c r="D66" i="1"/>
  <c r="F43" i="1"/>
  <c r="D43" i="1"/>
  <c r="D63" i="1"/>
  <c r="C44" i="1"/>
  <c r="C43" i="1"/>
  <c r="E63" i="1"/>
  <c r="H11" i="1"/>
  <c r="L62" i="1"/>
  <c r="K28" i="1"/>
  <c r="K27" i="1"/>
  <c r="M27" i="1"/>
  <c r="K34" i="1"/>
  <c r="L64" i="1"/>
  <c r="N64" i="1"/>
  <c r="M28" i="1"/>
  <c r="L63" i="1"/>
  <c r="N63" i="1"/>
  <c r="K8" i="1"/>
  <c r="W8" i="1"/>
  <c r="O5" i="1"/>
  <c r="R20" i="1"/>
  <c r="R9" i="1"/>
  <c r="O7" i="1"/>
  <c r="R3" i="1"/>
  <c r="R6" i="1"/>
  <c r="N62" i="1"/>
  <c r="H34" i="1"/>
  <c r="L60" i="1"/>
  <c r="L52" i="1"/>
  <c r="L53" i="1"/>
  <c r="O6" i="1"/>
  <c r="C67" i="1"/>
  <c r="D65" i="1"/>
  <c r="K9" i="1"/>
  <c r="K12" i="1"/>
  <c r="B66" i="1"/>
  <c r="G42" i="1"/>
  <c r="F42" i="1"/>
  <c r="D62" i="1"/>
  <c r="E62" i="1"/>
  <c r="C42" i="1"/>
  <c r="D42" i="1"/>
  <c r="R7" i="1"/>
  <c r="O9" i="1"/>
  <c r="O3" i="1"/>
  <c r="O11" i="1"/>
  <c r="N69" i="1"/>
  <c r="T68" i="1"/>
  <c r="T72" i="1"/>
  <c r="T57" i="1"/>
  <c r="R5" i="1"/>
  <c r="T75" i="1"/>
  <c r="O12" i="1"/>
  <c r="O69" i="1"/>
  <c r="R12" i="1"/>
  <c r="R21" i="1"/>
  <c r="O4" i="1"/>
  <c r="O10" i="1"/>
  <c r="P65" i="1"/>
  <c r="P64" i="1"/>
  <c r="P62" i="1"/>
  <c r="P63" i="1"/>
  <c r="C63" i="1"/>
  <c r="C65" i="1"/>
  <c r="C66" i="1"/>
  <c r="K11" i="1"/>
  <c r="E50" i="1"/>
  <c r="H64" i="1"/>
  <c r="H61" i="1"/>
  <c r="H67" i="1"/>
  <c r="H66" i="1"/>
  <c r="H62" i="1"/>
  <c r="C62" i="1"/>
  <c r="K10" i="1"/>
  <c r="H65" i="1"/>
  <c r="H63" i="1"/>
  <c r="R8" i="1"/>
  <c r="W31" i="1"/>
  <c r="O20" i="1"/>
  <c r="R22" i="1"/>
  <c r="R23" i="1"/>
  <c r="T71" i="1"/>
  <c r="T74" i="1"/>
  <c r="T69" i="1"/>
  <c r="N72" i="1"/>
  <c r="F66" i="1"/>
  <c r="G65" i="1"/>
  <c r="B50" i="1"/>
  <c r="G47" i="1"/>
  <c r="C45" i="1"/>
  <c r="H45" i="1"/>
  <c r="B49" i="1"/>
  <c r="G49" i="1"/>
  <c r="C48" i="1"/>
  <c r="G62" i="1"/>
  <c r="G61" i="1"/>
  <c r="F65" i="1"/>
  <c r="E45" i="1"/>
  <c r="F50" i="1"/>
  <c r="F49" i="1"/>
  <c r="G45" i="1"/>
  <c r="D50" i="1"/>
  <c r="D49" i="1"/>
  <c r="F67" i="1"/>
  <c r="F48" i="1"/>
  <c r="D48" i="1"/>
  <c r="G67" i="1"/>
  <c r="B46" i="1"/>
  <c r="B45" i="1"/>
  <c r="C50" i="1"/>
  <c r="H46" i="1"/>
  <c r="H50" i="1"/>
  <c r="H49" i="1"/>
  <c r="G48" i="1"/>
  <c r="F47" i="1"/>
  <c r="D47" i="1"/>
  <c r="G66" i="1"/>
  <c r="G64" i="1"/>
  <c r="F46" i="1"/>
  <c r="G46" i="1"/>
  <c r="G50" i="1"/>
  <c r="C49" i="1"/>
  <c r="D45" i="1"/>
  <c r="E4" i="1"/>
  <c r="O8" i="1"/>
  <c r="B48" i="1"/>
  <c r="E47" i="1"/>
  <c r="B47" i="1"/>
  <c r="E48" i="1"/>
  <c r="H47" i="1"/>
  <c r="H48" i="1"/>
  <c r="E49" i="1"/>
  <c r="C46" i="1"/>
  <c r="D46" i="1"/>
  <c r="E46" i="1"/>
  <c r="G63" i="1"/>
  <c r="F45" i="1"/>
  <c r="C47" i="1"/>
  <c r="F64" i="1"/>
  <c r="F61" i="1"/>
  <c r="F63" i="1"/>
  <c r="F62" i="1"/>
  <c r="O14" i="1"/>
  <c r="O13" i="1"/>
  <c r="N71" i="1"/>
  <c r="W12" i="1"/>
  <c r="O30" i="1"/>
  <c r="O29" i="1"/>
  <c r="O28" i="1"/>
  <c r="O27" i="1"/>
  <c r="O21" i="1"/>
  <c r="E9" i="1"/>
  <c r="O15" i="1"/>
  <c r="O68" i="1"/>
  <c r="K18" i="1"/>
  <c r="K13" i="1"/>
  <c r="W15" i="1"/>
  <c r="W33" i="1"/>
  <c r="K17" i="1"/>
  <c r="W18" i="1"/>
  <c r="K14" i="1"/>
  <c r="W16" i="1"/>
  <c r="K16" i="1"/>
  <c r="K15" i="1"/>
  <c r="W17" i="1"/>
  <c r="W27" i="1"/>
  <c r="W26" i="1"/>
  <c r="N68" i="1"/>
  <c r="K75" i="1" a="1"/>
  <c r="W25" i="1"/>
  <c r="E5" i="1"/>
  <c r="K75" i="1"/>
  <c r="K76" i="1"/>
  <c r="L75" i="1"/>
  <c r="L76" i="1"/>
  <c r="O16" i="1" a="1"/>
  <c r="O16" i="1"/>
  <c r="O17" i="1"/>
  <c r="W14" i="1"/>
  <c r="R31" i="1"/>
  <c r="W37" i="1"/>
  <c r="T66" i="1"/>
  <c r="R11" i="1"/>
  <c r="R15" i="1"/>
  <c r="R13" i="1"/>
  <c r="R27" i="1"/>
  <c r="R19" i="1"/>
  <c r="R25" i="1"/>
  <c r="R16" i="1"/>
  <c r="R17" i="1"/>
  <c r="R29" i="1"/>
  <c r="O22" i="1"/>
  <c r="L82" i="1"/>
  <c r="O19" i="1"/>
  <c r="E7" i="1"/>
  <c r="O18" i="1"/>
  <c r="E6" i="1"/>
  <c r="O25" i="1"/>
  <c r="W24" i="1"/>
  <c r="R14" i="1"/>
  <c r="R28" i="1"/>
  <c r="R30" i="1"/>
  <c r="W34" i="1"/>
  <c r="R24" i="1"/>
  <c r="R26" i="1"/>
  <c r="W36" i="1"/>
  <c r="O24" i="1"/>
  <c r="R18" i="1"/>
  <c r="O31" i="1"/>
  <c r="W21" i="1"/>
  <c r="O23" i="1"/>
  <c r="O26" i="1"/>
  <c r="W22" i="1"/>
  <c r="E11" i="1"/>
  <c r="W35" i="1"/>
  <c r="O32" i="1"/>
  <c r="W20" i="1"/>
  <c r="W23" i="1"/>
  <c r="E10" i="1"/>
  <c r="W32" i="1"/>
  <c r="E8" i="1"/>
  <c r="W13" i="1"/>
  <c r="N34" i="1"/>
</calcChain>
</file>

<file path=xl/sharedStrings.xml><?xml version="1.0" encoding="utf-8"?>
<sst xmlns="http://schemas.openxmlformats.org/spreadsheetml/2006/main" count="548" uniqueCount="323">
  <si>
    <t>INPUT:</t>
  </si>
  <si>
    <t>OUTPUT:</t>
  </si>
  <si>
    <t>Name</t>
  </si>
  <si>
    <t>Value</t>
  </si>
  <si>
    <t>Units</t>
  </si>
  <si>
    <t>WING DATA</t>
  </si>
  <si>
    <t>FUSELAGE</t>
  </si>
  <si>
    <t>LONGITUDINAL and TRIM</t>
  </si>
  <si>
    <t>Lat/DIR</t>
  </si>
  <si>
    <t>AC_ID</t>
  </si>
  <si>
    <t>=</t>
  </si>
  <si>
    <t>;</t>
  </si>
  <si>
    <t>Vtrim</t>
  </si>
  <si>
    <t>ft/s</t>
  </si>
  <si>
    <t>Wt</t>
  </si>
  <si>
    <t>lb</t>
  </si>
  <si>
    <t>lambda_wing</t>
  </si>
  <si>
    <t>x_FS_CG</t>
  </si>
  <si>
    <t>in</t>
  </si>
  <si>
    <t>de_da</t>
  </si>
  <si>
    <t>eta_v(1+ds_db)</t>
  </si>
  <si>
    <t>Alt</t>
  </si>
  <si>
    <t>; %ft</t>
  </si>
  <si>
    <t>Wing span</t>
  </si>
  <si>
    <t>XCG</t>
  </si>
  <si>
    <t>S_wing</t>
  </si>
  <si>
    <t>in^2</t>
  </si>
  <si>
    <t>wt_FS</t>
  </si>
  <si>
    <t>e0</t>
  </si>
  <si>
    <t>rad</t>
  </si>
  <si>
    <t>CY_beta_wing</t>
  </si>
  <si>
    <t>rad^-1</t>
  </si>
  <si>
    <t>M</t>
  </si>
  <si>
    <t>; %Mach Number</t>
  </si>
  <si>
    <t>Wing Chord (root)</t>
  </si>
  <si>
    <t>Cm_alpha</t>
  </si>
  <si>
    <t>Wing Area</t>
  </si>
  <si>
    <t>Re_fuse</t>
  </si>
  <si>
    <t>xac_wing_bar</t>
  </si>
  <si>
    <t>CY_beta_B</t>
  </si>
  <si>
    <t>U1</t>
  </si>
  <si>
    <t>; %ft/s</t>
  </si>
  <si>
    <t>Wing Chord (tip)</t>
  </si>
  <si>
    <t>alpha_wing</t>
  </si>
  <si>
    <t>deg</t>
  </si>
  <si>
    <t>wt_wing</t>
  </si>
  <si>
    <t>Cffuse</t>
  </si>
  <si>
    <t>xac_HT_bar</t>
  </si>
  <si>
    <t>CY_beta_H</t>
  </si>
  <si>
    <t>rho</t>
  </si>
  <si>
    <t>; %slug/ft3</t>
  </si>
  <si>
    <t>Dihedral</t>
  </si>
  <si>
    <t>alpha_HT</t>
  </si>
  <si>
    <t xml:space="preserve">deg </t>
  </si>
  <si>
    <t>AR_wing</t>
  </si>
  <si>
    <t>Mass Properties: Aircraft Totals</t>
  </si>
  <si>
    <t>xac_VT_bar</t>
  </si>
  <si>
    <t>CY_beta_V</t>
  </si>
  <si>
    <t>qbar</t>
  </si>
  <si>
    <t>; %lb/ft2</t>
  </si>
  <si>
    <t>LE_Sweep</t>
  </si>
  <si>
    <t>L/D trim</t>
  </si>
  <si>
    <t>cbar</t>
  </si>
  <si>
    <t>XCG_bar</t>
  </si>
  <si>
    <t>CY_beta</t>
  </si>
  <si>
    <t>; %lb</t>
  </si>
  <si>
    <t>iw</t>
  </si>
  <si>
    <t>SM</t>
  </si>
  <si>
    <t>C4_Sweep</t>
  </si>
  <si>
    <t>Mass</t>
  </si>
  <si>
    <t>slug</t>
  </si>
  <si>
    <t>CD0</t>
  </si>
  <si>
    <t>Cl_beta_WB1</t>
  </si>
  <si>
    <t>S</t>
  </si>
  <si>
    <t>; %ft2</t>
  </si>
  <si>
    <t>x_wing_LE</t>
  </si>
  <si>
    <t>Cl_beta</t>
  </si>
  <si>
    <t>C2_sweep</t>
  </si>
  <si>
    <t>Xcg_ft</t>
  </si>
  <si>
    <t>ft</t>
  </si>
  <si>
    <t>CL0</t>
  </si>
  <si>
    <t>Cl_beta_WB2</t>
  </si>
  <si>
    <t>b</t>
  </si>
  <si>
    <t>HT Span</t>
  </si>
  <si>
    <t>Cn_beta</t>
  </si>
  <si>
    <t>TE_Sweep</t>
  </si>
  <si>
    <t>Ycg_ft</t>
  </si>
  <si>
    <t>CL_alpha</t>
  </si>
  <si>
    <t>Cl_beta_WB3</t>
  </si>
  <si>
    <t>HT Chord (root)</t>
  </si>
  <si>
    <t>xmac_wing</t>
  </si>
  <si>
    <t>Zcg_ft</t>
  </si>
  <si>
    <t>CL_ih</t>
  </si>
  <si>
    <t>Cl_beta_H</t>
  </si>
  <si>
    <t>Xbarcg</t>
  </si>
  <si>
    <t>HT Chord (tip)</t>
  </si>
  <si>
    <t>HWK1</t>
  </si>
  <si>
    <t>ymac_wing</t>
  </si>
  <si>
    <t>Ixx</t>
  </si>
  <si>
    <t>slug-ft^2</t>
  </si>
  <si>
    <t>Cm0</t>
  </si>
  <si>
    <t>Cl_beta_V</t>
  </si>
  <si>
    <t>tht</t>
  </si>
  <si>
    <t>; %rad</t>
  </si>
  <si>
    <t>Dihedral_h</t>
  </si>
  <si>
    <t>HWK2</t>
  </si>
  <si>
    <t>xac_wing</t>
  </si>
  <si>
    <t>Iyy</t>
  </si>
  <si>
    <t>atrm</t>
  </si>
  <si>
    <t>Sweep_h_LE</t>
  </si>
  <si>
    <t>HWK3</t>
  </si>
  <si>
    <t>xcg_wing</t>
  </si>
  <si>
    <t xml:space="preserve">in </t>
  </si>
  <si>
    <t>Izz</t>
  </si>
  <si>
    <t>Cm_ih</t>
  </si>
  <si>
    <t>Cn_beta_VT</t>
  </si>
  <si>
    <t>; %slug-ft2</t>
  </si>
  <si>
    <t>x_HT_LE</t>
  </si>
  <si>
    <t>HWK4</t>
  </si>
  <si>
    <t>k_wing</t>
  </si>
  <si>
    <t>Ixy</t>
  </si>
  <si>
    <t>alpha_trim</t>
  </si>
  <si>
    <t>Cn_beta_wing</t>
  </si>
  <si>
    <t>VT height</t>
  </si>
  <si>
    <t>CL_alpha_wing</t>
  </si>
  <si>
    <t>Ixz</t>
  </si>
  <si>
    <t>iH_trim</t>
  </si>
  <si>
    <t>Cn_beta_HT</t>
  </si>
  <si>
    <t>VT Chord (root)</t>
  </si>
  <si>
    <t>Re_wing</t>
  </si>
  <si>
    <t>Iyz</t>
  </si>
  <si>
    <t>VT Chord (tip)</t>
  </si>
  <si>
    <t>Cfwing</t>
  </si>
  <si>
    <t>CY_p</t>
  </si>
  <si>
    <t>X0</t>
  </si>
  <si>
    <t>[U1 atrm 0 tht 0 0 0 0]'</t>
  </si>
  <si>
    <t xml:space="preserve">; </t>
  </si>
  <si>
    <t>Sweep_v_LE</t>
  </si>
  <si>
    <t>HT DATA</t>
  </si>
  <si>
    <t>VT DATA</t>
  </si>
  <si>
    <t>XAC_bar</t>
  </si>
  <si>
    <t>Cl_p_wing</t>
  </si>
  <si>
    <t>Xu</t>
  </si>
  <si>
    <t>; %1/s</t>
  </si>
  <si>
    <t>x_VT_LE</t>
  </si>
  <si>
    <t>lambda_HT</t>
  </si>
  <si>
    <t>lambda_VT</t>
  </si>
  <si>
    <t>Cl_p_H</t>
  </si>
  <si>
    <t>Xa</t>
  </si>
  <si>
    <t>; %ft/s2</t>
  </si>
  <si>
    <t>z_HT</t>
  </si>
  <si>
    <t>S_ht</t>
  </si>
  <si>
    <t>S_vt</t>
  </si>
  <si>
    <t>CL_trim</t>
  </si>
  <si>
    <t>Cl_p_V</t>
  </si>
  <si>
    <t>Zu</t>
  </si>
  <si>
    <t>Fuselage Length</t>
  </si>
  <si>
    <t>HT Area</t>
  </si>
  <si>
    <t>wt_VT</t>
  </si>
  <si>
    <t>CD_trim</t>
  </si>
  <si>
    <t>Cl_p</t>
  </si>
  <si>
    <t>Za</t>
  </si>
  <si>
    <t>Fuselage Height</t>
  </si>
  <si>
    <t>wt_HT</t>
  </si>
  <si>
    <t>S2v</t>
  </si>
  <si>
    <t>Lift</t>
  </si>
  <si>
    <t>Cn_p_W</t>
  </si>
  <si>
    <t>Mu</t>
  </si>
  <si>
    <t>; %1/ft-s</t>
  </si>
  <si>
    <t>Fuselage Width</t>
  </si>
  <si>
    <t>AR_HT</t>
  </si>
  <si>
    <t>AR_VT</t>
  </si>
  <si>
    <t>Cm_trim</t>
  </si>
  <si>
    <t>Cn_p_V</t>
  </si>
  <si>
    <t>Ma</t>
  </si>
  <si>
    <t>; %1/s2</t>
  </si>
  <si>
    <t>x_ballast</t>
  </si>
  <si>
    <t>cbar_ht</t>
  </si>
  <si>
    <t>cbar_vt</t>
  </si>
  <si>
    <t>CL_u</t>
  </si>
  <si>
    <t>Cn_p</t>
  </si>
  <si>
    <t>Madt</t>
  </si>
  <si>
    <t>wt_ballast</t>
  </si>
  <si>
    <t>CL_alphadt</t>
  </si>
  <si>
    <t>CY_r</t>
  </si>
  <si>
    <t>Mq</t>
  </si>
  <si>
    <t>;%1/s</t>
  </si>
  <si>
    <t>Given Constants:</t>
  </si>
  <si>
    <t>TE_Sweep_ht</t>
  </si>
  <si>
    <t>TE_sweep_vt</t>
  </si>
  <si>
    <t>CM_alphadt</t>
  </si>
  <si>
    <t>Cl_r_W</t>
  </si>
  <si>
    <t>Xde</t>
  </si>
  <si>
    <t>;%ft/s2</t>
  </si>
  <si>
    <t>Cl_alpha 2-D</t>
  </si>
  <si>
    <t>xmac_ht</t>
  </si>
  <si>
    <t>xmac_vt</t>
  </si>
  <si>
    <t>CL_q</t>
  </si>
  <si>
    <t>Cl_r_V</t>
  </si>
  <si>
    <t>Zde</t>
  </si>
  <si>
    <t>density_balsa</t>
  </si>
  <si>
    <t>lbf/in^3</t>
  </si>
  <si>
    <t>ymac_ht</t>
  </si>
  <si>
    <t>ymac_vt</t>
  </si>
  <si>
    <t>CM_q</t>
  </si>
  <si>
    <t>Cl_r</t>
  </si>
  <si>
    <t>Mde</t>
  </si>
  <si>
    <t>eta_HT</t>
  </si>
  <si>
    <t>xac_HT</t>
  </si>
  <si>
    <t>xac_VT</t>
  </si>
  <si>
    <t>CD_alpha</t>
  </si>
  <si>
    <t>Cn_r</t>
  </si>
  <si>
    <t>Yb</t>
  </si>
  <si>
    <t>eta_VT</t>
  </si>
  <si>
    <t>xcg_ht</t>
  </si>
  <si>
    <t>xcg_vt</t>
  </si>
  <si>
    <t>gamma_trim</t>
  </si>
  <si>
    <t>Lb</t>
  </si>
  <si>
    <t>air density</t>
  </si>
  <si>
    <t>slug/ft^3</t>
  </si>
  <si>
    <t>k_HT</t>
  </si>
  <si>
    <t>k_VT</t>
  </si>
  <si>
    <t>Lp</t>
  </si>
  <si>
    <t>air viscosity</t>
  </si>
  <si>
    <t>lb-s/ft^2</t>
  </si>
  <si>
    <t>CL_alpha_HT</t>
  </si>
  <si>
    <t>CL_alpha_VT</t>
  </si>
  <si>
    <t>Lr</t>
  </si>
  <si>
    <t>Speed of sound, a</t>
  </si>
  <si>
    <t>Re_H</t>
  </si>
  <si>
    <t>Re_V</t>
  </si>
  <si>
    <t>Nb</t>
  </si>
  <si>
    <t>gravity, g</t>
  </si>
  <si>
    <t>ft/s^2</t>
  </si>
  <si>
    <t>CfH</t>
  </si>
  <si>
    <t>CfV</t>
  </si>
  <si>
    <t>Np</t>
  </si>
  <si>
    <t>Nr</t>
  </si>
  <si>
    <t>Table for Mass Properties Estimates</t>
  </si>
  <si>
    <t>Ydr</t>
  </si>
  <si>
    <t>Ballast</t>
  </si>
  <si>
    <t>Rwing</t>
  </si>
  <si>
    <t>Lwing</t>
  </si>
  <si>
    <t>Fuselage</t>
  </si>
  <si>
    <t>Rht</t>
  </si>
  <si>
    <t>Lht</t>
  </si>
  <si>
    <t>Vt</t>
  </si>
  <si>
    <t>Ldr</t>
  </si>
  <si>
    <t>Ndr</t>
  </si>
  <si>
    <t>Yda</t>
  </si>
  <si>
    <t>Xc</t>
  </si>
  <si>
    <t>Lda</t>
  </si>
  <si>
    <t>Yc</t>
  </si>
  <si>
    <t>Nda</t>
  </si>
  <si>
    <t>Zc</t>
  </si>
  <si>
    <t>t_lifting</t>
  </si>
  <si>
    <t>b2v</t>
  </si>
  <si>
    <t>Section</t>
  </si>
  <si>
    <t>X</t>
  </si>
  <si>
    <t>Y</t>
  </si>
  <si>
    <t>Z</t>
  </si>
  <si>
    <t>X-Xcg</t>
  </si>
  <si>
    <t>Y-Ycg</t>
  </si>
  <si>
    <t>Z-Zcg</t>
  </si>
  <si>
    <t>m</t>
  </si>
  <si>
    <t>Mach</t>
  </si>
  <si>
    <t>de_da_M0</t>
  </si>
  <si>
    <t>K_lambda</t>
  </si>
  <si>
    <t>K_AR</t>
  </si>
  <si>
    <t>K_mr</t>
  </si>
  <si>
    <t>r</t>
  </si>
  <si>
    <t>CL_alpha_M0</t>
  </si>
  <si>
    <t>CL_w_0</t>
  </si>
  <si>
    <t xml:space="preserve"> </t>
  </si>
  <si>
    <t>S_wet_wing</t>
  </si>
  <si>
    <t>S_wet_HT</t>
  </si>
  <si>
    <t>S_wet_VT</t>
  </si>
  <si>
    <t>S_wet_Fus</t>
  </si>
  <si>
    <t xml:space="preserve"> = </t>
  </si>
  <si>
    <t>Trim Matrix:</t>
  </si>
  <si>
    <t xml:space="preserve"> -Cm0</t>
  </si>
  <si>
    <t>(2W/rho*S*V^2)-CL0</t>
  </si>
  <si>
    <t>Inverse Trim:</t>
  </si>
  <si>
    <t>CD0 wing</t>
  </si>
  <si>
    <t>CD0 HT</t>
  </si>
  <si>
    <t>CD0 VT</t>
  </si>
  <si>
    <t>CD0 Fus.</t>
  </si>
  <si>
    <t>DRAG:</t>
  </si>
  <si>
    <t>zbar_H</t>
  </si>
  <si>
    <t>zbar_V</t>
  </si>
  <si>
    <t>zbar_W</t>
  </si>
  <si>
    <t>zbar_F</t>
  </si>
  <si>
    <t>TRIM</t>
  </si>
  <si>
    <t>Pitch Dyn.</t>
  </si>
  <si>
    <t>K_q</t>
  </si>
  <si>
    <t>CL trim alt</t>
  </si>
  <si>
    <t>Calls For Long. And Trim</t>
  </si>
  <si>
    <t>S_v*</t>
  </si>
  <si>
    <t>z_w</t>
  </si>
  <si>
    <t>d</t>
  </si>
  <si>
    <t>K_int</t>
  </si>
  <si>
    <t>z_w/(d/2)</t>
  </si>
  <si>
    <t>S_p2v</t>
  </si>
  <si>
    <t>r1</t>
  </si>
  <si>
    <t>K_y_v</t>
  </si>
  <si>
    <t>bv/(2r1)</t>
  </si>
  <si>
    <t>slope</t>
  </si>
  <si>
    <t>intercept</t>
  </si>
  <si>
    <t>Sidewash</t>
  </si>
  <si>
    <t>C_y</t>
  </si>
  <si>
    <t>C_l</t>
  </si>
  <si>
    <t>C_L_w</t>
  </si>
  <si>
    <t>Z_v</t>
  </si>
  <si>
    <t>X_v</t>
  </si>
  <si>
    <t>C_n</t>
  </si>
  <si>
    <t>X_w</t>
  </si>
  <si>
    <t>Z_w</t>
  </si>
  <si>
    <t>X_h</t>
  </si>
  <si>
    <t>Z_h</t>
  </si>
  <si>
    <t>s2v</t>
  </si>
  <si>
    <t>AR</t>
  </si>
  <si>
    <t>% Data for AC+U1:X43_Data3 for Project 1</t>
  </si>
  <si>
    <t>'Glider'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</si>
</sst>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C3C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4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7" xfId="0" applyFill="1" applyBorder="1"/>
    <xf numFmtId="0" fontId="0" fillId="0" borderId="19" xfId="0" applyBorder="1"/>
    <xf numFmtId="0" fontId="0" fillId="3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12" xfId="0" applyBorder="1"/>
    <xf numFmtId="0" fontId="0" fillId="5" borderId="17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0" xfId="0" applyFill="1" applyBorder="1"/>
    <xf numFmtId="0" fontId="0" fillId="6" borderId="17" xfId="0" applyFill="1" applyBorder="1"/>
    <xf numFmtId="0" fontId="0" fillId="7" borderId="0" xfId="0" applyFill="1" applyBorder="1"/>
    <xf numFmtId="0" fontId="0" fillId="7" borderId="17" xfId="0" applyFill="1" applyBorder="1"/>
    <xf numFmtId="0" fontId="0" fillId="7" borderId="19" xfId="0" applyFill="1" applyBorder="1"/>
    <xf numFmtId="0" fontId="0" fillId="8" borderId="0" xfId="0" applyFill="1" applyBorder="1"/>
    <xf numFmtId="0" fontId="0" fillId="8" borderId="17" xfId="0" applyFill="1" applyBorder="1"/>
    <xf numFmtId="0" fontId="0" fillId="8" borderId="19" xfId="0" applyFill="1" applyBorder="1"/>
    <xf numFmtId="0" fontId="0" fillId="9" borderId="0" xfId="0" applyFill="1" applyBorder="1"/>
    <xf numFmtId="0" fontId="0" fillId="9" borderId="17" xfId="0" applyFill="1" applyBorder="1"/>
    <xf numFmtId="0" fontId="0" fillId="9" borderId="19" xfId="0" applyFill="1" applyBorder="1"/>
    <xf numFmtId="164" fontId="0" fillId="4" borderId="1" xfId="0" applyNumberFormat="1" applyFill="1" applyBorder="1"/>
    <xf numFmtId="164" fontId="0" fillId="4" borderId="20" xfId="0" applyNumberFormat="1" applyFill="1" applyBorder="1"/>
    <xf numFmtId="164" fontId="0" fillId="0" borderId="1" xfId="0" applyNumberFormat="1" applyBorder="1"/>
    <xf numFmtId="164" fontId="0" fillId="0" borderId="20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165" fontId="0" fillId="0" borderId="20" xfId="0" applyNumberFormat="1" applyBorder="1"/>
    <xf numFmtId="165" fontId="0" fillId="0" borderId="0" xfId="0" applyNumberFormat="1" applyBorder="1"/>
    <xf numFmtId="0" fontId="0" fillId="0" borderId="0" xfId="0" applyFill="1" applyBorder="1"/>
    <xf numFmtId="0" fontId="0" fillId="10" borderId="0" xfId="0" applyFill="1"/>
    <xf numFmtId="164" fontId="0" fillId="0" borderId="0" xfId="0" applyNumberFormat="1"/>
    <xf numFmtId="166" fontId="0" fillId="0" borderId="0" xfId="0" applyNumberFormat="1"/>
    <xf numFmtId="0" fontId="0" fillId="0" borderId="24" xfId="0" applyBorder="1"/>
    <xf numFmtId="0" fontId="0" fillId="0" borderId="25" xfId="0" applyBorder="1"/>
    <xf numFmtId="0" fontId="0" fillId="11" borderId="25" xfId="0" applyFill="1" applyBorder="1"/>
    <xf numFmtId="0" fontId="0" fillId="11" borderId="26" xfId="0" applyFill="1" applyBorder="1"/>
    <xf numFmtId="0" fontId="0" fillId="0" borderId="27" xfId="0" applyBorder="1"/>
    <xf numFmtId="0" fontId="0" fillId="11" borderId="0" xfId="0" applyFill="1" applyBorder="1"/>
    <xf numFmtId="0" fontId="0" fillId="11" borderId="28" xfId="0" applyFill="1" applyBorder="1"/>
    <xf numFmtId="0" fontId="0" fillId="0" borderId="29" xfId="0" applyBorder="1"/>
    <xf numFmtId="0" fontId="0" fillId="0" borderId="30" xfId="0" applyBorder="1"/>
    <xf numFmtId="0" fontId="0" fillId="11" borderId="30" xfId="0" applyFill="1" applyBorder="1"/>
    <xf numFmtId="0" fontId="0" fillId="11" borderId="31" xfId="0" applyFill="1" applyBorder="1"/>
    <xf numFmtId="0" fontId="0" fillId="0" borderId="26" xfId="0" applyBorder="1"/>
    <xf numFmtId="165" fontId="0" fillId="11" borderId="28" xfId="0" applyNumberFormat="1" applyFill="1" applyBorder="1"/>
    <xf numFmtId="0" fontId="0" fillId="0" borderId="28" xfId="0" applyBorder="1"/>
    <xf numFmtId="0" fontId="0" fillId="0" borderId="31" xfId="0" applyBorder="1"/>
    <xf numFmtId="0" fontId="0" fillId="0" borderId="0" xfId="0" applyFill="1"/>
    <xf numFmtId="0" fontId="0" fillId="12" borderId="26" xfId="0" applyFill="1" applyBorder="1"/>
    <xf numFmtId="0" fontId="0" fillId="12" borderId="28" xfId="0" applyFill="1" applyBorder="1"/>
    <xf numFmtId="0" fontId="0" fillId="12" borderId="31" xfId="0" applyFill="1" applyBorder="1"/>
    <xf numFmtId="0" fontId="0" fillId="0" borderId="28" xfId="0" applyFill="1" applyBorder="1"/>
    <xf numFmtId="0" fontId="0" fillId="4" borderId="0" xfId="0" applyFill="1"/>
    <xf numFmtId="0" fontId="0" fillId="0" borderId="0" xfId="0" quotePrefix="1" applyBorder="1"/>
    <xf numFmtId="0" fontId="0" fillId="0" borderId="0" xfId="0" applyBorder="1" applyAlignment="1">
      <alignment horizontal="center" vertical="center" wrapText="1"/>
    </xf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3C3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zoomScaleNormal="100" workbookViewId="0">
      <selection activeCell="Q23" sqref="Q23"/>
    </sheetView>
  </sheetViews>
  <sheetFormatPr defaultColWidth="8.88671875" defaultRowHeight="14.4" x14ac:dyDescent="0.3"/>
  <cols>
    <col min="1" max="1" width="16.6640625" customWidth="1"/>
    <col min="2" max="2" width="9" customWidth="1"/>
    <col min="3" max="3" width="8.88671875" bestFit="1" customWidth="1"/>
    <col min="4" max="4" width="11.109375" bestFit="1" customWidth="1"/>
    <col min="5" max="5" width="14.6640625" bestFit="1" customWidth="1"/>
    <col min="6" max="6" width="8.6640625" customWidth="1"/>
    <col min="7" max="7" width="14.33203125" bestFit="1" customWidth="1"/>
    <col min="8" max="8" width="9" customWidth="1"/>
    <col min="9" max="9" width="11.88671875" bestFit="1" customWidth="1"/>
    <col min="10" max="10" width="12.44140625" customWidth="1"/>
    <col min="11" max="11" width="10.6640625" customWidth="1"/>
    <col min="12" max="12" width="11.109375" customWidth="1"/>
    <col min="14" max="14" width="16.6640625" customWidth="1"/>
    <col min="15" max="15" width="14.6640625" bestFit="1" customWidth="1"/>
    <col min="16" max="16" width="9.44140625" customWidth="1"/>
    <col min="17" max="17" width="14.6640625" bestFit="1" customWidth="1"/>
    <col min="18" max="18" width="12.44140625" bestFit="1" customWidth="1"/>
    <col min="19" max="19" width="9.44140625" customWidth="1"/>
    <col min="21" max="21" width="9.109375" customWidth="1"/>
    <col min="22" max="22" width="2" bestFit="1" customWidth="1"/>
    <col min="23" max="23" width="20.109375" bestFit="1" customWidth="1"/>
    <col min="24" max="24" width="16.109375" bestFit="1" customWidth="1"/>
  </cols>
  <sheetData>
    <row r="1" spans="1:26" ht="15.6" thickTop="1" thickBot="1" x14ac:dyDescent="0.35">
      <c r="A1" s="5" t="s">
        <v>0</v>
      </c>
      <c r="B1" s="6"/>
      <c r="C1" s="7"/>
      <c r="D1" s="8" t="s">
        <v>1</v>
      </c>
      <c r="E1" s="6"/>
      <c r="F1" s="6"/>
      <c r="G1" s="16" t="s">
        <v>2</v>
      </c>
      <c r="H1" s="17" t="s">
        <v>3</v>
      </c>
      <c r="I1" s="18" t="s">
        <v>4</v>
      </c>
      <c r="J1" s="16" t="s">
        <v>2</v>
      </c>
      <c r="K1" s="17" t="s">
        <v>3</v>
      </c>
      <c r="L1" s="18" t="s">
        <v>4</v>
      </c>
      <c r="M1" s="10"/>
      <c r="N1" s="16" t="s">
        <v>2</v>
      </c>
      <c r="O1" s="17" t="s">
        <v>3</v>
      </c>
      <c r="P1" s="18" t="s">
        <v>4</v>
      </c>
      <c r="Q1" s="16" t="s">
        <v>2</v>
      </c>
      <c r="R1" s="17" t="s">
        <v>3</v>
      </c>
      <c r="S1" s="18" t="s">
        <v>4</v>
      </c>
      <c r="U1" s="9" t="s">
        <v>321</v>
      </c>
      <c r="V1" s="10"/>
      <c r="W1" s="10"/>
      <c r="X1" s="11"/>
    </row>
    <row r="2" spans="1:26" ht="15" thickTop="1" x14ac:dyDescent="0.3">
      <c r="A2" s="16" t="s">
        <v>2</v>
      </c>
      <c r="B2" s="17" t="s">
        <v>3</v>
      </c>
      <c r="C2" s="18" t="s">
        <v>4</v>
      </c>
      <c r="D2" s="16" t="s">
        <v>2</v>
      </c>
      <c r="E2" s="17" t="s">
        <v>3</v>
      </c>
      <c r="F2" s="25" t="s">
        <v>4</v>
      </c>
      <c r="G2" s="29" t="s">
        <v>5</v>
      </c>
      <c r="H2" s="30"/>
      <c r="I2" s="31"/>
      <c r="J2" s="29" t="s">
        <v>6</v>
      </c>
      <c r="K2" s="30"/>
      <c r="L2" s="31"/>
      <c r="M2" s="27"/>
      <c r="N2" s="29" t="s">
        <v>7</v>
      </c>
      <c r="O2" s="30"/>
      <c r="P2" s="31"/>
      <c r="Q2" s="29" t="s">
        <v>8</v>
      </c>
      <c r="R2" s="30"/>
      <c r="S2" s="31"/>
      <c r="U2" s="12" t="s">
        <v>9</v>
      </c>
      <c r="V2" s="27" t="s">
        <v>10</v>
      </c>
      <c r="W2" s="81" t="s">
        <v>322</v>
      </c>
      <c r="X2" s="13" t="s">
        <v>11</v>
      </c>
    </row>
    <row r="3" spans="1:26" x14ac:dyDescent="0.3">
      <c r="A3" s="19" t="s">
        <v>12</v>
      </c>
      <c r="B3" s="83">
        <v>25</v>
      </c>
      <c r="C3" s="20" t="s">
        <v>13</v>
      </c>
      <c r="D3" s="38" t="s">
        <v>14</v>
      </c>
      <c r="E3" s="48">
        <f>W_ballast+H6+K4+H24+K23</f>
        <v>6.6010986727208135E-2</v>
      </c>
      <c r="F3" s="4" t="s">
        <v>15</v>
      </c>
      <c r="G3" s="38" t="s">
        <v>16</v>
      </c>
      <c r="H3" s="50">
        <f>c_t/c_r</f>
        <v>1</v>
      </c>
      <c r="I3" s="20"/>
      <c r="J3" s="38" t="s">
        <v>17</v>
      </c>
      <c r="K3" s="50">
        <f>l_b/2</f>
        <v>9</v>
      </c>
      <c r="L3" s="20" t="s">
        <v>18</v>
      </c>
      <c r="M3" s="27"/>
      <c r="N3" s="46" t="s">
        <v>19</v>
      </c>
      <c r="O3" s="53">
        <f>de_da_M0*(CL_alpha_wing/CL_alpha_M0)</f>
        <v>0.33087171046677172</v>
      </c>
      <c r="P3" s="20"/>
      <c r="Q3" s="43" t="s">
        <v>20</v>
      </c>
      <c r="R3" s="53">
        <f>0.724+3.06*((S_v_sw/S_wing)/(1+COS(RADIANS(_C4_Sweep))))+0.4*(z_w_alt./d)+0.009*AR_wing</f>
        <v>0.69065776460706818</v>
      </c>
      <c r="S3" s="20"/>
      <c r="U3" s="12" t="s">
        <v>21</v>
      </c>
      <c r="V3" s="27" t="s">
        <v>10</v>
      </c>
      <c r="W3" s="27">
        <v>5006</v>
      </c>
      <c r="X3" s="13" t="s">
        <v>22</v>
      </c>
    </row>
    <row r="4" spans="1:26" x14ac:dyDescent="0.3">
      <c r="A4" s="19" t="s">
        <v>23</v>
      </c>
      <c r="B4" s="83">
        <v>18</v>
      </c>
      <c r="C4" s="20" t="s">
        <v>18</v>
      </c>
      <c r="D4" s="40" t="s">
        <v>24</v>
      </c>
      <c r="E4" s="48">
        <f>K10*12</f>
        <v>6.3055552482088242</v>
      </c>
      <c r="F4" s="4" t="s">
        <v>18</v>
      </c>
      <c r="G4" s="38" t="s">
        <v>25</v>
      </c>
      <c r="H4" s="50">
        <f>(b/2)*(c_r+c_t)</f>
        <v>54</v>
      </c>
      <c r="I4" s="20" t="s">
        <v>26</v>
      </c>
      <c r="J4" s="38" t="s">
        <v>27</v>
      </c>
      <c r="K4" s="50">
        <f>l_b*z_max*w_max*rho_balsa</f>
        <v>1.6405788575546931E-2</v>
      </c>
      <c r="L4" s="20" t="s">
        <v>15</v>
      </c>
      <c r="M4" s="27"/>
      <c r="N4" s="46" t="s">
        <v>28</v>
      </c>
      <c r="O4" s="53">
        <f>(2*CL_w_0)/(PI()*AR_wing)</f>
        <v>0</v>
      </c>
      <c r="P4" s="20" t="s">
        <v>29</v>
      </c>
      <c r="Q4" s="43" t="s">
        <v>30</v>
      </c>
      <c r="R4" s="53">
        <f>-0.0001*ABS(GAMMA)</f>
        <v>-5.6162290825025702E-4</v>
      </c>
      <c r="S4" s="20" t="s">
        <v>31</v>
      </c>
      <c r="U4" s="12" t="s">
        <v>32</v>
      </c>
      <c r="V4" s="27" t="s">
        <v>10</v>
      </c>
      <c r="W4" s="55">
        <f>Mach</f>
        <v>2.2792144465891177E-2</v>
      </c>
      <c r="X4" s="13" t="s">
        <v>33</v>
      </c>
    </row>
    <row r="5" spans="1:26" x14ac:dyDescent="0.3">
      <c r="A5" s="19" t="s">
        <v>34</v>
      </c>
      <c r="B5" s="83">
        <v>3</v>
      </c>
      <c r="C5" s="20" t="s">
        <v>18</v>
      </c>
      <c r="D5" s="46" t="s">
        <v>35</v>
      </c>
      <c r="E5" s="48">
        <f>Cm_alpha</f>
        <v>-0.10385060310241201</v>
      </c>
      <c r="F5" s="4" t="s">
        <v>31</v>
      </c>
      <c r="G5" s="38" t="s">
        <v>36</v>
      </c>
      <c r="H5" s="50">
        <f>H4/COS(RADIANS(GAMMA))</f>
        <v>54.260465448158094</v>
      </c>
      <c r="I5" s="20" t="s">
        <v>26</v>
      </c>
      <c r="J5" s="46" t="s">
        <v>37</v>
      </c>
      <c r="K5" s="52">
        <f>(rho*Vtrim*(l_b/12)/viscosity)</f>
        <v>211221.12211221119</v>
      </c>
      <c r="L5" s="20"/>
      <c r="M5" s="27"/>
      <c r="N5" s="46" t="s">
        <v>38</v>
      </c>
      <c r="O5" s="53">
        <f>xac_wing/cbar</f>
        <v>2.0334087338928675</v>
      </c>
      <c r="P5" s="20"/>
      <c r="Q5" s="43" t="s">
        <v>39</v>
      </c>
      <c r="R5" s="53">
        <f>-2*K_int*(S_p2v/S_wing)</f>
        <v>-1.092130684646673E-2</v>
      </c>
      <c r="S5" s="20" t="s">
        <v>31</v>
      </c>
      <c r="U5" s="12" t="s">
        <v>40</v>
      </c>
      <c r="V5" s="27" t="s">
        <v>10</v>
      </c>
      <c r="W5" s="55">
        <f>Vtrim</f>
        <v>25</v>
      </c>
      <c r="X5" s="13" t="s">
        <v>41</v>
      </c>
    </row>
    <row r="6" spans="1:26" ht="15" thickBot="1" x14ac:dyDescent="0.35">
      <c r="A6" s="19" t="s">
        <v>42</v>
      </c>
      <c r="B6" s="83">
        <v>3</v>
      </c>
      <c r="C6" s="20" t="s">
        <v>18</v>
      </c>
      <c r="D6" s="46" t="s">
        <v>43</v>
      </c>
      <c r="E6" s="48">
        <f>DEGREES(O18)</f>
        <v>4.4651370002035815</v>
      </c>
      <c r="F6" s="4" t="s">
        <v>44</v>
      </c>
      <c r="G6" s="38" t="s">
        <v>45</v>
      </c>
      <c r="H6" s="50">
        <f>H5*t_lifting*rho_balsa</f>
        <v>2.9402389714720669E-2</v>
      </c>
      <c r="I6" s="20" t="s">
        <v>15</v>
      </c>
      <c r="J6" s="47" t="s">
        <v>46</v>
      </c>
      <c r="K6" s="51">
        <f>IF(Re_fuse&lt;500000, 1.328/SQRT(Re_fuse), 0.074/(Re_fuse)^(1/5))</f>
        <v>2.8895446007978494E-3</v>
      </c>
      <c r="L6" s="24"/>
      <c r="M6" s="27"/>
      <c r="N6" s="46" t="s">
        <v>47</v>
      </c>
      <c r="O6" s="53">
        <f>xac_HT/cbar</f>
        <v>5.746421237532771</v>
      </c>
      <c r="P6" s="20"/>
      <c r="Q6" s="43" t="s">
        <v>48</v>
      </c>
      <c r="R6" s="53">
        <f>-0.0001*ABS(GAMMA_H)*sidewash_effect*(S_ht/S_wing)</f>
        <v>-1.5053542657989384E-6</v>
      </c>
      <c r="S6" s="20" t="s">
        <v>31</v>
      </c>
      <c r="U6" s="12" t="s">
        <v>49</v>
      </c>
      <c r="V6" s="27" t="s">
        <v>10</v>
      </c>
      <c r="W6" s="55">
        <f>rho</f>
        <v>2.0479999999999999E-3</v>
      </c>
      <c r="X6" s="13" t="s">
        <v>50</v>
      </c>
    </row>
    <row r="7" spans="1:26" ht="15" thickTop="1" x14ac:dyDescent="0.3">
      <c r="A7" s="19" t="s">
        <v>51</v>
      </c>
      <c r="B7" s="83">
        <v>5.6162290825025698</v>
      </c>
      <c r="C7" s="20" t="s">
        <v>44</v>
      </c>
      <c r="D7" s="46" t="s">
        <v>52</v>
      </c>
      <c r="E7" s="48">
        <f>DEGREES(alpha_HT)</f>
        <v>2.3614238159620249</v>
      </c>
      <c r="F7" s="4" t="s">
        <v>53</v>
      </c>
      <c r="G7" s="40" t="s">
        <v>54</v>
      </c>
      <c r="H7" s="50">
        <f>b^2/H4</f>
        <v>6</v>
      </c>
      <c r="I7" s="20"/>
      <c r="J7" s="32" t="s">
        <v>55</v>
      </c>
      <c r="K7" s="33"/>
      <c r="L7" s="34"/>
      <c r="M7" s="27"/>
      <c r="N7" s="46" t="s">
        <v>56</v>
      </c>
      <c r="O7" s="53">
        <f>xac_VT/cbar</f>
        <v>6.1102491912873491</v>
      </c>
      <c r="P7" s="20"/>
      <c r="Q7" s="43" t="s">
        <v>57</v>
      </c>
      <c r="R7" s="53">
        <f>-K_y_v*ABS(CL_alpha_VT)*sidewash_effect*(S_vt/S_wing)</f>
        <v>-0.13786547971466884</v>
      </c>
      <c r="S7" s="20" t="s">
        <v>31</v>
      </c>
      <c r="U7" s="12" t="s">
        <v>58</v>
      </c>
      <c r="V7" s="27" t="s">
        <v>10</v>
      </c>
      <c r="W7" s="55">
        <f>0.5*W6*W5^2</f>
        <v>0.64</v>
      </c>
      <c r="X7" s="13" t="s">
        <v>59</v>
      </c>
    </row>
    <row r="8" spans="1:26" x14ac:dyDescent="0.3">
      <c r="A8" s="19" t="s">
        <v>60</v>
      </c>
      <c r="B8" s="83">
        <v>0.50975419248956999</v>
      </c>
      <c r="C8" s="20" t="s">
        <v>44</v>
      </c>
      <c r="D8" s="46" t="s">
        <v>61</v>
      </c>
      <c r="E8" s="48">
        <f>CL_trim/O23</f>
        <v>6.0233714871015556</v>
      </c>
      <c r="F8" s="4"/>
      <c r="G8" s="40" t="s">
        <v>62</v>
      </c>
      <c r="H8" s="50">
        <f>(2/3)*c_r*((1+lambda_wing+lambda_wing^2)/(1+lambda_wing))</f>
        <v>3</v>
      </c>
      <c r="I8" s="20" t="s">
        <v>18</v>
      </c>
      <c r="J8" s="40" t="s">
        <v>14</v>
      </c>
      <c r="K8" s="50">
        <f>E3</f>
        <v>6.6010986727208135E-2</v>
      </c>
      <c r="L8" s="20" t="s">
        <v>15</v>
      </c>
      <c r="M8" s="27"/>
      <c r="N8" s="46" t="s">
        <v>63</v>
      </c>
      <c r="O8" s="53">
        <f>(XCG)/cbar</f>
        <v>2.1018517494029414</v>
      </c>
      <c r="P8" s="20"/>
      <c r="Q8" s="43" t="s">
        <v>64</v>
      </c>
      <c r="R8" s="53">
        <f>SUM(R4:R7)</f>
        <v>-0.14934991482365162</v>
      </c>
      <c r="S8" s="20" t="s">
        <v>31</v>
      </c>
      <c r="U8" s="12" t="s">
        <v>14</v>
      </c>
      <c r="V8" s="27" t="s">
        <v>10</v>
      </c>
      <c r="W8" s="55">
        <f>E3</f>
        <v>6.6010986727208135E-2</v>
      </c>
      <c r="X8" s="13" t="s">
        <v>65</v>
      </c>
    </row>
    <row r="9" spans="1:26" x14ac:dyDescent="0.3">
      <c r="A9" s="19" t="s">
        <v>66</v>
      </c>
      <c r="B9" s="83">
        <v>0</v>
      </c>
      <c r="C9" s="20" t="s">
        <v>44</v>
      </c>
      <c r="D9" s="46" t="s">
        <v>67</v>
      </c>
      <c r="E9" s="48">
        <f>SM</f>
        <v>2.92626637453548E-2</v>
      </c>
      <c r="F9" s="4"/>
      <c r="G9" s="40" t="s">
        <v>68</v>
      </c>
      <c r="H9" s="50">
        <f>DEGREES(ATAN(TAN(RADIANS(LAMBDA))-((4*0.25*(1-lambda_wing))/(AR_wing*(1+lambda_wing)))))</f>
        <v>0.50975419248956999</v>
      </c>
      <c r="I9" s="20" t="s">
        <v>44</v>
      </c>
      <c r="J9" s="40" t="s">
        <v>69</v>
      </c>
      <c r="K9" s="50">
        <f>SUM(B41:H41)</f>
        <v>2.0516872856097515E-3</v>
      </c>
      <c r="L9" s="20" t="s">
        <v>70</v>
      </c>
      <c r="M9" s="27"/>
      <c r="N9" s="46" t="s">
        <v>71</v>
      </c>
      <c r="O9" s="53">
        <f>SUM(N62:N65)</f>
        <v>2.4346647870350742E-2</v>
      </c>
      <c r="P9" s="20"/>
      <c r="Q9" s="43" t="s">
        <v>72</v>
      </c>
      <c r="R9" s="53">
        <f>-(1/6)*(CL_alpha_wing)*(RADIANS(GAMMA))*((1+2*lambda_wing)/(1+lambda_wing))</f>
        <v>-8.4679075073299276E-2</v>
      </c>
      <c r="S9" s="20" t="s">
        <v>31</v>
      </c>
      <c r="U9" s="12" t="s">
        <v>73</v>
      </c>
      <c r="V9" s="27" t="s">
        <v>10</v>
      </c>
      <c r="W9" s="55">
        <f>S_wing/144</f>
        <v>0.375</v>
      </c>
      <c r="X9" s="13" t="s">
        <v>74</v>
      </c>
    </row>
    <row r="10" spans="1:26" x14ac:dyDescent="0.3">
      <c r="A10" s="19" t="s">
        <v>75</v>
      </c>
      <c r="B10" s="83">
        <v>5.3101891446436102</v>
      </c>
      <c r="C10" s="20" t="s">
        <v>18</v>
      </c>
      <c r="D10" s="43" t="s">
        <v>76</v>
      </c>
      <c r="E10" s="48">
        <f>R14</f>
        <v>-9.9642783433088231E-2</v>
      </c>
      <c r="F10" s="4" t="s">
        <v>31</v>
      </c>
      <c r="G10" s="40" t="s">
        <v>77</v>
      </c>
      <c r="H10" s="50">
        <f>DEGREES(ATAN(TAN(RADIANS(LAMBDA))-((4*0.5*(1-lambda_wing))/(AR_wing*(1+lambda_wing)))))</f>
        <v>0.50975419248956999</v>
      </c>
      <c r="I10" s="20" t="s">
        <v>44</v>
      </c>
      <c r="J10" s="40" t="s">
        <v>78</v>
      </c>
      <c r="K10" s="50">
        <f>((B42*B41)+(C42*C41)+(D42*D41)+(E42*E41)+(F42*F41)+(G42*G41)+(H42*H41))/Mass</f>
        <v>0.52546293735073535</v>
      </c>
      <c r="L10" s="20" t="s">
        <v>79</v>
      </c>
      <c r="M10" s="27"/>
      <c r="N10" s="46" t="s">
        <v>80</v>
      </c>
      <c r="O10" s="53">
        <f>CL_alpha_wing*(RADIANS(iw))+CL_alpha_HT*eta_HT*(S_ht/S_wing)*(-e0)</f>
        <v>0</v>
      </c>
      <c r="P10" s="20"/>
      <c r="Q10" s="43" t="s">
        <v>81</v>
      </c>
      <c r="R10" s="53">
        <f>-0.00917</f>
        <v>-9.1699999999999993E-3</v>
      </c>
      <c r="S10" s="20" t="s">
        <v>31</v>
      </c>
      <c r="U10" s="12" t="s">
        <v>82</v>
      </c>
      <c r="V10" s="27" t="s">
        <v>10</v>
      </c>
      <c r="W10" s="55">
        <f>b/12</f>
        <v>1.5</v>
      </c>
      <c r="X10" s="13" t="s">
        <v>22</v>
      </c>
    </row>
    <row r="11" spans="1:26" ht="15" thickBot="1" x14ac:dyDescent="0.35">
      <c r="A11" s="19" t="s">
        <v>83</v>
      </c>
      <c r="B11" s="83">
        <v>3</v>
      </c>
      <c r="C11" s="20" t="s">
        <v>18</v>
      </c>
      <c r="D11" s="44" t="s">
        <v>84</v>
      </c>
      <c r="E11" s="49">
        <f>R18</f>
        <v>9.2734669096741051E-2</v>
      </c>
      <c r="F11" s="26" t="s">
        <v>31</v>
      </c>
      <c r="G11" s="40" t="s">
        <v>85</v>
      </c>
      <c r="H11" s="50">
        <f>DEGREES(ATAN(TAN(RADIANS(LAMBDA))-((4*1*(1-lambda_wing))/(AR_wing*(1+lambda_wing)))))</f>
        <v>0.50975419248956999</v>
      </c>
      <c r="I11" s="20" t="s">
        <v>44</v>
      </c>
      <c r="J11" s="40" t="s">
        <v>86</v>
      </c>
      <c r="K11" s="50">
        <f>((B43*B41)+(C43*$C$41)+(D43*$D$41)+(E43*$E$41)+(F43*$F$41)+(G43*$G$41)+(H43*$H$41))/Mass</f>
        <v>0</v>
      </c>
      <c r="L11" s="20" t="s">
        <v>79</v>
      </c>
      <c r="M11" s="27"/>
      <c r="N11" s="46" t="s">
        <v>87</v>
      </c>
      <c r="O11" s="53">
        <f>CL_alpha_wing+CL_alpha_HT*eta_HT*(S_ht/S_wing)*(1-de_da)</f>
        <v>3.5489114732043872</v>
      </c>
      <c r="P11" s="20" t="s">
        <v>31</v>
      </c>
      <c r="Q11" s="43" t="s">
        <v>88</v>
      </c>
      <c r="R11" s="53">
        <f>-C_L_w*((1+2*lambda_wing)/(3*(1+lambda_wing)))*TAN(RADIANS(LAMBDA))</f>
        <v>-1.19796935541296E-3</v>
      </c>
      <c r="S11" s="20" t="s">
        <v>31</v>
      </c>
      <c r="U11" s="12" t="s">
        <v>62</v>
      </c>
      <c r="V11" s="27" t="s">
        <v>10</v>
      </c>
      <c r="W11" s="55">
        <f>cbar/12</f>
        <v>0.25</v>
      </c>
      <c r="X11" s="13" t="s">
        <v>22</v>
      </c>
    </row>
    <row r="12" spans="1:26" ht="15" thickTop="1" x14ac:dyDescent="0.3">
      <c r="A12" s="19" t="s">
        <v>89</v>
      </c>
      <c r="B12" s="83">
        <v>1</v>
      </c>
      <c r="C12" s="20" t="s">
        <v>18</v>
      </c>
      <c r="D12" s="27"/>
      <c r="E12" s="27"/>
      <c r="F12" s="27"/>
      <c r="G12" s="40" t="s">
        <v>90</v>
      </c>
      <c r="H12" s="50">
        <f>(b/6)*((1+2*lambda_wing)/(1+lambda_wing))*TAN(RADIANS(LAMBDA))</f>
        <v>4.0037057034992246E-2</v>
      </c>
      <c r="I12" s="20" t="s">
        <v>18</v>
      </c>
      <c r="J12" s="40" t="s">
        <v>91</v>
      </c>
      <c r="K12" s="50">
        <f>((B44*B41)+(C44*$C$41)+(D44*$D$41)+(E44*$E$41)+(F44*$F$41)+(G44*$G$41)+(H44*$H$41))/Mass</f>
        <v>2.9190169413833952E-2</v>
      </c>
      <c r="L12" s="20" t="s">
        <v>79</v>
      </c>
      <c r="N12" s="46" t="s">
        <v>92</v>
      </c>
      <c r="O12" s="53">
        <f>CL_alpha_HT*eta_HT*(S_ht/S_wing)</f>
        <v>0.13956585203609748</v>
      </c>
      <c r="P12" s="20" t="s">
        <v>31</v>
      </c>
      <c r="Q12" s="43" t="s">
        <v>93</v>
      </c>
      <c r="R12" s="53">
        <f>-(1/6)*(CL_alpha_HT)*(RADIANS(GAMMA_H))*((1+2*lambda_HT)/(1+lambda_HT))*(eta_HT*(S_ht/S_wing)*(b_HT/b))</f>
        <v>-3.981930000413203E-5</v>
      </c>
      <c r="S12" s="20" t="s">
        <v>31</v>
      </c>
      <c r="U12" s="12" t="s">
        <v>94</v>
      </c>
      <c r="V12" s="27" t="s">
        <v>10</v>
      </c>
      <c r="W12" s="55">
        <f>XCG_bar</f>
        <v>2.1018517494029414</v>
      </c>
      <c r="X12" s="13" t="s">
        <v>11</v>
      </c>
    </row>
    <row r="13" spans="1:26" x14ac:dyDescent="0.3">
      <c r="A13" s="19" t="s">
        <v>95</v>
      </c>
      <c r="B13" s="83">
        <v>1</v>
      </c>
      <c r="C13" s="20" t="s">
        <v>18</v>
      </c>
      <c r="D13" s="37" t="s">
        <v>96</v>
      </c>
      <c r="E13" s="27"/>
      <c r="F13" s="27"/>
      <c r="G13" s="40" t="s">
        <v>97</v>
      </c>
      <c r="H13" s="50">
        <f>(b/6)*((1+2*lambda_wing)/(1+lambda_wing))</f>
        <v>4.5</v>
      </c>
      <c r="I13" s="20" t="s">
        <v>18</v>
      </c>
      <c r="J13" s="40" t="s">
        <v>98</v>
      </c>
      <c r="K13" s="52">
        <f>SUM(B45:H45)</f>
        <v>1.3118339261130864E-4</v>
      </c>
      <c r="L13" s="20" t="s">
        <v>99</v>
      </c>
      <c r="M13" s="27"/>
      <c r="N13" s="46" t="s">
        <v>100</v>
      </c>
      <c r="O13" s="53">
        <f>0+CL_alpha_wing*(RADIANS(iw))*(XCG_bar-xac_wing_bar)+CL_ih*(e0)*(xac_HT_bar-XCG_bar)+CD0_wing*zbar_W+CD0_HT*zbar_H+CD0_VT*zbar_V+CD0_Fus*zbar_F</f>
        <v>2.5328559501134979E-3</v>
      </c>
      <c r="P13" s="20"/>
      <c r="Q13" s="43" t="s">
        <v>101</v>
      </c>
      <c r="R13" s="53">
        <f>CY_beta_V*((Z_v*COS(alpha_trim)-X_v*SIN(alpha_trim))/b)</f>
        <v>-4.5559197043718684E-3</v>
      </c>
      <c r="S13" s="20" t="s">
        <v>31</v>
      </c>
      <c r="U13" s="12" t="s">
        <v>102</v>
      </c>
      <c r="V13" s="27" t="s">
        <v>10</v>
      </c>
      <c r="W13" s="55">
        <f>alpha_trim+O32</f>
        <v>-8.6588058418981553E-2</v>
      </c>
      <c r="X13" s="13" t="s">
        <v>103</v>
      </c>
      <c r="Z13" s="80"/>
    </row>
    <row r="14" spans="1:26" x14ac:dyDescent="0.3">
      <c r="A14" s="19" t="s">
        <v>104</v>
      </c>
      <c r="B14" s="83">
        <v>0.39232711442543</v>
      </c>
      <c r="C14" s="20" t="s">
        <v>44</v>
      </c>
      <c r="D14" s="39" t="s">
        <v>105</v>
      </c>
      <c r="E14" s="27"/>
      <c r="F14" s="27"/>
      <c r="G14" s="40" t="s">
        <v>106</v>
      </c>
      <c r="H14" s="50">
        <f>x_wing_LE+H12+0.25*cbar</f>
        <v>6.1002262016786029</v>
      </c>
      <c r="I14" s="20" t="s">
        <v>18</v>
      </c>
      <c r="J14" s="40" t="s">
        <v>107</v>
      </c>
      <c r="K14" s="52">
        <f>SUM(B46:H46)</f>
        <v>2.8408033139404966E-4</v>
      </c>
      <c r="L14" s="20" t="s">
        <v>99</v>
      </c>
      <c r="M14" s="27"/>
      <c r="N14" s="46" t="s">
        <v>35</v>
      </c>
      <c r="O14">
        <f>CL_alpha_wing*(XCG_bar-xac_wing_bar)-CL_alpha_HT*eta_HT*(S_ht/S_wing)*(1-de_da)*(xac_HT_bar-XCG_bar)</f>
        <v>-0.10385060310241201</v>
      </c>
      <c r="P14" s="20" t="s">
        <v>31</v>
      </c>
      <c r="Q14" s="43" t="s">
        <v>76</v>
      </c>
      <c r="R14" s="53">
        <f>SUM(R9:R13)</f>
        <v>-9.9642783433088231E-2</v>
      </c>
      <c r="S14" s="20" t="s">
        <v>31</v>
      </c>
      <c r="U14" s="12" t="s">
        <v>108</v>
      </c>
      <c r="V14" s="27" t="s">
        <v>10</v>
      </c>
      <c r="W14" s="55">
        <f>alpha_trim</f>
        <v>7.7931342206175216E-2</v>
      </c>
      <c r="X14" s="13" t="s">
        <v>103</v>
      </c>
      <c r="Z14" s="80"/>
    </row>
    <row r="15" spans="1:26" x14ac:dyDescent="0.3">
      <c r="A15" s="19" t="s">
        <v>109</v>
      </c>
      <c r="B15" s="83">
        <v>-0.82013592313978201</v>
      </c>
      <c r="C15" s="20" t="s">
        <v>44</v>
      </c>
      <c r="D15" s="45" t="s">
        <v>110</v>
      </c>
      <c r="E15" s="27"/>
      <c r="F15" s="27"/>
      <c r="G15" s="40" t="s">
        <v>111</v>
      </c>
      <c r="H15" s="50">
        <f>x_wing_LE+H12+0.5*cbar</f>
        <v>6.8502262016786029</v>
      </c>
      <c r="I15" s="20" t="s">
        <v>112</v>
      </c>
      <c r="J15" s="40" t="s">
        <v>113</v>
      </c>
      <c r="K15" s="52">
        <f t="shared" ref="K15:K17" si="0">SUM(B47:H47)</f>
        <v>4.1031356712611792E-4</v>
      </c>
      <c r="L15" s="20" t="s">
        <v>99</v>
      </c>
      <c r="M15" s="27"/>
      <c r="N15" s="46" t="s">
        <v>114</v>
      </c>
      <c r="O15" s="53">
        <f>-CL_alpha_HT*eta_HT*(S_ht/S_wing)*(xac_HT_bar-XCG_bar)</f>
        <v>-0.50865744591560336</v>
      </c>
      <c r="P15" s="20" t="s">
        <v>31</v>
      </c>
      <c r="Q15" s="43" t="s">
        <v>115</v>
      </c>
      <c r="R15" s="53">
        <f>-CY_beta_V*((X_v*COS(alpha_trim)+Z_v*SIN(alpha_trim))/b)</f>
        <v>9.273943680003173E-2</v>
      </c>
      <c r="S15" s="20" t="s">
        <v>31</v>
      </c>
      <c r="U15" s="12" t="s">
        <v>98</v>
      </c>
      <c r="V15" s="27" t="s">
        <v>10</v>
      </c>
      <c r="W15" s="55">
        <f>K13</f>
        <v>1.3118339261130864E-4</v>
      </c>
      <c r="X15" s="13" t="s">
        <v>116</v>
      </c>
    </row>
    <row r="16" spans="1:26" x14ac:dyDescent="0.3">
      <c r="A16" s="19" t="s">
        <v>117</v>
      </c>
      <c r="B16" s="83">
        <v>17</v>
      </c>
      <c r="C16" s="20" t="s">
        <v>18</v>
      </c>
      <c r="D16" s="42" t="s">
        <v>118</v>
      </c>
      <c r="E16" s="27"/>
      <c r="F16" s="27"/>
      <c r="G16" s="46" t="s">
        <v>119</v>
      </c>
      <c r="H16" s="50">
        <f>IF(AR_wing&gt;=4, 1+(((8.2-2.3*RADIANS(LAMBDA))-AR_wing*(0.22-0.153*RADIANS(LAMBDA)))/100), 1+((AR_wing*1.87-0.000233*RADIANS(LAMBDA))/100))</f>
        <v>1.0686770449935392</v>
      </c>
      <c r="I16" s="20"/>
      <c r="J16" s="40" t="s">
        <v>120</v>
      </c>
      <c r="K16" s="52">
        <f t="shared" si="0"/>
        <v>0</v>
      </c>
      <c r="L16" s="20" t="s">
        <v>99</v>
      </c>
      <c r="M16" s="27"/>
      <c r="N16" s="46" t="s">
        <v>121</v>
      </c>
      <c r="O16" s="53">
        <f t="array" ref="O16:O17">MMULT(K75:L76,N71:N72)</f>
        <v>7.7931342206175216E-2</v>
      </c>
      <c r="P16" s="20" t="s">
        <v>29</v>
      </c>
      <c r="Q16" s="43" t="s">
        <v>122</v>
      </c>
      <c r="R16" s="53">
        <f>-CY_beta_wing*((X_w*COS(alpha_trim)+Z_w*SIN(alpha_trim))/b)</f>
        <v>-5.6783745802516385E-6</v>
      </c>
      <c r="S16" s="20" t="s">
        <v>31</v>
      </c>
      <c r="U16" s="12" t="s">
        <v>107</v>
      </c>
      <c r="V16" s="27" t="s">
        <v>10</v>
      </c>
      <c r="W16" s="55">
        <f>K14</f>
        <v>2.8408033139404966E-4</v>
      </c>
      <c r="X16" s="13" t="s">
        <v>116</v>
      </c>
    </row>
    <row r="17" spans="1:24" x14ac:dyDescent="0.3">
      <c r="A17" s="19" t="s">
        <v>123</v>
      </c>
      <c r="B17" s="83">
        <v>2.9512699987277999</v>
      </c>
      <c r="C17" s="20" t="s">
        <v>18</v>
      </c>
      <c r="D17" s="27"/>
      <c r="E17" s="27"/>
      <c r="F17" s="27"/>
      <c r="G17" s="46" t="s">
        <v>124</v>
      </c>
      <c r="H17" s="50">
        <f>(C_l_alpha*AR_wing)/(2+SQRT(4+(((AR_wing^2)*(1-Mach^2))/(k_wing^2))*(1+((TAN(RADIANS(_C2_sweep)))^2)/(1-Mach^2))))</f>
        <v>3.4555240133542258</v>
      </c>
      <c r="I17" s="20" t="s">
        <v>31</v>
      </c>
      <c r="J17" s="40" t="s">
        <v>125</v>
      </c>
      <c r="K17" s="52">
        <f t="shared" si="0"/>
        <v>1.3467299063986766E-5</v>
      </c>
      <c r="L17" s="20" t="s">
        <v>99</v>
      </c>
      <c r="M17" s="27"/>
      <c r="N17" s="46" t="s">
        <v>126</v>
      </c>
      <c r="O17" s="53">
        <v>-1.0931445087900733E-2</v>
      </c>
      <c r="P17" s="20" t="s">
        <v>29</v>
      </c>
      <c r="Q17" s="43" t="s">
        <v>127</v>
      </c>
      <c r="R17" s="53">
        <f>-CY_beta_H*((X_h*COS(alpha_trim)+Z_h*SIN(alpha_trim))/b)</f>
        <v>9.1067128957608379E-7</v>
      </c>
      <c r="S17" s="20" t="s">
        <v>31</v>
      </c>
      <c r="U17" s="12" t="s">
        <v>113</v>
      </c>
      <c r="V17" s="27" t="s">
        <v>10</v>
      </c>
      <c r="W17" s="55">
        <f>K15</f>
        <v>4.1031356712611792E-4</v>
      </c>
      <c r="X17" s="13" t="s">
        <v>116</v>
      </c>
    </row>
    <row r="18" spans="1:24" ht="15" thickBot="1" x14ac:dyDescent="0.35">
      <c r="A18" s="19" t="s">
        <v>128</v>
      </c>
      <c r="B18" s="83">
        <v>0.74121826628305199</v>
      </c>
      <c r="C18" s="20" t="s">
        <v>18</v>
      </c>
      <c r="D18" s="27"/>
      <c r="E18" s="27"/>
      <c r="F18" s="27"/>
      <c r="G18" s="46" t="s">
        <v>129</v>
      </c>
      <c r="H18" s="52">
        <f>(rho*Vtrim*(cbar/12)/viscosity)</f>
        <v>35203.520352035201</v>
      </c>
      <c r="I18" s="20"/>
      <c r="J18" s="41" t="s">
        <v>130</v>
      </c>
      <c r="K18" s="52">
        <f>SUM(B50:H50)</f>
        <v>0</v>
      </c>
      <c r="L18" s="24" t="s">
        <v>99</v>
      </c>
      <c r="M18" s="27"/>
      <c r="N18" s="46" t="s">
        <v>43</v>
      </c>
      <c r="O18" s="53">
        <f>(alpha_trim+RADIANS(iw))</f>
        <v>7.7931342206175216E-2</v>
      </c>
      <c r="P18" s="20" t="s">
        <v>29</v>
      </c>
      <c r="Q18" s="43" t="s">
        <v>84</v>
      </c>
      <c r="R18" s="53">
        <f>SUM(R15:R17)</f>
        <v>9.2734669096741051E-2</v>
      </c>
      <c r="S18" s="20" t="s">
        <v>31</v>
      </c>
      <c r="U18" s="12" t="s">
        <v>125</v>
      </c>
      <c r="V18" s="27" t="s">
        <v>10</v>
      </c>
      <c r="W18" s="55">
        <f>K17</f>
        <v>1.3467299063986766E-5</v>
      </c>
      <c r="X18" s="13" t="s">
        <v>116</v>
      </c>
    </row>
    <row r="19" spans="1:24" ht="15.6" thickTop="1" thickBot="1" x14ac:dyDescent="0.35">
      <c r="A19" s="19" t="s">
        <v>131</v>
      </c>
      <c r="B19" s="83">
        <v>1.85304566570763</v>
      </c>
      <c r="C19" s="20" t="s">
        <v>18</v>
      </c>
      <c r="D19" s="27"/>
      <c r="E19" s="27"/>
      <c r="F19" s="27"/>
      <c r="G19" s="47" t="s">
        <v>132</v>
      </c>
      <c r="H19" s="51">
        <f>IF(Re_wing&lt;500000, 1.328/SQRT(Re_wing), 0.074/(Re_wing)^(1/5))</f>
        <v>7.0779098609688451E-3</v>
      </c>
      <c r="I19" s="24"/>
      <c r="J19" s="27"/>
      <c r="K19" s="27"/>
      <c r="L19" s="27"/>
      <c r="M19" s="27"/>
      <c r="N19" s="46" t="s">
        <v>52</v>
      </c>
      <c r="O19" s="53">
        <f>alpha_trim+iH_trim-e0-(de_da*alpha_trim)</f>
        <v>4.1214620623545958E-2</v>
      </c>
      <c r="P19" s="20" t="s">
        <v>29</v>
      </c>
      <c r="Q19" s="43" t="s">
        <v>133</v>
      </c>
      <c r="R19" s="53">
        <f>2*(CY_beta_V)*((Z_v*COS(alpha_trim)-X_v*SIN(alpha_trim))/b)</f>
        <v>-9.1118394087437368E-3</v>
      </c>
      <c r="S19" s="20"/>
      <c r="U19" s="12" t="s">
        <v>134</v>
      </c>
      <c r="V19" s="27" t="s">
        <v>10</v>
      </c>
      <c r="W19" s="27" t="s">
        <v>135</v>
      </c>
      <c r="X19" s="13" t="s">
        <v>136</v>
      </c>
    </row>
    <row r="20" spans="1:24" ht="15" thickTop="1" x14ac:dyDescent="0.3">
      <c r="A20" s="19" t="s">
        <v>137</v>
      </c>
      <c r="B20" s="83">
        <v>23.343918977443099</v>
      </c>
      <c r="C20" s="20" t="s">
        <v>44</v>
      </c>
      <c r="D20" s="27"/>
      <c r="E20" s="27"/>
      <c r="F20" s="27"/>
      <c r="G20" s="32" t="s">
        <v>138</v>
      </c>
      <c r="H20" s="33"/>
      <c r="I20" s="34"/>
      <c r="J20" s="32" t="s">
        <v>139</v>
      </c>
      <c r="K20" s="33"/>
      <c r="L20" s="34"/>
      <c r="M20" s="27"/>
      <c r="N20" s="46" t="s">
        <v>140</v>
      </c>
      <c r="O20" s="53">
        <f>(xac_wing_bar+(CL_alpha_HT/CL_alpha_wing)*(eta_HT)*(S_ht/S_wing)*(1-de_da)*xac_HT_bar)/(1+(CL_alpha_HT/CL_alpha_wing)*(eta_HT)*(S_ht/S_wing)*(1-de_da))</f>
        <v>2.1311144131482962</v>
      </c>
      <c r="P20" s="20"/>
      <c r="Q20" s="43" t="s">
        <v>141</v>
      </c>
      <c r="R20" s="53">
        <f>-(CL_alpha_wing/12)*((1+3*lambda_wing)/(1+lambda_wing))</f>
        <v>-0.57592066889237092</v>
      </c>
      <c r="S20" s="20"/>
      <c r="U20" s="12" t="s">
        <v>142</v>
      </c>
      <c r="V20" s="27" t="s">
        <v>10</v>
      </c>
      <c r="W20" s="55">
        <f>-W7*W9*(0+2*CD_trim)/(Mass*Vtrim)</f>
        <v>-0.42732214101550769</v>
      </c>
      <c r="X20" s="13" t="s">
        <v>143</v>
      </c>
    </row>
    <row r="21" spans="1:24" x14ac:dyDescent="0.3">
      <c r="A21" s="19" t="s">
        <v>144</v>
      </c>
      <c r="B21" s="83">
        <v>17.258781733716901</v>
      </c>
      <c r="C21" s="20" t="s">
        <v>18</v>
      </c>
      <c r="D21" s="27"/>
      <c r="E21" s="27"/>
      <c r="F21" s="27"/>
      <c r="G21" s="38" t="s">
        <v>145</v>
      </c>
      <c r="H21" s="50">
        <f>c_HT_t/c_HT_r</f>
        <v>1</v>
      </c>
      <c r="I21" s="20"/>
      <c r="J21" s="38" t="s">
        <v>146</v>
      </c>
      <c r="K21" s="50">
        <f>c_V_t/c_V_r</f>
        <v>2.5</v>
      </c>
      <c r="L21" s="20"/>
      <c r="M21" s="27"/>
      <c r="N21" s="46" t="s">
        <v>67</v>
      </c>
      <c r="O21" s="53">
        <f>XAC_bar-XCG_bar</f>
        <v>2.92626637453548E-2</v>
      </c>
      <c r="P21" s="20"/>
      <c r="Q21" s="43" t="s">
        <v>147</v>
      </c>
      <c r="R21" s="53">
        <f>-(CL_alpha_HT/12)*((1+3*lambda_HT)/(1+lambda_HT))*(S_ht/S_wing)*(b_HT/b)^2</f>
        <v>-6.4613820387082158E-4</v>
      </c>
      <c r="S21" s="20"/>
      <c r="U21" s="12" t="s">
        <v>148</v>
      </c>
      <c r="V21" s="27" t="s">
        <v>10</v>
      </c>
      <c r="W21" s="55">
        <f>-W7*W9*(O31-CL_trim)/(Mass)</f>
        <v>-32.173999999999992</v>
      </c>
      <c r="X21" s="13" t="s">
        <v>149</v>
      </c>
    </row>
    <row r="22" spans="1:24" x14ac:dyDescent="0.3">
      <c r="A22" s="19" t="s">
        <v>150</v>
      </c>
      <c r="B22" s="83">
        <v>0</v>
      </c>
      <c r="C22" s="20" t="s">
        <v>18</v>
      </c>
      <c r="D22" s="27"/>
      <c r="E22" s="27"/>
      <c r="F22" s="27"/>
      <c r="G22" s="38" t="s">
        <v>151</v>
      </c>
      <c r="H22" s="50">
        <f>(b_HT/2)*(c_HT_r+c_HT_t)</f>
        <v>3</v>
      </c>
      <c r="I22" s="20" t="s">
        <v>26</v>
      </c>
      <c r="J22" s="38" t="s">
        <v>152</v>
      </c>
      <c r="K22" s="50">
        <f>(b_v/2)*(c_V_r+c_V_t)</f>
        <v>3.8281866556328583</v>
      </c>
      <c r="L22" s="20" t="s">
        <v>26</v>
      </c>
      <c r="M22" s="27"/>
      <c r="N22" s="46" t="s">
        <v>153</v>
      </c>
      <c r="O22" s="53">
        <f>CL_alpha_wing*(alpha_trim+RADIANS(iw))+eta_HT*(S_ht/S_wing)*(CL_alpha_HT*(alpha_trim+iH_trim-e0-de_da*alpha_trim))</f>
        <v>0.27504577803003388</v>
      </c>
      <c r="P22" s="20"/>
      <c r="Q22" s="43" t="s">
        <v>154</v>
      </c>
      <c r="R22" s="53">
        <f>2*CY_beta_V*(Z_v/b)^2</f>
        <v>-2.006981010669815E-3</v>
      </c>
      <c r="S22" s="20"/>
      <c r="U22" s="12" t="s">
        <v>155</v>
      </c>
      <c r="V22" s="27" t="s">
        <v>10</v>
      </c>
      <c r="W22" s="55">
        <f>-W7*W9*(O26+2*CL_trim)/(Mass*W5)</f>
        <v>-2.5745888998421713</v>
      </c>
      <c r="X22" s="13" t="s">
        <v>143</v>
      </c>
    </row>
    <row r="23" spans="1:24" x14ac:dyDescent="0.3">
      <c r="A23" s="19" t="s">
        <v>156</v>
      </c>
      <c r="B23" s="83">
        <v>18</v>
      </c>
      <c r="C23" s="20" t="s">
        <v>18</v>
      </c>
      <c r="D23" s="27"/>
      <c r="E23" s="27"/>
      <c r="F23" s="27"/>
      <c r="G23" s="38" t="s">
        <v>157</v>
      </c>
      <c r="H23" s="50">
        <f>H22/COS(RADIANS(GAMMA_H))</f>
        <v>3.0000703317019264</v>
      </c>
      <c r="I23" s="20" t="s">
        <v>26</v>
      </c>
      <c r="J23" s="38" t="s">
        <v>158</v>
      </c>
      <c r="K23" s="50">
        <f>K22*t_lifting*rho_balsa</f>
        <v>2.0743986440210551E-3</v>
      </c>
      <c r="L23" s="20" t="s">
        <v>15</v>
      </c>
      <c r="M23" s="27"/>
      <c r="N23" s="46" t="s">
        <v>159</v>
      </c>
      <c r="O23" s="53">
        <f>CD0+CL_trim^2/CL_alpha</f>
        <v>4.5663093936513258E-2</v>
      </c>
      <c r="P23" s="20"/>
      <c r="Q23" s="43" t="s">
        <v>160</v>
      </c>
      <c r="R23" s="53">
        <f>SUM(R20:R22)</f>
        <v>-0.57857378810691151</v>
      </c>
      <c r="S23" s="20"/>
      <c r="U23" s="12" t="s">
        <v>161</v>
      </c>
      <c r="V23" s="27" t="s">
        <v>10</v>
      </c>
      <c r="W23" s="55">
        <f>-W7*W9*(CL_alpha+CD_trim)/Mass</f>
        <v>-420.4821573758627</v>
      </c>
      <c r="X23" s="13" t="s">
        <v>149</v>
      </c>
    </row>
    <row r="24" spans="1:24" x14ac:dyDescent="0.3">
      <c r="A24" s="19" t="s">
        <v>162</v>
      </c>
      <c r="B24" s="83">
        <v>0.39904861147770199</v>
      </c>
      <c r="C24" s="20" t="s">
        <v>18</v>
      </c>
      <c r="D24" s="27"/>
      <c r="E24" s="27"/>
      <c r="F24" s="27"/>
      <c r="G24" s="38" t="s">
        <v>163</v>
      </c>
      <c r="H24" s="50">
        <f>H23*t_lifting*rho_balsa</f>
        <v>1.6256631109909812E-3</v>
      </c>
      <c r="I24" s="20" t="s">
        <v>15</v>
      </c>
      <c r="J24" s="40" t="s">
        <v>164</v>
      </c>
      <c r="K24" s="50">
        <f>(b2v/2)*c_V_r*(1+lambda_VT)</f>
        <v>7.6563733112657166</v>
      </c>
      <c r="L24" s="20" t="s">
        <v>26</v>
      </c>
      <c r="M24" s="27"/>
      <c r="N24" s="46" t="s">
        <v>165</v>
      </c>
      <c r="O24" s="53">
        <f>0.5*rho*Vtrim^2*(S_wing/144)*CL_trim</f>
        <v>6.6010986727208135E-2</v>
      </c>
      <c r="P24" s="20" t="s">
        <v>15</v>
      </c>
      <c r="Q24" s="43" t="s">
        <v>166</v>
      </c>
      <c r="R24" s="53">
        <f>-(CL_trim/12)*((1+3*lambda_wing)/(1+lambda_wing))</f>
        <v>-4.5840963005005647E-2</v>
      </c>
      <c r="S24" s="20"/>
      <c r="U24" s="12" t="s">
        <v>167</v>
      </c>
      <c r="V24" s="27" t="s">
        <v>10</v>
      </c>
      <c r="W24" s="55">
        <f>W7*W9*W11*(0+2*O25)/(W5*W16)</f>
        <v>0</v>
      </c>
      <c r="X24" s="13" t="s">
        <v>168</v>
      </c>
    </row>
    <row r="25" spans="1:24" x14ac:dyDescent="0.3">
      <c r="A25" s="19" t="s">
        <v>169</v>
      </c>
      <c r="B25" s="83">
        <v>0.39515816762308498</v>
      </c>
      <c r="C25" s="20" t="s">
        <v>18</v>
      </c>
      <c r="D25" s="27"/>
      <c r="E25" s="27"/>
      <c r="F25" s="27"/>
      <c r="G25" s="40" t="s">
        <v>170</v>
      </c>
      <c r="H25" s="50">
        <f>b_HT^2/H22</f>
        <v>3</v>
      </c>
      <c r="I25" s="20"/>
      <c r="J25" s="40" t="s">
        <v>171</v>
      </c>
      <c r="K25" s="50">
        <f>b2v^2/K24</f>
        <v>4.5504545043929641</v>
      </c>
      <c r="L25" s="20"/>
      <c r="M25" s="27"/>
      <c r="N25" s="46" t="s">
        <v>172</v>
      </c>
      <c r="O25" s="53">
        <f>Cm0+(Cm_alpha*alpha_trim)+(Cm_ih*iH_trim)</f>
        <v>0</v>
      </c>
      <c r="P25" s="20"/>
      <c r="Q25" s="43" t="s">
        <v>173</v>
      </c>
      <c r="R25" s="53">
        <f>-2*CY_beta_V*((X_v*COS(alpha_trim)+Z_v*SIN(alpha_trim))/b)*((Z_v*COS(alpha_trim)-X_v*SIN(alpha_trim)-Z_v)/b)</f>
        <v>-9.6948987458705428E-3</v>
      </c>
      <c r="S25" s="20"/>
      <c r="U25" s="12" t="s">
        <v>174</v>
      </c>
      <c r="V25" s="27" t="s">
        <v>10</v>
      </c>
      <c r="W25" s="55">
        <f>W7*W9*W11*Cm_alpha/W16</f>
        <v>-21.934064057048744</v>
      </c>
      <c r="X25" s="13" t="s">
        <v>175</v>
      </c>
    </row>
    <row r="26" spans="1:24" x14ac:dyDescent="0.3">
      <c r="A26" s="19" t="s">
        <v>176</v>
      </c>
      <c r="B26" s="83">
        <v>0</v>
      </c>
      <c r="C26" s="20" t="s">
        <v>18</v>
      </c>
      <c r="D26" s="27"/>
      <c r="E26" s="27"/>
      <c r="F26" s="27"/>
      <c r="G26" s="40" t="s">
        <v>177</v>
      </c>
      <c r="H26" s="50">
        <f>(2/3)*c_HT_r*((1+lambda_HT+lambda_HT^2)/(1+lambda_HT))</f>
        <v>1</v>
      </c>
      <c r="I26" s="20" t="s">
        <v>18</v>
      </c>
      <c r="J26" s="40" t="s">
        <v>178</v>
      </c>
      <c r="K26" s="50">
        <f>(2/3)*c_V_r*((1+lambda_VT+lambda_VT^2)/(1+lambda_VT))</f>
        <v>1.3765482088113821</v>
      </c>
      <c r="L26" s="20" t="s">
        <v>18</v>
      </c>
      <c r="M26" s="27"/>
      <c r="N26" s="46" t="s">
        <v>179</v>
      </c>
      <c r="O26" s="53">
        <f>(Mach^2/(1-Mach^2))*CL_trim</f>
        <v>1.4295555224272104E-4</v>
      </c>
      <c r="P26" s="20"/>
      <c r="Q26" s="43" t="s">
        <v>180</v>
      </c>
      <c r="R26" s="53">
        <f>SUM(R24:R25)</f>
        <v>-5.5535861750876186E-2</v>
      </c>
      <c r="S26" s="20"/>
      <c r="U26" s="12" t="s">
        <v>181</v>
      </c>
      <c r="V26" s="27" t="s">
        <v>10</v>
      </c>
      <c r="W26" s="55">
        <f>(W7*W9*W11*O28/W16)*(W11/(2*W5))</f>
        <v>-1.2955117678200185</v>
      </c>
      <c r="X26" s="13" t="s">
        <v>143</v>
      </c>
    </row>
    <row r="27" spans="1:24" x14ac:dyDescent="0.3">
      <c r="A27" s="19" t="s">
        <v>182</v>
      </c>
      <c r="B27" s="83">
        <v>1.6502746681928498E-2</v>
      </c>
      <c r="C27" s="20" t="s">
        <v>15</v>
      </c>
      <c r="D27" s="27"/>
      <c r="E27" s="27"/>
      <c r="F27" s="27"/>
      <c r="G27" s="40" t="s">
        <v>77</v>
      </c>
      <c r="H27" s="50">
        <f>DEGREES(ATAN(TAN(RADIANS(LAMBDA_H_LE))-((4*0.5*(1-lambda_HT))/(H25*(1+lambda_HT)))))</f>
        <v>-0.82013592313978201</v>
      </c>
      <c r="I27" s="20" t="s">
        <v>44</v>
      </c>
      <c r="J27" s="40" t="s">
        <v>77</v>
      </c>
      <c r="K27" s="50">
        <f>DEGREES(ATAN(TAN(RADIANS(LAMBDA_V_LE))-((4*0.5*(1-lambda_VT))/(K25*(1+lambda_VT)))))</f>
        <v>31.796482223113184</v>
      </c>
      <c r="L27" s="20" t="s">
        <v>44</v>
      </c>
      <c r="M27" s="27">
        <f>V_C2_sweep*PI()/180</f>
        <v>0.55495330534517129</v>
      </c>
      <c r="N27" s="46" t="s">
        <v>183</v>
      </c>
      <c r="O27" s="53">
        <f>2*CL_alpha_HT*eta_HT*(S_ht/S_wing)*(xac_HT_bar-XCG_bar)*de_da</f>
        <v>0.33660071834351024</v>
      </c>
      <c r="P27" s="20"/>
      <c r="Q27" s="43" t="s">
        <v>184</v>
      </c>
      <c r="R27" s="53">
        <f>-2*CY_beta_V*((X_v*COS(alpha_trim)+Z_v*SIN(alpha_trim))/b)</f>
        <v>0.18547887360006346</v>
      </c>
      <c r="S27" s="20"/>
      <c r="U27" s="12" t="s">
        <v>185</v>
      </c>
      <c r="V27" s="27" t="s">
        <v>10</v>
      </c>
      <c r="W27" s="55">
        <f>(W7*W9*W11*O30/W16)*(W11/(2*W5))</f>
        <v>-4.1872332257312994</v>
      </c>
      <c r="X27" s="13" t="s">
        <v>186</v>
      </c>
    </row>
    <row r="28" spans="1:24" x14ac:dyDescent="0.3">
      <c r="A28" s="21" t="s">
        <v>187</v>
      </c>
      <c r="B28" s="1"/>
      <c r="C28" s="20"/>
      <c r="D28" s="27"/>
      <c r="E28" s="27"/>
      <c r="F28" s="27"/>
      <c r="G28" s="40" t="s">
        <v>188</v>
      </c>
      <c r="H28" s="50">
        <f>DEGREES(ATAN(TAN(RADIANS(LAMBDA_H_LE))-((4*1*(1-lambda_HT))/(H25*(1+lambda_HT)))))</f>
        <v>-0.82013592313978201</v>
      </c>
      <c r="I28" s="20" t="s">
        <v>44</v>
      </c>
      <c r="J28" s="40" t="s">
        <v>189</v>
      </c>
      <c r="K28" s="50">
        <f>DEGREES(ATAN(TAN(RADIANS(LAMBDA_V_LE))-((4*1*(1-lambda_VT))/(K25*(1+lambda_VT)))))</f>
        <v>38.948799723284466</v>
      </c>
      <c r="L28" s="20" t="s">
        <v>44</v>
      </c>
      <c r="M28" s="27">
        <f>TE_sweep_vt*PI()/180</f>
        <v>0.67978479487117027</v>
      </c>
      <c r="N28" s="46" t="s">
        <v>190</v>
      </c>
      <c r="O28" s="53">
        <f>-2*CL_alpha_HT*eta_HT*(S_ht/S_wing)*(xac_HT_bar-XCG_bar)^2*de_da</f>
        <v>-1.2267647077573398</v>
      </c>
      <c r="P28" s="20"/>
      <c r="Q28" s="43" t="s">
        <v>191</v>
      </c>
      <c r="R28" s="53">
        <f>(CL_trim/6)*((1+3*lambda_wing)/(1+lambda_wing))</f>
        <v>9.1681926010011294E-2</v>
      </c>
      <c r="S28" s="20"/>
      <c r="U28" s="12" t="s">
        <v>192</v>
      </c>
      <c r="V28" s="27" t="s">
        <v>10</v>
      </c>
      <c r="W28" s="27">
        <v>0</v>
      </c>
      <c r="X28" s="13" t="s">
        <v>193</v>
      </c>
    </row>
    <row r="29" spans="1:24" x14ac:dyDescent="0.3">
      <c r="A29" s="19" t="s">
        <v>194</v>
      </c>
      <c r="B29" s="3">
        <v>4.5836623610465859</v>
      </c>
      <c r="C29" s="20" t="s">
        <v>31</v>
      </c>
      <c r="D29" s="27"/>
      <c r="E29" s="27"/>
      <c r="F29" s="27"/>
      <c r="G29" s="40" t="s">
        <v>195</v>
      </c>
      <c r="H29" s="50">
        <f>(b_HT/6)*((1+2*lambda_HT)/(1+lambda_HT))*TAN(RADIANS(LAMBDA_H_LE))</f>
        <v>-1.0736287401689623E-2</v>
      </c>
      <c r="I29" s="20" t="s">
        <v>18</v>
      </c>
      <c r="J29" s="40" t="s">
        <v>196</v>
      </c>
      <c r="K29" s="50">
        <f>(b2v/6)*((1+2*lambda_VT)/(1+lambda_VT))*TAN(RADIANS(LAMBDA_V_LE))</f>
        <v>0.72782878794229955</v>
      </c>
      <c r="L29" s="20" t="s">
        <v>18</v>
      </c>
      <c r="M29" s="27"/>
      <c r="N29" s="46" t="s">
        <v>197</v>
      </c>
      <c r="O29" s="53">
        <f>((AR_wing+2*COS(RADIANS(_C4_Sweep)))/(AR_wing*SQRT(1-(Mach^2)*(COS(RADIANS(_C4_Sweep)))^2)+2*COS(RADIANS(_C4_Sweep))))*(0.5+2*(xac_wing_bar-XCG_bar))*CL_alpha__wing_M0+2*CL_alpha_HT*eta_HT*(S_ht/S_wing)*(xac_HT_bar-XCG_bar)</f>
        <v>2.272091827920609</v>
      </c>
      <c r="P29" s="20"/>
      <c r="Q29" s="43" t="s">
        <v>198</v>
      </c>
      <c r="R29" s="53">
        <f>-2*CY_beta_V*((X_v*COS(alpha_trim)+Z_v*SIN(alpha_trim))/b)*((Z_v*COS(alpha_trim)-X_v*SIN(alpha_trim))/b)</f>
        <v>6.1293578111658188E-3</v>
      </c>
      <c r="S29" s="20"/>
      <c r="U29" s="12" t="s">
        <v>199</v>
      </c>
      <c r="V29" s="27" t="s">
        <v>10</v>
      </c>
      <c r="W29" s="27">
        <v>0</v>
      </c>
      <c r="X29" s="13" t="s">
        <v>149</v>
      </c>
    </row>
    <row r="30" spans="1:24" x14ac:dyDescent="0.3">
      <c r="A30" s="19" t="s">
        <v>200</v>
      </c>
      <c r="B30" s="2">
        <v>5.7800000000000004E-3</v>
      </c>
      <c r="C30" s="20" t="s">
        <v>201</v>
      </c>
      <c r="D30" s="27"/>
      <c r="E30" s="27"/>
      <c r="F30" s="27"/>
      <c r="G30" s="40" t="s">
        <v>202</v>
      </c>
      <c r="H30" s="50">
        <f>(b_HT/6)*((1+2*lambda_HT)/(1+lambda_HT))</f>
        <v>0.75</v>
      </c>
      <c r="I30" s="20" t="s">
        <v>18</v>
      </c>
      <c r="J30" s="40" t="s">
        <v>203</v>
      </c>
      <c r="K30" s="50">
        <f>(b2v/6)*((1+2*lambda_VT)/(1+lambda_VT))</f>
        <v>1.6864399992730283</v>
      </c>
      <c r="L30" s="20" t="s">
        <v>18</v>
      </c>
      <c r="M30" s="27"/>
      <c r="N30" s="46" t="s">
        <v>204</v>
      </c>
      <c r="O30" s="53">
        <f>(-K_q*CL_alpha__wing_M0*COS(RADIANS(_C4_Sweep)))*(((AR_wing*(0.5*(xac_wing_bar-XCG_bar)+2*(ABS(xac_wing_bar-XCG_bar))^2))/(AR_wing+2*COS(RADIANS(_C4_Sweep))))+(1/24)*((AR_wing^3*(TAN(RADIANS(_C4_Sweep)))^2)/(AR_wing+6*COS(RADIANS(_C4_Sweep))))+(1/8))-(2*CL_alpha_HT*eta_HT*(S_ht/S_wing)*(xac_HT_bar-XCG_bar)^2)</f>
        <v>-3.9650353412997434</v>
      </c>
      <c r="P30" s="20"/>
      <c r="Q30" s="43" t="s">
        <v>205</v>
      </c>
      <c r="R30" s="53">
        <f>SUM(R28:R29)</f>
        <v>9.7811283821177111E-2</v>
      </c>
      <c r="S30" s="20"/>
      <c r="U30" s="12" t="s">
        <v>206</v>
      </c>
      <c r="V30" s="27" t="s">
        <v>10</v>
      </c>
      <c r="W30" s="27">
        <v>0</v>
      </c>
      <c r="X30" s="13" t="s">
        <v>175</v>
      </c>
    </row>
    <row r="31" spans="1:24" ht="15" thickBot="1" x14ac:dyDescent="0.35">
      <c r="A31" s="19" t="s">
        <v>207</v>
      </c>
      <c r="B31" s="2">
        <v>1</v>
      </c>
      <c r="C31" s="20"/>
      <c r="D31" s="27"/>
      <c r="E31" s="27"/>
      <c r="F31" s="27"/>
      <c r="G31" s="40" t="s">
        <v>208</v>
      </c>
      <c r="H31" s="50">
        <f>x_HT_LE+H29+0.25*H26</f>
        <v>17.239263712598312</v>
      </c>
      <c r="I31" s="20" t="s">
        <v>18</v>
      </c>
      <c r="J31" s="40" t="s">
        <v>209</v>
      </c>
      <c r="K31" s="50">
        <f>x_VT_LE+K29+0.25*K26</f>
        <v>18.330747573862048</v>
      </c>
      <c r="L31" s="20" t="s">
        <v>18</v>
      </c>
      <c r="M31" s="27"/>
      <c r="N31" s="46" t="s">
        <v>210</v>
      </c>
      <c r="O31" s="53">
        <f>2*CL_trim</f>
        <v>0.55009155606006777</v>
      </c>
      <c r="P31" s="20"/>
      <c r="Q31" s="44" t="s">
        <v>211</v>
      </c>
      <c r="R31" s="54">
        <f>2*CY_beta_V*((X_v*COS(alpha_trim)+Z_v*SIN(alpha_trim))^2/b^2)</f>
        <v>-0.1247680442673131</v>
      </c>
      <c r="S31" s="24"/>
      <c r="U31" s="12" t="s">
        <v>212</v>
      </c>
      <c r="V31" s="27" t="s">
        <v>10</v>
      </c>
      <c r="W31" s="55">
        <f>W7*W9*CY_beta/Mass</f>
        <v>-17.470488709015775</v>
      </c>
      <c r="X31" s="13" t="s">
        <v>149</v>
      </c>
    </row>
    <row r="32" spans="1:24" ht="15.6" thickTop="1" thickBot="1" x14ac:dyDescent="0.35">
      <c r="A32" s="19" t="s">
        <v>213</v>
      </c>
      <c r="B32" s="2">
        <v>1</v>
      </c>
      <c r="C32" s="20"/>
      <c r="D32" s="27"/>
      <c r="E32" s="27"/>
      <c r="F32" s="27"/>
      <c r="G32" s="40" t="s">
        <v>214</v>
      </c>
      <c r="H32" s="50">
        <f>x_HT_LE+H29+0.5*H26</f>
        <v>17.489263712598312</v>
      </c>
      <c r="I32" s="20" t="s">
        <v>18</v>
      </c>
      <c r="J32" s="40" t="s">
        <v>215</v>
      </c>
      <c r="K32" s="50">
        <f>x_VT_LE+K29+0.5*K26</f>
        <v>18.674884626064895</v>
      </c>
      <c r="L32" s="20" t="s">
        <v>18</v>
      </c>
      <c r="M32" s="27"/>
      <c r="N32" s="47" t="s">
        <v>216</v>
      </c>
      <c r="O32" s="54">
        <f>-ATAN(CD_trim/CL_trim)</f>
        <v>-0.16451940062515677</v>
      </c>
      <c r="P32" s="24" t="s">
        <v>29</v>
      </c>
      <c r="Q32" s="27"/>
      <c r="R32" s="27"/>
      <c r="S32" s="13"/>
      <c r="U32" s="12" t="s">
        <v>217</v>
      </c>
      <c r="V32" s="27" t="s">
        <v>10</v>
      </c>
      <c r="W32" s="55">
        <f>W7*W9*R14*W10/W15</f>
        <v>-273.44468931518912</v>
      </c>
      <c r="X32" s="13" t="s">
        <v>175</v>
      </c>
    </row>
    <row r="33" spans="1:24" ht="15" thickTop="1" x14ac:dyDescent="0.3">
      <c r="A33" s="19" t="s">
        <v>218</v>
      </c>
      <c r="B33" s="2">
        <v>2.0479999999999999E-3</v>
      </c>
      <c r="C33" s="20" t="s">
        <v>219</v>
      </c>
      <c r="D33" s="27"/>
      <c r="E33" s="27"/>
      <c r="F33" s="27"/>
      <c r="G33" s="46" t="s">
        <v>220</v>
      </c>
      <c r="H33" s="50">
        <f>IF(AR_HT&gt;=4, 1+(((8.2-2.3*RADIANS(LAMBDA_H_LE))-AR_HT*(0.22-0.153*RADIANS(LAMBDA_H_LE)))/100), 1+((AR_HT*1.87-0.000233*RADIANS(LAMBDA_H_LE))/100))</f>
        <v>1.0561000333517883</v>
      </c>
      <c r="I33" s="20"/>
      <c r="J33" s="46" t="s">
        <v>221</v>
      </c>
      <c r="K33" s="50">
        <f>IF(AR_VT&gt;=4, 1+(((8.2-2.3*RADIANS(LAMBDA_V_LE))-AR_VT*(0.22-0.153*RADIANS(LAMBDA_V_LE)))/100), 1+((AR_VT*1.87-0.000233*RADIANS(LAMBDA_V_LE))/100))</f>
        <v>1.0654547454814731</v>
      </c>
      <c r="L33" s="20"/>
      <c r="M33" s="27"/>
      <c r="N33" s="27"/>
      <c r="O33" s="27"/>
      <c r="P33" s="27"/>
      <c r="Q33" s="27"/>
      <c r="R33" s="27"/>
      <c r="S33" s="13"/>
      <c r="U33" s="12" t="s">
        <v>222</v>
      </c>
      <c r="V33" s="27" t="s">
        <v>10</v>
      </c>
      <c r="W33" s="55">
        <f>(W7*W9*R23*W10/W15)*(W10/(2*W5))</f>
        <v>-47.632530209589845</v>
      </c>
      <c r="X33" s="13" t="s">
        <v>143</v>
      </c>
    </row>
    <row r="34" spans="1:24" x14ac:dyDescent="0.3">
      <c r="A34" s="19" t="s">
        <v>223</v>
      </c>
      <c r="B34" s="2">
        <v>3.636E-7</v>
      </c>
      <c r="C34" s="20" t="s">
        <v>224</v>
      </c>
      <c r="D34" s="27"/>
      <c r="E34" s="27"/>
      <c r="F34" s="27"/>
      <c r="G34" s="46" t="s">
        <v>225</v>
      </c>
      <c r="H34" s="50">
        <f>(C_l_alpha*AR_HT)/(2+SQRT(4+(((AR_HT^2)*(1-Mach^2))/(k_HT^2))*(1+((TAN(RADIANS(H_C2_sweep)))^2)/(1-Mach^2))))</f>
        <v>2.5121853366497549</v>
      </c>
      <c r="I34" s="20" t="s">
        <v>31</v>
      </c>
      <c r="J34" s="46" t="s">
        <v>226</v>
      </c>
      <c r="K34" s="50">
        <f>(C_l_alpha*AR_VT)/(2+SQRT(4+(((AR_VT^2)*(1-Mach^2))/(k_VT^2))*(1+((TAN(RADIANS(V_C2_sweep)))^2)/(1-Mach^2))))</f>
        <v>2.8157448109311325</v>
      </c>
      <c r="L34" s="20" t="s">
        <v>31</v>
      </c>
      <c r="M34" s="27"/>
      <c r="N34" s="27">
        <f>DEGREES(O32)</f>
        <v>-9.4262673038434404</v>
      </c>
      <c r="O34" s="27"/>
      <c r="P34" s="27"/>
      <c r="Q34" s="27"/>
      <c r="R34" s="27"/>
      <c r="S34" s="13"/>
      <c r="U34" s="12" t="s">
        <v>227</v>
      </c>
      <c r="V34" s="27" t="s">
        <v>10</v>
      </c>
      <c r="W34" s="55">
        <f>(W7*W9*R30*W10/W15)*(W10/(2*W5))</f>
        <v>8.0525579056997909</v>
      </c>
      <c r="X34" s="13" t="s">
        <v>143</v>
      </c>
    </row>
    <row r="35" spans="1:24" x14ac:dyDescent="0.3">
      <c r="A35" s="19" t="s">
        <v>228</v>
      </c>
      <c r="B35" s="2">
        <v>1096.8691444288147</v>
      </c>
      <c r="C35" s="20" t="s">
        <v>13</v>
      </c>
      <c r="D35" s="27"/>
      <c r="E35" s="27"/>
      <c r="F35" s="27"/>
      <c r="G35" s="46" t="s">
        <v>229</v>
      </c>
      <c r="H35" s="52">
        <f>(rho*Vtrim*(cbar_ht/12)/viscosity)</f>
        <v>11734.506784011734</v>
      </c>
      <c r="I35" s="20"/>
      <c r="J35" s="46" t="s">
        <v>230</v>
      </c>
      <c r="K35" s="52">
        <f>(rho*Vtrim*(cbar_vt/12)/viscosity)</f>
        <v>16153.114294816362</v>
      </c>
      <c r="L35" s="20"/>
      <c r="M35" s="27"/>
      <c r="N35" s="27"/>
      <c r="O35" s="27"/>
      <c r="P35" s="27"/>
      <c r="Q35" s="27"/>
      <c r="R35" s="27"/>
      <c r="S35" s="13"/>
      <c r="U35" s="12" t="s">
        <v>231</v>
      </c>
      <c r="V35" s="27" t="s">
        <v>10</v>
      </c>
      <c r="W35" s="55">
        <f>W7*W9*R18*W10/W17</f>
        <v>81.363336602919105</v>
      </c>
      <c r="X35" s="13" t="s">
        <v>175</v>
      </c>
    </row>
    <row r="36" spans="1:24" ht="15" thickBot="1" x14ac:dyDescent="0.35">
      <c r="A36" s="22" t="s">
        <v>232</v>
      </c>
      <c r="B36" s="23">
        <v>32.173999999999999</v>
      </c>
      <c r="C36" s="24" t="s">
        <v>233</v>
      </c>
      <c r="D36" s="27"/>
      <c r="E36" s="27"/>
      <c r="F36" s="27"/>
      <c r="G36" s="47" t="s">
        <v>234</v>
      </c>
      <c r="H36" s="51">
        <f>IF(Re_H&lt;500000, 1.328/SQRT(Re_H), 0.074/(Re_H)^(1/5))</f>
        <v>1.2259299490590807E-2</v>
      </c>
      <c r="I36" s="24"/>
      <c r="J36" s="47" t="s">
        <v>235</v>
      </c>
      <c r="K36" s="51">
        <f>IF(Re_V&lt;500000, 1.328/SQRT(Re_V), 0.074/(Re_V)^(1/5))</f>
        <v>1.0448884822959029E-2</v>
      </c>
      <c r="L36" s="24"/>
      <c r="M36" s="27"/>
      <c r="N36" s="27"/>
      <c r="O36" s="27"/>
      <c r="P36" s="27"/>
      <c r="Q36" s="27"/>
      <c r="R36" s="27"/>
      <c r="S36" s="13"/>
      <c r="U36" s="12" t="s">
        <v>236</v>
      </c>
      <c r="V36" s="27" t="s">
        <v>10</v>
      </c>
      <c r="W36" s="55">
        <f>(W7*W9*W10*R26/W17)*(W10/(2*W5))</f>
        <v>-1.4617779058841267</v>
      </c>
      <c r="X36" s="13" t="s">
        <v>143</v>
      </c>
    </row>
    <row r="37" spans="1:24" ht="15.6" thickTop="1" thickBot="1" x14ac:dyDescent="0.35">
      <c r="A37" s="12"/>
      <c r="B37" s="27"/>
      <c r="C37" s="27"/>
      <c r="D37" s="27"/>
      <c r="E37" s="27"/>
      <c r="F37" s="27"/>
      <c r="G37" s="27"/>
      <c r="H37" s="27"/>
      <c r="I37" s="27"/>
      <c r="J37" s="27"/>
      <c r="K37" s="27" t="s">
        <v>273</v>
      </c>
      <c r="L37" s="27"/>
      <c r="M37" s="27"/>
      <c r="N37" s="27"/>
      <c r="O37" s="27"/>
      <c r="P37" s="27"/>
      <c r="Q37" s="27"/>
      <c r="R37" s="27"/>
      <c r="S37" s="13"/>
      <c r="U37" s="12" t="s">
        <v>237</v>
      </c>
      <c r="V37" s="27" t="s">
        <v>10</v>
      </c>
      <c r="W37" s="55">
        <f>(W7*W9*W10*R31/W17)*(W10/(2*W5))</f>
        <v>-3.2840612303536192</v>
      </c>
      <c r="X37" s="13" t="s">
        <v>143</v>
      </c>
    </row>
    <row r="38" spans="1:24" ht="15" thickTop="1" x14ac:dyDescent="0.3">
      <c r="A38" s="35" t="s">
        <v>238</v>
      </c>
      <c r="B38" s="36"/>
      <c r="C38" s="36"/>
      <c r="D38" s="10"/>
      <c r="E38" s="10"/>
      <c r="F38" s="10"/>
      <c r="G38" s="10"/>
      <c r="H38" s="10"/>
      <c r="I38" s="11"/>
      <c r="J38" s="27"/>
      <c r="K38" s="27"/>
      <c r="L38" s="27"/>
      <c r="M38" s="27"/>
      <c r="N38" s="27"/>
      <c r="O38" s="27"/>
      <c r="P38" s="27"/>
      <c r="Q38" s="27"/>
      <c r="R38" s="27"/>
      <c r="S38" s="13"/>
      <c r="U38" s="12" t="s">
        <v>239</v>
      </c>
      <c r="V38" s="27" t="s">
        <v>10</v>
      </c>
      <c r="W38" s="27">
        <v>0</v>
      </c>
      <c r="X38" s="13" t="s">
        <v>149</v>
      </c>
    </row>
    <row r="39" spans="1:24" x14ac:dyDescent="0.3">
      <c r="A39" s="19"/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244</v>
      </c>
      <c r="G39" s="1" t="s">
        <v>245</v>
      </c>
      <c r="H39" s="1" t="s">
        <v>246</v>
      </c>
      <c r="I39" s="20"/>
      <c r="J39" s="27"/>
      <c r="K39" s="27"/>
      <c r="L39" s="27"/>
      <c r="M39" s="27"/>
      <c r="N39" s="27"/>
      <c r="O39" s="27"/>
      <c r="P39" s="27"/>
      <c r="Q39" s="27"/>
      <c r="R39" s="27"/>
      <c r="S39" s="13"/>
      <c r="U39" s="12" t="s">
        <v>247</v>
      </c>
      <c r="V39" s="27" t="s">
        <v>10</v>
      </c>
      <c r="W39" s="27">
        <v>0</v>
      </c>
      <c r="X39" s="13" t="s">
        <v>175</v>
      </c>
    </row>
    <row r="40" spans="1:24" x14ac:dyDescent="0.3">
      <c r="A40" s="40" t="s">
        <v>14</v>
      </c>
      <c r="B40" s="50">
        <f>W_ballast</f>
        <v>1.6502746681928498E-2</v>
      </c>
      <c r="C40" s="50">
        <f>H6/2</f>
        <v>1.4701194857360335E-2</v>
      </c>
      <c r="D40" s="50">
        <f>H6/2</f>
        <v>1.4701194857360335E-2</v>
      </c>
      <c r="E40" s="50">
        <f>K4</f>
        <v>1.6405788575546931E-2</v>
      </c>
      <c r="F40" s="50">
        <f>H24/2</f>
        <v>8.1283155549549061E-4</v>
      </c>
      <c r="G40" s="50">
        <f>H24/2</f>
        <v>8.1283155549549061E-4</v>
      </c>
      <c r="H40" s="50">
        <f>K23</f>
        <v>2.0743986440210551E-3</v>
      </c>
      <c r="I40" s="20" t="s">
        <v>15</v>
      </c>
      <c r="J40" s="27"/>
      <c r="K40" s="27"/>
      <c r="L40" s="27"/>
      <c r="M40" s="27"/>
      <c r="N40" s="27"/>
      <c r="O40" s="27"/>
      <c r="P40" s="27"/>
      <c r="Q40" s="27"/>
      <c r="R40" s="27"/>
      <c r="S40" s="13"/>
      <c r="U40" s="12" t="s">
        <v>248</v>
      </c>
      <c r="V40" s="27" t="s">
        <v>10</v>
      </c>
      <c r="W40" s="27">
        <v>0</v>
      </c>
      <c r="X40" s="13" t="s">
        <v>175</v>
      </c>
    </row>
    <row r="41" spans="1:24" x14ac:dyDescent="0.3">
      <c r="A41" s="40" t="s">
        <v>69</v>
      </c>
      <c r="B41" s="50">
        <f>W_ballast/g</f>
        <v>5.1292182140636844E-4</v>
      </c>
      <c r="C41" s="50">
        <f t="shared" ref="C41:H41" si="1">C40/g</f>
        <v>4.5692779441040387E-4</v>
      </c>
      <c r="D41" s="50">
        <f t="shared" si="1"/>
        <v>4.5692779441040387E-4</v>
      </c>
      <c r="E41" s="50">
        <f t="shared" si="1"/>
        <v>5.0990826678519712E-4</v>
      </c>
      <c r="F41" s="50">
        <f t="shared" si="1"/>
        <v>2.5263615201575516E-5</v>
      </c>
      <c r="G41" s="50">
        <f t="shared" si="1"/>
        <v>2.5263615201575516E-5</v>
      </c>
      <c r="H41" s="50">
        <f t="shared" si="1"/>
        <v>6.4474378194226864E-5</v>
      </c>
      <c r="I41" s="20" t="s">
        <v>70</v>
      </c>
      <c r="J41" s="27"/>
      <c r="K41" s="27"/>
      <c r="L41" s="27"/>
      <c r="M41" s="27"/>
      <c r="N41" s="27"/>
      <c r="O41" s="27"/>
      <c r="P41" s="27"/>
      <c r="Q41" s="27"/>
      <c r="R41" s="27"/>
      <c r="S41" s="13"/>
      <c r="U41" s="12" t="s">
        <v>249</v>
      </c>
      <c r="V41" s="27" t="s">
        <v>10</v>
      </c>
      <c r="W41" s="27">
        <v>0</v>
      </c>
      <c r="X41" s="13" t="s">
        <v>149</v>
      </c>
    </row>
    <row r="42" spans="1:24" x14ac:dyDescent="0.3">
      <c r="A42" s="40" t="s">
        <v>250</v>
      </c>
      <c r="B42" s="50">
        <f>x_ballast/12</f>
        <v>0</v>
      </c>
      <c r="C42" s="50">
        <f>H15/12</f>
        <v>0.57085218347321687</v>
      </c>
      <c r="D42" s="50">
        <f>H15/12</f>
        <v>0.57085218347321687</v>
      </c>
      <c r="E42" s="50">
        <f>K3/12</f>
        <v>0.75</v>
      </c>
      <c r="F42" s="50">
        <f>H32/12</f>
        <v>1.457438642716526</v>
      </c>
      <c r="G42" s="50">
        <f>H32/12</f>
        <v>1.457438642716526</v>
      </c>
      <c r="H42" s="50">
        <f>K32/12</f>
        <v>1.5562403855054079</v>
      </c>
      <c r="I42" s="20" t="s">
        <v>79</v>
      </c>
      <c r="J42" s="27"/>
      <c r="K42" s="27"/>
      <c r="L42" s="27"/>
      <c r="M42" s="27"/>
      <c r="N42" s="27"/>
      <c r="O42" s="27"/>
      <c r="P42" s="27"/>
      <c r="Q42" s="27"/>
      <c r="R42" s="27"/>
      <c r="S42" s="13"/>
      <c r="U42" s="12" t="s">
        <v>251</v>
      </c>
      <c r="V42" s="27" t="s">
        <v>10</v>
      </c>
      <c r="W42" s="27">
        <v>0</v>
      </c>
      <c r="X42" s="13" t="s">
        <v>175</v>
      </c>
    </row>
    <row r="43" spans="1:24" ht="15" thickBot="1" x14ac:dyDescent="0.35">
      <c r="A43" s="40" t="s">
        <v>252</v>
      </c>
      <c r="B43" s="50">
        <f>0/12</f>
        <v>0</v>
      </c>
      <c r="C43" s="50">
        <f>H13/12</f>
        <v>0.375</v>
      </c>
      <c r="D43" s="50">
        <f>-H13/12</f>
        <v>-0.375</v>
      </c>
      <c r="E43" s="50">
        <v>0</v>
      </c>
      <c r="F43" s="50">
        <f>H30/12</f>
        <v>6.25E-2</v>
      </c>
      <c r="G43" s="50">
        <f>-H30/12</f>
        <v>-6.25E-2</v>
      </c>
      <c r="H43" s="50">
        <f>0</f>
        <v>0</v>
      </c>
      <c r="I43" s="20" t="s">
        <v>79</v>
      </c>
      <c r="J43" s="27"/>
      <c r="K43" s="27"/>
      <c r="L43" s="27"/>
      <c r="M43" s="27"/>
      <c r="N43" s="27"/>
      <c r="O43" s="27"/>
      <c r="P43" s="27"/>
      <c r="Q43" s="27"/>
      <c r="R43" s="27"/>
      <c r="S43" s="13"/>
      <c r="U43" s="14" t="s">
        <v>253</v>
      </c>
      <c r="V43" s="28" t="s">
        <v>10</v>
      </c>
      <c r="W43" s="28">
        <v>0</v>
      </c>
      <c r="X43" s="15" t="s">
        <v>175</v>
      </c>
    </row>
    <row r="44" spans="1:24" ht="15" thickTop="1" x14ac:dyDescent="0.3">
      <c r="A44" s="40" t="s">
        <v>254</v>
      </c>
      <c r="B44" s="50">
        <f>0/12</f>
        <v>0</v>
      </c>
      <c r="C44" s="50">
        <f>(0.5*(z_max)+H13*TAN(RADIANS(GAMMA)))/12</f>
        <v>5.3503340224337413E-2</v>
      </c>
      <c r="D44" s="50">
        <f>(0.5*(z_max)+H13*TAN(RADIANS(GAMMA)))/12</f>
        <v>5.3503340224337413E-2</v>
      </c>
      <c r="E44" s="50">
        <v>0</v>
      </c>
      <c r="F44" s="50">
        <f>(0.5*(z_max)+z_HT+H30*TAN(RADIANS(GAMMA_H)))/12</f>
        <v>1.7054994660195739E-2</v>
      </c>
      <c r="G44" s="50">
        <f>(0.5*(z_max)+z_HT+H30*TAN(RADIANS(GAMMA_H)))/12</f>
        <v>1.7054994660195739E-2</v>
      </c>
      <c r="H44" s="50">
        <f>(0.5*z_max+K30)/12</f>
        <v>0.15716369208432326</v>
      </c>
      <c r="I44" s="20" t="s">
        <v>79</v>
      </c>
      <c r="J44" s="27"/>
      <c r="K44" s="27"/>
      <c r="L44" s="27"/>
      <c r="M44" s="27"/>
      <c r="N44" s="27"/>
      <c r="O44" s="27"/>
      <c r="P44" s="27"/>
      <c r="Q44" s="27"/>
      <c r="R44" s="27"/>
      <c r="S44" s="13"/>
    </row>
    <row r="45" spans="1:24" x14ac:dyDescent="0.3">
      <c r="A45" s="40" t="s">
        <v>98</v>
      </c>
      <c r="B45" s="52">
        <f>((B43-$K$11)^2+(B44-$K$12)^2)*B41</f>
        <v>4.3704323975866041E-7</v>
      </c>
      <c r="C45" s="52">
        <f t="shared" ref="C45:H45" si="2">((C43-$K$11)^2+(C44-$K$12)^2)*C41</f>
        <v>6.4525574941664369E-5</v>
      </c>
      <c r="D45" s="52">
        <f t="shared" si="2"/>
        <v>6.4525574941664369E-5</v>
      </c>
      <c r="E45" s="52">
        <f t="shared" si="2"/>
        <v>4.3447549235572246E-7</v>
      </c>
      <c r="F45" s="52">
        <f>((F43-$K$11)^2+(F44-$K$12)^2)*F41</f>
        <v>1.0240637916342635E-7</v>
      </c>
      <c r="G45" s="52">
        <f t="shared" si="2"/>
        <v>1.0240637916342635E-7</v>
      </c>
      <c r="H45" s="52">
        <f t="shared" si="2"/>
        <v>1.0559112375386599E-6</v>
      </c>
      <c r="I45" s="20" t="s">
        <v>99</v>
      </c>
      <c r="J45" s="27"/>
      <c r="K45" s="27"/>
      <c r="L45" s="27"/>
      <c r="M45" s="27"/>
      <c r="N45" s="27"/>
      <c r="O45" s="27"/>
      <c r="P45" s="27"/>
      <c r="Q45" s="27"/>
      <c r="R45" s="27"/>
      <c r="S45" s="13"/>
    </row>
    <row r="46" spans="1:24" x14ac:dyDescent="0.3">
      <c r="A46" s="40" t="s">
        <v>107</v>
      </c>
      <c r="B46" s="52">
        <f>((B42-$K$10)^2+(B44-$K$12)^2)*B41</f>
        <v>1.4206055339226567E-4</v>
      </c>
      <c r="C46" s="52">
        <f t="shared" ref="C46:H46" si="3">((C42-$K$10)^2+(C44-$K$12)^2)*C41</f>
        <v>1.2114590301754313E-6</v>
      </c>
      <c r="D46" s="52">
        <f t="shared" si="3"/>
        <v>1.2114590301754313E-6</v>
      </c>
      <c r="E46" s="52">
        <f t="shared" si="3"/>
        <v>2.6142465765337531E-5</v>
      </c>
      <c r="F46" s="52">
        <f t="shared" si="3"/>
        <v>2.1947158820226131E-5</v>
      </c>
      <c r="G46" s="52">
        <f t="shared" si="3"/>
        <v>2.1947158820226131E-5</v>
      </c>
      <c r="H46" s="52">
        <f t="shared" si="3"/>
        <v>6.9560076535643374E-5</v>
      </c>
      <c r="I46" s="20" t="s">
        <v>99</v>
      </c>
      <c r="J46" s="27"/>
      <c r="K46" s="27"/>
      <c r="L46" s="27"/>
      <c r="M46" s="27"/>
      <c r="N46" s="27"/>
      <c r="O46" s="27"/>
      <c r="P46" s="27"/>
      <c r="Q46" s="27"/>
      <c r="R46" s="27"/>
      <c r="S46" s="13"/>
    </row>
    <row r="47" spans="1:24" x14ac:dyDescent="0.3">
      <c r="A47" s="40" t="s">
        <v>113</v>
      </c>
      <c r="B47" s="52">
        <f>((B42-$K$10)^2+(B43-$K$11)^2)*B41</f>
        <v>1.4162351015250703E-4</v>
      </c>
      <c r="C47" s="52">
        <f t="shared" ref="C47:H47" si="4">((C42-$K$10)^2+(C43-$K$11)^2)*C41</f>
        <v>6.5196826266437151E-5</v>
      </c>
      <c r="D47" s="52">
        <f t="shared" si="4"/>
        <v>6.5196826266437151E-5</v>
      </c>
      <c r="E47" s="52">
        <f t="shared" si="4"/>
        <v>2.570799027298181E-5</v>
      </c>
      <c r="F47" s="52">
        <f t="shared" si="4"/>
        <v>2.204212443482501E-5</v>
      </c>
      <c r="G47" s="52">
        <f t="shared" si="4"/>
        <v>2.204212443482501E-5</v>
      </c>
      <c r="H47" s="52">
        <f t="shared" si="4"/>
        <v>6.8504165298104719E-5</v>
      </c>
      <c r="I47" s="20" t="s">
        <v>99</v>
      </c>
      <c r="J47" s="27"/>
      <c r="K47" s="27"/>
      <c r="L47" s="27"/>
      <c r="M47" s="27"/>
      <c r="N47" s="27"/>
      <c r="O47" s="27"/>
      <c r="P47" s="27"/>
      <c r="Q47" s="27"/>
      <c r="R47" s="27"/>
      <c r="S47" s="13"/>
    </row>
    <row r="48" spans="1:24" x14ac:dyDescent="0.3">
      <c r="A48" s="40" t="s">
        <v>120</v>
      </c>
      <c r="B48" s="52">
        <f>((B42-$K$10)*(B43-$K$11))*B41</f>
        <v>0</v>
      </c>
      <c r="C48" s="52">
        <f t="shared" ref="C48:H48" si="5">((C42-$K$10)*(C43-$K$11))*C41</f>
        <v>7.7773530452611708E-6</v>
      </c>
      <c r="D48" s="52">
        <f t="shared" si="5"/>
        <v>-7.7773530452611708E-6</v>
      </c>
      <c r="E48" s="52">
        <f t="shared" si="5"/>
        <v>0</v>
      </c>
      <c r="F48" s="52">
        <f t="shared" si="5"/>
        <v>1.4715672248486408E-6</v>
      </c>
      <c r="G48" s="52">
        <f t="shared" si="5"/>
        <v>-1.4715672248486408E-6</v>
      </c>
      <c r="H48" s="52">
        <f t="shared" si="5"/>
        <v>0</v>
      </c>
      <c r="I48" s="20" t="s">
        <v>99</v>
      </c>
      <c r="J48" s="27"/>
      <c r="K48" s="27"/>
      <c r="L48" s="27"/>
      <c r="M48" s="27"/>
      <c r="N48" s="27"/>
      <c r="O48" s="27"/>
      <c r="P48" s="27"/>
      <c r="Q48" s="27"/>
      <c r="R48" s="27"/>
      <c r="S48" s="13"/>
    </row>
    <row r="49" spans="1:24" x14ac:dyDescent="0.3">
      <c r="A49" s="40" t="s">
        <v>125</v>
      </c>
      <c r="B49" s="52">
        <f>((B42-$K$10)*(B44-$K$12))*B41</f>
        <v>7.8673755282842071E-6</v>
      </c>
      <c r="C49" s="52">
        <f t="shared" ref="C49:H49" si="6">((C42-$K$10)*(C44-$K$12))*C41</f>
        <v>5.0424563478139766E-7</v>
      </c>
      <c r="D49" s="52">
        <f t="shared" si="6"/>
        <v>5.0424563478139766E-7</v>
      </c>
      <c r="E49" s="52">
        <f t="shared" si="6"/>
        <v>-3.3420789534853748E-6</v>
      </c>
      <c r="F49" s="52">
        <f t="shared" si="6"/>
        <v>-2.8572360696423478E-7</v>
      </c>
      <c r="G49" s="52">
        <f t="shared" si="6"/>
        <v>-2.8572360696423478E-7</v>
      </c>
      <c r="H49" s="52">
        <f t="shared" si="6"/>
        <v>8.5049584335536082E-6</v>
      </c>
      <c r="I49" s="20" t="s">
        <v>99</v>
      </c>
      <c r="J49" s="27"/>
      <c r="K49" s="27"/>
      <c r="L49" s="27"/>
      <c r="M49" s="27"/>
      <c r="N49" s="27"/>
      <c r="O49" s="27"/>
      <c r="P49" s="27"/>
      <c r="Q49" s="27"/>
      <c r="R49" s="27"/>
      <c r="S49" s="13"/>
    </row>
    <row r="50" spans="1:24" ht="15" thickBot="1" x14ac:dyDescent="0.35">
      <c r="A50" s="41" t="s">
        <v>130</v>
      </c>
      <c r="B50" s="52">
        <f>((B43-$K$11)*(B44-$K$12))*B41</f>
        <v>0</v>
      </c>
      <c r="C50" s="52">
        <f t="shared" ref="C50:H50" si="7">((C43-$K$11)*(C44-$K$12))*C41</f>
        <v>4.1660113175875341E-6</v>
      </c>
      <c r="D50" s="52">
        <f t="shared" si="7"/>
        <v>-4.1660113175875341E-6</v>
      </c>
      <c r="E50" s="52">
        <f t="shared" si="7"/>
        <v>0</v>
      </c>
      <c r="F50" s="52">
        <f t="shared" si="7"/>
        <v>-1.9161149086236861E-8</v>
      </c>
      <c r="G50" s="52">
        <f t="shared" si="7"/>
        <v>1.9161149086236861E-8</v>
      </c>
      <c r="H50" s="52">
        <f t="shared" si="7"/>
        <v>0</v>
      </c>
      <c r="I50" s="24" t="s">
        <v>99</v>
      </c>
      <c r="J50" s="28"/>
      <c r="K50" s="28"/>
      <c r="L50" s="28"/>
      <c r="M50" s="28"/>
      <c r="N50" s="28"/>
      <c r="O50" s="28"/>
      <c r="P50" s="28"/>
      <c r="Q50" s="28"/>
      <c r="R50" s="28"/>
      <c r="S50" s="15"/>
    </row>
    <row r="51" spans="1:24" ht="15.6" thickTop="1" thickBot="1" x14ac:dyDescent="0.35"/>
    <row r="52" spans="1:24" x14ac:dyDescent="0.3">
      <c r="A52" s="56" t="s">
        <v>255</v>
      </c>
      <c r="B52" s="57">
        <f>3/32</f>
        <v>9.375E-2</v>
      </c>
      <c r="J52" s="60"/>
      <c r="K52" s="61" t="s">
        <v>271</v>
      </c>
      <c r="L52" s="62">
        <f>(C_l_alpha*AR_wing)/(2+SQRT(4+(((AR_wing^2)*(1-0^2))/(k_wing^2))*(1+((TAN(RADIANS(_C2_sweep)))^2)/(1-0^2))))</f>
        <v>3.4549276281037553</v>
      </c>
      <c r="M52" s="61"/>
      <c r="N52" s="61"/>
      <c r="O52" s="61"/>
      <c r="P52" s="71"/>
      <c r="R52" s="60" t="s">
        <v>308</v>
      </c>
      <c r="S52" s="61" t="s">
        <v>297</v>
      </c>
      <c r="T52" s="76">
        <f>S_vt+0.5*z_max*c_V_r</f>
        <v>3.9760777156139389</v>
      </c>
    </row>
    <row r="53" spans="1:24" ht="15" customHeight="1" x14ac:dyDescent="0.3">
      <c r="A53" s="56" t="s">
        <v>256</v>
      </c>
      <c r="B53" s="57">
        <f>2*b_v</f>
        <v>5.9025399974555999</v>
      </c>
      <c r="J53" s="64"/>
      <c r="K53" s="27" t="s">
        <v>266</v>
      </c>
      <c r="L53" s="65">
        <f>4.44*(K_lambda*K_AR*K_mr*SQRT(COS(RADIANS(_C4_Sweep))))^1.19</f>
        <v>0.33081460566670151</v>
      </c>
      <c r="M53" s="27"/>
      <c r="N53" s="82" t="s">
        <v>296</v>
      </c>
      <c r="O53" s="82"/>
      <c r="P53" s="73"/>
      <c r="R53" s="64"/>
      <c r="S53" s="27" t="s">
        <v>298</v>
      </c>
      <c r="T53" s="77">
        <f>-0.5*z_max</f>
        <v>-0.19952430573885099</v>
      </c>
    </row>
    <row r="54" spans="1:24" ht="15" thickBot="1" x14ac:dyDescent="0.35">
      <c r="A54" s="56" t="s">
        <v>265</v>
      </c>
      <c r="B54" s="57">
        <f>Vtrim/a</f>
        <v>2.2792144465891177E-2</v>
      </c>
      <c r="J54" s="64"/>
      <c r="K54" s="27" t="s">
        <v>267</v>
      </c>
      <c r="L54" s="65">
        <f>(10-3*lambda_wing)/7</f>
        <v>1</v>
      </c>
      <c r="M54" s="27"/>
      <c r="N54" s="82"/>
      <c r="O54" s="82"/>
      <c r="P54" s="73"/>
      <c r="R54" s="67"/>
      <c r="S54" s="68" t="s">
        <v>299</v>
      </c>
      <c r="T54" s="78">
        <f>z_max</f>
        <v>0.39904861147770199</v>
      </c>
    </row>
    <row r="55" spans="1:24" ht="15" thickBot="1" x14ac:dyDescent="0.35">
      <c r="B55" s="75"/>
      <c r="D55" s="58"/>
      <c r="J55" s="64"/>
      <c r="K55" s="27" t="s">
        <v>268</v>
      </c>
      <c r="L55" s="65">
        <f>(1/AR_wing)-(1/(1+AR_wing^1.7))</f>
        <v>0.12127580153911575</v>
      </c>
      <c r="M55" s="27"/>
      <c r="N55" s="27"/>
      <c r="O55" s="27"/>
      <c r="P55" s="73"/>
    </row>
    <row r="56" spans="1:24" x14ac:dyDescent="0.3">
      <c r="A56" s="56"/>
      <c r="B56" s="75"/>
      <c r="J56" s="64"/>
      <c r="K56" s="27" t="s">
        <v>269</v>
      </c>
      <c r="L56" s="65">
        <f>(1-(m/2))/(r_)^0.333</f>
        <v>0.93004675404472892</v>
      </c>
      <c r="M56" s="27"/>
      <c r="N56" s="27"/>
      <c r="O56" s="27"/>
      <c r="P56" s="73"/>
      <c r="R56" s="60" t="s">
        <v>309</v>
      </c>
      <c r="S56" s="61" t="s">
        <v>301</v>
      </c>
      <c r="T56" s="76">
        <f>z_w_alt./(d/2)</f>
        <v>-1</v>
      </c>
    </row>
    <row r="57" spans="1:24" x14ac:dyDescent="0.3">
      <c r="A57" s="56"/>
      <c r="B57" s="75"/>
      <c r="J57" s="64"/>
      <c r="K57" s="27" t="s">
        <v>264</v>
      </c>
      <c r="L57" s="65">
        <f>(2*z_HT)/b</f>
        <v>0</v>
      </c>
      <c r="M57" s="27"/>
      <c r="N57" s="27"/>
      <c r="O57" s="27"/>
      <c r="P57" s="73"/>
      <c r="R57" s="64"/>
      <c r="S57" s="27" t="s">
        <v>300</v>
      </c>
      <c r="T57" s="77">
        <f>IF(T56&lt;0,-1.87*T56, IF(T56&gt;0, 1.48*T56,0))</f>
        <v>1.87</v>
      </c>
      <c r="W57" t="s">
        <v>319</v>
      </c>
      <c r="X57">
        <f>(4/2)*c_V_r*(1+lambda_VT)</f>
        <v>5.1885278639813635</v>
      </c>
    </row>
    <row r="58" spans="1:24" x14ac:dyDescent="0.3">
      <c r="A58" s="56"/>
      <c r="B58" s="75"/>
      <c r="J58" s="64"/>
      <c r="K58" s="27" t="s">
        <v>270</v>
      </c>
      <c r="L58" s="65">
        <f>(2*((x_HT_LE+0.25*c_HT_r)-(x_wing_LE+0.25*c_r)))/b</f>
        <v>1.243312317261821</v>
      </c>
      <c r="M58" s="27"/>
      <c r="N58" s="27"/>
      <c r="O58" s="27"/>
      <c r="P58" s="73"/>
      <c r="R58" s="64"/>
      <c r="S58" s="27" t="s">
        <v>302</v>
      </c>
      <c r="T58" s="77">
        <f>w_max*z_max</f>
        <v>0.15768731810406508</v>
      </c>
      <c r="W58" t="s">
        <v>320</v>
      </c>
      <c r="X58">
        <f>4^2/X57</f>
        <v>3.0837263322939092</v>
      </c>
    </row>
    <row r="59" spans="1:24" x14ac:dyDescent="0.3">
      <c r="J59" s="64"/>
      <c r="K59" s="27"/>
      <c r="L59" s="27"/>
      <c r="M59" s="27"/>
      <c r="N59" s="27"/>
      <c r="O59" s="27"/>
      <c r="P59" s="73"/>
      <c r="R59" s="64"/>
      <c r="S59" s="27"/>
      <c r="T59" s="79"/>
    </row>
    <row r="60" spans="1:24" x14ac:dyDescent="0.3">
      <c r="A60" t="s">
        <v>257</v>
      </c>
      <c r="B60" t="s">
        <v>264</v>
      </c>
      <c r="C60" t="s">
        <v>258</v>
      </c>
      <c r="D60" t="s">
        <v>259</v>
      </c>
      <c r="E60" t="s">
        <v>260</v>
      </c>
      <c r="F60" t="s">
        <v>261</v>
      </c>
      <c r="G60" t="s">
        <v>262</v>
      </c>
      <c r="H60" t="s">
        <v>263</v>
      </c>
      <c r="J60" s="64"/>
      <c r="K60" s="27" t="s">
        <v>272</v>
      </c>
      <c r="L60" s="65">
        <f>CL_alpha_wing*RADIANS(iw)</f>
        <v>0</v>
      </c>
      <c r="M60" s="27"/>
      <c r="N60" s="27"/>
      <c r="O60" s="27"/>
      <c r="P60" s="73"/>
      <c r="R60" s="64"/>
      <c r="S60" s="27" t="s">
        <v>303</v>
      </c>
      <c r="T60" s="77">
        <f>z_max</f>
        <v>0.39904861147770199</v>
      </c>
    </row>
    <row r="61" spans="1:24" ht="15" thickBot="1" x14ac:dyDescent="0.35">
      <c r="A61" t="s">
        <v>240</v>
      </c>
      <c r="B61" s="58">
        <f>B41</f>
        <v>5.1292182140636844E-4</v>
      </c>
      <c r="C61" s="58">
        <f>B42</f>
        <v>0</v>
      </c>
      <c r="D61" s="58">
        <f>B43</f>
        <v>0</v>
      </c>
      <c r="E61" s="58">
        <f>B44</f>
        <v>0</v>
      </c>
      <c r="F61" s="59">
        <f>C61-$K$10</f>
        <v>-0.52546293735073535</v>
      </c>
      <c r="G61" s="58">
        <f>D61-$K$11</f>
        <v>0</v>
      </c>
      <c r="H61" s="58">
        <f>E61-$K$12</f>
        <v>-2.9190169413833952E-2</v>
      </c>
      <c r="J61" s="64"/>
      <c r="K61" s="27"/>
      <c r="L61" s="27"/>
      <c r="M61" s="27"/>
      <c r="N61" s="27"/>
      <c r="O61" s="27"/>
      <c r="P61" s="73"/>
      <c r="R61" s="64"/>
      <c r="S61" s="27" t="s">
        <v>305</v>
      </c>
      <c r="T61" s="77">
        <f>b_v/(2*T60)</f>
        <v>3.6978828065571538</v>
      </c>
    </row>
    <row r="62" spans="1:24" x14ac:dyDescent="0.3">
      <c r="A62" t="s">
        <v>241</v>
      </c>
      <c r="B62" s="58">
        <f>C41</f>
        <v>4.5692779441040387E-4</v>
      </c>
      <c r="C62" s="58">
        <f>C42</f>
        <v>0.57085218347321687</v>
      </c>
      <c r="D62" s="58">
        <f>C43</f>
        <v>0.375</v>
      </c>
      <c r="E62" s="58">
        <f>C44</f>
        <v>5.3503340224337413E-2</v>
      </c>
      <c r="F62" s="58">
        <f t="shared" ref="F62:F66" si="8">C62-$K$10</f>
        <v>4.5389246122481519E-2</v>
      </c>
      <c r="G62" s="58">
        <f t="shared" ref="G62:G67" si="9">D62-$K$11</f>
        <v>0.375</v>
      </c>
      <c r="H62" s="58">
        <f t="shared" ref="H62:H67" si="10">E62-$K$12</f>
        <v>2.4313170810503461E-2</v>
      </c>
      <c r="J62" s="60" t="s">
        <v>287</v>
      </c>
      <c r="K62" s="61" t="s">
        <v>274</v>
      </c>
      <c r="L62" s="62">
        <f>2*(t_lifting*c_t)+2*(t_lifting*(b/2)/(COS(RADIANS(LAMBDA))*COS(RADIANS(GAMMA))))+2*(t_lifting*(b/2)/(COS(RADIANS(TE_Sweep))*COS(RADIANS(GAMMA))))+2*Wing_Area</f>
        <v>112.4748442089813</v>
      </c>
      <c r="M62" s="61" t="s">
        <v>283</v>
      </c>
      <c r="N62" s="62">
        <f>(1.25/S_wing)*(Cfwing*S_wet_wing)</f>
        <v>1.8427935392076003E-2</v>
      </c>
      <c r="O62" s="61" t="s">
        <v>290</v>
      </c>
      <c r="P62" s="63">
        <f>(0.5*z_max+ymac_wing*TAN(RADIANS(GAMMA))-Zcg_ft*12)/cbar</f>
        <v>9.7252683242013846E-2</v>
      </c>
      <c r="R62" s="64"/>
      <c r="S62" s="27" t="s">
        <v>306</v>
      </c>
      <c r="T62" s="77">
        <f>(1-0.761)/(3.5-2)</f>
        <v>0.15933333333333333</v>
      </c>
    </row>
    <row r="63" spans="1:24" x14ac:dyDescent="0.3">
      <c r="A63" t="s">
        <v>242</v>
      </c>
      <c r="B63" s="58">
        <f>D41</f>
        <v>4.5692779441040387E-4</v>
      </c>
      <c r="C63" s="58">
        <f>D42</f>
        <v>0.57085218347321687</v>
      </c>
      <c r="D63" s="58">
        <f>D43</f>
        <v>-0.375</v>
      </c>
      <c r="E63" s="58">
        <f>D44</f>
        <v>5.3503340224337413E-2</v>
      </c>
      <c r="F63" s="58">
        <f t="shared" si="8"/>
        <v>4.5389246122481519E-2</v>
      </c>
      <c r="G63" s="59">
        <f>D63-$K$11</f>
        <v>-0.375</v>
      </c>
      <c r="H63" s="58">
        <f t="shared" si="10"/>
        <v>2.4313170810503461E-2</v>
      </c>
      <c r="J63" s="64"/>
      <c r="K63" s="27" t="s">
        <v>275</v>
      </c>
      <c r="L63" s="65">
        <f>2*(t_lifting*c_HT_t)+2*(t_lifting*(b_HT/2)/(COS(RADIANS(LAMBDA_H_LE))*COS(RADIANS(GAMMA_H))))+2*(t_lifting*(b_HT/2)/(COS(RADIANS(TE_Sweep_ht))*COS(RADIANS(GAMMA_H))))+2*HT_Area</f>
        <v>6.7502114829303519</v>
      </c>
      <c r="M63" s="27" t="s">
        <v>284</v>
      </c>
      <c r="N63" s="65">
        <f>(1.25/S_wing)*(CfH*S_wet_HT)</f>
        <v>1.9155755600478769E-3</v>
      </c>
      <c r="O63" s="27" t="s">
        <v>288</v>
      </c>
      <c r="P63" s="66">
        <f>(0.5*z_max+z_HT+ymac_ht*TAN(RADIANS(GAMMA_H))-Zcg_ft*12)/cbar</f>
        <v>-4.8540699014552852E-2</v>
      </c>
      <c r="R63" s="64"/>
      <c r="S63" s="27" t="s">
        <v>307</v>
      </c>
      <c r="T63" s="77">
        <f>0.761-2*T62</f>
        <v>0.44233333333333336</v>
      </c>
    </row>
    <row r="64" spans="1:24" ht="15" thickBot="1" x14ac:dyDescent="0.35">
      <c r="A64" t="s">
        <v>243</v>
      </c>
      <c r="B64" s="58">
        <f>E41</f>
        <v>5.0990826678519712E-4</v>
      </c>
      <c r="C64" s="58">
        <f>E42</f>
        <v>0.75</v>
      </c>
      <c r="D64" s="58">
        <f>E43</f>
        <v>0</v>
      </c>
      <c r="E64" s="58">
        <f>E44</f>
        <v>0</v>
      </c>
      <c r="F64" s="59">
        <f t="shared" si="8"/>
        <v>0.22453706264926465</v>
      </c>
      <c r="G64" s="58">
        <f t="shared" si="9"/>
        <v>0</v>
      </c>
      <c r="H64" s="58">
        <f t="shared" si="10"/>
        <v>-2.9190169413833952E-2</v>
      </c>
      <c r="J64" s="64"/>
      <c r="K64" s="27" t="s">
        <v>276</v>
      </c>
      <c r="L64" s="65">
        <f>(t_lifting*c_V_t)+(t_lifting*c_V_r)+(t_lifting*(b_v/COS(RADIANS(LAMBDA_V_LE))))+(t_lifting*(b_v/COS(RADIANS(TE_sweep_vt))))+2*S_vt</f>
        <v>8.5567000237982249</v>
      </c>
      <c r="M64" s="27" t="s">
        <v>285</v>
      </c>
      <c r="N64" s="65">
        <f>(1.25/S_wing)*(CfV*S_wet_VT)</f>
        <v>2.0696290049370008E-3</v>
      </c>
      <c r="O64" s="27" t="s">
        <v>289</v>
      </c>
      <c r="P64" s="66">
        <f>(0.5*z_max+ymac_vt-Zcg_ft*12)/cbar</f>
        <v>0.51189409068195724</v>
      </c>
      <c r="R64" s="67"/>
      <c r="S64" s="68" t="s">
        <v>304</v>
      </c>
      <c r="T64" s="78">
        <f>IF(T61&lt;=2,0.761,IF(T61&gt;=3.5,1,((T62)*T61+T63)))</f>
        <v>1</v>
      </c>
    </row>
    <row r="65" spans="1:20" ht="15" thickBot="1" x14ac:dyDescent="0.35">
      <c r="A65" t="s">
        <v>244</v>
      </c>
      <c r="B65" s="58">
        <f>F41</f>
        <v>2.5263615201575516E-5</v>
      </c>
      <c r="C65" s="58">
        <f>F42</f>
        <v>1.457438642716526</v>
      </c>
      <c r="D65" s="58">
        <f>F43</f>
        <v>6.25E-2</v>
      </c>
      <c r="E65" s="58">
        <f>F44</f>
        <v>1.7054994660195739E-2</v>
      </c>
      <c r="F65" s="58">
        <f t="shared" si="8"/>
        <v>0.93197570536579066</v>
      </c>
      <c r="G65" s="58">
        <f t="shared" si="9"/>
        <v>6.25E-2</v>
      </c>
      <c r="H65" s="58">
        <f t="shared" si="10"/>
        <v>-1.2135174753638213E-2</v>
      </c>
      <c r="J65" s="67"/>
      <c r="K65" s="68" t="s">
        <v>277</v>
      </c>
      <c r="L65" s="69">
        <f>2*(z_max*w_max)+2*(l_b*z_max)+2*(l_b*w_max)</f>
        <v>28.906818683836462</v>
      </c>
      <c r="M65" s="68" t="s">
        <v>286</v>
      </c>
      <c r="N65" s="69">
        <f>(1.25/S_wing)*(Cffuse*S_wet_Fus)</f>
        <v>1.933507913289862E-3</v>
      </c>
      <c r="O65" s="68" t="s">
        <v>291</v>
      </c>
      <c r="P65" s="70">
        <f>-(Zcg_ft*12)/cbar</f>
        <v>-0.11676067765533581</v>
      </c>
    </row>
    <row r="66" spans="1:20" ht="15" thickBot="1" x14ac:dyDescent="0.35">
      <c r="A66" t="s">
        <v>245</v>
      </c>
      <c r="B66" s="58">
        <f>G41</f>
        <v>2.5263615201575516E-5</v>
      </c>
      <c r="C66" s="58">
        <f>G42</f>
        <v>1.457438642716526</v>
      </c>
      <c r="D66" s="58">
        <f>G43</f>
        <v>-6.25E-2</v>
      </c>
      <c r="E66" s="58">
        <f>G44</f>
        <v>1.7054994660195739E-2</v>
      </c>
      <c r="F66" s="58">
        <f t="shared" si="8"/>
        <v>0.93197570536579066</v>
      </c>
      <c r="G66" s="59">
        <f t="shared" si="9"/>
        <v>-6.25E-2</v>
      </c>
      <c r="H66" s="58">
        <f t="shared" si="10"/>
        <v>-1.2135174753638213E-2</v>
      </c>
      <c r="J66" s="64"/>
      <c r="K66" s="27"/>
      <c r="L66" s="27"/>
      <c r="M66" s="27"/>
      <c r="N66" s="27"/>
      <c r="O66" s="27"/>
      <c r="P66" s="73"/>
      <c r="R66" t="s">
        <v>310</v>
      </c>
      <c r="S66" t="s">
        <v>311</v>
      </c>
      <c r="T66">
        <f>CL_alpha_wing*(alpha_trim+RADIANS(iw))</f>
        <v>0.26929362438636417</v>
      </c>
    </row>
    <row r="67" spans="1:20" x14ac:dyDescent="0.3">
      <c r="A67" t="s">
        <v>246</v>
      </c>
      <c r="B67" s="58">
        <f>H41</f>
        <v>6.4474378194226864E-5</v>
      </c>
      <c r="C67" s="58">
        <f>H42</f>
        <v>1.5562403855054079</v>
      </c>
      <c r="D67" s="58">
        <f>H43</f>
        <v>0</v>
      </c>
      <c r="E67" s="58">
        <f>H44</f>
        <v>0.15716369208432326</v>
      </c>
      <c r="F67" s="58">
        <f>C67-$K$10</f>
        <v>1.0307774481546725</v>
      </c>
      <c r="G67" s="58">
        <f t="shared" si="9"/>
        <v>0</v>
      </c>
      <c r="H67" s="58">
        <f t="shared" si="10"/>
        <v>0.12797352267048931</v>
      </c>
      <c r="J67" s="60" t="s">
        <v>292</v>
      </c>
      <c r="K67" s="61" t="s">
        <v>279</v>
      </c>
      <c r="L67" s="61"/>
      <c r="M67" s="61"/>
      <c r="N67" s="61"/>
      <c r="O67" s="71"/>
      <c r="P67" s="73"/>
    </row>
    <row r="68" spans="1:20" x14ac:dyDescent="0.3">
      <c r="J68" s="64"/>
      <c r="K68" s="27" t="s">
        <v>35</v>
      </c>
      <c r="L68" s="27" t="s">
        <v>114</v>
      </c>
      <c r="M68" s="27" t="s">
        <v>278</v>
      </c>
      <c r="N68" s="65">
        <f>Cm_alpha</f>
        <v>-0.10385060310241201</v>
      </c>
      <c r="O68" s="72">
        <f>O15</f>
        <v>-0.50865744591560336</v>
      </c>
      <c r="P68" s="73"/>
      <c r="S68" t="s">
        <v>312</v>
      </c>
      <c r="T68">
        <f>(z_max/2+ymac_vt-Zcg_ft*12)</f>
        <v>1.5356822720458718</v>
      </c>
    </row>
    <row r="69" spans="1:20" x14ac:dyDescent="0.3">
      <c r="J69" s="64"/>
      <c r="K69" s="27" t="s">
        <v>87</v>
      </c>
      <c r="L69" s="27" t="s">
        <v>92</v>
      </c>
      <c r="M69" s="27" t="s">
        <v>278</v>
      </c>
      <c r="N69" s="65">
        <f>CL_alpha</f>
        <v>3.5489114732043872</v>
      </c>
      <c r="O69" s="66">
        <f>CL_ih</f>
        <v>0.13956585203609748</v>
      </c>
      <c r="P69" s="73"/>
      <c r="S69" t="s">
        <v>313</v>
      </c>
      <c r="T69">
        <f>xac_VT-Xcg_ft*12</f>
        <v>12.025192325653224</v>
      </c>
    </row>
    <row r="70" spans="1:20" x14ac:dyDescent="0.3">
      <c r="J70" s="64"/>
      <c r="K70" s="27"/>
      <c r="L70" s="27"/>
      <c r="M70" s="27"/>
      <c r="N70" s="27"/>
      <c r="O70" s="73"/>
      <c r="P70" s="73"/>
    </row>
    <row r="71" spans="1:20" x14ac:dyDescent="0.3">
      <c r="J71" s="64"/>
      <c r="K71" s="27" t="s">
        <v>280</v>
      </c>
      <c r="L71" s="27"/>
      <c r="M71" s="27" t="s">
        <v>278</v>
      </c>
      <c r="N71" s="65">
        <f>-Cm0</f>
        <v>-2.5328559501134979E-3</v>
      </c>
      <c r="O71" s="73"/>
      <c r="P71" s="73"/>
      <c r="R71" t="s">
        <v>314</v>
      </c>
      <c r="S71" t="s">
        <v>315</v>
      </c>
      <c r="T71">
        <f>xac_wing-Xcg_ft*12</f>
        <v>-0.20532904653022133</v>
      </c>
    </row>
    <row r="72" spans="1:20" x14ac:dyDescent="0.3">
      <c r="J72" s="64"/>
      <c r="K72" s="27" t="s">
        <v>281</v>
      </c>
      <c r="L72" s="27"/>
      <c r="M72" s="27" t="s">
        <v>278</v>
      </c>
      <c r="N72" s="65">
        <f>((2*Wt)/(rho*(S_wing/144)*Vtrim^2))-CL0</f>
        <v>0.27504577803003388</v>
      </c>
      <c r="O72" s="73"/>
      <c r="P72" s="73"/>
      <c r="S72" t="s">
        <v>316</v>
      </c>
      <c r="T72">
        <f>(0.5*(z_max)+ymac_wing*TAN(RADIANS(GAMMA)))-Zcg_ft*12</f>
        <v>0.29175804972604152</v>
      </c>
    </row>
    <row r="73" spans="1:20" x14ac:dyDescent="0.3">
      <c r="J73" s="64"/>
      <c r="K73" s="27"/>
      <c r="L73" s="27"/>
      <c r="M73" s="27"/>
      <c r="N73" s="27"/>
      <c r="O73" s="73"/>
      <c r="P73" s="73"/>
    </row>
    <row r="74" spans="1:20" x14ac:dyDescent="0.3">
      <c r="J74" s="64"/>
      <c r="K74" s="27" t="s">
        <v>282</v>
      </c>
      <c r="L74" s="27"/>
      <c r="M74" s="27"/>
      <c r="N74" s="27"/>
      <c r="O74" s="73"/>
      <c r="P74" s="73"/>
      <c r="S74" t="s">
        <v>317</v>
      </c>
      <c r="T74">
        <f>xac_HT-Xcg_ft*12</f>
        <v>10.933708464389488</v>
      </c>
    </row>
    <row r="75" spans="1:20" x14ac:dyDescent="0.3">
      <c r="J75" s="64"/>
      <c r="K75" s="65">
        <f t="array" ref="K75:L76">MINVERSE(N68:O69)</f>
        <v>7.7939869256768962E-2</v>
      </c>
      <c r="L75" s="65">
        <v>0.28405726940204823</v>
      </c>
      <c r="M75" s="27"/>
      <c r="N75" s="27"/>
      <c r="O75" s="73"/>
      <c r="P75" s="73"/>
      <c r="S75" t="s">
        <v>318</v>
      </c>
      <c r="T75">
        <f>(0.5*(z_max)+z_HT+ymac_ht*TAN(RADIANS(GAMMA_H)))-Zcg_ft*12</f>
        <v>-0.14562209704365855</v>
      </c>
    </row>
    <row r="76" spans="1:20" ht="15" thickBot="1" x14ac:dyDescent="0.35">
      <c r="J76" s="67"/>
      <c r="K76" s="69">
        <v>-1.9818723003522141</v>
      </c>
      <c r="L76" s="69">
        <v>-5.7994862711439818E-2</v>
      </c>
      <c r="M76" s="68"/>
      <c r="N76" s="68"/>
      <c r="O76" s="74"/>
      <c r="P76" s="73"/>
    </row>
    <row r="77" spans="1:20" x14ac:dyDescent="0.3">
      <c r="J77" s="64"/>
      <c r="K77" s="27"/>
      <c r="L77" s="27"/>
      <c r="M77" s="27"/>
      <c r="N77" s="27"/>
      <c r="O77" s="27"/>
      <c r="P77" s="73"/>
    </row>
    <row r="78" spans="1:20" x14ac:dyDescent="0.3">
      <c r="J78" s="64"/>
      <c r="K78" s="27"/>
      <c r="L78" s="27"/>
      <c r="M78" s="27"/>
      <c r="N78" s="27"/>
      <c r="O78" s="27"/>
      <c r="P78" s="73"/>
    </row>
    <row r="79" spans="1:20" x14ac:dyDescent="0.3">
      <c r="J79" s="64" t="s">
        <v>293</v>
      </c>
      <c r="K79" s="27" t="s">
        <v>294</v>
      </c>
      <c r="L79" s="65">
        <f>IF(AR_wing&lt;=6,0.7,IF(AR_wing&gt;=10,0.9,0.7+0.1*(1+SIN((-PI()/2)+(((AR_wing-6)*PI())/4)))))</f>
        <v>0.7</v>
      </c>
      <c r="M79" s="27"/>
      <c r="N79" s="27"/>
      <c r="O79" s="27"/>
      <c r="P79" s="73"/>
    </row>
    <row r="80" spans="1:20" x14ac:dyDescent="0.3">
      <c r="J80" s="64"/>
      <c r="K80" s="27"/>
      <c r="L80" s="27"/>
      <c r="M80" s="27"/>
      <c r="N80" s="27"/>
      <c r="O80" s="27"/>
      <c r="P80" s="73"/>
    </row>
    <row r="81" spans="10:16" x14ac:dyDescent="0.3">
      <c r="J81" s="64"/>
      <c r="K81" s="27"/>
      <c r="L81" s="27"/>
      <c r="M81" s="27"/>
      <c r="N81" s="27"/>
      <c r="O81" s="27"/>
      <c r="P81" s="73"/>
    </row>
    <row r="82" spans="10:16" ht="15" thickBot="1" x14ac:dyDescent="0.35">
      <c r="J82" s="67"/>
      <c r="K82" s="68" t="s">
        <v>295</v>
      </c>
      <c r="L82" s="68">
        <f>CL0+CL_alpha*alpha_trim+CL_ih*iH_trim</f>
        <v>0.27504577803003388</v>
      </c>
      <c r="M82" s="68"/>
      <c r="N82" s="68"/>
      <c r="O82" s="68"/>
      <c r="P82" s="74"/>
    </row>
  </sheetData>
  <mergeCells count="1">
    <mergeCell ref="N53:O5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89D9D9F8CF04A8FC1324B2B31858A" ma:contentTypeVersion="2" ma:contentTypeDescription="Create a new document." ma:contentTypeScope="" ma:versionID="b5efec749c69e85ca115fe320f574745">
  <xsd:schema xmlns:xsd="http://www.w3.org/2001/XMLSchema" xmlns:xs="http://www.w3.org/2001/XMLSchema" xmlns:p="http://schemas.microsoft.com/office/2006/metadata/properties" xmlns:ns2="2037ac02-88b4-4ba7-bdd1-dca7856b9807" targetNamespace="http://schemas.microsoft.com/office/2006/metadata/properties" ma:root="true" ma:fieldsID="6718440c76b3272f06450af9b7f1f9ed" ns2:_="">
    <xsd:import namespace="2037ac02-88b4-4ba7-bdd1-dca7856b98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7ac02-88b4-4ba7-bdd1-dca7856b9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690E2-0D5C-44CA-9C9F-23BA18DE47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87776C-0D49-45E5-B392-507E0E204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7ac02-88b4-4ba7-bdd1-dca7856b9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0E558-74B5-4752-AE4C-216CE883CF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165</vt:i4>
      </vt:variant>
    </vt:vector>
  </HeadingPairs>
  <TitlesOfParts>
    <vt:vector size="166" baseType="lpstr">
      <vt:lpstr>GradedValues</vt:lpstr>
      <vt:lpstr>_C2_sweep</vt:lpstr>
      <vt:lpstr>_C4_Sweep</vt:lpstr>
      <vt:lpstr>a</vt:lpstr>
      <vt:lpstr>alpha_HT</vt:lpstr>
      <vt:lpstr>alpha_trim</vt:lpstr>
      <vt:lpstr>AR_HT</vt:lpstr>
      <vt:lpstr>AR_VT</vt:lpstr>
      <vt:lpstr>AR_wing</vt:lpstr>
      <vt:lpstr>b</vt:lpstr>
      <vt:lpstr>b_HT</vt:lpstr>
      <vt:lpstr>b_v</vt:lpstr>
      <vt:lpstr>b2v</vt:lpstr>
      <vt:lpstr>c_HT_r</vt:lpstr>
      <vt:lpstr>c_HT_t</vt:lpstr>
      <vt:lpstr>C_l_alpha</vt:lpstr>
      <vt:lpstr>C_L_w</vt:lpstr>
      <vt:lpstr>c_r</vt:lpstr>
      <vt:lpstr>c_t</vt:lpstr>
      <vt:lpstr>c_V_r</vt:lpstr>
      <vt:lpstr>c_V_t</vt:lpstr>
      <vt:lpstr>cbar</vt:lpstr>
      <vt:lpstr>cbar_ht</vt:lpstr>
      <vt:lpstr>cbar_vt</vt:lpstr>
      <vt:lpstr>CD_trim</vt:lpstr>
      <vt:lpstr>CD0</vt:lpstr>
      <vt:lpstr>CD0_Fus</vt:lpstr>
      <vt:lpstr>CD0_HT</vt:lpstr>
      <vt:lpstr>CD0_VT</vt:lpstr>
      <vt:lpstr>CD0_wing</vt:lpstr>
      <vt:lpstr>Cffuse</vt:lpstr>
      <vt:lpstr>CfH</vt:lpstr>
      <vt:lpstr>CfV</vt:lpstr>
      <vt:lpstr>Cfwing</vt:lpstr>
      <vt:lpstr>CL_alpha</vt:lpstr>
      <vt:lpstr>CL_alpha__wing_M0</vt:lpstr>
      <vt:lpstr>CL_alpha_HT</vt:lpstr>
      <vt:lpstr>CL_alpha_M0</vt:lpstr>
      <vt:lpstr>CL_alpha_VT</vt:lpstr>
      <vt:lpstr>CL_alpha_wing</vt:lpstr>
      <vt:lpstr>Cl_beta_H</vt:lpstr>
      <vt:lpstr>Cl_beta_WB1</vt:lpstr>
      <vt:lpstr>Cl_beta_WB2</vt:lpstr>
      <vt:lpstr>Cl_beta_WB3</vt:lpstr>
      <vt:lpstr>CL_ih</vt:lpstr>
      <vt:lpstr>CL_trim</vt:lpstr>
      <vt:lpstr>CL_w_0</vt:lpstr>
      <vt:lpstr>CL0</vt:lpstr>
      <vt:lpstr>Cm_alpha</vt:lpstr>
      <vt:lpstr>Cm_ih</vt:lpstr>
      <vt:lpstr>Cm0</vt:lpstr>
      <vt:lpstr>CY_beta</vt:lpstr>
      <vt:lpstr>CY_beta_B</vt:lpstr>
      <vt:lpstr>CY_beta_H</vt:lpstr>
      <vt:lpstr>CY_beta_V</vt:lpstr>
      <vt:lpstr>CY_beta_wing</vt:lpstr>
      <vt:lpstr>d</vt:lpstr>
      <vt:lpstr>de_da</vt:lpstr>
      <vt:lpstr>de_da_M0</vt:lpstr>
      <vt:lpstr>e0</vt:lpstr>
      <vt:lpstr>eta_HT</vt:lpstr>
      <vt:lpstr>eta_VT</vt:lpstr>
      <vt:lpstr>g</vt:lpstr>
      <vt:lpstr>GAMMA</vt:lpstr>
      <vt:lpstr>GAMMA_H</vt:lpstr>
      <vt:lpstr>H_C2_sweep</vt:lpstr>
      <vt:lpstr>HT_Area</vt:lpstr>
      <vt:lpstr>iH_trim</vt:lpstr>
      <vt:lpstr>iw</vt:lpstr>
      <vt:lpstr>K_AR</vt:lpstr>
      <vt:lpstr>k_HT</vt:lpstr>
      <vt:lpstr>K_int</vt:lpstr>
      <vt:lpstr>K_lambda</vt:lpstr>
      <vt:lpstr>K_mr</vt:lpstr>
      <vt:lpstr>K_q</vt:lpstr>
      <vt:lpstr>k_VT</vt:lpstr>
      <vt:lpstr>k_wing</vt:lpstr>
      <vt:lpstr>K_y_v</vt:lpstr>
      <vt:lpstr>l_b</vt:lpstr>
      <vt:lpstr>LAMBDA</vt:lpstr>
      <vt:lpstr>LAMBDA_H_LE</vt:lpstr>
      <vt:lpstr>lambda_HT</vt:lpstr>
      <vt:lpstr>LAMBDA_LE</vt:lpstr>
      <vt:lpstr>LAMBDA_V_LE</vt:lpstr>
      <vt:lpstr>lambda_VT</vt:lpstr>
      <vt:lpstr>lambda_wing</vt:lpstr>
      <vt:lpstr>m</vt:lpstr>
      <vt:lpstr>Mach</vt:lpstr>
      <vt:lpstr>Mass</vt:lpstr>
      <vt:lpstr>r_</vt:lpstr>
      <vt:lpstr>Re_fuse</vt:lpstr>
      <vt:lpstr>Re_H</vt:lpstr>
      <vt:lpstr>Re_V</vt:lpstr>
      <vt:lpstr>Re_wing</vt:lpstr>
      <vt:lpstr>rho</vt:lpstr>
      <vt:lpstr>rho_balsa</vt:lpstr>
      <vt:lpstr>S_ht</vt:lpstr>
      <vt:lpstr>S_p2v</vt:lpstr>
      <vt:lpstr>S_v_sw</vt:lpstr>
      <vt:lpstr>S_vt</vt:lpstr>
      <vt:lpstr>S_wet_Fus</vt:lpstr>
      <vt:lpstr>S_wet_HT</vt:lpstr>
      <vt:lpstr>S_wet_VT</vt:lpstr>
      <vt:lpstr>S_wet_wing</vt:lpstr>
      <vt:lpstr>S_wing</vt:lpstr>
      <vt:lpstr>S2v</vt:lpstr>
      <vt:lpstr>sidewash_effect</vt:lpstr>
      <vt:lpstr>SM</vt:lpstr>
      <vt:lpstr>t_lifting</vt:lpstr>
      <vt:lpstr>TE_Sweep</vt:lpstr>
      <vt:lpstr>TE_Sweep_ht</vt:lpstr>
      <vt:lpstr>TE_sweep_vt</vt:lpstr>
      <vt:lpstr>V_C2_sweep</vt:lpstr>
      <vt:lpstr>viscosity</vt:lpstr>
      <vt:lpstr>Vtrim</vt:lpstr>
      <vt:lpstr>W_ballast</vt:lpstr>
      <vt:lpstr>W_C2_sweep</vt:lpstr>
      <vt:lpstr>w_max</vt:lpstr>
      <vt:lpstr>Wing_Area</vt:lpstr>
      <vt:lpstr>Wing_Chord__root</vt:lpstr>
      <vt:lpstr>Wing_span</vt:lpstr>
      <vt:lpstr>Wt</vt:lpstr>
      <vt:lpstr>wt_HT</vt:lpstr>
      <vt:lpstr>wt_VT</vt:lpstr>
      <vt:lpstr>wt_wing</vt:lpstr>
      <vt:lpstr>x_ballast</vt:lpstr>
      <vt:lpstr>X_h</vt:lpstr>
      <vt:lpstr>x_HT_LE</vt:lpstr>
      <vt:lpstr>x_rLE_tLE</vt:lpstr>
      <vt:lpstr>x_rLE_tLE_h</vt:lpstr>
      <vt:lpstr>x_rLE_tLE_v</vt:lpstr>
      <vt:lpstr>X_v</vt:lpstr>
      <vt:lpstr>x_VT_LE</vt:lpstr>
      <vt:lpstr>X_w</vt:lpstr>
      <vt:lpstr>x_wing_LE</vt:lpstr>
      <vt:lpstr>XAC_bar</vt:lpstr>
      <vt:lpstr>xac_HT</vt:lpstr>
      <vt:lpstr>xac_HT_bar</vt:lpstr>
      <vt:lpstr>xac_VT</vt:lpstr>
      <vt:lpstr>xac_VT_bar</vt:lpstr>
      <vt:lpstr>xac_wing</vt:lpstr>
      <vt:lpstr>xac_wing_bar</vt:lpstr>
      <vt:lpstr>XCG</vt:lpstr>
      <vt:lpstr>XCG_bar</vt:lpstr>
      <vt:lpstr>Xcg_ft</vt:lpstr>
      <vt:lpstr>xcg_ht</vt:lpstr>
      <vt:lpstr>xcg_vt</vt:lpstr>
      <vt:lpstr>xcg_wing</vt:lpstr>
      <vt:lpstr>xmac_ht</vt:lpstr>
      <vt:lpstr>xmac_vt</vt:lpstr>
      <vt:lpstr>xmac_wing</vt:lpstr>
      <vt:lpstr>ymac_ht</vt:lpstr>
      <vt:lpstr>ymac_vt</vt:lpstr>
      <vt:lpstr>ymac_wing</vt:lpstr>
      <vt:lpstr>Z_h</vt:lpstr>
      <vt:lpstr>z_HT</vt:lpstr>
      <vt:lpstr>z_max</vt:lpstr>
      <vt:lpstr>Z_v</vt:lpstr>
      <vt:lpstr>Z_w</vt:lpstr>
      <vt:lpstr>z_w_alt.</vt:lpstr>
      <vt:lpstr>z_w_sw</vt:lpstr>
      <vt:lpstr>zbar_F</vt:lpstr>
      <vt:lpstr>zbar_H</vt:lpstr>
      <vt:lpstr>zbar_V</vt:lpstr>
      <vt:lpstr>zbar_W</vt:lpstr>
      <vt:lpstr>Zcg_ft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2018-01-07T23:57:45Z</dcterms:created>
  <dcterms:modified xsi:type="dcterms:W3CDTF">2020-09-17T07:29:21Z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0x0101002E989D9D9F8CF04A8FC1324B2B31858A</vt:lpwstr>
  </property>
</Properties>
</file>