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upalsson\OneDrive - Reykjavik University\Desktop\REHA 2023\Dæmatímar\Síðasti dæmatíminn\"/>
    </mc:Choice>
  </mc:AlternateContent>
  <xr:revisionPtr revIDLastSave="9" documentId="13_ncr:1_{0A70AF66-F77C-463F-80F8-591083E2B156}" xr6:coauthVersionLast="36" xr6:coauthVersionMax="47" xr10:uidLastSave="{B75FE5FE-2618-46B3-8FC0-563E747FF3F0}"/>
  <bookViews>
    <workbookView xWindow="57480" yWindow="-120" windowWidth="29040" windowHeight="17640" xr2:uid="{00000000-000D-0000-FFFF-FFFF00000000}"/>
  </bookViews>
  <sheets>
    <sheet name="Merkið með nafni í þessum flipa" sheetId="5" r:id="rId1"/>
    <sheet name="Krossaspurningar" sheetId="1" r:id="rId2"/>
    <sheet name="Verkefni 1 (vægi 20%)" sheetId="2" r:id="rId3"/>
    <sheet name="Verkefni 2 (vægi 35%)" sheetId="4" r:id="rId4"/>
    <sheet name="Verkefni 3 (vægi 45%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3" l="1"/>
  <c r="R44" i="3" s="1"/>
  <c r="G44" i="3"/>
  <c r="F45" i="3" l="1"/>
  <c r="M45" i="3"/>
  <c r="R45" i="3" s="1"/>
  <c r="I44" i="3"/>
  <c r="R28" i="3"/>
  <c r="G28" i="3"/>
  <c r="F27" i="3"/>
  <c r="F29" i="3" s="1"/>
  <c r="R27" i="3"/>
  <c r="R29" i="3" s="1"/>
  <c r="R43" i="3" s="1"/>
  <c r="M27" i="3"/>
  <c r="R19" i="4"/>
  <c r="L15" i="4"/>
  <c r="L14" i="4"/>
  <c r="L22" i="4" s="1"/>
  <c r="L13" i="4"/>
  <c r="L21" i="4" s="1"/>
  <c r="H16" i="4"/>
  <c r="K15" i="4" s="1"/>
  <c r="H14" i="4"/>
  <c r="K14" i="4" s="1"/>
  <c r="H13" i="4"/>
  <c r="G13" i="4"/>
  <c r="H22" i="2"/>
  <c r="H26" i="2"/>
  <c r="J25" i="2"/>
  <c r="H24" i="2"/>
  <c r="H23" i="2"/>
  <c r="J22" i="2"/>
  <c r="C74" i="1"/>
  <c r="C75" i="1"/>
  <c r="C76" i="1"/>
  <c r="C77" i="1"/>
  <c r="F69" i="1"/>
  <c r="L66" i="1" s="1"/>
  <c r="E71" i="1"/>
  <c r="L68" i="1" s="1"/>
  <c r="F70" i="1"/>
  <c r="L67" i="1" s="1"/>
  <c r="F68" i="1"/>
  <c r="L72" i="1" s="1"/>
  <c r="E67" i="1"/>
  <c r="L75" i="1" s="1"/>
  <c r="K13" i="4" l="1"/>
  <c r="M13" i="4" s="1"/>
  <c r="X33" i="3"/>
  <c r="X35" i="3" s="1"/>
  <c r="J30" i="3" s="1"/>
  <c r="F43" i="3"/>
  <c r="K22" i="4"/>
  <c r="M22" i="4" s="1"/>
  <c r="M14" i="4"/>
  <c r="M15" i="4"/>
  <c r="K23" i="4"/>
  <c r="K27" i="4"/>
  <c r="L23" i="4"/>
  <c r="M23" i="4" s="1"/>
  <c r="L24" i="4"/>
  <c r="L69" i="1"/>
  <c r="L71" i="1" s="1"/>
  <c r="L73" i="1" s="1"/>
  <c r="K21" i="4" l="1"/>
  <c r="M21" i="4" s="1"/>
  <c r="M24" i="4" s="1"/>
  <c r="L27" i="4"/>
  <c r="G46" i="3"/>
  <c r="R47" i="3" s="1"/>
  <c r="R48" i="3" s="1"/>
  <c r="J31" i="3"/>
  <c r="J43" i="3" s="1"/>
  <c r="O30" i="3"/>
  <c r="M30" i="4"/>
  <c r="M16" i="4"/>
  <c r="M27" i="4"/>
  <c r="M31" i="4" s="1"/>
  <c r="L77" i="1"/>
  <c r="L76" i="1" s="1"/>
  <c r="Q42" i="1"/>
  <c r="Q41" i="1"/>
  <c r="Q20" i="1"/>
  <c r="Q21" i="1" s="1"/>
  <c r="Q17" i="1"/>
  <c r="F47" i="3" l="1"/>
  <c r="X50" i="3" s="1"/>
  <c r="X52" i="3" s="1"/>
  <c r="J48" i="3" s="1"/>
  <c r="J47" i="3" s="1"/>
  <c r="O47" i="3" s="1"/>
  <c r="M32" i="4"/>
  <c r="M34" i="4" s="1"/>
  <c r="M35" i="4" s="1"/>
  <c r="Q44" i="1"/>
  <c r="Q23" i="1"/>
  <c r="Q24" i="1" s="1"/>
  <c r="H27" i="2"/>
  <c r="J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Unnar Friðrik Pálsson</author>
  </authors>
  <commentList>
    <comment ref="O30" authorId="0" shapeId="0" xr:uid="{347F9C74-304F-4E63-B26F-8765AC892FD7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Þetta er í raun afgangsstærð í úreikningunum. Niðurfærslureikningurinn (öfugi eignareikningurinn í efnhagsreikningi á að enda í 1.000 (kredit). Þetta er fyrsta færslan á þann reikning (hann er ekki með neina stöðu fyrir þessa færslu í árslok). Við færum því 1.000 kredit á niðurfærslureikninginn og á móti 1.000 debit hér.</t>
        </r>
      </text>
    </comment>
    <comment ref="R44" authorId="0" shapeId="0" xr:uid="{F9465F81-023F-4B9E-9F2C-A40A97156172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Viðskiptakröfur í lok fyrra árs voru 20.000. Þær innheimtust allar nema krafa að fjárhæð 500 sem var færð út úr bókhaldinu sem endanlega töpuð. Þegar krafa tapast endanlega er fært debit á niðurfærslureikning viðskiptakrafna og kredit á viðskiptakröfur. Lykilatriði er að gjaldfæra ekki kröfu sem tapast endanlega, þ.e. að færa hana </t>
        </r>
        <r>
          <rPr>
            <b/>
            <sz val="9"/>
            <color indexed="81"/>
            <rFont val="Tahoma"/>
            <family val="2"/>
          </rPr>
          <t>ekki</t>
        </r>
        <r>
          <rPr>
            <sz val="9"/>
            <color indexed="81"/>
            <rFont val="Tahoma"/>
            <family val="2"/>
          </rPr>
          <t xml:space="preserve"> á afskriftareikning viðskiptakrafna í rekstrarreikningi því við færðum gjaldfærslu í lok árs 2020 til að áætla hversu mikið af viðskiptakröfum í lok árs 2022 myndu tapast. Ef við værum að gjaldfæra þegar krafa í lok árs tapast endanlega þá værum við í raun að gjaldfæra tvisvar.</t>
        </r>
      </text>
    </comment>
    <comment ref="F45" authorId="0" shapeId="0" xr:uid="{A7C15761-57A6-4FAC-864B-5254407AB643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Sá hluti sölu ársins sem var gegn greiðslufresti. Sá hluti myndar viðskiptakröfur: 170.000 eins og fram kemur í dæminu.</t>
        </r>
      </text>
    </comment>
    <comment ref="G45" authorId="0" shapeId="0" xr:uid="{E31B4255-AC69-4B05-B3DE-3A851D1586A5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Viðskiptakröfur í lok árs 2022 sem innheimist á árinu. Fram kemur að allar kröfur innheimtust nema 500. Viðskiptakröfur í lok árs 2022 voru 20.000. Við höfum því innheimt 19.500.</t>
        </r>
      </text>
    </comment>
    <comment ref="M45" authorId="0" shapeId="0" xr:uid="{F734E285-751D-4356-B31E-A14381D6B13D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Sala ársins nam 250.000 eins og fram kemur í dæminu.</t>
        </r>
      </text>
    </comment>
    <comment ref="R45" authorId="0" shapeId="0" xr:uid="{196A6928-0291-47A4-8FF7-9BD3A312BED8}">
      <text>
        <r>
          <rPr>
            <b/>
            <sz val="9"/>
            <color indexed="81"/>
            <rFont val="Tahoma"/>
            <family val="2"/>
          </rPr>
          <t xml:space="preserve">Unnar Friðrik Pálsson
</t>
        </r>
        <r>
          <rPr>
            <sz val="9"/>
            <color indexed="81"/>
            <rFont val="Tahoma"/>
            <family val="2"/>
          </rPr>
          <t>Salan í heild var 250.000. Þar af nam sala gegn greiðslufresti 170.000. Afgangurinn af sölunni hefur því verið gegn staðgreiðslu:
250.000 - 170.000 = 80.000</t>
        </r>
      </text>
    </comment>
    <comment ref="G46" authorId="0" shapeId="0" xr:uid="{7ACD4B7D-DBEF-4E00-A58B-C70BDFB1EAEC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Við þurfum að spyrja okkur: Hvað þarf ég að færa mikið hér svo við endum í að viðskiptakröfur í árslok séu 25.000. Sú fjárhæð sem við reiknum út (þ.e. 145.000) er fjárhæðin sem við innheimtum. Við færum því 145.000 kredit hér og sömu fjárhæð debit á handbært fé.</t>
        </r>
      </text>
    </comment>
    <comment ref="F47" authorId="0" shapeId="0" xr:uid="{F212E5D0-A8C5-427C-BC85-1D46952F691C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Viðskiptakröfur í árslok námu 25.000 kr. eins og fram kemur í dæminu.</t>
        </r>
      </text>
    </comment>
    <comment ref="J47" authorId="0" shapeId="0" xr:uid="{A20F4FA0-D6B4-433C-909C-CBAC2AE33B3A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Sjá komment í reit J48 sem útskýrir þessa færslu.</t>
        </r>
      </text>
    </comment>
    <comment ref="O47" authorId="0" shapeId="0" xr:uid="{FC6849D5-EC34-4EE5-A574-E73EE5939A56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Sjá komment í reit J48 sem útskýrir þessa færslu.</t>
        </r>
      </text>
    </comment>
    <comment ref="R47" authorId="0" shapeId="0" xr:uid="{2719E7FF-DA28-4FC1-8296-F080B828DAC2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Sjá komment í reit G46.</t>
        </r>
      </text>
    </comment>
    <comment ref="J48" authorId="0" shapeId="0" xr:uid="{29A61631-41FB-4800-AE79-B8A5FD402B9B}">
      <text>
        <r>
          <rPr>
            <b/>
            <sz val="9"/>
            <color indexed="81"/>
            <rFont val="Tahoma"/>
            <family val="2"/>
          </rPr>
          <t>Unnar Friðrik Pálsson:</t>
        </r>
        <r>
          <rPr>
            <sz val="9"/>
            <color indexed="81"/>
            <rFont val="Tahoma"/>
            <family val="2"/>
          </rPr>
          <t xml:space="preserve">
Við viljum að staða niðurfærslureiknings í árslok sé 625 samanber útreikninga, sjá reit X52. Við þurfum því að spyrja okkur. Hversu mikið þarf ég að færa á niðurfærslureikninginn í lokafærslu til að hann endi í kredit 625. Við skoðum þá stöðuna á niðurfærslureikningnum áður en kemur að þessari lokafærslu:
 1.000 kredit (staðan í upphafi árs)
-   500 debit  (krafan sem tapaðist endanlega á árinu)
= 500 kredit   (staðan fyrir lokafærsluna í árslok).
Hversu mikið þurfum við að færa til að reikningurinn endi í 625 kredit ef hann stendur í 500 kredit fyrir lokafærsluna? Svarið er 125 kredit. Við færum því þá fjárhæð kredit á þennan reikning (sbr. reit J47) og á moti sömu fjárhæð debit á afskriftareikning viðskiptakrafna í rekstrarreikningi. 
          </t>
        </r>
      </text>
    </comment>
  </commentList>
</comments>
</file>

<file path=xl/sharedStrings.xml><?xml version="1.0" encoding="utf-8"?>
<sst xmlns="http://schemas.openxmlformats.org/spreadsheetml/2006/main" count="169" uniqueCount="133">
  <si>
    <t>Krossaspurning 1:</t>
  </si>
  <si>
    <t>1.</t>
  </si>
  <si>
    <t>Rétt</t>
  </si>
  <si>
    <t xml:space="preserve">2. </t>
  </si>
  <si>
    <t>Rangt</t>
  </si>
  <si>
    <t>Krossaspurning 2:</t>
  </si>
  <si>
    <t>Nafn nemanda:</t>
  </si>
  <si>
    <t>Kennitala nemanda:</t>
  </si>
  <si>
    <t>2.</t>
  </si>
  <si>
    <t>3.</t>
  </si>
  <si>
    <t>4.</t>
  </si>
  <si>
    <t>Krossaspurning 3:</t>
  </si>
  <si>
    <t>Félagið gerir enga færslu í bókhald enda á það eftir að afhenda vöruna og / eða þjónustuna</t>
  </si>
  <si>
    <t>Krossaspurning 4:</t>
  </si>
  <si>
    <t>Krossaspurning 5:</t>
  </si>
  <si>
    <t>Krossaspurning 6:</t>
  </si>
  <si>
    <t>í bókhaldi</t>
  </si>
  <si>
    <t>Staða banka-</t>
  </si>
  <si>
    <t>reiknings</t>
  </si>
  <si>
    <t>reiknings skv.</t>
  </si>
  <si>
    <t>bankayfirliti</t>
  </si>
  <si>
    <t>Það er ekki hægt að reikna út veltuhraða viðskiptakrafna út frá gefnum upplýsingum</t>
  </si>
  <si>
    <t>Ábending:</t>
  </si>
  <si>
    <t>Engin hjálpargögn eru leyfileg á þessu prófi, hvorki útprentuð né á rafrænu formi, þ.e. ekkert af námsefninu.</t>
  </si>
  <si>
    <t>Staða fyrir leiðréttingar</t>
  </si>
  <si>
    <r>
      <t xml:space="preserve">Hér að neðan eru sömu krossaspurningar og á hinum hluta prófsins (netprófshluta miðannarprófs). </t>
    </r>
    <r>
      <rPr>
        <b/>
        <sz val="11"/>
        <color rgb="FFFF0000"/>
        <rFont val="Calibri"/>
        <family val="2"/>
        <scheme val="minor"/>
      </rPr>
      <t>Þið svarið krossaspurningunum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í því prófi</t>
    </r>
    <r>
      <rPr>
        <b/>
        <sz val="11"/>
        <color theme="1"/>
        <rFont val="Calibri"/>
        <family val="2"/>
        <scheme val="minor"/>
      </rPr>
      <t xml:space="preserve"> en getið notað þennan flipa í Excel-skjalinu fyrir útreikninga ef þið viljið.</t>
    </r>
  </si>
  <si>
    <t>Vörusala</t>
  </si>
  <si>
    <t>KSV</t>
  </si>
  <si>
    <t>Meðaltal</t>
  </si>
  <si>
    <t>Veltuhraði</t>
  </si>
  <si>
    <t>Biðtími</t>
  </si>
  <si>
    <t>Lán</t>
  </si>
  <si>
    <t>Tími</t>
  </si>
  <si>
    <t>Vaxtagjöld</t>
  </si>
  <si>
    <t>Nafnvxt.</t>
  </si>
  <si>
    <t>Vkr. 1/1</t>
  </si>
  <si>
    <t>Vkr. 31/12</t>
  </si>
  <si>
    <t>Viðskiptakröfur (EHR)</t>
  </si>
  <si>
    <t>Handbært fé (EHR)</t>
  </si>
  <si>
    <t>Þjónustusala (RR)</t>
  </si>
  <si>
    <t>Ef félag er rekið með tapi á tilteknu ári er öruggt að eigið fé samtals í lok ársins verður lægra en eigið fé í lok ársins á undan.</t>
  </si>
  <si>
    <t>Veltuhraði viðskiptakrafna var 14 og biðtími viðskiptakrafna í dögum 27</t>
  </si>
  <si>
    <t>Veltuhraði viðskiptakrafna var 15 og biðtími viðskiptakrafna í dögum 24</t>
  </si>
  <si>
    <t>Kredit á handbært fé og debit á eign.</t>
  </si>
  <si>
    <t>Debit á handbært fé og kredit á skuld</t>
  </si>
  <si>
    <t>Debit á handbært fé og kredit á eign.</t>
  </si>
  <si>
    <t>Þ.e. 3/12 mán. á árinu 2023</t>
  </si>
  <si>
    <t>Færa vaxtagjöld að fjárhæð 1.125.000 og sömu fjárhæð sem áfallna ógreidda vexti.</t>
  </si>
  <si>
    <t>Færa vaxtagjöld að fjárhæð 4.500.000 og sömu fjárhæð sem áfallna ógreidda vexti.</t>
  </si>
  <si>
    <t>Færa vaxtatekjur að fjárhæð 1.125.000 og sömu fjárhæð sem áunnar vaxtatekjur.</t>
  </si>
  <si>
    <t>Færa vaxtatekjur að fjárhæð 4.500.000 og sömu fjárhæð sem áunnar vaxtatekjur.</t>
  </si>
  <si>
    <t>Í gær seldi Félagið hf. gegn staðgreiðslu gamlan stóran lyftara sem það átti og notaði í rekstrinum. Söluverðið var 5.000.000 kr. Seinna sama dag keypti félagið gegn staðgreiðslu lítinn lyftara á 5.000.000 kr. Áhrifin á sjóðstreymi Félagsins hf. verða eftirfarandi:</t>
  </si>
  <si>
    <t>Bæði salan og kaupin koma fram í fjárfestingarhreyfingum í sjóðstreymi, salan sem innborgun og kaupin sem útborgun.</t>
  </si>
  <si>
    <t>Það er ekkert fært í sjóðstreymi enda komu 5.000.000 inn á bankareikninginn og fóru aftur út samdægurs.</t>
  </si>
  <si>
    <t>Bæði salan og kaupin koma fram í fjármögnunarhreyfingum í sjóðstreymi, salan sem innborgun og kaupin sem útborgun.</t>
  </si>
  <si>
    <t>Salan kemur fram sem innborgun í fjármögnunarhreyfingum í sjóðstreymi en kaupin sem innborgun í fjárfestingarhreyfingum.</t>
  </si>
  <si>
    <t>Debit</t>
  </si>
  <si>
    <t>Kredit</t>
  </si>
  <si>
    <t>Handbært fé</t>
  </si>
  <si>
    <t>?</t>
  </si>
  <si>
    <t>Viðskiptakröfur</t>
  </si>
  <si>
    <t>Hlutafé</t>
  </si>
  <si>
    <t>Tekjur</t>
  </si>
  <si>
    <t>Gjöld</t>
  </si>
  <si>
    <t>Óráðstafað eigið fé 1/1 2022</t>
  </si>
  <si>
    <t>ÓRE 1/1</t>
  </si>
  <si>
    <t xml:space="preserve"> + tekjur</t>
  </si>
  <si>
    <t xml:space="preserve"> - gjöld</t>
  </si>
  <si>
    <t xml:space="preserve"> = ÓRE 31/12</t>
  </si>
  <si>
    <t>ÓRE</t>
  </si>
  <si>
    <t xml:space="preserve"> + Hlutafé</t>
  </si>
  <si>
    <t xml:space="preserve"> = Eigið fé</t>
  </si>
  <si>
    <t>Viðskiptakr.</t>
  </si>
  <si>
    <t xml:space="preserve"> + handb. fé</t>
  </si>
  <si>
    <t xml:space="preserve"> = Eignir</t>
  </si>
  <si>
    <t>Það eru engar skuldir í dæminu</t>
  </si>
  <si>
    <t>Krossaspurning 7:</t>
  </si>
  <si>
    <t>Fullyrðingin er rétt.</t>
  </si>
  <si>
    <t>Fullyrðingin er röng.</t>
  </si>
  <si>
    <t>Er eftirfarandi fullyrðing rétt eða röng?
Fullyrðing: „Birgðir skal færa við kostnaðarverði eða dagverði, hvort sem hærra reynist“</t>
  </si>
  <si>
    <t>Krossaspurning 8:</t>
  </si>
  <si>
    <t>Eignir eru vanmetnar í efnahagsreikningi félagsins, kostnaðarverð seldra vara ofmetið og afkoma ársins vanmetin (þ.e. of lág)</t>
  </si>
  <si>
    <t>Fyrir mistök gleymdist að telja einn hluta lagersins í árslok hjá Félaginu hf. Hvaða áhrif hafa þessi mistök á ársreikning félagsins?</t>
  </si>
  <si>
    <t>Eignir eru vanmetnar í efnahagsreikningi félagsins, kostnaðarverð seldra vara vanmetið og afkoma ársins ofmetin  (þ.e. of há)</t>
  </si>
  <si>
    <t>Vaxtatekjur</t>
  </si>
  <si>
    <t>Þjónustugjöld</t>
  </si>
  <si>
    <t>Kaup á vinnuvél</t>
  </si>
  <si>
    <t>Innborguð viðskiptakrafa á X hf.</t>
  </si>
  <si>
    <t>Innkaupsverð per einingu</t>
  </si>
  <si>
    <t>Fjöldi eininga</t>
  </si>
  <si>
    <t>Dagsetning</t>
  </si>
  <si>
    <t>Kaup eða sala</t>
  </si>
  <si>
    <t>Fjöldi keyptra eða seldra eininga</t>
  </si>
  <si>
    <t>Kaup</t>
  </si>
  <si>
    <t>Sala</t>
  </si>
  <si>
    <t>Lausn</t>
  </si>
  <si>
    <t>Kaupverð per ein. með flutn.k.</t>
  </si>
  <si>
    <t>Fjöldi keyptra ein.</t>
  </si>
  <si>
    <t>Kostn.verð alls</t>
  </si>
  <si>
    <t>Fjöldi seldra eininga</t>
  </si>
  <si>
    <t>Birgðir í árslok</t>
  </si>
  <si>
    <t>Verð m. flutn.kostn.</t>
  </si>
  <si>
    <t>Birgðir 1/1</t>
  </si>
  <si>
    <t>Birgðir 31/12</t>
  </si>
  <si>
    <t>365/veltuhraði</t>
  </si>
  <si>
    <t>Biðtími birgða í dögum</t>
  </si>
  <si>
    <r>
      <t xml:space="preserve">Félagið hf. var stofnað í ársbyrjun 2023. Í töflunni hér að neðan eru upplýsingar um vörukaup og vörusölu á árinu 2023. Félagið er ekki með birgðabókhald heldur telur birgðir í lok árs og reiknar þannig út kostnaðarverð seldra vara og árslokabirgðir. Félagið notast við birgðaflæðisforsenduna FIFO (first in - first out).
</t>
    </r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1. Reiknaðu út kostnaðarverð seldra vara fyrir árið 2023 og birgðir í árslok 2023.
2. Reiknaðu veltuhraða birgða og biðtíma birgða í dögum.</t>
    </r>
  </si>
  <si>
    <t>Árið 2022 - notið þessa T-reikninga</t>
  </si>
  <si>
    <t>Árið 2023 - notið þessa T-reikninga</t>
  </si>
  <si>
    <t>Niðurfærslur. (EHR)</t>
  </si>
  <si>
    <t xml:space="preserve">1. Sala ársins nam 100.000 kr., þar af nam sala gegn greiðslufresti 80.000 kr. </t>
  </si>
  <si>
    <t>2. Viðskiptakröfur í árslok námu 20.000 kr.</t>
  </si>
  <si>
    <t xml:space="preserve">3. Stjórnendur félagsins telja hæfilegt að færa viðskiptakröfur niður um 5,0% í árslok til að mæta áætluðu tapi. </t>
  </si>
  <si>
    <t>Afskriftar. (RR)</t>
  </si>
  <si>
    <t>1. Allar viðskiptakröfur í lok árs 2022 innheimtust að fullu á árinu 2023 nema krafa á hendur félaginu X hf. að fjárhæð 500  kr., sú krafa tapaðist endanlega á árinu 2023.</t>
  </si>
  <si>
    <t>2. Sala ársins nam 250.000 kr., þar af nam sala gegn greiðslufresti 170.000 kr.</t>
  </si>
  <si>
    <t>3. Viðskiptakröfur í árslok námu 25.000 kr.</t>
  </si>
  <si>
    <t>4. Stjórnendur Félagsins hf. telja hæfilegt að færa viðskiptakröfur í árslok niður um 2,5% til að mæta áætluðu tapi.</t>
  </si>
  <si>
    <t>Fyrirframgreiddan kostnað á að færa með eftirfarandi hætti:</t>
  </si>
  <si>
    <t>Félagið  hf. tók lán að fjárhæð 50.000.000 frá viðskiptabanka sínum þann 1. október 2023. Lánið ber 9,0% vexti. Fyrsta afborgun af láninu mun fara fram ári síðar, þ.e. 1. október 2024.  Hvaða færslu þarf Félagið hf. að gera í bókhaldi sínu í árslok 2023?</t>
  </si>
  <si>
    <r>
      <t>Eftirfarandi er staða bókhaldsliða hjá Félaginu hf. í árslok 2022 þegar allar færslur ársins hafa verið færðar. 
Spurning: Hver er staðan á bókhaldslyklinum</t>
    </r>
    <r>
      <rPr>
        <i/>
        <sz val="11"/>
        <color theme="1"/>
        <rFont val="Calibri"/>
        <family val="2"/>
        <scheme val="minor"/>
      </rPr>
      <t xml:space="preserve"> handbært fé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</si>
  <si>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Þú ert að vinna bankaafstemmingu fyrir Félagið hf. í lok árs 2023. Þú sérð að staðan í árslok samkvæmt bankareikningi í bókhaldi félagsins er </t>
    </r>
    <r>
      <rPr>
        <b/>
        <sz val="11"/>
        <color theme="1"/>
        <rFont val="Calibri"/>
        <family val="2"/>
        <scheme val="minor"/>
      </rPr>
      <t>133.300.000 kr.</t>
    </r>
    <r>
      <rPr>
        <sz val="11"/>
        <color theme="1"/>
        <rFont val="Calibri"/>
        <family val="2"/>
        <scheme val="minor"/>
      </rPr>
      <t xml:space="preserve"> Þú kíkir á heimabanka félagsins og sérð að staða þessa sama bankareikningi samkvæmt yfirliti í heimabanka er </t>
    </r>
    <r>
      <rPr>
        <b/>
        <sz val="11"/>
        <color theme="1"/>
        <rFont val="Calibri"/>
        <family val="2"/>
        <scheme val="minor"/>
      </rPr>
      <t>142.000.000 kr.</t>
    </r>
    <r>
      <rPr>
        <sz val="11"/>
        <color theme="1"/>
        <rFont val="Calibri"/>
        <family val="2"/>
        <scheme val="minor"/>
      </rPr>
      <t xml:space="preserve">  Þú greinir mismuninn og kemst að eftirfarandi niðurstöðu:
1. Í bókhaldið á eftir að færa vaxtatekjur í árslok sem koma fram á  bankayfirlitinu. Þær nema </t>
    </r>
    <r>
      <rPr>
        <b/>
        <sz val="11"/>
        <color theme="1"/>
        <rFont val="Calibri"/>
        <family val="2"/>
        <scheme val="minor"/>
      </rPr>
      <t>2.000.000 kr.</t>
    </r>
    <r>
      <rPr>
        <sz val="11"/>
        <color theme="1"/>
        <rFont val="Calibri"/>
        <family val="2"/>
        <scheme val="minor"/>
      </rPr>
      <t xml:space="preserve">
2. Félagið hf. keypti á gamlársdag gegn staðgreiðslu vinnuvél að fjárhæð </t>
    </r>
    <r>
      <rPr>
        <b/>
        <sz val="11"/>
        <color theme="1"/>
        <rFont val="Calibri"/>
        <family val="2"/>
        <scheme val="minor"/>
      </rPr>
      <t xml:space="preserve">5.000.000 kr. </t>
    </r>
    <r>
      <rPr>
        <sz val="11"/>
        <color theme="1"/>
        <rFont val="Calibri"/>
        <family val="2"/>
        <scheme val="minor"/>
      </rPr>
      <t xml:space="preserve">Þessi útborgun er ekki komin fram á bankayfirlitinu.
3. Þú sérð að bankinn hefur tekið út af bankareikningnum þjónustugjöld ársins að fjárhæð </t>
    </r>
    <r>
      <rPr>
        <b/>
        <sz val="11"/>
        <color theme="1"/>
        <rFont val="Calibri"/>
        <family val="2"/>
        <scheme val="minor"/>
      </rPr>
      <t>300.000 kr.</t>
    </r>
    <r>
      <rPr>
        <sz val="11"/>
        <color theme="1"/>
        <rFont val="Calibri"/>
        <family val="2"/>
        <scheme val="minor"/>
      </rPr>
      <t xml:space="preserve">
4. Þér til mikillar ánægju sérðu á félagið X hf. hefur greitt Félaginu hf. eldgamla skuld sem Félagið hf. var löngu búið að færa út úr bókhaldinu sem endanlega tapaða kröfu. Greiðslan var að fjárhæð </t>
    </r>
    <r>
      <rPr>
        <b/>
        <sz val="11"/>
        <color theme="1"/>
        <rFont val="Calibri"/>
        <family val="2"/>
        <scheme val="minor"/>
      </rPr>
      <t>2.000.000 kr.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Verkefni þitt er að nota skemað hér að neðan til að stilla upp bankaafstemmingu. Láttu koma skýrt fram  hver staða handbærs fjár í bókhaldi á að vera í árslok með því að lita viðkomandi fjárhæð með rauðum lit. Ekki er víst að nota þurfi allar línurnar í skemanu.</t>
    </r>
  </si>
  <si>
    <t xml:space="preserve">Flutningskostn. samtals fyrir allar einingarnar </t>
  </si>
  <si>
    <r>
      <t xml:space="preserve">Félagið hf. er þjónustusölufyrirtæki (þ.e. selur þjónustu en engar vörur). Eftirfarandi eru upplýsingar um sölu og viðskiptakröfur hjá félaginu á árunum 2022 og 2023. Félagið var stofnað í upphafi árs 2022.
</t>
    </r>
    <r>
      <rPr>
        <b/>
        <sz val="11"/>
        <color theme="1"/>
        <rFont val="Calibri"/>
        <family val="2"/>
        <scheme val="minor"/>
      </rPr>
      <t>Árið 2022:</t>
    </r>
    <r>
      <rPr>
        <sz val="11"/>
        <color theme="1"/>
        <rFont val="Calibri"/>
        <family val="2"/>
        <scheme val="minor"/>
      </rPr>
      <t xml:space="preserve">
1. Sala ársins nam</t>
    </r>
    <r>
      <rPr>
        <b/>
        <sz val="11"/>
        <color theme="1"/>
        <rFont val="Calibri"/>
        <family val="2"/>
        <scheme val="minor"/>
      </rPr>
      <t xml:space="preserve"> 100.000 kr</t>
    </r>
    <r>
      <rPr>
        <sz val="11"/>
        <color theme="1"/>
        <rFont val="Calibri"/>
        <family val="2"/>
        <scheme val="minor"/>
      </rPr>
      <t xml:space="preserve">., þar af nam sala gegn greiðslufresti </t>
    </r>
    <r>
      <rPr>
        <b/>
        <sz val="11"/>
        <color theme="1"/>
        <rFont val="Calibri"/>
        <family val="2"/>
        <scheme val="minor"/>
      </rPr>
      <t xml:space="preserve">80.000 kr. 
</t>
    </r>
    <r>
      <rPr>
        <sz val="11"/>
        <color theme="1"/>
        <rFont val="Calibri"/>
        <family val="2"/>
        <scheme val="minor"/>
      </rPr>
      <t xml:space="preserve">2. Viðskiptakröfur í árslok námu </t>
    </r>
    <r>
      <rPr>
        <b/>
        <sz val="11"/>
        <color theme="1"/>
        <rFont val="Calibri"/>
        <family val="2"/>
        <scheme val="minor"/>
      </rPr>
      <t>20.000 kr.</t>
    </r>
    <r>
      <rPr>
        <sz val="11"/>
        <color theme="1"/>
        <rFont val="Calibri"/>
        <family val="2"/>
        <scheme val="minor"/>
      </rPr>
      <t xml:space="preserve">
3. Stjórnendur félagsins telja hæfilegt að færa viðskiptakröfur niður um</t>
    </r>
    <r>
      <rPr>
        <b/>
        <sz val="11"/>
        <color theme="1"/>
        <rFont val="Calibri"/>
        <family val="2"/>
        <scheme val="minor"/>
      </rPr>
      <t xml:space="preserve"> 5,0%</t>
    </r>
    <r>
      <rPr>
        <sz val="11"/>
        <color theme="1"/>
        <rFont val="Calibri"/>
        <family val="2"/>
        <scheme val="minor"/>
      </rPr>
      <t xml:space="preserve"> í árslok til að mæta áætluðu tapi. 
</t>
    </r>
    <r>
      <rPr>
        <b/>
        <sz val="11"/>
        <color theme="1"/>
        <rFont val="Calibri"/>
        <family val="2"/>
        <scheme val="minor"/>
      </rPr>
      <t>Árið 2023:</t>
    </r>
    <r>
      <rPr>
        <sz val="11"/>
        <color theme="1"/>
        <rFont val="Calibri"/>
        <family val="2"/>
        <scheme val="minor"/>
      </rPr>
      <t xml:space="preserve">
1. Allar viðskiptakröfur í lok árs 2022 innheimtust að fullu á árinu 2023 nema krafa á hendur félaginu X hf. að fjárhæð</t>
    </r>
    <r>
      <rPr>
        <b/>
        <sz val="11"/>
        <color theme="1"/>
        <rFont val="Calibri"/>
        <family val="2"/>
        <scheme val="minor"/>
      </rPr>
      <t xml:space="preserve"> 500  kr.</t>
    </r>
    <r>
      <rPr>
        <sz val="11"/>
        <color theme="1"/>
        <rFont val="Calibri"/>
        <family val="2"/>
        <scheme val="minor"/>
      </rPr>
      <t xml:space="preserve">, sú krafa tapaðist endanlega á árinu 2023.
2. Sala ársins nam </t>
    </r>
    <r>
      <rPr>
        <b/>
        <sz val="11"/>
        <color theme="1"/>
        <rFont val="Calibri"/>
        <family val="2"/>
        <scheme val="minor"/>
      </rPr>
      <t>250.000 kr.</t>
    </r>
    <r>
      <rPr>
        <sz val="11"/>
        <color theme="1"/>
        <rFont val="Calibri"/>
        <family val="2"/>
        <scheme val="minor"/>
      </rPr>
      <t xml:space="preserve">, þar af nam sala gegn greiðslufresti </t>
    </r>
    <r>
      <rPr>
        <b/>
        <sz val="11"/>
        <color theme="1"/>
        <rFont val="Calibri"/>
        <family val="2"/>
        <scheme val="minor"/>
      </rPr>
      <t xml:space="preserve">170.000 kr.
</t>
    </r>
    <r>
      <rPr>
        <sz val="11"/>
        <color theme="1"/>
        <rFont val="Calibri"/>
        <family val="2"/>
        <scheme val="minor"/>
      </rPr>
      <t xml:space="preserve">3. Viðskiptakröfur í árslok námu </t>
    </r>
    <r>
      <rPr>
        <b/>
        <sz val="11"/>
        <color theme="1"/>
        <rFont val="Calibri"/>
        <family val="2"/>
        <scheme val="minor"/>
      </rPr>
      <t>25.000 kr.</t>
    </r>
    <r>
      <rPr>
        <sz val="11"/>
        <color theme="1"/>
        <rFont val="Calibri"/>
        <family val="2"/>
        <scheme val="minor"/>
      </rPr>
      <t xml:space="preserve">
4. Stjórnendur Félagsins hf. telja hæfilegt að færa viðskiptakröfur í árslok niður um </t>
    </r>
    <r>
      <rPr>
        <b/>
        <sz val="11"/>
        <color theme="1"/>
        <rFont val="Calibri"/>
        <family val="2"/>
        <scheme val="minor"/>
      </rPr>
      <t xml:space="preserve">2,5% </t>
    </r>
    <r>
      <rPr>
        <sz val="11"/>
        <color theme="1"/>
        <rFont val="Calibri"/>
        <family val="2"/>
        <scheme val="minor"/>
      </rPr>
      <t xml:space="preserve">til að mæta áætluðu tapi.
</t>
    </r>
    <r>
      <rPr>
        <b/>
        <sz val="11"/>
        <color theme="1"/>
        <rFont val="Calibri"/>
        <family val="2"/>
        <scheme val="minor"/>
      </rPr>
      <t xml:space="preserve">
Verkefni: 
</t>
    </r>
    <r>
      <rPr>
        <sz val="11"/>
        <color theme="1"/>
        <rFont val="Calibri"/>
        <family val="2"/>
        <scheme val="minor"/>
      </rPr>
      <t>Notaðu T-reikningana hér að neðan til að</t>
    </r>
    <r>
      <rPr>
        <b/>
        <sz val="11"/>
        <color theme="1"/>
        <rFont val="Calibri"/>
        <family val="2"/>
        <scheme val="minor"/>
      </rPr>
      <t xml:space="preserve"> sýna</t>
    </r>
    <r>
      <rPr>
        <b/>
        <u/>
        <sz val="11"/>
        <color theme="1"/>
        <rFont val="Calibri"/>
        <family val="2"/>
        <scheme val="minor"/>
      </rPr>
      <t xml:space="preserve"> allar færslur</t>
    </r>
    <r>
      <rPr>
        <sz val="11"/>
        <color theme="1"/>
        <rFont val="Calibri"/>
        <family val="2"/>
        <scheme val="minor"/>
      </rPr>
      <t xml:space="preserve"> sem Félagið  hf. þarf að gera í samræmi við ofangreindar upplýsingar.   </t>
    </r>
    <r>
      <rPr>
        <b/>
        <sz val="11"/>
        <color theme="1"/>
        <rFont val="Calibri"/>
        <family val="2"/>
        <scheme val="minor"/>
      </rPr>
      <t>Settu inn lýsandi heiti á T-reikningunum</t>
    </r>
    <r>
      <rPr>
        <sz val="11"/>
        <color theme="1"/>
        <rFont val="Calibri"/>
        <family val="2"/>
        <scheme val="minor"/>
      </rPr>
      <t xml:space="preserve"> og  innan sviga annaðhvort  "EHR" (sem merkir að T-reikningurinn tilheyri efnahagsreikningi) eða "RR" (sem merkir að T-reikningurinn tilheyri rekstrarreikningi). </t>
    </r>
  </si>
  <si>
    <t xml:space="preserve"> Á árinu 2023 seldi Félagið hf. vörur fyrir 15.000.000 kr. Öll vörusalan var gegn greiðslufresti. Viðskiptakröfur í upphafi árs námu 1.200.000 en 1.000.000 í lok árs. 
Spurning: Hver var veltuhraði viðskiptakrafna og hver var biðtími viðskiptakrafna í dögum?</t>
  </si>
  <si>
    <t>Veltuhraði viðskiptakrafna var 13 og biðtími viðskiptakrafna í dögum 29</t>
  </si>
  <si>
    <t>Eignir eru ofmetnar í efnahagsreikningi félagsins, kostnaðarverð seldra vara vanmetið og afkoma ársins ofmetin (þ.e. of há)</t>
  </si>
  <si>
    <t>Viðskiptakröfur í árslok</t>
  </si>
  <si>
    <t>Niðurfærsluþörf</t>
  </si>
  <si>
    <t>Staða niðurf.reikn. á  að vera</t>
  </si>
  <si>
    <t>Staða efnahagsreikningsliða í upphafi árs (er ekki að sýna færslu hér heldur stöðuna).</t>
  </si>
  <si>
    <t>Rétt svör eru rauðlituð</t>
  </si>
  <si>
    <t>KSV/meðalst. birgða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</si>
</sst>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*."/>
    <numFmt numFmtId="165" formatCode="0.0%"/>
    <numFmt numFmtId="166" formatCode="d/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Border="1"/>
    <xf numFmtId="3" fontId="0" fillId="0" borderId="9" xfId="0" applyNumberFormat="1" applyBorder="1"/>
    <xf numFmtId="0" fontId="2" fillId="0" borderId="0" xfId="0" applyFont="1"/>
    <xf numFmtId="3" fontId="5" fillId="0" borderId="0" xfId="0" applyNumberFormat="1" applyFont="1"/>
    <xf numFmtId="3" fontId="0" fillId="0" borderId="0" xfId="0" applyNumberFormat="1" applyFill="1"/>
    <xf numFmtId="3" fontId="0" fillId="0" borderId="10" xfId="0" applyNumberFormat="1" applyFill="1" applyBorder="1"/>
    <xf numFmtId="3" fontId="0" fillId="0" borderId="0" xfId="1" applyNumberFormat="1" applyFont="1" applyFill="1"/>
    <xf numFmtId="165" fontId="0" fillId="0" borderId="0" xfId="1" applyNumberFormat="1" applyFont="1" applyFill="1"/>
    <xf numFmtId="3" fontId="2" fillId="0" borderId="0" xfId="0" applyNumberFormat="1" applyFont="1"/>
    <xf numFmtId="3" fontId="2" fillId="0" borderId="19" xfId="0" applyNumberFormat="1" applyFont="1" applyBorder="1"/>
    <xf numFmtId="3" fontId="5" fillId="0" borderId="0" xfId="0" applyNumberFormat="1" applyFont="1" applyFill="1"/>
    <xf numFmtId="3" fontId="0" fillId="0" borderId="16" xfId="0" applyNumberFormat="1" applyFill="1" applyBorder="1"/>
    <xf numFmtId="3" fontId="0" fillId="0" borderId="9" xfId="0" applyNumberFormat="1" applyFill="1" applyBorder="1"/>
    <xf numFmtId="3" fontId="3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6" fillId="0" borderId="0" xfId="0" applyNumberFormat="1" applyFont="1"/>
    <xf numFmtId="4" fontId="0" fillId="0" borderId="0" xfId="0" applyNumberFormat="1" applyFill="1"/>
    <xf numFmtId="3" fontId="6" fillId="0" borderId="0" xfId="0" applyNumberFormat="1" applyFont="1" applyFill="1"/>
    <xf numFmtId="3" fontId="0" fillId="0" borderId="0" xfId="0" applyNumberFormat="1" applyFill="1" applyBorder="1"/>
    <xf numFmtId="3" fontId="5" fillId="0" borderId="9" xfId="0" applyNumberFormat="1" applyFont="1" applyFill="1" applyBorder="1"/>
    <xf numFmtId="3" fontId="0" fillId="0" borderId="11" xfId="0" applyNumberFormat="1" applyFill="1" applyBorder="1"/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14" xfId="0" applyNumberFormat="1" applyFill="1" applyBorder="1"/>
    <xf numFmtId="3" fontId="0" fillId="0" borderId="0" xfId="0" applyNumberFormat="1" applyFill="1" applyBorder="1" applyAlignment="1">
      <alignment horizontal="right"/>
    </xf>
    <xf numFmtId="3" fontId="0" fillId="0" borderId="15" xfId="0" applyNumberFormat="1" applyFill="1" applyBorder="1"/>
    <xf numFmtId="3" fontId="0" fillId="0" borderId="0" xfId="0" applyNumberFormat="1" applyBorder="1" applyAlignment="1">
      <alignment vertical="top" wrapText="1"/>
    </xf>
    <xf numFmtId="3" fontId="0" fillId="0" borderId="20" xfId="0" applyNumberFormat="1" applyBorder="1"/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166" fontId="0" fillId="0" borderId="0" xfId="0" applyNumberFormat="1"/>
    <xf numFmtId="3" fontId="0" fillId="0" borderId="19" xfId="0" applyNumberFormat="1" applyBorder="1" applyAlignment="1">
      <alignment horizontal="left" wrapText="1"/>
    </xf>
    <xf numFmtId="4" fontId="0" fillId="0" borderId="0" xfId="0" applyNumberFormat="1"/>
    <xf numFmtId="166" fontId="0" fillId="3" borderId="17" xfId="0" applyNumberFormat="1" applyFill="1" applyBorder="1"/>
    <xf numFmtId="3" fontId="0" fillId="3" borderId="17" xfId="0" applyNumberFormat="1" applyFill="1" applyBorder="1"/>
    <xf numFmtId="166" fontId="0" fillId="4" borderId="17" xfId="0" applyNumberFormat="1" applyFill="1" applyBorder="1"/>
    <xf numFmtId="3" fontId="0" fillId="4" borderId="17" xfId="0" applyNumberFormat="1" applyFill="1" applyBorder="1"/>
    <xf numFmtId="166" fontId="0" fillId="3" borderId="18" xfId="0" applyNumberFormat="1" applyFill="1" applyBorder="1"/>
    <xf numFmtId="3" fontId="0" fillId="3" borderId="18" xfId="0" applyNumberFormat="1" applyFill="1" applyBorder="1"/>
    <xf numFmtId="3" fontId="0" fillId="0" borderId="17" xfId="0" applyNumberFormat="1" applyBorder="1" applyAlignment="1">
      <alignment horizontal="right" wrapText="1"/>
    </xf>
    <xf numFmtId="3" fontId="0" fillId="0" borderId="21" xfId="0" applyNumberFormat="1" applyBorder="1"/>
    <xf numFmtId="3" fontId="2" fillId="0" borderId="22" xfId="0" applyNumberFormat="1" applyFont="1" applyBorder="1"/>
    <xf numFmtId="166" fontId="0" fillId="0" borderId="23" xfId="0" applyNumberFormat="1" applyFill="1" applyBorder="1"/>
    <xf numFmtId="166" fontId="0" fillId="0" borderId="21" xfId="0" applyNumberFormat="1" applyFill="1" applyBorder="1"/>
    <xf numFmtId="3" fontId="2" fillId="0" borderId="20" xfId="0" applyNumberFormat="1" applyFont="1" applyBorder="1"/>
    <xf numFmtId="4" fontId="2" fillId="0" borderId="0" xfId="0" applyNumberFormat="1" applyFont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3" fontId="6" fillId="0" borderId="20" xfId="0" applyNumberFormat="1" applyFont="1" applyBorder="1"/>
    <xf numFmtId="3" fontId="2" fillId="0" borderId="10" xfId="0" applyNumberFormat="1" applyFont="1" applyFill="1" applyBorder="1"/>
    <xf numFmtId="3" fontId="0" fillId="2" borderId="9" xfId="0" applyNumberFormat="1" applyFill="1" applyBorder="1"/>
    <xf numFmtId="3" fontId="0" fillId="2" borderId="16" xfId="0" applyNumberFormat="1" applyFill="1" applyBorder="1"/>
    <xf numFmtId="3" fontId="0" fillId="5" borderId="10" xfId="0" applyNumberFormat="1" applyFill="1" applyBorder="1"/>
    <xf numFmtId="3" fontId="0" fillId="5" borderId="0" xfId="0" applyNumberFormat="1" applyFill="1"/>
    <xf numFmtId="3" fontId="2" fillId="6" borderId="10" xfId="0" applyNumberFormat="1" applyFont="1" applyFill="1" applyBorder="1"/>
    <xf numFmtId="3" fontId="0" fillId="6" borderId="0" xfId="0" applyNumberFormat="1" applyFill="1" applyBorder="1"/>
    <xf numFmtId="3" fontId="0" fillId="6" borderId="0" xfId="0" applyNumberFormat="1" applyFill="1"/>
    <xf numFmtId="3" fontId="0" fillId="5" borderId="0" xfId="0" applyNumberFormat="1" applyFill="1" applyBorder="1"/>
    <xf numFmtId="3" fontId="2" fillId="5" borderId="0" xfId="0" applyNumberFormat="1" applyFont="1" applyFill="1" applyBorder="1"/>
    <xf numFmtId="3" fontId="2" fillId="7" borderId="0" xfId="0" applyNumberFormat="1" applyFont="1" applyFill="1" applyBorder="1"/>
    <xf numFmtId="3" fontId="2" fillId="7" borderId="0" xfId="0" applyNumberFormat="1" applyFont="1" applyFill="1"/>
    <xf numFmtId="165" fontId="0" fillId="0" borderId="9" xfId="1" applyNumberFormat="1" applyFont="1" applyBorder="1"/>
    <xf numFmtId="3" fontId="0" fillId="7" borderId="0" xfId="0" applyNumberFormat="1" applyFill="1"/>
    <xf numFmtId="3" fontId="0" fillId="7" borderId="10" xfId="0" applyNumberFormat="1" applyFill="1" applyBorder="1"/>
    <xf numFmtId="3" fontId="2" fillId="5" borderId="0" xfId="0" applyNumberFormat="1" applyFont="1" applyFill="1"/>
    <xf numFmtId="3" fontId="6" fillId="0" borderId="0" xfId="0" applyNumberFormat="1" applyFont="1" applyFill="1" applyBorder="1"/>
    <xf numFmtId="3" fontId="0" fillId="4" borderId="0" xfId="0" applyNumberFormat="1" applyFill="1"/>
    <xf numFmtId="3" fontId="0" fillId="2" borderId="24" xfId="0" applyNumberFormat="1" applyFill="1" applyBorder="1"/>
    <xf numFmtId="3" fontId="4" fillId="2" borderId="24" xfId="0" applyNumberFormat="1" applyFont="1" applyFill="1" applyBorder="1"/>
    <xf numFmtId="3" fontId="2" fillId="4" borderId="0" xfId="0" applyNumberFormat="1" applyFont="1" applyFill="1"/>
    <xf numFmtId="3" fontId="6" fillId="4" borderId="0" xfId="0" applyNumberFormat="1" applyFont="1" applyFill="1"/>
    <xf numFmtId="3" fontId="6" fillId="4" borderId="10" xfId="0" applyNumberFormat="1" applyFont="1" applyFill="1" applyBorder="1"/>
    <xf numFmtId="3" fontId="0" fillId="4" borderId="10" xfId="0" applyNumberFormat="1" applyFill="1" applyBorder="1"/>
    <xf numFmtId="3" fontId="0" fillId="6" borderId="10" xfId="0" applyNumberFormat="1" applyFill="1" applyBorder="1"/>
    <xf numFmtId="3" fontId="2" fillId="8" borderId="0" xfId="0" applyNumberFormat="1" applyFont="1" applyFill="1"/>
    <xf numFmtId="3" fontId="0" fillId="8" borderId="0" xfId="0" applyNumberFormat="1" applyFill="1"/>
    <xf numFmtId="3" fontId="0" fillId="7" borderId="9" xfId="0" applyNumberFormat="1" applyFill="1" applyBorder="1"/>
    <xf numFmtId="3" fontId="0" fillId="9" borderId="9" xfId="0" applyNumberFormat="1" applyFill="1" applyBorder="1"/>
    <xf numFmtId="3" fontId="2" fillId="9" borderId="10" xfId="0" applyNumberFormat="1" applyFont="1" applyFill="1" applyBorder="1"/>
    <xf numFmtId="3" fontId="0" fillId="9" borderId="16" xfId="0" applyNumberFormat="1" applyFill="1" applyBorder="1"/>
    <xf numFmtId="3" fontId="0" fillId="9" borderId="0" xfId="0" applyNumberFormat="1" applyFill="1"/>
    <xf numFmtId="3" fontId="0" fillId="8" borderId="9" xfId="0" applyNumberFormat="1" applyFill="1" applyBorder="1"/>
    <xf numFmtId="3" fontId="0" fillId="8" borderId="10" xfId="0" applyNumberFormat="1" applyFill="1" applyBorder="1"/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  <xf numFmtId="3" fontId="0" fillId="0" borderId="2" xfId="0" applyNumberFormat="1" applyFill="1" applyBorder="1" applyAlignment="1">
      <alignment horizontal="left" vertical="top" wrapText="1"/>
    </xf>
    <xf numFmtId="3" fontId="0" fillId="0" borderId="3" xfId="0" applyNumberFormat="1" applyFill="1" applyBorder="1" applyAlignment="1">
      <alignment horizontal="left" vertical="top" wrapText="1"/>
    </xf>
    <xf numFmtId="3" fontId="0" fillId="0" borderId="4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5" xfId="0" applyNumberFormat="1" applyFill="1" applyBorder="1" applyAlignment="1">
      <alignment horizontal="left" vertical="top" wrapText="1"/>
    </xf>
    <xf numFmtId="3" fontId="0" fillId="0" borderId="6" xfId="0" applyNumberFormat="1" applyFill="1" applyBorder="1" applyAlignment="1">
      <alignment horizontal="left" vertical="top" wrapText="1"/>
    </xf>
    <xf numFmtId="3" fontId="0" fillId="0" borderId="7" xfId="0" applyNumberFormat="1" applyFill="1" applyBorder="1" applyAlignment="1">
      <alignment horizontal="left" vertical="top" wrapText="1"/>
    </xf>
    <xf numFmtId="3" fontId="0" fillId="0" borderId="8" xfId="0" applyNumberFormat="1" applyFill="1" applyBorder="1" applyAlignment="1">
      <alignment horizontal="left" vertical="top" wrapText="1"/>
    </xf>
    <xf numFmtId="3" fontId="2" fillId="2" borderId="11" xfId="0" applyNumberFormat="1" applyFont="1" applyFill="1" applyBorder="1" applyAlignment="1">
      <alignment horizontal="left" vertical="top" wrapText="1"/>
    </xf>
    <xf numFmtId="3" fontId="0" fillId="2" borderId="12" xfId="0" applyNumberFormat="1" applyFill="1" applyBorder="1" applyAlignment="1">
      <alignment horizontal="left" vertical="top" wrapText="1"/>
    </xf>
    <xf numFmtId="3" fontId="0" fillId="2" borderId="13" xfId="0" applyNumberFormat="1" applyFill="1" applyBorder="1" applyAlignment="1">
      <alignment horizontal="left" vertical="top" wrapText="1"/>
    </xf>
    <xf numFmtId="3" fontId="0" fillId="2" borderId="14" xfId="0" applyNumberFormat="1" applyFill="1" applyBorder="1" applyAlignment="1">
      <alignment horizontal="left" vertical="top" wrapText="1"/>
    </xf>
    <xf numFmtId="3" fontId="0" fillId="2" borderId="0" xfId="0" applyNumberFormat="1" applyFill="1" applyBorder="1" applyAlignment="1">
      <alignment horizontal="left" vertical="top" wrapText="1"/>
    </xf>
    <xf numFmtId="3" fontId="0" fillId="2" borderId="10" xfId="0" applyNumberFormat="1" applyFill="1" applyBorder="1" applyAlignment="1">
      <alignment horizontal="left" vertical="top" wrapText="1"/>
    </xf>
    <xf numFmtId="3" fontId="0" fillId="2" borderId="15" xfId="0" applyNumberFormat="1" applyFill="1" applyBorder="1" applyAlignment="1">
      <alignment horizontal="left" vertical="top" wrapText="1"/>
    </xf>
    <xf numFmtId="3" fontId="0" fillId="2" borderId="9" xfId="0" applyNumberFormat="1" applyFill="1" applyBorder="1" applyAlignment="1">
      <alignment horizontal="left" vertical="top" wrapText="1"/>
    </xf>
    <xf numFmtId="3" fontId="0" fillId="2" borderId="16" xfId="0" applyNumberFormat="1" applyFill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Fill="1" applyBorder="1" applyAlignment="1">
      <alignment horizontal="left"/>
    </xf>
    <xf numFmtId="3" fontId="0" fillId="0" borderId="0" xfId="0" applyNumberForma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center"/>
    </xf>
    <xf numFmtId="3" fontId="3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12</xdr:row>
      <xdr:rowOff>0</xdr:rowOff>
    </xdr:from>
    <xdr:to>
      <xdr:col>9</xdr:col>
      <xdr:colOff>104775</xdr:colOff>
      <xdr:row>15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FF3349-1440-E177-AD1E-76BBE063D051}"/>
            </a:ext>
          </a:extLst>
        </xdr:cNvPr>
        <xdr:cNvSpPr txBox="1"/>
      </xdr:nvSpPr>
      <xdr:spPr>
        <a:xfrm>
          <a:off x="2533650" y="2200275"/>
          <a:ext cx="32289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/>
            <a:t>UFP: Rangt. Hlutafé gæti</a:t>
          </a:r>
          <a:r>
            <a:rPr lang="is-IS" sz="1100" baseline="0"/>
            <a:t> hafa verið aukið á árinu.</a:t>
          </a:r>
          <a:endParaRPr lang="is-I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8097-F0C9-40D7-9D62-F6A3D711AB48}">
  <sheetPr>
    <tabColor theme="4" tint="-0.249977111117893"/>
  </sheetPr>
  <dimension ref="B7:J20"/>
  <sheetViews>
    <sheetView tabSelected="1" workbookViewId="0">
      <selection activeCell="F32" sqref="F32"/>
    </sheetView>
  </sheetViews>
  <sheetFormatPr defaultRowHeight="15" x14ac:dyDescent="0.25"/>
  <sheetData>
    <row r="7" spans="2:10" x14ac:dyDescent="0.25">
      <c r="B7" t="s">
        <v>6</v>
      </c>
    </row>
    <row r="8" spans="2:10" x14ac:dyDescent="0.25">
      <c r="D8" s="87"/>
      <c r="E8" s="87"/>
      <c r="F8" s="87"/>
      <c r="G8" s="87"/>
      <c r="H8" s="87"/>
      <c r="I8" s="87"/>
    </row>
    <row r="11" spans="2:10" x14ac:dyDescent="0.25">
      <c r="B11" t="s">
        <v>7</v>
      </c>
    </row>
    <row r="12" spans="2:10" x14ac:dyDescent="0.25">
      <c r="D12" s="87"/>
      <c r="E12" s="87"/>
      <c r="F12" s="87"/>
      <c r="G12" s="87"/>
      <c r="H12" s="87"/>
      <c r="I12" s="87"/>
    </row>
    <row r="15" spans="2:10" x14ac:dyDescent="0.25">
      <c r="B15" s="5" t="s">
        <v>22</v>
      </c>
    </row>
    <row r="16" spans="2:10" x14ac:dyDescent="0.25">
      <c r="B16" s="88" t="s">
        <v>23</v>
      </c>
      <c r="C16" s="89"/>
      <c r="D16" s="89"/>
      <c r="E16" s="89"/>
      <c r="F16" s="89"/>
      <c r="G16" s="89"/>
      <c r="H16" s="89"/>
      <c r="I16" s="89"/>
      <c r="J16" s="90"/>
    </row>
    <row r="17" spans="2:10" x14ac:dyDescent="0.25">
      <c r="B17" s="91"/>
      <c r="C17" s="92"/>
      <c r="D17" s="92"/>
      <c r="E17" s="92"/>
      <c r="F17" s="92"/>
      <c r="G17" s="92"/>
      <c r="H17" s="92"/>
      <c r="I17" s="92"/>
      <c r="J17" s="93"/>
    </row>
    <row r="18" spans="2:10" x14ac:dyDescent="0.25">
      <c r="B18" s="91"/>
      <c r="C18" s="92"/>
      <c r="D18" s="92"/>
      <c r="E18" s="92"/>
      <c r="F18" s="92"/>
      <c r="G18" s="92"/>
      <c r="H18" s="92"/>
      <c r="I18" s="92"/>
      <c r="J18" s="93"/>
    </row>
    <row r="19" spans="2:10" x14ac:dyDescent="0.25">
      <c r="B19" s="91"/>
      <c r="C19" s="92"/>
      <c r="D19" s="92"/>
      <c r="E19" s="92"/>
      <c r="F19" s="92"/>
      <c r="G19" s="92"/>
      <c r="H19" s="92"/>
      <c r="I19" s="92"/>
      <c r="J19" s="93"/>
    </row>
    <row r="20" spans="2:10" x14ac:dyDescent="0.25">
      <c r="B20" s="94"/>
      <c r="C20" s="95"/>
      <c r="D20" s="95"/>
      <c r="E20" s="95"/>
      <c r="F20" s="95"/>
      <c r="G20" s="95"/>
      <c r="H20" s="95"/>
      <c r="I20" s="95"/>
      <c r="J20" s="96"/>
    </row>
  </sheetData>
  <mergeCells count="3">
    <mergeCell ref="D8:I8"/>
    <mergeCell ref="D12:I12"/>
    <mergeCell ref="B16:J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T99"/>
  <sheetViews>
    <sheetView zoomScaleNormal="100" workbookViewId="0">
      <selection activeCell="Q30" sqref="Q30"/>
    </sheetView>
  </sheetViews>
  <sheetFormatPr defaultColWidth="9.140625" defaultRowHeight="15" x14ac:dyDescent="0.25"/>
  <cols>
    <col min="1" max="3" width="9.140625" style="1"/>
    <col min="4" max="4" width="28.7109375" style="1" customWidth="1"/>
    <col min="5" max="10" width="9.140625" style="1"/>
    <col min="11" max="11" width="11.140625" style="1" customWidth="1"/>
    <col min="12" max="13" width="9.140625" style="1"/>
    <col min="14" max="14" width="26.140625" style="1" customWidth="1"/>
    <col min="15" max="15" width="9.140625" style="6"/>
    <col min="16" max="16" width="10.28515625" style="1" customWidth="1"/>
    <col min="17" max="17" width="16.140625" style="1" customWidth="1"/>
    <col min="18" max="16384" width="9.140625" style="1"/>
  </cols>
  <sheetData>
    <row r="2" spans="2:20" ht="15" customHeight="1" x14ac:dyDescent="0.25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T2" s="22"/>
    </row>
    <row r="3" spans="2:20" x14ac:dyDescent="0.25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T3" s="128"/>
    </row>
    <row r="4" spans="2:20" x14ac:dyDescent="0.25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0"/>
      <c r="T4" s="22"/>
    </row>
    <row r="5" spans="2:20" x14ac:dyDescent="0.25"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P5" s="6" t="s">
        <v>131</v>
      </c>
      <c r="T5" s="22"/>
    </row>
    <row r="6" spans="2:20" x14ac:dyDescent="0.25">
      <c r="T6" s="22"/>
    </row>
    <row r="7" spans="2:20" x14ac:dyDescent="0.25">
      <c r="T7" s="22"/>
    </row>
    <row r="8" spans="2:20" ht="15.75" thickBot="1" x14ac:dyDescent="0.3">
      <c r="B8" s="2" t="s">
        <v>0</v>
      </c>
      <c r="T8" s="22"/>
    </row>
    <row r="9" spans="2:20" x14ac:dyDescent="0.25">
      <c r="B9" s="97" t="s">
        <v>40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  <c r="T9" s="22"/>
    </row>
    <row r="10" spans="2:20" x14ac:dyDescent="0.25"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P10" s="7"/>
      <c r="Q10" s="7"/>
      <c r="R10" s="7"/>
      <c r="T10" s="22"/>
    </row>
    <row r="11" spans="2:20" ht="15.75" thickBot="1" x14ac:dyDescent="0.3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5"/>
      <c r="T11" s="22"/>
    </row>
    <row r="12" spans="2:20" x14ac:dyDescent="0.25">
      <c r="T12" s="22"/>
    </row>
    <row r="13" spans="2:20" x14ac:dyDescent="0.25">
      <c r="B13" s="1" t="s">
        <v>1</v>
      </c>
      <c r="C13" s="1" t="s">
        <v>2</v>
      </c>
      <c r="T13" s="22"/>
    </row>
    <row r="14" spans="2:20" x14ac:dyDescent="0.25">
      <c r="B14" s="13" t="s">
        <v>3</v>
      </c>
      <c r="C14" s="13" t="s">
        <v>4</v>
      </c>
      <c r="D14" s="6"/>
      <c r="E14" s="6"/>
    </row>
    <row r="17" spans="2:18" ht="15.75" thickBot="1" x14ac:dyDescent="0.3">
      <c r="B17" s="16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3"/>
      <c r="P17" s="7" t="s">
        <v>26</v>
      </c>
      <c r="Q17" s="7">
        <f>15000000</f>
        <v>15000000</v>
      </c>
      <c r="R17" s="7"/>
    </row>
    <row r="18" spans="2:18" x14ac:dyDescent="0.25">
      <c r="B18" s="106" t="s">
        <v>124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8"/>
      <c r="O18" s="13"/>
      <c r="P18" s="7"/>
      <c r="Q18" s="7"/>
      <c r="R18" s="7"/>
    </row>
    <row r="19" spans="2:18" x14ac:dyDescent="0.25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1"/>
      <c r="O19" s="13"/>
      <c r="P19" s="7" t="s">
        <v>35</v>
      </c>
      <c r="Q19" s="7">
        <v>1200000</v>
      </c>
      <c r="R19" s="7"/>
    </row>
    <row r="20" spans="2:18" ht="15.75" thickBot="1" x14ac:dyDescent="0.3"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4"/>
      <c r="O20" s="13"/>
      <c r="P20" s="7" t="s">
        <v>36</v>
      </c>
      <c r="Q20" s="7">
        <f>1000000</f>
        <v>1000000</v>
      </c>
      <c r="R20" s="7"/>
    </row>
    <row r="21" spans="2:18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3"/>
      <c r="P21" s="7" t="s">
        <v>28</v>
      </c>
      <c r="Q21" s="7">
        <f>(Q19+Q20)/2</f>
        <v>1100000</v>
      </c>
      <c r="R21" s="7"/>
    </row>
    <row r="22" spans="2:18" x14ac:dyDescent="0.25">
      <c r="B22" s="17" t="s">
        <v>1</v>
      </c>
      <c r="C22" s="13" t="s">
        <v>41</v>
      </c>
      <c r="D22" s="13"/>
      <c r="E22" s="13"/>
      <c r="F22" s="13"/>
      <c r="G22" s="13"/>
      <c r="H22" s="13"/>
      <c r="I22" s="13"/>
      <c r="J22" s="7"/>
      <c r="K22" s="7"/>
      <c r="L22" s="7"/>
      <c r="M22" s="7"/>
      <c r="N22" s="7"/>
      <c r="O22" s="13"/>
      <c r="P22" s="7"/>
      <c r="Q22" s="7"/>
      <c r="R22" s="7"/>
    </row>
    <row r="23" spans="2:18" x14ac:dyDescent="0.25">
      <c r="B23" s="18" t="s">
        <v>8</v>
      </c>
      <c r="C23" s="7" t="s">
        <v>42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3"/>
      <c r="P23" s="7" t="s">
        <v>29</v>
      </c>
      <c r="Q23" s="7">
        <f>Q17/Q21</f>
        <v>13.636363636363637</v>
      </c>
      <c r="R23" s="7"/>
    </row>
    <row r="24" spans="2:18" x14ac:dyDescent="0.25">
      <c r="B24" s="18" t="s">
        <v>9</v>
      </c>
      <c r="C24" s="7" t="s">
        <v>125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3"/>
      <c r="P24" s="7" t="s">
        <v>30</v>
      </c>
      <c r="Q24" s="7">
        <f>365/Q23</f>
        <v>26.766666666666666</v>
      </c>
      <c r="R24" s="7"/>
    </row>
    <row r="25" spans="2:18" x14ac:dyDescent="0.25">
      <c r="B25" s="18" t="s">
        <v>10</v>
      </c>
      <c r="C25" s="7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3"/>
      <c r="P25" s="7"/>
      <c r="Q25" s="7"/>
      <c r="R25" s="7"/>
    </row>
    <row r="26" spans="2:18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3"/>
      <c r="P26" s="7"/>
      <c r="Q26" s="7"/>
      <c r="R26" s="7"/>
    </row>
    <row r="27" spans="2:18" ht="15.75" thickBot="1" x14ac:dyDescent="0.3">
      <c r="B27" s="16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3"/>
      <c r="P27" s="7"/>
      <c r="Q27" s="7"/>
      <c r="R27" s="7"/>
    </row>
    <row r="28" spans="2:18" x14ac:dyDescent="0.25">
      <c r="B28" s="106" t="s">
        <v>118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8"/>
      <c r="O28" s="13"/>
      <c r="P28" s="7"/>
      <c r="Q28" s="7"/>
      <c r="R28" s="7"/>
    </row>
    <row r="29" spans="2:18" x14ac:dyDescent="0.25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1"/>
      <c r="O29" s="13"/>
      <c r="P29" s="7"/>
      <c r="Q29" s="7"/>
      <c r="R29" s="7"/>
    </row>
    <row r="30" spans="2:18" ht="15.75" thickBot="1" x14ac:dyDescent="0.3"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4"/>
      <c r="O30" s="13"/>
      <c r="P30" s="7"/>
      <c r="Q30" s="7"/>
      <c r="R30" s="7"/>
    </row>
    <row r="31" spans="2:18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3"/>
      <c r="P31" s="7"/>
      <c r="Q31" s="7"/>
      <c r="R31" s="7"/>
    </row>
    <row r="32" spans="2:18" x14ac:dyDescent="0.25">
      <c r="B32" s="18" t="s">
        <v>1</v>
      </c>
      <c r="C32" s="19" t="s">
        <v>45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3"/>
      <c r="P32" s="7"/>
      <c r="Q32" s="7"/>
      <c r="R32" s="7"/>
    </row>
    <row r="33" spans="2:20" x14ac:dyDescent="0.25">
      <c r="B33" s="17" t="s">
        <v>8</v>
      </c>
      <c r="C33" s="13" t="s">
        <v>43</v>
      </c>
      <c r="D33" s="13"/>
      <c r="E33" s="13"/>
      <c r="F33" s="13"/>
      <c r="G33" s="7"/>
      <c r="H33" s="7"/>
      <c r="I33" s="7"/>
      <c r="J33" s="7"/>
      <c r="K33" s="7"/>
      <c r="L33" s="7"/>
      <c r="M33" s="7"/>
      <c r="N33" s="7"/>
      <c r="O33" s="13"/>
      <c r="P33" s="7"/>
      <c r="Q33" s="7"/>
      <c r="R33" s="7"/>
    </row>
    <row r="34" spans="2:20" x14ac:dyDescent="0.25">
      <c r="B34" s="18" t="s">
        <v>9</v>
      </c>
      <c r="C34" s="7" t="s">
        <v>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3"/>
      <c r="P34" s="7"/>
      <c r="Q34" s="7"/>
      <c r="R34" s="7"/>
    </row>
    <row r="35" spans="2:20" x14ac:dyDescent="0.25">
      <c r="B35" s="18" t="s">
        <v>10</v>
      </c>
      <c r="C35" s="7" t="s">
        <v>44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3"/>
      <c r="P35" s="7"/>
      <c r="Q35" s="7"/>
      <c r="R35" s="7"/>
    </row>
    <row r="36" spans="2:2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3"/>
      <c r="P36" s="7"/>
      <c r="Q36" s="7"/>
      <c r="R36" s="7"/>
    </row>
    <row r="37" spans="2:20" s="7" customFormat="1" ht="15.75" thickBot="1" x14ac:dyDescent="0.3">
      <c r="B37" s="16" t="s">
        <v>13</v>
      </c>
      <c r="O37" s="13"/>
      <c r="T37" s="1"/>
    </row>
    <row r="38" spans="2:20" s="7" customFormat="1" x14ac:dyDescent="0.25">
      <c r="B38" s="106" t="s">
        <v>119</v>
      </c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8"/>
      <c r="O38" s="13"/>
      <c r="T38" s="1"/>
    </row>
    <row r="39" spans="2:20" s="7" customFormat="1" x14ac:dyDescent="0.2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1"/>
      <c r="O39" s="13"/>
      <c r="T39" s="1"/>
    </row>
    <row r="40" spans="2:20" s="7" customFormat="1" ht="15.75" thickBot="1" x14ac:dyDescent="0.3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4"/>
      <c r="O40" s="13"/>
      <c r="T40" s="1"/>
    </row>
    <row r="41" spans="2:20" s="7" customFormat="1" x14ac:dyDescent="0.25">
      <c r="O41" s="13"/>
      <c r="P41" s="7" t="s">
        <v>31</v>
      </c>
      <c r="Q41" s="7">
        <f>50000000</f>
        <v>50000000</v>
      </c>
    </row>
    <row r="42" spans="2:20" s="7" customFormat="1" x14ac:dyDescent="0.25">
      <c r="B42" s="17" t="s">
        <v>1</v>
      </c>
      <c r="C42" s="13" t="s">
        <v>47</v>
      </c>
      <c r="O42" s="13"/>
      <c r="P42" s="7" t="s">
        <v>32</v>
      </c>
      <c r="Q42" s="20">
        <f>3/12</f>
        <v>0.25</v>
      </c>
      <c r="R42" s="7" t="s">
        <v>46</v>
      </c>
    </row>
    <row r="43" spans="2:20" s="7" customFormat="1" x14ac:dyDescent="0.25">
      <c r="B43" s="18" t="s">
        <v>8</v>
      </c>
      <c r="C43" s="7" t="s">
        <v>48</v>
      </c>
      <c r="D43" s="13"/>
      <c r="E43" s="13"/>
      <c r="F43" s="13"/>
      <c r="G43" s="13"/>
      <c r="H43" s="13"/>
      <c r="I43" s="13"/>
      <c r="J43" s="13"/>
      <c r="O43" s="13"/>
      <c r="P43" s="7" t="s">
        <v>34</v>
      </c>
      <c r="Q43" s="10">
        <v>0.09</v>
      </c>
    </row>
    <row r="44" spans="2:20" s="7" customFormat="1" x14ac:dyDescent="0.25">
      <c r="B44" s="18" t="s">
        <v>9</v>
      </c>
      <c r="C44" s="7" t="s">
        <v>49</v>
      </c>
      <c r="O44" s="13"/>
      <c r="P44" s="7" t="s">
        <v>33</v>
      </c>
      <c r="Q44" s="7">
        <f>Q41*Q42*Q43</f>
        <v>1125000</v>
      </c>
    </row>
    <row r="45" spans="2:20" s="7" customFormat="1" x14ac:dyDescent="0.25">
      <c r="B45" s="18" t="s">
        <v>10</v>
      </c>
      <c r="C45" s="7" t="s">
        <v>50</v>
      </c>
      <c r="O45" s="13"/>
    </row>
    <row r="46" spans="2:20" s="7" customFormat="1" x14ac:dyDescent="0.25">
      <c r="O46" s="13"/>
    </row>
    <row r="47" spans="2:20" s="7" customFormat="1" x14ac:dyDescent="0.25">
      <c r="O47" s="13"/>
    </row>
    <row r="48" spans="2:20" s="7" customFormat="1" ht="15.75" thickBot="1" x14ac:dyDescent="0.3">
      <c r="B48" s="16" t="s">
        <v>14</v>
      </c>
      <c r="O48" s="13"/>
    </row>
    <row r="49" spans="2:15" s="7" customFormat="1" x14ac:dyDescent="0.25">
      <c r="B49" s="106" t="s">
        <v>51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8"/>
      <c r="O49" s="13"/>
    </row>
    <row r="50" spans="2:15" s="7" customFormat="1" x14ac:dyDescent="0.25">
      <c r="B50" s="109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1"/>
      <c r="O50" s="13"/>
    </row>
    <row r="51" spans="2:15" s="7" customFormat="1" x14ac:dyDescent="0.25"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1"/>
      <c r="O51" s="13"/>
    </row>
    <row r="52" spans="2:15" s="7" customFormat="1" ht="15.75" thickBot="1" x14ac:dyDescent="0.3"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4"/>
      <c r="O52" s="13"/>
    </row>
    <row r="53" spans="2:15" s="7" customFormat="1" x14ac:dyDescent="0.25">
      <c r="O53" s="13"/>
    </row>
    <row r="54" spans="2:15" s="7" customFormat="1" x14ac:dyDescent="0.25">
      <c r="B54" s="18" t="s">
        <v>1</v>
      </c>
      <c r="C54" s="7" t="s">
        <v>53</v>
      </c>
      <c r="O54" s="13"/>
    </row>
    <row r="55" spans="2:15" s="7" customFormat="1" x14ac:dyDescent="0.25">
      <c r="B55" s="17" t="s">
        <v>8</v>
      </c>
      <c r="C55" s="13" t="s">
        <v>52</v>
      </c>
      <c r="O55" s="13"/>
    </row>
    <row r="56" spans="2:15" s="7" customFormat="1" x14ac:dyDescent="0.25">
      <c r="B56" s="18" t="s">
        <v>9</v>
      </c>
      <c r="C56" s="21" t="s">
        <v>54</v>
      </c>
      <c r="O56" s="13"/>
    </row>
    <row r="57" spans="2:15" s="7" customFormat="1" x14ac:dyDescent="0.25">
      <c r="B57" s="18" t="s">
        <v>10</v>
      </c>
      <c r="C57" s="7" t="s">
        <v>55</v>
      </c>
      <c r="O57" s="13"/>
    </row>
    <row r="58" spans="2:15" s="7" customFormat="1" x14ac:dyDescent="0.25">
      <c r="B58" s="18"/>
      <c r="O58" s="13"/>
    </row>
    <row r="59" spans="2:15" s="7" customFormat="1" ht="15.75" thickBot="1" x14ac:dyDescent="0.3">
      <c r="B59" s="16" t="s">
        <v>15</v>
      </c>
      <c r="O59" s="13"/>
    </row>
    <row r="60" spans="2:15" s="7" customFormat="1" x14ac:dyDescent="0.25">
      <c r="B60" s="106" t="s">
        <v>120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8"/>
      <c r="O60" s="13"/>
    </row>
    <row r="61" spans="2:15" s="7" customFormat="1" x14ac:dyDescent="0.25">
      <c r="B61" s="109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1"/>
      <c r="O61" s="13"/>
    </row>
    <row r="62" spans="2:15" s="7" customFormat="1" x14ac:dyDescent="0.25">
      <c r="B62" s="109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1"/>
      <c r="O62" s="13"/>
    </row>
    <row r="63" spans="2:15" s="7" customFormat="1" ht="15.75" thickBot="1" x14ac:dyDescent="0.3">
      <c r="B63" s="112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4"/>
      <c r="O63" s="13"/>
    </row>
    <row r="64" spans="2:15" s="7" customFormat="1" x14ac:dyDescent="0.25">
      <c r="O64" s="13"/>
    </row>
    <row r="65" spans="2:15" s="7" customFormat="1" x14ac:dyDescent="0.25">
      <c r="D65" s="24"/>
      <c r="E65" s="25" t="s">
        <v>56</v>
      </c>
      <c r="F65" s="26" t="s">
        <v>57</v>
      </c>
      <c r="O65" s="13"/>
    </row>
    <row r="66" spans="2:15" s="7" customFormat="1" x14ac:dyDescent="0.25">
      <c r="D66" s="27" t="s">
        <v>58</v>
      </c>
      <c r="E66" s="28" t="s">
        <v>59</v>
      </c>
      <c r="F66" s="8"/>
      <c r="K66" s="7" t="s">
        <v>65</v>
      </c>
      <c r="L66" s="7">
        <f>F69</f>
        <v>5400</v>
      </c>
      <c r="O66" s="13"/>
    </row>
    <row r="67" spans="2:15" s="7" customFormat="1" x14ac:dyDescent="0.25">
      <c r="D67" s="27" t="s">
        <v>60</v>
      </c>
      <c r="E67" s="22">
        <f>10000</f>
        <v>10000</v>
      </c>
      <c r="F67" s="8"/>
      <c r="K67" s="7" t="s">
        <v>66</v>
      </c>
      <c r="L67" s="7">
        <f>F70</f>
        <v>6000</v>
      </c>
      <c r="O67" s="13"/>
    </row>
    <row r="68" spans="2:15" s="7" customFormat="1" x14ac:dyDescent="0.25">
      <c r="D68" s="27" t="s">
        <v>61</v>
      </c>
      <c r="E68" s="22"/>
      <c r="F68" s="8">
        <f>4000</f>
        <v>4000</v>
      </c>
      <c r="K68" s="7" t="s">
        <v>67</v>
      </c>
      <c r="L68" s="15">
        <f>-E71</f>
        <v>-3600</v>
      </c>
      <c r="O68" s="13"/>
    </row>
    <row r="69" spans="2:15" s="7" customFormat="1" x14ac:dyDescent="0.25">
      <c r="D69" s="27" t="s">
        <v>64</v>
      </c>
      <c r="E69" s="22"/>
      <c r="F69" s="8">
        <f>5400</f>
        <v>5400</v>
      </c>
      <c r="K69" s="7" t="s">
        <v>68</v>
      </c>
      <c r="L69" s="7">
        <f>SUM(L66:L68)</f>
        <v>7800</v>
      </c>
      <c r="O69" s="13"/>
    </row>
    <row r="70" spans="2:15" s="7" customFormat="1" x14ac:dyDescent="0.25">
      <c r="D70" s="27" t="s">
        <v>62</v>
      </c>
      <c r="E70" s="22"/>
      <c r="F70" s="8">
        <f>6000</f>
        <v>6000</v>
      </c>
      <c r="O70" s="13"/>
    </row>
    <row r="71" spans="2:15" s="7" customFormat="1" x14ac:dyDescent="0.25">
      <c r="D71" s="29" t="s">
        <v>63</v>
      </c>
      <c r="E71" s="15">
        <f>3600</f>
        <v>3600</v>
      </c>
      <c r="F71" s="14"/>
      <c r="K71" s="7" t="s">
        <v>69</v>
      </c>
      <c r="L71" s="22">
        <f>L69</f>
        <v>7800</v>
      </c>
      <c r="O71" s="13"/>
    </row>
    <row r="72" spans="2:15" s="7" customFormat="1" x14ac:dyDescent="0.25">
      <c r="K72" s="7" t="s">
        <v>70</v>
      </c>
      <c r="L72" s="15">
        <f>F68</f>
        <v>4000</v>
      </c>
      <c r="O72" s="13"/>
    </row>
    <row r="73" spans="2:15" s="7" customFormat="1" x14ac:dyDescent="0.25">
      <c r="K73" s="7" t="s">
        <v>71</v>
      </c>
      <c r="L73" s="22">
        <f>SUM(L71:L72)</f>
        <v>11800</v>
      </c>
      <c r="O73" s="13"/>
    </row>
    <row r="74" spans="2:15" s="7" customFormat="1" x14ac:dyDescent="0.25">
      <c r="B74" s="18" t="s">
        <v>1</v>
      </c>
      <c r="C74" s="7">
        <f>600</f>
        <v>600</v>
      </c>
      <c r="L74" s="22"/>
      <c r="M74" s="7" t="s">
        <v>75</v>
      </c>
      <c r="O74" s="13"/>
    </row>
    <row r="75" spans="2:15" s="7" customFormat="1" x14ac:dyDescent="0.25">
      <c r="B75" s="18" t="s">
        <v>8</v>
      </c>
      <c r="C75" s="7">
        <f>0</f>
        <v>0</v>
      </c>
      <c r="K75" s="7" t="s">
        <v>72</v>
      </c>
      <c r="L75" s="7">
        <f>+E67</f>
        <v>10000</v>
      </c>
      <c r="O75" s="13"/>
    </row>
    <row r="76" spans="2:15" s="7" customFormat="1" x14ac:dyDescent="0.25">
      <c r="B76" s="18" t="s">
        <v>9</v>
      </c>
      <c r="C76" s="7">
        <f>5400</f>
        <v>5400</v>
      </c>
      <c r="K76" s="13" t="s">
        <v>73</v>
      </c>
      <c r="L76" s="23">
        <f>L77-L75</f>
        <v>1800</v>
      </c>
      <c r="O76" s="13"/>
    </row>
    <row r="77" spans="2:15" s="7" customFormat="1" x14ac:dyDescent="0.25">
      <c r="B77" s="17" t="s">
        <v>10</v>
      </c>
      <c r="C77" s="13">
        <f>1800</f>
        <v>1800</v>
      </c>
      <c r="K77" s="7" t="s">
        <v>74</v>
      </c>
      <c r="L77" s="7">
        <f>L73</f>
        <v>11800</v>
      </c>
      <c r="O77" s="13"/>
    </row>
    <row r="78" spans="2:15" s="7" customFormat="1" x14ac:dyDescent="0.25">
      <c r="O78" s="13"/>
    </row>
    <row r="79" spans="2:15" s="7" customFormat="1" x14ac:dyDescent="0.25">
      <c r="O79" s="13"/>
    </row>
    <row r="80" spans="2:15" s="7" customFormat="1" ht="15.75" thickBot="1" x14ac:dyDescent="0.3">
      <c r="B80" s="16" t="s">
        <v>76</v>
      </c>
      <c r="O80" s="13"/>
    </row>
    <row r="81" spans="2:15" s="7" customFormat="1" x14ac:dyDescent="0.25">
      <c r="B81" s="106" t="s">
        <v>79</v>
      </c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8"/>
      <c r="O81" s="13"/>
    </row>
    <row r="82" spans="2:15" s="7" customFormat="1" x14ac:dyDescent="0.25">
      <c r="B82" s="109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1"/>
      <c r="O82" s="13"/>
    </row>
    <row r="83" spans="2:15" s="7" customFormat="1" x14ac:dyDescent="0.25">
      <c r="B83" s="109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1"/>
      <c r="O83" s="13"/>
    </row>
    <row r="84" spans="2:15" s="7" customFormat="1" ht="15.75" thickBot="1" x14ac:dyDescent="0.3">
      <c r="B84" s="112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4"/>
      <c r="O84" s="13"/>
    </row>
    <row r="85" spans="2:15" s="7" customFormat="1" x14ac:dyDescent="0.25">
      <c r="O85" s="13"/>
    </row>
    <row r="86" spans="2:15" s="7" customFormat="1" x14ac:dyDescent="0.25">
      <c r="B86" s="18" t="s">
        <v>1</v>
      </c>
      <c r="C86" s="7" t="s">
        <v>77</v>
      </c>
      <c r="O86" s="13"/>
    </row>
    <row r="87" spans="2:15" s="7" customFormat="1" x14ac:dyDescent="0.25">
      <c r="B87" s="17" t="s">
        <v>8</v>
      </c>
      <c r="C87" s="13" t="s">
        <v>78</v>
      </c>
      <c r="O87" s="13"/>
    </row>
    <row r="88" spans="2:15" s="7" customFormat="1" x14ac:dyDescent="0.25">
      <c r="B88" s="18"/>
      <c r="O88" s="13"/>
    </row>
    <row r="89" spans="2:15" s="7" customFormat="1" x14ac:dyDescent="0.25">
      <c r="B89" s="18"/>
      <c r="O89" s="13"/>
    </row>
    <row r="90" spans="2:15" s="7" customFormat="1" ht="15.75" thickBot="1" x14ac:dyDescent="0.3">
      <c r="B90" s="16" t="s">
        <v>80</v>
      </c>
      <c r="O90" s="13"/>
    </row>
    <row r="91" spans="2:15" s="7" customFormat="1" x14ac:dyDescent="0.25">
      <c r="B91" s="106" t="s">
        <v>82</v>
      </c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8"/>
      <c r="O91" s="13"/>
    </row>
    <row r="92" spans="2:15" s="7" customFormat="1" x14ac:dyDescent="0.25">
      <c r="B92" s="109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1"/>
      <c r="O92" s="13"/>
    </row>
    <row r="93" spans="2:15" s="7" customFormat="1" x14ac:dyDescent="0.25">
      <c r="B93" s="109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1"/>
      <c r="O93" s="13"/>
    </row>
    <row r="94" spans="2:15" s="7" customFormat="1" ht="15.75" thickBot="1" x14ac:dyDescent="0.3">
      <c r="B94" s="112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4"/>
      <c r="O94" s="13"/>
    </row>
    <row r="95" spans="2:15" s="7" customFormat="1" x14ac:dyDescent="0.25">
      <c r="O95" s="13"/>
    </row>
    <row r="96" spans="2:15" s="7" customFormat="1" x14ac:dyDescent="0.25">
      <c r="B96" s="18" t="s">
        <v>1</v>
      </c>
      <c r="C96" s="13" t="s">
        <v>81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O96" s="13"/>
    </row>
    <row r="97" spans="2:15" s="7" customFormat="1" x14ac:dyDescent="0.25">
      <c r="B97" s="18" t="s">
        <v>8</v>
      </c>
      <c r="C97" s="7" t="s">
        <v>83</v>
      </c>
      <c r="O97" s="13"/>
    </row>
    <row r="98" spans="2:15" s="7" customFormat="1" x14ac:dyDescent="0.25">
      <c r="B98" s="18" t="s">
        <v>9</v>
      </c>
      <c r="C98" s="7" t="s">
        <v>126</v>
      </c>
      <c r="O98" s="13"/>
    </row>
    <row r="99" spans="2:15" s="7" customFormat="1" x14ac:dyDescent="0.25">
      <c r="B99" s="18"/>
      <c r="O99" s="13"/>
    </row>
  </sheetData>
  <mergeCells count="9">
    <mergeCell ref="B9:N11"/>
    <mergeCell ref="B49:N52"/>
    <mergeCell ref="B2:N5"/>
    <mergeCell ref="B28:N30"/>
    <mergeCell ref="B91:N94"/>
    <mergeCell ref="B38:N40"/>
    <mergeCell ref="B60:N63"/>
    <mergeCell ref="B81:N84"/>
    <mergeCell ref="B18:N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CDD-0413-472A-8CA0-15B5DE102DB6}">
  <sheetPr>
    <tabColor theme="4" tint="0.59999389629810485"/>
  </sheetPr>
  <dimension ref="A2:P27"/>
  <sheetViews>
    <sheetView zoomScaleNormal="100" workbookViewId="0">
      <selection activeCell="A27" sqref="A27"/>
    </sheetView>
  </sheetViews>
  <sheetFormatPr defaultColWidth="9.140625" defaultRowHeight="15" x14ac:dyDescent="0.25"/>
  <cols>
    <col min="1" max="7" width="9.140625" style="1"/>
    <col min="8" max="8" width="15.7109375" style="1" customWidth="1"/>
    <col min="9" max="9" width="9.140625" style="1"/>
    <col min="10" max="10" width="17.140625" style="1" customWidth="1"/>
    <col min="11" max="16384" width="9.140625" style="1"/>
  </cols>
  <sheetData>
    <row r="2" spans="1:16" s="3" customFormat="1" ht="15.75" thickBot="1" x14ac:dyDescent="0.3"/>
    <row r="3" spans="1:16" s="30" customFormat="1" ht="14.45" customHeight="1" x14ac:dyDescent="0.25">
      <c r="A3" s="97" t="s">
        <v>121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s="30" customFormat="1" x14ac:dyDescent="0.2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1:16" s="30" customFormat="1" x14ac:dyDescent="0.25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/>
    </row>
    <row r="6" spans="1:16" s="30" customFormat="1" x14ac:dyDescent="0.25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1:16" s="30" customFormat="1" x14ac:dyDescent="0.25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1:16" s="30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2"/>
    </row>
    <row r="9" spans="1:16" s="30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2"/>
    </row>
    <row r="10" spans="1:16" s="30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/>
    </row>
    <row r="11" spans="1:16" s="30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2"/>
    </row>
    <row r="12" spans="1:16" s="30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1:16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2"/>
    </row>
    <row r="14" spans="1:16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2"/>
    </row>
    <row r="15" spans="1:16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2"/>
    </row>
    <row r="16" spans="1:16" ht="15.75" thickBot="1" x14ac:dyDescent="0.3">
      <c r="A16" s="103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5"/>
    </row>
    <row r="18" spans="3:10" x14ac:dyDescent="0.25">
      <c r="H18" s="3" t="s">
        <v>17</v>
      </c>
      <c r="J18" s="3" t="s">
        <v>17</v>
      </c>
    </row>
    <row r="19" spans="3:10" x14ac:dyDescent="0.25">
      <c r="H19" s="3" t="s">
        <v>18</v>
      </c>
      <c r="J19" s="3" t="s">
        <v>19</v>
      </c>
    </row>
    <row r="20" spans="3:10" x14ac:dyDescent="0.25">
      <c r="H20" s="4" t="s">
        <v>16</v>
      </c>
      <c r="J20" s="4" t="s">
        <v>20</v>
      </c>
    </row>
    <row r="22" spans="3:10" x14ac:dyDescent="0.25">
      <c r="C22" s="124" t="s">
        <v>24</v>
      </c>
      <c r="D22" s="124"/>
      <c r="E22" s="124"/>
      <c r="F22" s="124"/>
      <c r="G22" s="124"/>
      <c r="H22" s="1">
        <f>133300000</f>
        <v>133300000</v>
      </c>
      <c r="J22" s="1">
        <f>142000000</f>
        <v>142000000</v>
      </c>
    </row>
    <row r="23" spans="3:10" x14ac:dyDescent="0.25">
      <c r="C23" s="124" t="s">
        <v>84</v>
      </c>
      <c r="D23" s="124"/>
      <c r="E23" s="124"/>
      <c r="F23" s="124"/>
      <c r="G23" s="124"/>
      <c r="H23" s="1">
        <f>2000000</f>
        <v>2000000</v>
      </c>
    </row>
    <row r="24" spans="3:10" ht="15" customHeight="1" x14ac:dyDescent="0.25">
      <c r="C24" s="124" t="s">
        <v>85</v>
      </c>
      <c r="D24" s="124"/>
      <c r="E24" s="124"/>
      <c r="F24" s="124"/>
      <c r="G24" s="124"/>
      <c r="H24" s="1">
        <f>-300000</f>
        <v>-300000</v>
      </c>
    </row>
    <row r="25" spans="3:10" ht="15" customHeight="1" x14ac:dyDescent="0.25">
      <c r="C25" s="124" t="s">
        <v>86</v>
      </c>
      <c r="D25" s="124"/>
      <c r="E25" s="124"/>
      <c r="F25" s="124"/>
      <c r="G25" s="124"/>
      <c r="J25" s="1">
        <f>-5000000</f>
        <v>-5000000</v>
      </c>
    </row>
    <row r="26" spans="3:10" x14ac:dyDescent="0.25">
      <c r="C26" s="124" t="s">
        <v>87</v>
      </c>
      <c r="D26" s="124"/>
      <c r="E26" s="124"/>
      <c r="F26" s="124"/>
      <c r="G26" s="124"/>
      <c r="H26" s="4">
        <f>2000000</f>
        <v>2000000</v>
      </c>
      <c r="J26" s="4"/>
    </row>
    <row r="27" spans="3:10" x14ac:dyDescent="0.25">
      <c r="C27" s="124"/>
      <c r="D27" s="124"/>
      <c r="E27" s="124"/>
      <c r="F27" s="124"/>
      <c r="G27" s="124"/>
      <c r="H27" s="52">
        <f>SUM(H21:H26)</f>
        <v>137000000</v>
      </c>
      <c r="J27" s="31">
        <f>SUM(J21:J26)</f>
        <v>137000000</v>
      </c>
    </row>
  </sheetData>
  <mergeCells count="7">
    <mergeCell ref="A3:P16"/>
    <mergeCell ref="C27:G27"/>
    <mergeCell ref="C25:G25"/>
    <mergeCell ref="C26:G26"/>
    <mergeCell ref="C22:G22"/>
    <mergeCell ref="C23:G23"/>
    <mergeCell ref="C24:G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AD03-FF3F-43DF-A26F-4DFDF51EB355}">
  <sheetPr>
    <tabColor theme="4" tint="0.59999389629810485"/>
  </sheetPr>
  <dimension ref="D1:R38"/>
  <sheetViews>
    <sheetView zoomScale="70" zoomScaleNormal="70" workbookViewId="0">
      <selection activeCell="J40" sqref="J40"/>
    </sheetView>
  </sheetViews>
  <sheetFormatPr defaultColWidth="9.140625" defaultRowHeight="15" x14ac:dyDescent="0.25"/>
  <cols>
    <col min="1" max="3" width="9.140625" style="1"/>
    <col min="4" max="5" width="15.42578125" style="1" customWidth="1"/>
    <col min="6" max="6" width="16.28515625" style="1" customWidth="1"/>
    <col min="7" max="7" width="17" style="1" customWidth="1"/>
    <col min="8" max="8" width="20.5703125" style="1" customWidth="1"/>
    <col min="9" max="10" width="14.140625" style="1" customWidth="1"/>
    <col min="11" max="11" width="17.85546875" style="1" customWidth="1"/>
    <col min="12" max="12" width="27" style="1" customWidth="1"/>
    <col min="13" max="13" width="11.42578125" style="1" customWidth="1"/>
    <col min="14" max="17" width="9.140625" style="1"/>
    <col min="18" max="18" width="10.85546875" style="1" bestFit="1" customWidth="1"/>
    <col min="19" max="16384" width="9.140625" style="1"/>
  </cols>
  <sheetData>
    <row r="1" spans="4:15" ht="15.75" thickBot="1" x14ac:dyDescent="0.3"/>
    <row r="2" spans="4:15" x14ac:dyDescent="0.25">
      <c r="D2" s="97" t="s">
        <v>106</v>
      </c>
      <c r="E2" s="98"/>
      <c r="F2" s="98"/>
      <c r="G2" s="98"/>
      <c r="H2" s="98"/>
      <c r="I2" s="98"/>
      <c r="J2" s="98"/>
      <c r="K2" s="98"/>
      <c r="L2" s="99"/>
    </row>
    <row r="3" spans="4:15" x14ac:dyDescent="0.25">
      <c r="D3" s="100"/>
      <c r="E3" s="101"/>
      <c r="F3" s="101"/>
      <c r="G3" s="101"/>
      <c r="H3" s="101"/>
      <c r="I3" s="101"/>
      <c r="J3" s="101"/>
      <c r="K3" s="101"/>
      <c r="L3" s="102"/>
    </row>
    <row r="4" spans="4:15" x14ac:dyDescent="0.25">
      <c r="D4" s="100"/>
      <c r="E4" s="101"/>
      <c r="F4" s="101"/>
      <c r="G4" s="101"/>
      <c r="H4" s="101"/>
      <c r="I4" s="101"/>
      <c r="J4" s="101"/>
      <c r="K4" s="101"/>
      <c r="L4" s="102"/>
    </row>
    <row r="5" spans="4:15" x14ac:dyDescent="0.25">
      <c r="D5" s="100"/>
      <c r="E5" s="101"/>
      <c r="F5" s="101"/>
      <c r="G5" s="101"/>
      <c r="H5" s="101"/>
      <c r="I5" s="101"/>
      <c r="J5" s="101"/>
      <c r="K5" s="101"/>
      <c r="L5" s="102"/>
    </row>
    <row r="6" spans="4:15" x14ac:dyDescent="0.25">
      <c r="D6" s="100"/>
      <c r="E6" s="101"/>
      <c r="F6" s="101"/>
      <c r="G6" s="101"/>
      <c r="H6" s="101"/>
      <c r="I6" s="101"/>
      <c r="J6" s="101"/>
      <c r="K6" s="101"/>
      <c r="L6" s="102"/>
    </row>
    <row r="7" spans="4:15" x14ac:dyDescent="0.25">
      <c r="D7" s="100"/>
      <c r="E7" s="101"/>
      <c r="F7" s="101"/>
      <c r="G7" s="101"/>
      <c r="H7" s="101"/>
      <c r="I7" s="101"/>
      <c r="J7" s="101"/>
      <c r="K7" s="101"/>
      <c r="L7" s="102"/>
    </row>
    <row r="8" spans="4:15" x14ac:dyDescent="0.25">
      <c r="D8" s="100"/>
      <c r="E8" s="101"/>
      <c r="F8" s="101"/>
      <c r="G8" s="101"/>
      <c r="H8" s="101"/>
      <c r="I8" s="101"/>
      <c r="J8" s="101"/>
      <c r="K8" s="101"/>
      <c r="L8" s="102"/>
    </row>
    <row r="9" spans="4:15" x14ac:dyDescent="0.25">
      <c r="D9" s="100"/>
      <c r="E9" s="101"/>
      <c r="F9" s="101"/>
      <c r="G9" s="101"/>
      <c r="H9" s="101"/>
      <c r="I9" s="101"/>
      <c r="J9" s="101"/>
      <c r="K9" s="101"/>
      <c r="L9" s="102"/>
    </row>
    <row r="10" spans="4:15" ht="15.75" thickBot="1" x14ac:dyDescent="0.3">
      <c r="D10" s="103"/>
      <c r="E10" s="104"/>
      <c r="F10" s="104"/>
      <c r="G10" s="104"/>
      <c r="H10" s="104"/>
      <c r="I10" s="104"/>
      <c r="J10" s="104"/>
      <c r="K10" s="104"/>
      <c r="L10" s="105"/>
    </row>
    <row r="12" spans="4:15" ht="51.6" customHeight="1" thickBot="1" x14ac:dyDescent="0.3">
      <c r="D12" s="43" t="s">
        <v>90</v>
      </c>
      <c r="E12" s="43" t="s">
        <v>91</v>
      </c>
      <c r="F12" s="43" t="s">
        <v>92</v>
      </c>
      <c r="G12" s="43" t="s">
        <v>88</v>
      </c>
      <c r="H12" s="43" t="s">
        <v>122</v>
      </c>
      <c r="I12" s="32"/>
      <c r="J12" s="45" t="s">
        <v>95</v>
      </c>
      <c r="K12" s="35" t="s">
        <v>96</v>
      </c>
      <c r="L12" s="35" t="s">
        <v>97</v>
      </c>
      <c r="M12" s="35" t="s">
        <v>98</v>
      </c>
      <c r="N12" s="33"/>
      <c r="O12" s="33"/>
    </row>
    <row r="13" spans="4:15" ht="15.75" thickTop="1" x14ac:dyDescent="0.25">
      <c r="D13" s="41">
        <v>44927</v>
      </c>
      <c r="E13" s="42" t="s">
        <v>93</v>
      </c>
      <c r="F13" s="42">
        <v>100</v>
      </c>
      <c r="G13" s="42">
        <f>10</f>
        <v>10</v>
      </c>
      <c r="H13" s="42">
        <f>F13*2</f>
        <v>200</v>
      </c>
      <c r="J13" s="46">
        <v>44927</v>
      </c>
      <c r="K13" s="36">
        <f>(H13/F13)+G13</f>
        <v>12</v>
      </c>
      <c r="L13" s="1">
        <f>F13</f>
        <v>100</v>
      </c>
      <c r="M13" s="1">
        <f>K13*L13</f>
        <v>1200</v>
      </c>
    </row>
    <row r="14" spans="4:15" x14ac:dyDescent="0.25">
      <c r="D14" s="37">
        <v>45077</v>
      </c>
      <c r="E14" s="38" t="s">
        <v>93</v>
      </c>
      <c r="F14" s="38">
        <v>150</v>
      </c>
      <c r="G14" s="38">
        <v>11</v>
      </c>
      <c r="H14" s="38">
        <f>F14*2.5</f>
        <v>375</v>
      </c>
      <c r="J14" s="47">
        <v>45077</v>
      </c>
      <c r="K14" s="36">
        <f>(H14/F14)+G14</f>
        <v>13.5</v>
      </c>
      <c r="L14" s="1">
        <f>F14</f>
        <v>150</v>
      </c>
      <c r="M14" s="1">
        <f t="shared" ref="M14:M15" si="0">K14*L14</f>
        <v>2025</v>
      </c>
    </row>
    <row r="15" spans="4:15" x14ac:dyDescent="0.25">
      <c r="D15" s="39">
        <v>45138</v>
      </c>
      <c r="E15" s="40" t="s">
        <v>94</v>
      </c>
      <c r="F15" s="40">
        <v>200</v>
      </c>
      <c r="G15" s="40"/>
      <c r="H15" s="40"/>
      <c r="J15" s="47">
        <v>45230</v>
      </c>
      <c r="K15" s="36">
        <f>(H16/F16)+G16</f>
        <v>15</v>
      </c>
      <c r="L15" s="1">
        <f>F16</f>
        <v>100</v>
      </c>
      <c r="M15" s="4">
        <f t="shared" si="0"/>
        <v>1500</v>
      </c>
    </row>
    <row r="16" spans="4:15" x14ac:dyDescent="0.25">
      <c r="D16" s="37">
        <v>45230</v>
      </c>
      <c r="E16" s="38" t="s">
        <v>93</v>
      </c>
      <c r="F16" s="38">
        <v>100</v>
      </c>
      <c r="G16" s="38">
        <v>12</v>
      </c>
      <c r="H16" s="38">
        <f>F16*3</f>
        <v>300</v>
      </c>
      <c r="J16" s="44"/>
      <c r="M16" s="1">
        <f>SUM(M13:M15)</f>
        <v>4725</v>
      </c>
    </row>
    <row r="17" spans="4:18" x14ac:dyDescent="0.25">
      <c r="D17" s="39">
        <v>45260</v>
      </c>
      <c r="E17" s="40" t="s">
        <v>94</v>
      </c>
      <c r="F17" s="40">
        <v>120</v>
      </c>
      <c r="G17" s="40"/>
      <c r="H17" s="40"/>
      <c r="J17" s="44"/>
    </row>
    <row r="18" spans="4:18" x14ac:dyDescent="0.25">
      <c r="D18" s="34"/>
      <c r="J18" s="44"/>
    </row>
    <row r="19" spans="4:18" x14ac:dyDescent="0.25">
      <c r="D19" s="34"/>
      <c r="J19" s="44"/>
      <c r="P19" s="1" t="s">
        <v>99</v>
      </c>
      <c r="R19" s="6">
        <f>F15+F17</f>
        <v>320</v>
      </c>
    </row>
    <row r="20" spans="4:18" x14ac:dyDescent="0.25">
      <c r="D20" s="34"/>
      <c r="J20" s="44"/>
      <c r="K20" s="22" t="s">
        <v>101</v>
      </c>
      <c r="L20" s="1" t="s">
        <v>89</v>
      </c>
    </row>
    <row r="21" spans="4:18" x14ac:dyDescent="0.25">
      <c r="D21" s="34"/>
      <c r="J21" s="44"/>
      <c r="K21" s="1">
        <f>K13</f>
        <v>12</v>
      </c>
      <c r="L21" s="1">
        <f>L13</f>
        <v>100</v>
      </c>
      <c r="M21" s="1">
        <f>K21*L21</f>
        <v>1200</v>
      </c>
    </row>
    <row r="22" spans="4:18" x14ac:dyDescent="0.25">
      <c r="J22" s="44"/>
      <c r="K22" s="1">
        <f>K14</f>
        <v>13.5</v>
      </c>
      <c r="L22" s="1">
        <f>L14</f>
        <v>150</v>
      </c>
      <c r="M22" s="1">
        <f t="shared" ref="M22:M23" si="1">K22*L22</f>
        <v>2025</v>
      </c>
    </row>
    <row r="23" spans="4:18" x14ac:dyDescent="0.25">
      <c r="J23" s="44"/>
      <c r="K23" s="1">
        <f>K15</f>
        <v>15</v>
      </c>
      <c r="L23" s="4">
        <f>R19-L21-L22</f>
        <v>70</v>
      </c>
      <c r="M23" s="4">
        <f t="shared" si="1"/>
        <v>1050</v>
      </c>
    </row>
    <row r="24" spans="4:18" x14ac:dyDescent="0.25">
      <c r="J24" s="44"/>
      <c r="L24" s="6">
        <f>SUM(L21:L23)</f>
        <v>320</v>
      </c>
      <c r="M24" s="48">
        <f>SUM(M21:M23)</f>
        <v>4275</v>
      </c>
      <c r="N24" s="11" t="s">
        <v>27</v>
      </c>
    </row>
    <row r="25" spans="4:18" x14ac:dyDescent="0.25">
      <c r="J25" s="44"/>
    </row>
    <row r="26" spans="4:18" x14ac:dyDescent="0.25">
      <c r="J26" s="44"/>
    </row>
    <row r="27" spans="4:18" ht="15.75" thickBot="1" x14ac:dyDescent="0.3">
      <c r="J27" s="44"/>
      <c r="K27" s="1">
        <f>K15</f>
        <v>15</v>
      </c>
      <c r="L27" s="1">
        <f>L15-L23</f>
        <v>30</v>
      </c>
      <c r="M27" s="12">
        <f>K27*L27</f>
        <v>450</v>
      </c>
      <c r="N27" s="11" t="s">
        <v>100</v>
      </c>
    </row>
    <row r="28" spans="4:18" ht="15.75" thickTop="1" x14ac:dyDescent="0.25">
      <c r="J28" s="44"/>
    </row>
    <row r="29" spans="4:18" x14ac:dyDescent="0.25">
      <c r="J29" s="44"/>
    </row>
    <row r="30" spans="4:18" x14ac:dyDescent="0.25">
      <c r="J30" s="44"/>
      <c r="L30" s="1" t="s">
        <v>102</v>
      </c>
      <c r="M30" s="1">
        <f>M13</f>
        <v>1200</v>
      </c>
    </row>
    <row r="31" spans="4:18" x14ac:dyDescent="0.25">
      <c r="J31" s="44"/>
      <c r="L31" s="1" t="s">
        <v>103</v>
      </c>
      <c r="M31" s="4">
        <f>M27</f>
        <v>450</v>
      </c>
    </row>
    <row r="32" spans="4:18" x14ac:dyDescent="0.25">
      <c r="J32" s="44"/>
      <c r="L32" s="1" t="s">
        <v>28</v>
      </c>
      <c r="M32" s="1">
        <f>(M30+M31)/2</f>
        <v>825</v>
      </c>
    </row>
    <row r="33" spans="10:14" x14ac:dyDescent="0.25">
      <c r="J33" s="44"/>
    </row>
    <row r="34" spans="10:14" x14ac:dyDescent="0.25">
      <c r="J34" s="44"/>
      <c r="L34" s="11" t="s">
        <v>132</v>
      </c>
      <c r="M34" s="49">
        <f>M24/M32</f>
        <v>5.1818181818181817</v>
      </c>
      <c r="N34" s="11" t="s">
        <v>29</v>
      </c>
    </row>
    <row r="35" spans="10:14" x14ac:dyDescent="0.25">
      <c r="J35" s="44"/>
      <c r="L35" s="11" t="s">
        <v>104</v>
      </c>
      <c r="M35" s="11">
        <f>365/M34</f>
        <v>70.438596491228068</v>
      </c>
      <c r="N35" s="11" t="s">
        <v>105</v>
      </c>
    </row>
    <row r="36" spans="10:14" x14ac:dyDescent="0.25">
      <c r="J36" s="44"/>
    </row>
    <row r="37" spans="10:14" x14ac:dyDescent="0.25">
      <c r="J37" s="44"/>
    </row>
    <row r="38" spans="10:14" x14ac:dyDescent="0.25">
      <c r="J38" s="44"/>
    </row>
  </sheetData>
  <mergeCells count="1">
    <mergeCell ref="D2:L10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A702-63DF-4752-BA35-1E7EC1721DAB}">
  <sheetPr>
    <tabColor theme="4" tint="0.59999389629810485"/>
  </sheetPr>
  <dimension ref="A2:AP53"/>
  <sheetViews>
    <sheetView zoomScale="55" zoomScaleNormal="55" workbookViewId="0">
      <selection activeCell="N69" sqref="N69"/>
    </sheetView>
  </sheetViews>
  <sheetFormatPr defaultColWidth="9.140625" defaultRowHeight="15" x14ac:dyDescent="0.25"/>
  <cols>
    <col min="1" max="1" width="1.85546875" style="1" customWidth="1"/>
    <col min="2" max="2" width="2.140625" style="1" customWidth="1"/>
    <col min="3" max="3" width="9.140625" style="1"/>
    <col min="4" max="4" width="14" style="1" customWidth="1"/>
    <col min="5" max="5" width="9.140625" style="1"/>
    <col min="6" max="7" width="10.85546875" style="1" customWidth="1"/>
    <col min="8" max="10" width="9.140625" style="1"/>
    <col min="11" max="11" width="12" style="1" customWidth="1"/>
    <col min="12" max="16384" width="9.140625" style="1"/>
  </cols>
  <sheetData>
    <row r="2" spans="3:29" ht="15.75" thickBot="1" x14ac:dyDescent="0.3"/>
    <row r="3" spans="3:29" x14ac:dyDescent="0.25">
      <c r="C3" s="97" t="s">
        <v>123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9"/>
    </row>
    <row r="4" spans="3:29" x14ac:dyDescent="0.25"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</row>
    <row r="5" spans="3:29" x14ac:dyDescent="0.25"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2"/>
    </row>
    <row r="6" spans="3:29" x14ac:dyDescent="0.25"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2"/>
    </row>
    <row r="7" spans="3:29" x14ac:dyDescent="0.25">
      <c r="C7" s="100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2"/>
    </row>
    <row r="8" spans="3:29" x14ac:dyDescent="0.25">
      <c r="C8" s="10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2"/>
    </row>
    <row r="9" spans="3:29" x14ac:dyDescent="0.25"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2"/>
    </row>
    <row r="10" spans="3:29" x14ac:dyDescent="0.25"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2"/>
    </row>
    <row r="11" spans="3:29" x14ac:dyDescent="0.25"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2"/>
    </row>
    <row r="12" spans="3:29" x14ac:dyDescent="0.25"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2"/>
    </row>
    <row r="13" spans="3:29" x14ac:dyDescent="0.25"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2"/>
    </row>
    <row r="14" spans="3:29" x14ac:dyDescent="0.25">
      <c r="C14" s="100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2"/>
    </row>
    <row r="15" spans="3:29" x14ac:dyDescent="0.25"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2"/>
    </row>
    <row r="16" spans="3:29" x14ac:dyDescent="0.25">
      <c r="C16" s="100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2"/>
    </row>
    <row r="17" spans="1:34" x14ac:dyDescent="0.25">
      <c r="C17" s="100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2"/>
    </row>
    <row r="18" spans="1:34" x14ac:dyDescent="0.25">
      <c r="C18" s="100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2"/>
    </row>
    <row r="19" spans="1:34" x14ac:dyDescent="0.25"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2"/>
    </row>
    <row r="20" spans="1:34" ht="15.75" thickBot="1" x14ac:dyDescent="0.3"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5"/>
    </row>
    <row r="21" spans="1:34" x14ac:dyDescent="0.25"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34" ht="15.75" thickBot="1" x14ac:dyDescent="0.3"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34" ht="16.5" thickTop="1" thickBot="1" x14ac:dyDescent="0.3">
      <c r="A23" s="71"/>
      <c r="B23" s="72" t="s">
        <v>107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</row>
    <row r="24" spans="1:34" s="7" customFormat="1" ht="15.75" thickTop="1" x14ac:dyDescent="0.25">
      <c r="A24" s="22"/>
      <c r="B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34" x14ac:dyDescent="0.25">
      <c r="C25" s="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51"/>
      <c r="R25" s="51"/>
      <c r="S25" s="3"/>
      <c r="T25" s="51"/>
      <c r="U25" s="51"/>
      <c r="V25" s="22"/>
    </row>
    <row r="26" spans="1:34" x14ac:dyDescent="0.25">
      <c r="B26" s="7"/>
      <c r="C26" s="7"/>
      <c r="D26" s="22"/>
      <c r="E26" s="22"/>
      <c r="F26" s="127" t="s">
        <v>37</v>
      </c>
      <c r="G26" s="127"/>
      <c r="H26" s="22"/>
      <c r="I26" s="127" t="s">
        <v>109</v>
      </c>
      <c r="J26" s="127"/>
      <c r="K26" s="22"/>
      <c r="L26" s="127" t="s">
        <v>39</v>
      </c>
      <c r="M26" s="127"/>
      <c r="N26" s="50"/>
      <c r="O26" s="127" t="s">
        <v>113</v>
      </c>
      <c r="P26" s="127"/>
      <c r="R26" s="127" t="s">
        <v>38</v>
      </c>
      <c r="S26" s="127"/>
      <c r="T26" s="22"/>
      <c r="U26" s="22"/>
      <c r="V26" s="22"/>
      <c r="W26" s="7"/>
    </row>
    <row r="27" spans="1:34" x14ac:dyDescent="0.25">
      <c r="B27" s="7"/>
      <c r="C27" s="7"/>
      <c r="D27" s="22"/>
      <c r="E27" s="22"/>
      <c r="F27" s="56">
        <f>80000</f>
        <v>80000</v>
      </c>
      <c r="G27" s="7"/>
      <c r="H27" s="22"/>
      <c r="I27" s="8"/>
      <c r="J27" s="7"/>
      <c r="K27" s="22"/>
      <c r="L27" s="8"/>
      <c r="M27" s="57">
        <f>100000</f>
        <v>100000</v>
      </c>
      <c r="N27" s="7"/>
      <c r="O27" s="8"/>
      <c r="P27" s="7"/>
      <c r="R27" s="56">
        <f>20000</f>
        <v>20000</v>
      </c>
      <c r="S27" s="7"/>
      <c r="T27" s="22"/>
      <c r="U27" s="62" t="s">
        <v>110</v>
      </c>
      <c r="V27" s="61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</row>
    <row r="28" spans="1:34" x14ac:dyDescent="0.25">
      <c r="B28" s="7"/>
      <c r="C28" s="7"/>
      <c r="D28" s="22"/>
      <c r="E28" s="22"/>
      <c r="F28" s="14"/>
      <c r="G28" s="54">
        <f>60000</f>
        <v>60000</v>
      </c>
      <c r="H28" s="22"/>
      <c r="I28" s="8"/>
      <c r="K28" s="22"/>
      <c r="L28" s="8"/>
      <c r="O28" s="8"/>
      <c r="R28" s="55">
        <f>60000</f>
        <v>60000</v>
      </c>
      <c r="S28" s="4"/>
      <c r="T28" s="22"/>
      <c r="V28" s="22"/>
      <c r="W28" s="7"/>
    </row>
    <row r="29" spans="1:34" x14ac:dyDescent="0.25">
      <c r="B29" s="7"/>
      <c r="C29" s="7"/>
      <c r="D29" s="22"/>
      <c r="E29" s="22"/>
      <c r="F29" s="58">
        <f>F27-G28</f>
        <v>20000</v>
      </c>
      <c r="H29" s="22"/>
      <c r="I29" s="8"/>
      <c r="K29" s="22"/>
      <c r="L29" s="8"/>
      <c r="O29" s="8"/>
      <c r="R29" s="53">
        <f>SUM(R27:R28)</f>
        <v>80000</v>
      </c>
      <c r="T29" s="22"/>
      <c r="U29" s="59" t="s">
        <v>111</v>
      </c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spans="1:34" x14ac:dyDescent="0.25">
      <c r="B30" s="7"/>
      <c r="C30" s="7"/>
      <c r="D30" s="22"/>
      <c r="E30" s="22"/>
      <c r="F30" s="8"/>
      <c r="H30" s="22"/>
      <c r="I30" s="14"/>
      <c r="J30" s="80">
        <f>X35</f>
        <v>1000</v>
      </c>
      <c r="K30" s="22"/>
      <c r="L30" s="8"/>
      <c r="O30" s="67">
        <f>J30</f>
        <v>1000</v>
      </c>
      <c r="R30" s="8"/>
      <c r="T30" s="22"/>
      <c r="V30" s="7"/>
      <c r="W30" s="7"/>
    </row>
    <row r="31" spans="1:34" x14ac:dyDescent="0.25">
      <c r="B31" s="9"/>
      <c r="C31" s="7"/>
      <c r="D31" s="22"/>
      <c r="E31" s="22"/>
      <c r="F31" s="8"/>
      <c r="H31" s="22"/>
      <c r="I31" s="8"/>
      <c r="J31" s="1">
        <f>J30</f>
        <v>1000</v>
      </c>
      <c r="K31" s="22"/>
      <c r="L31" s="8"/>
      <c r="O31" s="8"/>
      <c r="R31" s="8"/>
      <c r="T31" s="22"/>
      <c r="U31" s="22"/>
      <c r="V31" s="7"/>
      <c r="W31" s="7"/>
    </row>
    <row r="32" spans="1:34" x14ac:dyDescent="0.25">
      <c r="C32" s="7"/>
      <c r="D32" s="22"/>
      <c r="E32" s="22"/>
      <c r="F32" s="8"/>
      <c r="G32" s="7"/>
      <c r="H32" s="22"/>
      <c r="I32" s="8"/>
      <c r="J32" s="7"/>
      <c r="K32" s="22"/>
      <c r="L32" s="8"/>
      <c r="M32" s="7"/>
      <c r="N32" s="7"/>
      <c r="O32" s="8"/>
      <c r="P32" s="7"/>
      <c r="R32" s="8"/>
      <c r="S32" s="7"/>
      <c r="T32" s="22"/>
      <c r="U32" s="63" t="s">
        <v>112</v>
      </c>
      <c r="V32" s="63"/>
      <c r="W32" s="64"/>
      <c r="X32" s="64"/>
      <c r="Y32" s="64"/>
      <c r="Z32" s="64"/>
      <c r="AA32" s="64"/>
      <c r="AB32" s="64"/>
      <c r="AC32" s="64"/>
      <c r="AD32" s="64"/>
      <c r="AE32" s="64"/>
      <c r="AF32" s="66"/>
      <c r="AG32" s="66"/>
      <c r="AH32" s="66"/>
    </row>
    <row r="33" spans="1:42" x14ac:dyDescent="0.25">
      <c r="C33" s="7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25" t="s">
        <v>127</v>
      </c>
      <c r="V33" s="125"/>
      <c r="W33" s="125"/>
      <c r="X33" s="1">
        <f>F29</f>
        <v>20000</v>
      </c>
    </row>
    <row r="34" spans="1:42" x14ac:dyDescent="0.25">
      <c r="C34" s="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25" t="s">
        <v>128</v>
      </c>
      <c r="V34" s="125"/>
      <c r="W34" s="125"/>
      <c r="X34" s="65">
        <v>0.05</v>
      </c>
    </row>
    <row r="35" spans="1:42" x14ac:dyDescent="0.25">
      <c r="C35" s="7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26" t="s">
        <v>129</v>
      </c>
      <c r="V35" s="126"/>
      <c r="W35" s="126"/>
      <c r="X35" s="66">
        <f>X33*X34</f>
        <v>1000</v>
      </c>
    </row>
    <row r="36" spans="1:42" x14ac:dyDescent="0.25">
      <c r="C36" s="7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7"/>
    </row>
    <row r="37" spans="1:42" x14ac:dyDescent="0.25">
      <c r="C37" s="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7"/>
    </row>
    <row r="38" spans="1:42" x14ac:dyDescent="0.25">
      <c r="C38" s="7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7"/>
    </row>
    <row r="39" spans="1:42" ht="15.75" thickBot="1" x14ac:dyDescent="0.3">
      <c r="C39" s="7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7"/>
    </row>
    <row r="40" spans="1:42" ht="16.5" thickTop="1" thickBot="1" x14ac:dyDescent="0.3">
      <c r="A40" s="71"/>
      <c r="B40" s="72" t="s">
        <v>108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</row>
    <row r="41" spans="1:42" ht="15.75" thickTop="1" x14ac:dyDescent="0.25">
      <c r="R41" s="7"/>
      <c r="S41" s="7"/>
      <c r="T41" s="7"/>
      <c r="U41" s="7"/>
      <c r="V41" s="7"/>
    </row>
    <row r="42" spans="1:42" x14ac:dyDescent="0.25">
      <c r="F42" s="127" t="s">
        <v>37</v>
      </c>
      <c r="G42" s="127"/>
      <c r="H42" s="22"/>
      <c r="I42" s="127" t="s">
        <v>109</v>
      </c>
      <c r="J42" s="127"/>
      <c r="K42" s="22"/>
      <c r="L42" s="127" t="s">
        <v>39</v>
      </c>
      <c r="M42" s="127"/>
      <c r="N42" s="50"/>
      <c r="O42" s="127" t="s">
        <v>113</v>
      </c>
      <c r="P42" s="127"/>
      <c r="R42" s="127" t="s">
        <v>38</v>
      </c>
      <c r="S42" s="127"/>
    </row>
    <row r="43" spans="1:42" x14ac:dyDescent="0.25">
      <c r="F43" s="56">
        <f>F29</f>
        <v>20000</v>
      </c>
      <c r="G43" s="7"/>
      <c r="H43" s="22"/>
      <c r="I43" s="8"/>
      <c r="J43" s="57">
        <f>J31</f>
        <v>1000</v>
      </c>
      <c r="K43" s="22"/>
      <c r="L43" s="8"/>
      <c r="M43" s="7"/>
      <c r="N43" s="7"/>
      <c r="O43" s="8"/>
      <c r="P43" s="7"/>
      <c r="Q43" s="7"/>
      <c r="R43" s="56">
        <f>R29</f>
        <v>80000</v>
      </c>
      <c r="S43" s="7"/>
      <c r="U43" s="68" t="s">
        <v>130</v>
      </c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</row>
    <row r="44" spans="1:42" x14ac:dyDescent="0.25">
      <c r="F44" s="8"/>
      <c r="G44" s="74">
        <f>500</f>
        <v>500</v>
      </c>
      <c r="H44" s="69"/>
      <c r="I44" s="75">
        <f>500</f>
        <v>500</v>
      </c>
      <c r="J44" s="7"/>
      <c r="K44" s="22"/>
      <c r="L44" s="8"/>
      <c r="M44" s="7"/>
      <c r="N44" s="7"/>
      <c r="O44" s="8"/>
      <c r="P44" s="7"/>
      <c r="Q44" s="7"/>
      <c r="R44" s="76">
        <f>+G45</f>
        <v>19500</v>
      </c>
      <c r="S44" s="7"/>
      <c r="U44" s="73" t="s">
        <v>114</v>
      </c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</row>
    <row r="45" spans="1:42" x14ac:dyDescent="0.25">
      <c r="F45" s="77">
        <f>170000</f>
        <v>170000</v>
      </c>
      <c r="G45" s="74">
        <f>19500</f>
        <v>19500</v>
      </c>
      <c r="H45" s="22"/>
      <c r="I45" s="8"/>
      <c r="J45" s="7"/>
      <c r="K45" s="22"/>
      <c r="L45" s="8"/>
      <c r="M45" s="60">
        <f>250000</f>
        <v>250000</v>
      </c>
      <c r="N45" s="7"/>
      <c r="O45" s="8"/>
      <c r="P45" s="7"/>
      <c r="Q45" s="7"/>
      <c r="R45" s="77">
        <f>M45-F45</f>
        <v>80000</v>
      </c>
      <c r="S45" s="7"/>
      <c r="U45" s="60" t="s">
        <v>115</v>
      </c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42" x14ac:dyDescent="0.25">
      <c r="F46" s="14"/>
      <c r="G46" s="81">
        <f>F43+F45-G44-G45-25000</f>
        <v>145000</v>
      </c>
      <c r="H46" s="22"/>
      <c r="I46" s="8"/>
      <c r="J46" s="7"/>
      <c r="K46" s="22"/>
      <c r="L46" s="8"/>
      <c r="M46" s="7"/>
      <c r="N46" s="7"/>
      <c r="O46" s="8"/>
      <c r="P46" s="7"/>
      <c r="Q46" s="7"/>
      <c r="R46" s="8"/>
      <c r="S46" s="7"/>
    </row>
    <row r="47" spans="1:42" x14ac:dyDescent="0.25">
      <c r="F47" s="82">
        <f>F43+F45-G44-G46-G45</f>
        <v>25000</v>
      </c>
      <c r="G47" s="7"/>
      <c r="H47" s="22"/>
      <c r="I47" s="14"/>
      <c r="J47" s="85">
        <f>J48-J43+I44</f>
        <v>125</v>
      </c>
      <c r="K47" s="22"/>
      <c r="L47" s="8"/>
      <c r="M47" s="7"/>
      <c r="N47" s="7"/>
      <c r="O47" s="86">
        <f>J47</f>
        <v>125</v>
      </c>
      <c r="P47" s="7"/>
      <c r="Q47" s="7"/>
      <c r="R47" s="83">
        <f>G46</f>
        <v>145000</v>
      </c>
      <c r="S47" s="15"/>
      <c r="U47" s="84" t="s">
        <v>116</v>
      </c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</row>
    <row r="48" spans="1:42" x14ac:dyDescent="0.25">
      <c r="F48" s="8"/>
      <c r="G48" s="7"/>
      <c r="H48" s="22"/>
      <c r="I48" s="8"/>
      <c r="J48" s="78">
        <f>X52</f>
        <v>625</v>
      </c>
      <c r="K48" s="22"/>
      <c r="L48" s="8"/>
      <c r="M48" s="7"/>
      <c r="N48" s="7"/>
      <c r="O48" s="8"/>
      <c r="P48" s="7"/>
      <c r="R48" s="53">
        <f>SUM(R43:R47)</f>
        <v>324500</v>
      </c>
      <c r="S48" s="7"/>
    </row>
    <row r="49" spans="6:36" x14ac:dyDescent="0.25">
      <c r="F49" s="8"/>
      <c r="G49" s="7"/>
      <c r="I49" s="8"/>
      <c r="J49" s="7"/>
      <c r="L49" s="8"/>
      <c r="M49" s="7"/>
      <c r="O49" s="8"/>
      <c r="P49" s="7"/>
      <c r="R49" s="8"/>
      <c r="S49" s="7"/>
      <c r="U49" s="79" t="s">
        <v>117</v>
      </c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</row>
    <row r="50" spans="6:36" x14ac:dyDescent="0.25">
      <c r="F50" s="22"/>
      <c r="G50" s="22"/>
      <c r="I50" s="8"/>
      <c r="J50" s="7"/>
      <c r="U50" s="125" t="s">
        <v>127</v>
      </c>
      <c r="V50" s="125"/>
      <c r="W50" s="125"/>
      <c r="X50" s="1">
        <f>F47</f>
        <v>25000</v>
      </c>
    </row>
    <row r="51" spans="6:36" x14ac:dyDescent="0.25">
      <c r="G51" s="22"/>
      <c r="U51" s="125" t="s">
        <v>128</v>
      </c>
      <c r="V51" s="125"/>
      <c r="W51" s="125"/>
      <c r="X51" s="65">
        <v>2.5000000000000001E-2</v>
      </c>
    </row>
    <row r="52" spans="6:36" x14ac:dyDescent="0.25">
      <c r="G52" s="22"/>
      <c r="U52" s="126" t="s">
        <v>129</v>
      </c>
      <c r="V52" s="126"/>
      <c r="W52" s="126"/>
      <c r="X52" s="79">
        <f>X50*X51</f>
        <v>625</v>
      </c>
    </row>
    <row r="53" spans="6:36" x14ac:dyDescent="0.25">
      <c r="G53" s="22"/>
    </row>
  </sheetData>
  <mergeCells count="17">
    <mergeCell ref="F42:G42"/>
    <mergeCell ref="I42:J42"/>
    <mergeCell ref="L42:M42"/>
    <mergeCell ref="O42:P42"/>
    <mergeCell ref="R42:S42"/>
    <mergeCell ref="C3:AC20"/>
    <mergeCell ref="F26:G26"/>
    <mergeCell ref="I26:J26"/>
    <mergeCell ref="L26:M26"/>
    <mergeCell ref="R26:S26"/>
    <mergeCell ref="O26:P26"/>
    <mergeCell ref="U51:W51"/>
    <mergeCell ref="U52:W52"/>
    <mergeCell ref="U33:W33"/>
    <mergeCell ref="U34:W34"/>
    <mergeCell ref="U35:W35"/>
    <mergeCell ref="U50:W5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Merkið með nafni í þessum flipa</vt:lpstr>
      <vt:lpstr>Krossaspurningar</vt:lpstr>
      <vt:lpstr>Verkefni 1 (vægi 20%)</vt:lpstr>
      <vt:lpstr>Verkefni 2 (vægi 35%)</vt:lpstr>
      <vt:lpstr>Verkefni 3 (vægi 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Pálsson, Unnar F</dc:creator>
  <cp:lastModifiedBy>Unnar Friðrik Pálsson</cp:lastModifiedBy>
  <dcterms:created xsi:type="dcterms:W3CDTF">2015-06-05T18:17:20Z</dcterms:created>
  <dcterms:modified xsi:type="dcterms:W3CDTF">2023-11-02T09:15:35Z</dcterms:modified>
</cp:coreProperties>
</file>