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onnac/Desktop/haust24/Reikningshald/verkefni/Dæmatími/"/>
    </mc:Choice>
  </mc:AlternateContent>
  <xr:revisionPtr revIDLastSave="0" documentId="13_ncr:1_{DF6598E4-1D3A-D748-91AF-7DB7925D0BBF}" xr6:coauthVersionLast="47" xr6:coauthVersionMax="47" xr10:uidLastSave="{00000000-0000-0000-0000-000000000000}"/>
  <bookViews>
    <workbookView xWindow="0" yWindow="740" windowWidth="34560" windowHeight="21600" activeTab="8" xr2:uid="{00000000-000D-0000-FFFF-FFFF00000000}"/>
  </bookViews>
  <sheets>
    <sheet name="Dæmi 1" sheetId="1" r:id="rId1"/>
    <sheet name="Dæmi 2" sheetId="2" r:id="rId2"/>
    <sheet name="Dæmi 3" sheetId="3" r:id="rId3"/>
    <sheet name="Dæmi 4" sheetId="5" r:id="rId4"/>
    <sheet name="Dæmi 5" sheetId="6" r:id="rId5"/>
    <sheet name="Dæmi 6" sheetId="7" r:id="rId6"/>
    <sheet name="Dæmi 7" sheetId="8" r:id="rId7"/>
    <sheet name="Dæmi 8" sheetId="9" r:id="rId8"/>
    <sheet name="Sheet1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8" l="1"/>
  <c r="E21" i="8"/>
  <c r="D21" i="8"/>
  <c r="I26" i="8"/>
  <c r="D39" i="8"/>
  <c r="D38" i="8"/>
  <c r="D37" i="8"/>
  <c r="H26" i="8"/>
  <c r="D27" i="8"/>
  <c r="D36" i="8"/>
  <c r="B36" i="8"/>
  <c r="D26" i="8"/>
  <c r="C44" i="7"/>
  <c r="C42" i="7"/>
  <c r="C40" i="7"/>
  <c r="C39" i="7"/>
  <c r="C38" i="7"/>
  <c r="D35" i="7"/>
  <c r="C37" i="7"/>
  <c r="C21" i="7"/>
  <c r="C29" i="7"/>
  <c r="C28" i="7"/>
  <c r="C26" i="7"/>
  <c r="C27" i="7"/>
  <c r="C31" i="7"/>
  <c r="C25" i="7"/>
  <c r="C24" i="7"/>
  <c r="F30" i="6"/>
  <c r="F18" i="6" s="1"/>
  <c r="F28" i="6"/>
  <c r="F27" i="6"/>
  <c r="F26" i="6"/>
  <c r="P33" i="6"/>
  <c r="P31" i="6"/>
  <c r="O30" i="6"/>
  <c r="P30" i="6"/>
  <c r="F24" i="6"/>
  <c r="F23" i="6"/>
  <c r="O24" i="6"/>
  <c r="F25" i="6"/>
  <c r="P18" i="6"/>
  <c r="I18" i="6"/>
  <c r="P11" i="6"/>
  <c r="F19" i="6"/>
  <c r="E25" i="5"/>
  <c r="Q19" i="5"/>
  <c r="J11" i="5"/>
  <c r="K18" i="5"/>
  <c r="J19" i="5"/>
  <c r="J21" i="5"/>
  <c r="R19" i="5"/>
  <c r="J18" i="5"/>
  <c r="F16" i="5"/>
  <c r="E15" i="5"/>
  <c r="F13" i="5"/>
  <c r="E12" i="5"/>
  <c r="P33" i="3"/>
  <c r="Q26" i="3"/>
  <c r="J33" i="3"/>
  <c r="K26" i="3"/>
  <c r="F23" i="3"/>
  <c r="E22" i="3"/>
  <c r="O18" i="3"/>
  <c r="M18" i="3"/>
  <c r="L18" i="3"/>
  <c r="K19" i="3"/>
  <c r="J18" i="3"/>
  <c r="F20" i="3"/>
  <c r="E19" i="3"/>
  <c r="C33" i="2"/>
  <c r="D27" i="2"/>
  <c r="G29" i="2"/>
  <c r="G28" i="2"/>
  <c r="G27" i="2"/>
  <c r="B27" i="2"/>
  <c r="G23" i="2"/>
  <c r="G21" i="2"/>
  <c r="G19" i="2"/>
  <c r="G18" i="2"/>
  <c r="G17" i="2"/>
  <c r="G16" i="2"/>
  <c r="C19" i="2"/>
  <c r="C18" i="2"/>
  <c r="C17" i="2"/>
  <c r="C15" i="2"/>
  <c r="D25" i="1"/>
  <c r="H22" i="1"/>
  <c r="H20" i="1"/>
  <c r="H18" i="1"/>
  <c r="H17" i="1"/>
  <c r="H16" i="1"/>
  <c r="H15" i="1"/>
  <c r="D20" i="1"/>
  <c r="C21" i="1"/>
  <c r="C19" i="1"/>
  <c r="C18" i="1"/>
  <c r="C17" i="1"/>
  <c r="C16" i="1"/>
  <c r="C15" i="1"/>
  <c r="C35" i="7" l="1"/>
  <c r="F20" i="6"/>
  <c r="C32" i="6"/>
</calcChain>
</file>

<file path=xl/sharedStrings.xml><?xml version="1.0" encoding="utf-8"?>
<sst xmlns="http://schemas.openxmlformats.org/spreadsheetml/2006/main" count="182" uniqueCount="125">
  <si>
    <t>Reikningur</t>
  </si>
  <si>
    <t>Debet</t>
  </si>
  <si>
    <t>Kredit</t>
  </si>
  <si>
    <t>Handbært fé</t>
  </si>
  <si>
    <t>?</t>
  </si>
  <si>
    <t>Viðskiptakröfur</t>
  </si>
  <si>
    <t>Hlutafé</t>
  </si>
  <si>
    <t>Óráðstafað eigið fé 1/1</t>
  </si>
  <si>
    <t>Tekjur</t>
  </si>
  <si>
    <t>Gjöld</t>
  </si>
  <si>
    <t>Sölutekjur</t>
  </si>
  <si>
    <t>Veittir afslættir af sölu</t>
  </si>
  <si>
    <t>Vörukaup ársins</t>
  </si>
  <si>
    <t>Birgðir 1.1.</t>
  </si>
  <si>
    <t>Auglýsingakostnaður</t>
  </si>
  <si>
    <t>Vaxtagjöld</t>
  </si>
  <si>
    <t>Flutningskostnaður v/vörukaupa</t>
  </si>
  <si>
    <t xml:space="preserve">Vörum skilað til birgja </t>
  </si>
  <si>
    <t>Birgðir 31.12.</t>
  </si>
  <si>
    <t xml:space="preserve">Eignir </t>
  </si>
  <si>
    <t>=</t>
  </si>
  <si>
    <t>Skuld</t>
  </si>
  <si>
    <t>+</t>
  </si>
  <si>
    <t>Eigið fé</t>
  </si>
  <si>
    <t>EHR</t>
  </si>
  <si>
    <t>Eignir</t>
  </si>
  <si>
    <t>Debit</t>
  </si>
  <si>
    <t xml:space="preserve">Eigið fé </t>
  </si>
  <si>
    <t xml:space="preserve">Hlutafé </t>
  </si>
  <si>
    <t>Arður greidd</t>
  </si>
  <si>
    <t>ÓRE 1.1</t>
  </si>
  <si>
    <t>gjöld</t>
  </si>
  <si>
    <t xml:space="preserve">Svar: </t>
  </si>
  <si>
    <t xml:space="preserve">ÓRE </t>
  </si>
  <si>
    <t xml:space="preserve">ÓRE 1.1 </t>
  </si>
  <si>
    <t>Gr. Arð</t>
  </si>
  <si>
    <t>ÓRE 31.12</t>
  </si>
  <si>
    <t xml:space="preserve">ÓRE - ÓRE 31.12 </t>
  </si>
  <si>
    <t>Gr Arð.</t>
  </si>
  <si>
    <t xml:space="preserve">Gr arð </t>
  </si>
  <si>
    <t xml:space="preserve">Gjöld </t>
  </si>
  <si>
    <t>ÓRE</t>
  </si>
  <si>
    <t>Svar: Eignir = ? + Eigið Fé:</t>
  </si>
  <si>
    <t>dags</t>
  </si>
  <si>
    <t>hvað</t>
  </si>
  <si>
    <t>Credit</t>
  </si>
  <si>
    <t>Keypti skuldabréf</t>
  </si>
  <si>
    <t xml:space="preserve">Skuldabréf </t>
  </si>
  <si>
    <t xml:space="preserve">Handbært fé </t>
  </si>
  <si>
    <t>Skuldabréf</t>
  </si>
  <si>
    <t>kaupverð</t>
  </si>
  <si>
    <t>vextir</t>
  </si>
  <si>
    <t xml:space="preserve">vextir á ári </t>
  </si>
  <si>
    <t xml:space="preserve">vextir á mánuði </t>
  </si>
  <si>
    <t xml:space="preserve">hluti af ári </t>
  </si>
  <si>
    <t>tekjufært 24'</t>
  </si>
  <si>
    <t xml:space="preserve">Skuldabréf vextir fyrir 21' </t>
  </si>
  <si>
    <t>Vaxtartekjur</t>
  </si>
  <si>
    <t>Áunnir ógreiddar vextir</t>
  </si>
  <si>
    <t>REH</t>
  </si>
  <si>
    <t>FFH</t>
  </si>
  <si>
    <t xml:space="preserve">Svar 1 ) </t>
  </si>
  <si>
    <t xml:space="preserve">FjárfestingarHreyfingar </t>
  </si>
  <si>
    <t xml:space="preserve">Svar 2) </t>
  </si>
  <si>
    <t>Enginn - Handbært fé lækkar, Skuldabréf hækkar - Bæði talinn sem Eignir</t>
  </si>
  <si>
    <t xml:space="preserve">Handbært Fé </t>
  </si>
  <si>
    <t xml:space="preserve">Egið fé </t>
  </si>
  <si>
    <t>Óáunnar ógr. Vextr</t>
  </si>
  <si>
    <t>2.</t>
  </si>
  <si>
    <t xml:space="preserve">Svar 3) </t>
  </si>
  <si>
    <t>Færslur á T-reikninga</t>
  </si>
  <si>
    <t xml:space="preserve">Svar 4) </t>
  </si>
  <si>
    <t>Óáunnar ógr vextir hækka á móti lækkar Vaxtartekjur / tekjur í ÓRE</t>
  </si>
  <si>
    <t>dagbók</t>
  </si>
  <si>
    <t>debit</t>
  </si>
  <si>
    <t>kredit</t>
  </si>
  <si>
    <t>Staða vv.krafa byrjun árs</t>
  </si>
  <si>
    <t>Þjónustutekjur</t>
  </si>
  <si>
    <t>FF. Innheimtar tekjur</t>
  </si>
  <si>
    <t xml:space="preserve">VV kröfur í árslok </t>
  </si>
  <si>
    <t>Skuldir</t>
  </si>
  <si>
    <t xml:space="preserve">Viðskiptakröfur </t>
  </si>
  <si>
    <t>staða 1.1</t>
  </si>
  <si>
    <t>staða 31.12</t>
  </si>
  <si>
    <t xml:space="preserve">Trey ehf innheimti </t>
  </si>
  <si>
    <t xml:space="preserve">á árinu </t>
  </si>
  <si>
    <t>Prófjöfnuður 31.12</t>
  </si>
  <si>
    <t xml:space="preserve">Eignir alls </t>
  </si>
  <si>
    <t>Eigið Fé</t>
  </si>
  <si>
    <t>afkoma</t>
  </si>
  <si>
    <t xml:space="preserve">Skuldir + Eigið fé </t>
  </si>
  <si>
    <t xml:space="preserve">Svar: Handbært fé </t>
  </si>
  <si>
    <t>x</t>
  </si>
  <si>
    <t>Birgðir 1.1</t>
  </si>
  <si>
    <t>Birgðir 31.12</t>
  </si>
  <si>
    <t xml:space="preserve">KSV </t>
  </si>
  <si>
    <t>Flutningskostnað v/vörukaupa</t>
  </si>
  <si>
    <t>Vörum skilað til birgja</t>
  </si>
  <si>
    <t xml:space="preserve">Svar sp 1. ) KSV: </t>
  </si>
  <si>
    <t xml:space="preserve">Svar sp 2. ) Veltuhraði og biðtími birgða: </t>
  </si>
  <si>
    <t>veltuhraði</t>
  </si>
  <si>
    <t>Biðtími birgða í dögum</t>
  </si>
  <si>
    <t>ksv</t>
  </si>
  <si>
    <t xml:space="preserve">Veltuhraði </t>
  </si>
  <si>
    <t xml:space="preserve">Biðtími birgða í dögum </t>
  </si>
  <si>
    <t xml:space="preserve">Birgðir 1.1 </t>
  </si>
  <si>
    <t>Meðaltal birgða</t>
  </si>
  <si>
    <r>
      <t xml:space="preserve">Óleiðrétt staða skv </t>
    </r>
    <r>
      <rPr>
        <b/>
        <sz val="11"/>
        <color theme="1"/>
        <rFont val="Calibri"/>
        <family val="2"/>
        <scheme val="minor"/>
      </rPr>
      <t>Bankayfirlit</t>
    </r>
    <r>
      <rPr>
        <sz val="11"/>
        <color theme="1"/>
        <rFont val="Calibri"/>
        <family val="2"/>
        <scheme val="minor"/>
      </rPr>
      <t xml:space="preserve"> 30.04.2018</t>
    </r>
  </si>
  <si>
    <r>
      <t xml:space="preserve">Óleiðrétt staða skv </t>
    </r>
    <r>
      <rPr>
        <b/>
        <sz val="11"/>
        <color theme="1"/>
        <rFont val="Calibri"/>
        <family val="2"/>
        <scheme val="minor"/>
      </rPr>
      <t>Bókhald</t>
    </r>
    <r>
      <rPr>
        <sz val="11"/>
        <color theme="1"/>
        <rFont val="Calibri"/>
        <family val="2"/>
        <scheme val="minor"/>
      </rPr>
      <t xml:space="preserve"> 30.04.2018</t>
    </r>
  </si>
  <si>
    <t>1.</t>
  </si>
  <si>
    <t xml:space="preserve">Bankayfirlit </t>
  </si>
  <si>
    <t>Bókhald</t>
  </si>
  <si>
    <t>+ Óframkominn innlegg</t>
  </si>
  <si>
    <t>2)</t>
  </si>
  <si>
    <t>- Þjónustugjald í banka</t>
  </si>
  <si>
    <t>+ Óframkominn vaxtartekjur</t>
  </si>
  <si>
    <t>3)</t>
  </si>
  <si>
    <t>4)</t>
  </si>
  <si>
    <t xml:space="preserve">+ Fyrirfram tekjur frá vv </t>
  </si>
  <si>
    <t xml:space="preserve">svar ) </t>
  </si>
  <si>
    <t>óleiðrétt</t>
  </si>
  <si>
    <t xml:space="preserve">Mismunur </t>
  </si>
  <si>
    <t xml:space="preserve">Bókhaldið þarf að færa þessar leiðréttar færslur hjá sér </t>
  </si>
  <si>
    <t>leiðrétt staða</t>
  </si>
  <si>
    <t xml:space="preserve">True cash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</si>
</sst>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@*."/>
    <numFmt numFmtId="165" formatCode="#,##0_ ;[Red]\-#,##0\ "/>
    <numFmt numFmtId="169" formatCode="#,##0.00_ ;[Red]\-#,##0.00\ 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3">
    <xf numFmtId="0" fontId="0" fillId="0" borderId="0" xfId="0"/>
    <xf numFmtId="3" fontId="0" fillId="0" borderId="0" xfId="0" applyNumberFormat="1"/>
    <xf numFmtId="164" fontId="1" fillId="0" borderId="0" xfId="0" applyNumberFormat="1" applyFont="1" applyAlignment="1">
      <alignment horizontal="left"/>
    </xf>
    <xf numFmtId="0" fontId="0" fillId="2" borderId="1" xfId="0" applyFill="1" applyBorder="1"/>
    <xf numFmtId="0" fontId="2" fillId="2" borderId="0" xfId="0" applyFont="1" applyFill="1"/>
    <xf numFmtId="0" fontId="0" fillId="2" borderId="0" xfId="0" applyFill="1"/>
    <xf numFmtId="3" fontId="0" fillId="2" borderId="0" xfId="0" applyNumberFormat="1" applyFill="1" applyAlignment="1">
      <alignment horizontal="left"/>
    </xf>
    <xf numFmtId="3" fontId="0" fillId="2" borderId="0" xfId="0" applyNumberFormat="1" applyFill="1"/>
    <xf numFmtId="164" fontId="3" fillId="2" borderId="0" xfId="0" applyNumberFormat="1" applyFont="1" applyFill="1" applyAlignment="1">
      <alignment horizontal="left"/>
    </xf>
    <xf numFmtId="3" fontId="0" fillId="0" borderId="0" xfId="0" applyNumberFormat="1" applyAlignment="1">
      <alignment horizontal="center"/>
    </xf>
    <xf numFmtId="3" fontId="5" fillId="0" borderId="0" xfId="0" applyNumberFormat="1" applyFont="1"/>
    <xf numFmtId="3" fontId="2" fillId="3" borderId="2" xfId="0" applyNumberFormat="1" applyFont="1" applyFill="1" applyBorder="1"/>
    <xf numFmtId="3" fontId="6" fillId="3" borderId="2" xfId="0" applyNumberFormat="1" applyFont="1" applyFill="1" applyBorder="1"/>
    <xf numFmtId="3" fontId="2" fillId="0" borderId="1" xfId="0" applyNumberFormat="1" applyFont="1" applyBorder="1"/>
    <xf numFmtId="3" fontId="0" fillId="0" borderId="3" xfId="0" applyNumberFormat="1" applyBorder="1"/>
    <xf numFmtId="165" fontId="2" fillId="0" borderId="0" xfId="0" applyNumberFormat="1" applyFont="1"/>
    <xf numFmtId="3" fontId="0" fillId="0" borderId="1" xfId="0" applyNumberFormat="1" applyBorder="1"/>
    <xf numFmtId="3" fontId="0" fillId="0" borderId="4" xfId="0" applyNumberFormat="1" applyBorder="1"/>
    <xf numFmtId="3" fontId="6" fillId="0" borderId="0" xfId="0" applyNumberFormat="1" applyFont="1"/>
    <xf numFmtId="3" fontId="0" fillId="0" borderId="0" xfId="0" quotePrefix="1" applyNumberFormat="1"/>
    <xf numFmtId="3" fontId="0" fillId="3" borderId="2" xfId="0" applyNumberFormat="1" applyFill="1" applyBorder="1"/>
    <xf numFmtId="14" fontId="0" fillId="0" borderId="0" xfId="0" applyNumberFormat="1"/>
    <xf numFmtId="3" fontId="5" fillId="4" borderId="2" xfId="0" applyNumberFormat="1" applyFont="1" applyFill="1" applyBorder="1" applyAlignment="1">
      <alignment horizontal="center"/>
    </xf>
    <xf numFmtId="10" fontId="0" fillId="0" borderId="0" xfId="1" applyNumberFormat="1" applyFont="1"/>
    <xf numFmtId="3" fontId="5" fillId="3" borderId="2" xfId="0" applyNumberFormat="1" applyFont="1" applyFill="1" applyBorder="1"/>
    <xf numFmtId="14" fontId="5" fillId="3" borderId="2" xfId="0" applyNumberFormat="1" applyFont="1" applyFill="1" applyBorder="1" applyAlignment="1">
      <alignment horizontal="center"/>
    </xf>
    <xf numFmtId="3" fontId="0" fillId="0" borderId="5" xfId="0" applyNumberFormat="1" applyBorder="1"/>
    <xf numFmtId="3" fontId="0" fillId="0" borderId="6" xfId="0" applyNumberFormat="1" applyBorder="1"/>
    <xf numFmtId="3" fontId="0" fillId="0" borderId="1" xfId="0" applyNumberForma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3" fontId="5" fillId="3" borderId="2" xfId="0" applyNumberFormat="1" applyFont="1" applyFill="1" applyBorder="1" applyAlignment="1">
      <alignment horizontal="center"/>
    </xf>
    <xf numFmtId="3" fontId="0" fillId="0" borderId="0" xfId="0" applyNumberFormat="1" applyFont="1"/>
    <xf numFmtId="3" fontId="0" fillId="0" borderId="0" xfId="0" quotePrefix="1" applyNumberFormat="1" applyAlignment="1">
      <alignment horizontal="center"/>
    </xf>
    <xf numFmtId="3" fontId="0" fillId="0" borderId="7" xfId="0" applyNumberFormat="1" applyBorder="1"/>
    <xf numFmtId="3" fontId="6" fillId="0" borderId="5" xfId="0" applyNumberFormat="1" applyFont="1" applyBorder="1"/>
    <xf numFmtId="14" fontId="5" fillId="3" borderId="8" xfId="0" applyNumberFormat="1" applyFont="1" applyFill="1" applyBorder="1"/>
    <xf numFmtId="3" fontId="5" fillId="3" borderId="8" xfId="0" applyNumberFormat="1" applyFont="1" applyFill="1" applyBorder="1"/>
    <xf numFmtId="3" fontId="5" fillId="3" borderId="9" xfId="0" applyNumberFormat="1" applyFont="1" applyFill="1" applyBorder="1"/>
    <xf numFmtId="3" fontId="6" fillId="3" borderId="4" xfId="0" applyNumberFormat="1" applyFont="1" applyFill="1" applyBorder="1"/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right"/>
    </xf>
    <xf numFmtId="165" fontId="0" fillId="2" borderId="1" xfId="0" applyNumberFormat="1" applyFill="1" applyBorder="1"/>
    <xf numFmtId="165" fontId="0" fillId="2" borderId="0" xfId="0" applyNumberFormat="1" applyFill="1"/>
    <xf numFmtId="165" fontId="0" fillId="0" borderId="0" xfId="0" applyNumberFormat="1"/>
    <xf numFmtId="165" fontId="6" fillId="0" borderId="0" xfId="0" applyNumberFormat="1" applyFont="1"/>
    <xf numFmtId="3" fontId="8" fillId="0" borderId="0" xfId="0" applyNumberFormat="1" applyFont="1"/>
    <xf numFmtId="3" fontId="6" fillId="3" borderId="10" xfId="0" applyNumberFormat="1" applyFont="1" applyFill="1" applyBorder="1"/>
    <xf numFmtId="3" fontId="8" fillId="3" borderId="11" xfId="0" applyNumberFormat="1" applyFont="1" applyFill="1" applyBorder="1"/>
    <xf numFmtId="165" fontId="1" fillId="2" borderId="0" xfId="0" applyNumberFormat="1" applyFont="1" applyFill="1"/>
    <xf numFmtId="165" fontId="0" fillId="0" borderId="1" xfId="0" applyNumberFormat="1" applyBorder="1"/>
    <xf numFmtId="165" fontId="6" fillId="3" borderId="11" xfId="0" applyNumberFormat="1" applyFont="1" applyFill="1" applyBorder="1"/>
    <xf numFmtId="169" fontId="6" fillId="3" borderId="11" xfId="0" applyNumberFormat="1" applyFont="1" applyFill="1" applyBorder="1"/>
    <xf numFmtId="169" fontId="8" fillId="0" borderId="0" xfId="0" applyNumberFormat="1" applyFont="1"/>
    <xf numFmtId="165" fontId="0" fillId="0" borderId="4" xfId="0" applyNumberFormat="1" applyBorder="1"/>
    <xf numFmtId="3" fontId="5" fillId="0" borderId="1" xfId="0" applyNumberFormat="1" applyFont="1" applyBorder="1"/>
    <xf numFmtId="14" fontId="2" fillId="3" borderId="8" xfId="0" applyNumberFormat="1" applyFont="1" applyFill="1" applyBorder="1"/>
    <xf numFmtId="3" fontId="2" fillId="3" borderId="4" xfId="0" applyNumberFormat="1" applyFont="1" applyFill="1" applyBorder="1"/>
    <xf numFmtId="165" fontId="6" fillId="3" borderId="9" xfId="0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0</xdr:row>
      <xdr:rowOff>190499</xdr:rowOff>
    </xdr:from>
    <xdr:to>
      <xdr:col>11</xdr:col>
      <xdr:colOff>390525</xdr:colOff>
      <xdr:row>11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553FD0-0264-4F78-80A2-0F8168059171}"/>
            </a:ext>
          </a:extLst>
        </xdr:cNvPr>
        <xdr:cNvSpPr txBox="1"/>
      </xdr:nvSpPr>
      <xdr:spPr>
        <a:xfrm>
          <a:off x="438150" y="190499"/>
          <a:ext cx="6657975" cy="1933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/>
            <a:t>Í ársreikningi félagsins </a:t>
          </a:r>
          <a:r>
            <a:rPr lang="is-IS" sz="1100" i="1"/>
            <a:t>Með-allt-niðrum-sig hf.</a:t>
          </a:r>
          <a:r>
            <a:rPr lang="is-IS" sz="1100"/>
            <a:t> má sjá eftirfarandi liði og fjárhæðir í nýjasta ársreikningi félagsins. </a:t>
          </a:r>
        </a:p>
        <a:p>
          <a:r>
            <a:rPr lang="is-IS" sz="1100"/>
            <a:t>Eignir</a:t>
          </a:r>
          <a:r>
            <a:rPr lang="is-IS" sz="1100" baseline="0"/>
            <a:t> samtals: </a:t>
          </a:r>
          <a:r>
            <a:rPr lang="is-IS" sz="1100"/>
            <a:t>22.000, </a:t>
          </a:r>
        </a:p>
        <a:p>
          <a:r>
            <a:rPr lang="is-IS" sz="1100"/>
            <a:t>Hlutafé: 5.000,</a:t>
          </a:r>
        </a:p>
        <a:p>
          <a:r>
            <a:rPr lang="is-IS" sz="1100"/>
            <a:t> Tekjur:</a:t>
          </a:r>
          <a:r>
            <a:rPr lang="is-IS" sz="1100" baseline="0"/>
            <a:t> </a:t>
          </a:r>
          <a:r>
            <a:rPr lang="is-IS" sz="1100"/>
            <a:t>11.000, </a:t>
          </a:r>
        </a:p>
        <a:p>
          <a:r>
            <a:rPr lang="is-IS" sz="1100"/>
            <a:t>Arður sem greiddur var hluthöfum</a:t>
          </a:r>
          <a:r>
            <a:rPr lang="is-IS" sz="1100" baseline="0"/>
            <a:t> á árinu:</a:t>
          </a:r>
          <a:r>
            <a:rPr lang="is-IS" sz="1100"/>
            <a:t> 750</a:t>
          </a:r>
        </a:p>
        <a:p>
          <a:r>
            <a:rPr lang="is-IS" sz="1100"/>
            <a:t>Óráðstafað eigið fé í upphafi árs: 3.750 </a:t>
          </a:r>
        </a:p>
        <a:p>
          <a:r>
            <a:rPr lang="is-IS" sz="1100"/>
            <a:t>Óráðstafað eigið fé</a:t>
          </a:r>
          <a:r>
            <a:rPr lang="is-IS" sz="1100" baseline="0"/>
            <a:t> í lok árs: </a:t>
          </a:r>
          <a:r>
            <a:rPr lang="is-IS" sz="1100"/>
            <a:t>6.000.</a:t>
          </a:r>
        </a:p>
        <a:p>
          <a:endParaRPr lang="is-IS" sz="1100"/>
        </a:p>
        <a:p>
          <a:r>
            <a:rPr lang="is-IS" sz="1100" b="1"/>
            <a:t>Verkefni:</a:t>
          </a:r>
        </a:p>
        <a:p>
          <a:r>
            <a:rPr lang="is-IS" sz="1100"/>
            <a:t>Finndu fjárhæð</a:t>
          </a:r>
          <a:r>
            <a:rPr lang="is-IS" sz="1100" baseline="0"/>
            <a:t> gjalda sem færð voru í ársreikning félagsins fyrir þetta tiltekna ár.</a:t>
          </a:r>
          <a:endParaRPr lang="is-I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0</xdr:row>
      <xdr:rowOff>190499</xdr:rowOff>
    </xdr:from>
    <xdr:to>
      <xdr:col>11</xdr:col>
      <xdr:colOff>400050</xdr:colOff>
      <xdr:row>11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2A4B32-2CBA-4909-8071-7B32C1BC8299}"/>
            </a:ext>
          </a:extLst>
        </xdr:cNvPr>
        <xdr:cNvSpPr txBox="1"/>
      </xdr:nvSpPr>
      <xdr:spPr>
        <a:xfrm>
          <a:off x="438150" y="190499"/>
          <a:ext cx="6667500" cy="1933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/>
            <a:t>Í ársreikningi félagsins </a:t>
          </a:r>
          <a:r>
            <a:rPr lang="is-IS" sz="1100" i="1"/>
            <a:t>Með-allt-niðrum-sig hf.</a:t>
          </a:r>
          <a:r>
            <a:rPr lang="is-IS" sz="1100"/>
            <a:t> má sjá eftirfarandi liði og fjárhæðir í nýjasta ársreikningi félagsins. </a:t>
          </a:r>
        </a:p>
        <a:p>
          <a:r>
            <a:rPr lang="is-IS" sz="1100"/>
            <a:t>Eignir</a:t>
          </a:r>
          <a:r>
            <a:rPr lang="is-IS" sz="1100" baseline="0"/>
            <a:t> samtals: </a:t>
          </a:r>
          <a:r>
            <a:rPr lang="is-IS" sz="1100"/>
            <a:t>22.000, </a:t>
          </a:r>
        </a:p>
        <a:p>
          <a:r>
            <a:rPr lang="is-IS" sz="1100"/>
            <a:t>Hlutafé: 5.000,</a:t>
          </a:r>
        </a:p>
        <a:p>
          <a:r>
            <a:rPr lang="is-IS" sz="1100"/>
            <a:t> Tekjur:</a:t>
          </a:r>
          <a:r>
            <a:rPr lang="is-IS" sz="1100" baseline="0"/>
            <a:t> </a:t>
          </a:r>
          <a:r>
            <a:rPr lang="is-IS" sz="1100"/>
            <a:t>11.000, </a:t>
          </a:r>
        </a:p>
        <a:p>
          <a:r>
            <a:rPr lang="is-IS" sz="1100"/>
            <a:t>Arður sem greiddur var hluthöfum</a:t>
          </a:r>
          <a:r>
            <a:rPr lang="is-IS" sz="1100" baseline="0"/>
            <a:t> á árinu:</a:t>
          </a:r>
          <a:r>
            <a:rPr lang="is-IS" sz="1100"/>
            <a:t> 750</a:t>
          </a:r>
        </a:p>
        <a:p>
          <a:r>
            <a:rPr lang="is-IS" sz="1100"/>
            <a:t>Óráðstafað eigið fé í upphafi árs: 3.750 </a:t>
          </a:r>
        </a:p>
        <a:p>
          <a:r>
            <a:rPr lang="is-IS" sz="1100"/>
            <a:t>Óráðstafað eigið fé</a:t>
          </a:r>
          <a:r>
            <a:rPr lang="is-IS" sz="1100" baseline="0"/>
            <a:t> í lok árs: </a:t>
          </a:r>
          <a:r>
            <a:rPr lang="is-IS" sz="1100"/>
            <a:t>6.000.</a:t>
          </a:r>
        </a:p>
        <a:p>
          <a:endParaRPr lang="is-IS" sz="1100"/>
        </a:p>
        <a:p>
          <a:r>
            <a:rPr lang="is-IS" sz="1100" b="1"/>
            <a:t>Verkefni:</a:t>
          </a:r>
        </a:p>
        <a:p>
          <a:r>
            <a:rPr lang="is-IS" sz="1100"/>
            <a:t>Finndu</a:t>
          </a:r>
          <a:r>
            <a:rPr lang="is-IS" sz="1100" baseline="0"/>
            <a:t> fjárhæð heildarskulda í árslok.</a:t>
          </a:r>
        </a:p>
        <a:p>
          <a:endParaRPr lang="is-I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</xdr:row>
      <xdr:rowOff>57150</xdr:rowOff>
    </xdr:from>
    <xdr:to>
      <xdr:col>12</xdr:col>
      <xdr:colOff>28575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D9F4EB-4DAD-47AA-A88C-2300EBBDFB82}"/>
            </a:ext>
          </a:extLst>
        </xdr:cNvPr>
        <xdr:cNvSpPr txBox="1"/>
      </xdr:nvSpPr>
      <xdr:spPr>
        <a:xfrm>
          <a:off x="990600" y="247650"/>
          <a:ext cx="6400800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/>
            <a:t>Þann</a:t>
          </a:r>
          <a:r>
            <a:rPr lang="is-IS" sz="1100" baseline="0"/>
            <a:t> 1. apríl 2021 keypti X hf. skuldabréf á 5.000. Skuldabréfið ber 8% vexti. Fyrsta greiðsla af skuldabréfinu fer fram 1. apríl 2022. Þá verður greiddur 1/5 hluti höfuðstólsins ásamt áföllnum vöxtum.</a:t>
          </a:r>
        </a:p>
        <a:p>
          <a:endParaRPr lang="is-IS" sz="1100" baseline="0"/>
        </a:p>
        <a:p>
          <a:r>
            <a:rPr lang="is-IS" sz="1100" baseline="0"/>
            <a:t>Spurning 1: Koma þessi kaup á skuldabréfinu fram í sjóðstreymi og þá í hvaða kafla?</a:t>
          </a:r>
        </a:p>
        <a:p>
          <a:r>
            <a:rPr lang="is-IS" sz="1100" baseline="0"/>
            <a:t>Spurning 2: Hvaða áhrif hafa kaupin á skuldabréfinu á heildareignir X hf.?</a:t>
          </a:r>
        </a:p>
        <a:p>
          <a:r>
            <a:rPr lang="is-IS" sz="1100" baseline="0"/>
            <a:t>Spurning 3: Hvaða bókhaldsfærslur þarf X hf. að gera þegar það kaupir skuldabréfið og hvaða uppgjörsfærslu þarf félagið að gera í árslok 2021? Settu færslurnar fram á T-reikningum </a:t>
          </a:r>
        </a:p>
        <a:p>
          <a:r>
            <a:rPr lang="is-IS" sz="1100" baseline="0"/>
            <a:t>Spurning 4: Hvaða áhrif hefur uppgjörsfærslan á bókhaldsjöfnuna?</a:t>
          </a:r>
        </a:p>
        <a:p>
          <a:endParaRPr lang="is-I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</xdr:row>
      <xdr:rowOff>57150</xdr:rowOff>
    </xdr:from>
    <xdr:to>
      <xdr:col>15</xdr:col>
      <xdr:colOff>533400</xdr:colOff>
      <xdr:row>5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B266ED-7E51-4D62-A699-AA047B113A46}"/>
            </a:ext>
          </a:extLst>
        </xdr:cNvPr>
        <xdr:cNvSpPr txBox="1"/>
      </xdr:nvSpPr>
      <xdr:spPr>
        <a:xfrm>
          <a:off x="990600" y="247650"/>
          <a:ext cx="8953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/>
            <a:t>Tray ehf. byrjaði árið 2018 með stöðu á viðskiptakröfum að fjárhæð 11.000. Á árinu færði félagið tekjur að fjárhæð 22.000 sem var að öllu leyti út í reikning. Viðskiptakröfur í árslok voru  13.000.</a:t>
          </a:r>
          <a:r>
            <a:rPr lang="is-IS" sz="1100" baseline="0"/>
            <a:t> </a:t>
          </a:r>
          <a:endParaRPr lang="is-IS" sz="1100"/>
        </a:p>
        <a:p>
          <a:r>
            <a:rPr lang="is-IS" sz="1100" b="1"/>
            <a:t>Byggt á framangreindum upplýsingum, hversu mikið innheimti Tray ehf. af viðskiptakröfum á árinu 2018?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</xdr:row>
      <xdr:rowOff>57150</xdr:rowOff>
    </xdr:from>
    <xdr:to>
      <xdr:col>12</xdr:col>
      <xdr:colOff>581025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40A40A-51BD-47C8-8C79-EDD5B0A968FB}"/>
            </a:ext>
          </a:extLst>
        </xdr:cNvPr>
        <xdr:cNvSpPr txBox="1"/>
      </xdr:nvSpPr>
      <xdr:spPr>
        <a:xfrm>
          <a:off x="990600" y="247650"/>
          <a:ext cx="8524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/>
            <a:t>Hér að neðan er að</a:t>
          </a:r>
          <a:r>
            <a:rPr lang="is-IS" sz="1100" baseline="0"/>
            <a:t> finna stöðu bókhaldslykla skv. leiðréttum prófjöfnuði í árslok fyrir félagið X hf. </a:t>
          </a:r>
          <a:r>
            <a:rPr lang="is-IS" sz="1100" b="1" baseline="0"/>
            <a:t>Verkefni þitt er að finna stöðu handbærs fjár.</a:t>
          </a:r>
          <a:endParaRPr lang="is-I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9524</xdr:rowOff>
    </xdr:from>
    <xdr:to>
      <xdr:col>14</xdr:col>
      <xdr:colOff>581025</xdr:colOff>
      <xdr:row>6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12DB33-58D4-4467-843C-53833962DA44}"/>
            </a:ext>
          </a:extLst>
        </xdr:cNvPr>
        <xdr:cNvSpPr txBox="1"/>
      </xdr:nvSpPr>
      <xdr:spPr>
        <a:xfrm>
          <a:off x="628650" y="200024"/>
          <a:ext cx="1241107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/>
            <a:t>Eftirfarandi upplýsingar eru fengnar úr prófjöfnuði Iphone ehf.   </a:t>
          </a:r>
        </a:p>
        <a:p>
          <a:r>
            <a:rPr lang="is-IS" sz="1100" b="1"/>
            <a:t>Spurning 1: Hvert var kostnaðarverð seldra</a:t>
          </a:r>
          <a:r>
            <a:rPr lang="is-IS" sz="1100" b="1" baseline="0"/>
            <a:t> vara (KSV) á árinu? </a:t>
          </a:r>
        </a:p>
        <a:p>
          <a:r>
            <a:rPr lang="is-IS" sz="1100" b="1" baseline="0"/>
            <a:t>Spurning 2: Hver var  veltuhraði birgða og hver var biðtími birgða í dögum?</a:t>
          </a:r>
        </a:p>
        <a:p>
          <a:endParaRPr lang="is-I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251093</xdr:colOff>
      <xdr:row>18</xdr:row>
      <xdr:rowOff>10912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443033-77D7-45B7-844D-30C14D9A9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734050" cy="30589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</xdr:row>
      <xdr:rowOff>47625</xdr:rowOff>
    </xdr:from>
    <xdr:to>
      <xdr:col>10</xdr:col>
      <xdr:colOff>0</xdr:colOff>
      <xdr:row>11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4B7EF9D-35AD-492E-85CA-849EB68DA93E}"/>
            </a:ext>
          </a:extLst>
        </xdr:cNvPr>
        <xdr:cNvSpPr txBox="1"/>
      </xdr:nvSpPr>
      <xdr:spPr>
        <a:xfrm>
          <a:off x="1095375" y="238125"/>
          <a:ext cx="74771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/>
            <a:t>Í lok fyrsta</a:t>
          </a:r>
          <a:r>
            <a:rPr lang="is-IS" sz="1100" baseline="0"/>
            <a:t> rekstrarárs hjá félaginu X hf. námu viðskiptakröfur (nafnverð, þ.e. heildarverð) 23.000 en staða á niðurfærslureikningi viðskiptakrafna var 900. Á ári tvö tapaðist endanlega viðskiptakrafa að fjárhæð 1.500 (krafa sem félagið telur að muni aldrei innheimtast). </a:t>
          </a:r>
        </a:p>
        <a:p>
          <a:endParaRPr lang="is-IS" sz="1100" baseline="0"/>
        </a:p>
        <a:p>
          <a:r>
            <a:rPr lang="is-IS" sz="1100" baseline="0"/>
            <a:t>Stjórnendur félagsins miða niðurfærslureikninginn við ákveðið hlutfall af viðskiptakröfum í árslok og vilja að staða niðurfærslureikningsins sé 1.600 í lok árs tvö.</a:t>
          </a:r>
        </a:p>
        <a:p>
          <a:endParaRPr lang="is-IS" sz="1100" baseline="0"/>
        </a:p>
        <a:p>
          <a:r>
            <a:rPr lang="is-IS" sz="1100" b="1" baseline="0"/>
            <a:t>Spurning: Hvað gjaldfærir X hf. háa fjárhæð á ári tvö vegna viðskiptakrafna?</a:t>
          </a:r>
          <a:endParaRPr lang="is-I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N26"/>
  <sheetViews>
    <sheetView zoomScale="150" workbookViewId="0">
      <selection activeCell="B27" sqref="B27"/>
    </sheetView>
  </sheetViews>
  <sheetFormatPr baseColWidth="10" defaultColWidth="9.1640625" defaultRowHeight="15" x14ac:dyDescent="0.2"/>
  <cols>
    <col min="1" max="1" width="9.1640625" style="1"/>
    <col min="2" max="2" width="21.83203125" style="1" customWidth="1"/>
    <col min="3" max="3" width="7.1640625" style="1" customWidth="1"/>
    <col min="4" max="4" width="8" style="1" customWidth="1"/>
    <col min="5" max="5" width="9.5" style="1" customWidth="1"/>
    <col min="6" max="16384" width="9.1640625" style="1"/>
  </cols>
  <sheetData>
    <row r="14" spans="2:14" x14ac:dyDescent="0.2">
      <c r="B14" s="1" t="s">
        <v>24</v>
      </c>
      <c r="G14" s="1" t="s">
        <v>33</v>
      </c>
    </row>
    <row r="15" spans="2:14" x14ac:dyDescent="0.2">
      <c r="B15" s="1" t="s">
        <v>25</v>
      </c>
      <c r="C15" s="1">
        <f>22000</f>
        <v>22000</v>
      </c>
      <c r="G15" s="1" t="s">
        <v>34</v>
      </c>
      <c r="H15" s="1">
        <f>C18</f>
        <v>3750</v>
      </c>
      <c r="J15" s="9"/>
      <c r="K15" s="9"/>
      <c r="L15" s="9"/>
      <c r="M15" s="9"/>
      <c r="N15" s="9"/>
    </row>
    <row r="16" spans="2:14" x14ac:dyDescent="0.2">
      <c r="B16" s="1" t="s">
        <v>28</v>
      </c>
      <c r="C16" s="1">
        <f>5000</f>
        <v>5000</v>
      </c>
      <c r="G16" s="1" t="s">
        <v>8</v>
      </c>
      <c r="H16" s="1">
        <f>C19</f>
        <v>11000</v>
      </c>
    </row>
    <row r="17" spans="2:8" x14ac:dyDescent="0.2">
      <c r="B17" s="1" t="s">
        <v>29</v>
      </c>
      <c r="C17" s="1">
        <f>-750</f>
        <v>-750</v>
      </c>
      <c r="G17" s="1" t="s">
        <v>35</v>
      </c>
      <c r="H17" s="13">
        <f>C17</f>
        <v>-750</v>
      </c>
    </row>
    <row r="18" spans="2:8" ht="16" thickBot="1" x14ac:dyDescent="0.25">
      <c r="B18" s="1" t="s">
        <v>30</v>
      </c>
      <c r="C18" s="1">
        <f>3750</f>
        <v>3750</v>
      </c>
      <c r="H18" s="14">
        <f>SUM(H15:H17)</f>
        <v>14000</v>
      </c>
    </row>
    <row r="19" spans="2:8" ht="16" thickTop="1" x14ac:dyDescent="0.2">
      <c r="B19" s="1" t="s">
        <v>8</v>
      </c>
      <c r="C19" s="1">
        <f>11000</f>
        <v>11000</v>
      </c>
    </row>
    <row r="20" spans="2:8" x14ac:dyDescent="0.2">
      <c r="B20" s="1" t="s">
        <v>31</v>
      </c>
      <c r="C20" s="1" t="s">
        <v>4</v>
      </c>
      <c r="D20" s="1">
        <f>K20</f>
        <v>0</v>
      </c>
      <c r="G20" s="1" t="s">
        <v>36</v>
      </c>
      <c r="H20" s="1">
        <f>6000</f>
        <v>6000</v>
      </c>
    </row>
    <row r="21" spans="2:8" x14ac:dyDescent="0.2">
      <c r="C21" s="1">
        <f>SUM(C15:C19)</f>
        <v>41000</v>
      </c>
    </row>
    <row r="22" spans="2:8" x14ac:dyDescent="0.2">
      <c r="G22" s="1" t="s">
        <v>31</v>
      </c>
      <c r="H22" s="1">
        <f>H18-H20</f>
        <v>8000</v>
      </c>
    </row>
    <row r="25" spans="2:8" x14ac:dyDescent="0.2">
      <c r="B25" s="11" t="s">
        <v>32</v>
      </c>
      <c r="C25" s="11" t="s">
        <v>9</v>
      </c>
      <c r="D25" s="12">
        <f>H22</f>
        <v>8000</v>
      </c>
    </row>
    <row r="26" spans="2:8" x14ac:dyDescent="0.2">
      <c r="B26" s="1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44FE-A33C-44ED-AEC9-23CD9D5714AB}">
  <dimension ref="B15:G33"/>
  <sheetViews>
    <sheetView topLeftCell="A7" zoomScale="142" workbookViewId="0">
      <selection activeCell="F39" sqref="F39"/>
    </sheetView>
  </sheetViews>
  <sheetFormatPr baseColWidth="10" defaultColWidth="9.1640625" defaultRowHeight="15" x14ac:dyDescent="0.2"/>
  <cols>
    <col min="1" max="1" width="9.1640625" style="1"/>
    <col min="2" max="2" width="23.5" style="1" customWidth="1"/>
    <col min="3" max="16384" width="9.1640625" style="1"/>
  </cols>
  <sheetData>
    <row r="15" spans="2:7" x14ac:dyDescent="0.2">
      <c r="B15" s="1" t="s">
        <v>25</v>
      </c>
      <c r="C15" s="1">
        <f>22000</f>
        <v>22000</v>
      </c>
      <c r="F15" s="1" t="s">
        <v>33</v>
      </c>
    </row>
    <row r="16" spans="2:7" x14ac:dyDescent="0.2">
      <c r="B16" s="1" t="s">
        <v>21</v>
      </c>
      <c r="C16" s="1" t="s">
        <v>4</v>
      </c>
      <c r="F16" s="1" t="s">
        <v>34</v>
      </c>
      <c r="G16" s="1">
        <f>3750</f>
        <v>3750</v>
      </c>
    </row>
    <row r="17" spans="2:7" x14ac:dyDescent="0.2">
      <c r="B17" s="1" t="s">
        <v>6</v>
      </c>
      <c r="C17" s="1">
        <f>5000</f>
        <v>5000</v>
      </c>
      <c r="F17" s="1" t="s">
        <v>8</v>
      </c>
      <c r="G17" s="1">
        <f>C18</f>
        <v>11000</v>
      </c>
    </row>
    <row r="18" spans="2:7" x14ac:dyDescent="0.2">
      <c r="B18" s="1" t="s">
        <v>8</v>
      </c>
      <c r="C18" s="1">
        <f>11000</f>
        <v>11000</v>
      </c>
      <c r="F18" s="1" t="s">
        <v>39</v>
      </c>
      <c r="G18" s="16">
        <f>C19</f>
        <v>-750</v>
      </c>
    </row>
    <row r="19" spans="2:7" x14ac:dyDescent="0.2">
      <c r="B19" s="1" t="s">
        <v>38</v>
      </c>
      <c r="C19" s="15">
        <f>-750</f>
        <v>-750</v>
      </c>
      <c r="G19" s="17">
        <f>SUM(G16:G18)</f>
        <v>14000</v>
      </c>
    </row>
    <row r="21" spans="2:7" x14ac:dyDescent="0.2">
      <c r="F21" s="1" t="s">
        <v>36</v>
      </c>
      <c r="G21" s="1">
        <f>6000</f>
        <v>6000</v>
      </c>
    </row>
    <row r="22" spans="2:7" x14ac:dyDescent="0.2">
      <c r="G22" s="16"/>
    </row>
    <row r="23" spans="2:7" x14ac:dyDescent="0.2">
      <c r="F23" s="1" t="s">
        <v>40</v>
      </c>
      <c r="G23" s="16">
        <f>-(G19-G21)</f>
        <v>-8000</v>
      </c>
    </row>
    <row r="26" spans="2:7" x14ac:dyDescent="0.2">
      <c r="B26" s="1" t="s">
        <v>25</v>
      </c>
      <c r="C26" s="19" t="s">
        <v>20</v>
      </c>
      <c r="D26" s="1" t="s">
        <v>21</v>
      </c>
      <c r="E26" s="1" t="s">
        <v>22</v>
      </c>
      <c r="F26" s="1" t="s">
        <v>23</v>
      </c>
    </row>
    <row r="27" spans="2:7" x14ac:dyDescent="0.2">
      <c r="B27" s="1">
        <f>C15</f>
        <v>22000</v>
      </c>
      <c r="D27" s="18">
        <f>B27-G29</f>
        <v>11000</v>
      </c>
      <c r="F27" s="1" t="s">
        <v>36</v>
      </c>
      <c r="G27" s="1">
        <f>G21</f>
        <v>6000</v>
      </c>
    </row>
    <row r="28" spans="2:7" x14ac:dyDescent="0.2">
      <c r="F28" s="1" t="s">
        <v>6</v>
      </c>
      <c r="G28" s="1">
        <f>C17</f>
        <v>5000</v>
      </c>
    </row>
    <row r="29" spans="2:7" x14ac:dyDescent="0.2">
      <c r="G29" s="1">
        <f>SUM(G27:G28)</f>
        <v>11000</v>
      </c>
    </row>
    <row r="33" spans="2:3" x14ac:dyDescent="0.2">
      <c r="B33" s="20" t="s">
        <v>42</v>
      </c>
      <c r="C33" s="12">
        <f>D27</f>
        <v>11000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C98E-D33B-401F-9B79-93AF5B36EAA1}">
  <dimension ref="B17:R36"/>
  <sheetViews>
    <sheetView topLeftCell="A15" zoomScale="139" workbookViewId="0">
      <selection activeCell="J43" sqref="J43"/>
    </sheetView>
  </sheetViews>
  <sheetFormatPr baseColWidth="10" defaultColWidth="9.1640625" defaultRowHeight="15" x14ac:dyDescent="0.2"/>
  <cols>
    <col min="1" max="1" width="3.83203125" style="1" customWidth="1"/>
    <col min="2" max="2" width="9.1640625" style="1"/>
    <col min="3" max="3" width="10.1640625" style="1" bestFit="1" customWidth="1"/>
    <col min="4" max="4" width="27.1640625" style="1" customWidth="1"/>
    <col min="5" max="5" width="8" style="1" customWidth="1"/>
    <col min="6" max="6" width="9.1640625" style="1" customWidth="1"/>
    <col min="7" max="8" width="9.1640625" style="1"/>
    <col min="9" max="9" width="13.1640625" style="1" customWidth="1"/>
    <col min="10" max="10" width="9.1640625" style="1"/>
    <col min="11" max="11" width="7.83203125" style="1" customWidth="1"/>
    <col min="12" max="12" width="14.83203125" style="1" customWidth="1"/>
    <col min="13" max="13" width="13.1640625" style="1" customWidth="1"/>
    <col min="14" max="14" width="9.5" style="1" customWidth="1"/>
    <col min="15" max="15" width="11.6640625" style="1" customWidth="1"/>
    <col min="16" max="16384" width="9.1640625" style="1"/>
  </cols>
  <sheetData>
    <row r="17" spans="2:18" x14ac:dyDescent="0.2">
      <c r="C17" s="10" t="s">
        <v>43</v>
      </c>
      <c r="D17" s="10" t="s">
        <v>44</v>
      </c>
      <c r="E17" s="10" t="s">
        <v>26</v>
      </c>
      <c r="F17" s="10" t="s">
        <v>45</v>
      </c>
      <c r="I17" s="22" t="s">
        <v>49</v>
      </c>
      <c r="J17" s="22" t="s">
        <v>50</v>
      </c>
      <c r="K17" s="22" t="s">
        <v>51</v>
      </c>
      <c r="L17" s="22" t="s">
        <v>52</v>
      </c>
      <c r="M17" s="22" t="s">
        <v>53</v>
      </c>
      <c r="N17" s="22" t="s">
        <v>54</v>
      </c>
      <c r="O17" s="22" t="s">
        <v>55</v>
      </c>
    </row>
    <row r="18" spans="2:18" x14ac:dyDescent="0.2">
      <c r="C18" s="21">
        <v>44287</v>
      </c>
      <c r="D18" s="10" t="s">
        <v>46</v>
      </c>
      <c r="J18" s="1">
        <f>E19</f>
        <v>5000</v>
      </c>
      <c r="K18" s="23">
        <v>0.08</v>
      </c>
      <c r="L18" s="1">
        <f>K19</f>
        <v>400</v>
      </c>
      <c r="M18" s="1">
        <f>L18/12</f>
        <v>33.333333333333336</v>
      </c>
      <c r="N18" s="1">
        <v>9</v>
      </c>
      <c r="O18" s="1">
        <f>M18*N18</f>
        <v>300</v>
      </c>
    </row>
    <row r="19" spans="2:18" x14ac:dyDescent="0.2">
      <c r="C19" s="21"/>
      <c r="D19" s="1" t="s">
        <v>47</v>
      </c>
      <c r="E19" s="1">
        <f>5000</f>
        <v>5000</v>
      </c>
      <c r="G19" s="1" t="s">
        <v>60</v>
      </c>
      <c r="K19" s="1">
        <f>J18*K18</f>
        <v>400</v>
      </c>
    </row>
    <row r="20" spans="2:18" x14ac:dyDescent="0.2">
      <c r="C20" s="21"/>
      <c r="D20" s="1" t="s">
        <v>48</v>
      </c>
      <c r="F20" s="1">
        <f>E19</f>
        <v>5000</v>
      </c>
      <c r="G20" s="1" t="s">
        <v>59</v>
      </c>
    </row>
    <row r="21" spans="2:18" x14ac:dyDescent="0.2">
      <c r="C21" s="21">
        <v>44561</v>
      </c>
      <c r="D21" s="10" t="s">
        <v>56</v>
      </c>
    </row>
    <row r="22" spans="2:18" x14ac:dyDescent="0.2">
      <c r="C22" s="21"/>
      <c r="D22" s="1" t="s">
        <v>58</v>
      </c>
      <c r="E22" s="1">
        <f>O18</f>
        <v>300</v>
      </c>
    </row>
    <row r="23" spans="2:18" x14ac:dyDescent="0.2">
      <c r="C23" s="21"/>
      <c r="D23" s="1" t="s">
        <v>57</v>
      </c>
      <c r="F23" s="1">
        <f>E22</f>
        <v>300</v>
      </c>
      <c r="I23" s="24" t="s">
        <v>69</v>
      </c>
      <c r="J23" s="34" t="s">
        <v>70</v>
      </c>
      <c r="K23" s="34"/>
      <c r="L23" s="34"/>
    </row>
    <row r="24" spans="2:18" x14ac:dyDescent="0.2">
      <c r="C24" s="21"/>
      <c r="J24" s="30" t="s">
        <v>25</v>
      </c>
      <c r="K24" s="30"/>
      <c r="M24" s="31" t="s">
        <v>21</v>
      </c>
      <c r="N24" s="31"/>
      <c r="P24" s="31" t="s">
        <v>66</v>
      </c>
      <c r="Q24" s="31"/>
    </row>
    <row r="25" spans="2:18" x14ac:dyDescent="0.2">
      <c r="C25" s="21"/>
      <c r="J25" s="29" t="s">
        <v>65</v>
      </c>
      <c r="K25" s="29"/>
      <c r="P25" s="28" t="s">
        <v>57</v>
      </c>
      <c r="Q25" s="28"/>
    </row>
    <row r="26" spans="2:18" x14ac:dyDescent="0.2">
      <c r="C26" s="21"/>
      <c r="K26" s="26">
        <f>E19</f>
        <v>5000</v>
      </c>
      <c r="L26" s="32">
        <v>1</v>
      </c>
      <c r="Q26" s="26">
        <f>F23</f>
        <v>300</v>
      </c>
      <c r="R26" s="1" t="s">
        <v>68</v>
      </c>
    </row>
    <row r="27" spans="2:18" x14ac:dyDescent="0.2">
      <c r="C27" s="21"/>
      <c r="K27" s="27"/>
      <c r="Q27" s="27"/>
    </row>
    <row r="28" spans="2:18" x14ac:dyDescent="0.2">
      <c r="C28" s="21"/>
      <c r="K28" s="27"/>
      <c r="Q28" s="27"/>
    </row>
    <row r="29" spans="2:18" x14ac:dyDescent="0.2">
      <c r="B29" s="24" t="s">
        <v>61</v>
      </c>
      <c r="C29" s="25" t="s">
        <v>62</v>
      </c>
      <c r="D29" s="25"/>
      <c r="E29" s="25"/>
      <c r="F29" s="25"/>
      <c r="K29" s="27"/>
      <c r="Q29" s="27"/>
    </row>
    <row r="31" spans="2:18" x14ac:dyDescent="0.2">
      <c r="B31" s="24" t="s">
        <v>63</v>
      </c>
      <c r="C31" s="25" t="s">
        <v>64</v>
      </c>
      <c r="D31" s="25"/>
      <c r="E31" s="25"/>
      <c r="F31" s="25"/>
    </row>
    <row r="32" spans="2:18" x14ac:dyDescent="0.2">
      <c r="C32" s="21"/>
      <c r="J32" s="29" t="s">
        <v>49</v>
      </c>
      <c r="K32" s="28"/>
      <c r="P32" s="29" t="s">
        <v>67</v>
      </c>
      <c r="Q32" s="29"/>
    </row>
    <row r="33" spans="2:17" x14ac:dyDescent="0.2">
      <c r="C33" s="21"/>
      <c r="I33" s="1">
        <v>1</v>
      </c>
      <c r="J33" s="1">
        <f>E19</f>
        <v>5000</v>
      </c>
      <c r="K33" s="26"/>
      <c r="O33" s="33" t="s">
        <v>68</v>
      </c>
      <c r="P33" s="1">
        <f>E22</f>
        <v>300</v>
      </c>
      <c r="Q33" s="26"/>
    </row>
    <row r="34" spans="2:17" x14ac:dyDescent="0.2">
      <c r="B34" s="24" t="s">
        <v>71</v>
      </c>
      <c r="C34" s="25" t="s">
        <v>72</v>
      </c>
      <c r="D34" s="25"/>
      <c r="E34" s="25"/>
      <c r="F34" s="25"/>
      <c r="K34" s="27"/>
      <c r="Q34" s="27"/>
    </row>
    <row r="35" spans="2:17" x14ac:dyDescent="0.2">
      <c r="C35" s="21"/>
      <c r="K35" s="27"/>
      <c r="Q35" s="27"/>
    </row>
    <row r="36" spans="2:17" x14ac:dyDescent="0.2">
      <c r="C36" s="21"/>
      <c r="K36" s="27"/>
      <c r="Q36" s="27"/>
    </row>
  </sheetData>
  <mergeCells count="11">
    <mergeCell ref="J24:K24"/>
    <mergeCell ref="M24:N24"/>
    <mergeCell ref="P24:Q24"/>
    <mergeCell ref="J23:L23"/>
    <mergeCell ref="C34:F34"/>
    <mergeCell ref="C29:F29"/>
    <mergeCell ref="C31:F31"/>
    <mergeCell ref="J25:K25"/>
    <mergeCell ref="P32:Q32"/>
    <mergeCell ref="J32:K32"/>
    <mergeCell ref="P25:Q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ADB8-DDA8-434C-976F-6B2A0C918F1C}">
  <dimension ref="C9:R25"/>
  <sheetViews>
    <sheetView zoomScale="150" workbookViewId="0">
      <selection activeCell="K14" sqref="J9:K14"/>
    </sheetView>
  </sheetViews>
  <sheetFormatPr baseColWidth="10" defaultColWidth="9.1640625" defaultRowHeight="15" x14ac:dyDescent="0.2"/>
  <cols>
    <col min="1" max="2" width="9.1640625" style="1"/>
    <col min="3" max="3" width="11.1640625" style="21" customWidth="1"/>
    <col min="4" max="4" width="21.83203125" style="1" customWidth="1"/>
    <col min="5" max="5" width="9" style="1" customWidth="1"/>
    <col min="6" max="6" width="9.1640625" style="1"/>
    <col min="7" max="7" width="15.5" style="1" customWidth="1"/>
    <col min="8" max="8" width="6.5" style="1" customWidth="1"/>
    <col min="9" max="9" width="11.1640625" style="1" customWidth="1"/>
    <col min="10" max="16384" width="9.1640625" style="1"/>
  </cols>
  <sheetData>
    <row r="9" spans="3:18" x14ac:dyDescent="0.2">
      <c r="J9" s="30" t="s">
        <v>25</v>
      </c>
      <c r="K9" s="30"/>
      <c r="L9" s="36" t="s">
        <v>20</v>
      </c>
      <c r="M9" s="30" t="s">
        <v>80</v>
      </c>
      <c r="N9" s="30"/>
      <c r="O9" s="36" t="s">
        <v>22</v>
      </c>
      <c r="Q9" s="30" t="s">
        <v>23</v>
      </c>
      <c r="R9" s="30"/>
    </row>
    <row r="10" spans="3:18" x14ac:dyDescent="0.2">
      <c r="D10" s="1" t="s">
        <v>73</v>
      </c>
      <c r="E10" s="1" t="s">
        <v>74</v>
      </c>
      <c r="F10" s="1" t="s">
        <v>75</v>
      </c>
      <c r="J10" s="29" t="s">
        <v>65</v>
      </c>
      <c r="K10" s="29"/>
      <c r="M10" s="29"/>
      <c r="N10" s="29"/>
      <c r="Q10" s="29"/>
      <c r="R10" s="29"/>
    </row>
    <row r="11" spans="3:18" x14ac:dyDescent="0.2">
      <c r="C11" s="21">
        <v>43101</v>
      </c>
      <c r="D11" s="10" t="s">
        <v>76</v>
      </c>
      <c r="J11" s="1">
        <f>K18</f>
        <v>20000</v>
      </c>
      <c r="K11" s="26"/>
      <c r="N11" s="26"/>
      <c r="R11" s="26"/>
    </row>
    <row r="12" spans="3:18" x14ac:dyDescent="0.2">
      <c r="D12" s="1" t="s">
        <v>5</v>
      </c>
      <c r="E12" s="1">
        <f>11000</f>
        <v>11000</v>
      </c>
      <c r="K12" s="27"/>
      <c r="N12" s="27"/>
      <c r="R12" s="27"/>
    </row>
    <row r="13" spans="3:18" x14ac:dyDescent="0.2">
      <c r="D13" s="1" t="s">
        <v>77</v>
      </c>
      <c r="F13" s="1">
        <f>E12</f>
        <v>11000</v>
      </c>
      <c r="K13" s="27"/>
      <c r="N13" s="27"/>
      <c r="R13" s="27"/>
    </row>
    <row r="14" spans="3:18" x14ac:dyDescent="0.2">
      <c r="C14" s="21">
        <v>43252</v>
      </c>
      <c r="D14" s="10" t="s">
        <v>78</v>
      </c>
      <c r="K14" s="27"/>
      <c r="N14" s="27"/>
      <c r="R14" s="27"/>
    </row>
    <row r="15" spans="3:18" x14ac:dyDescent="0.2">
      <c r="D15" s="35" t="s">
        <v>48</v>
      </c>
      <c r="E15" s="1">
        <f>22000</f>
        <v>22000</v>
      </c>
    </row>
    <row r="16" spans="3:18" x14ac:dyDescent="0.2">
      <c r="D16" s="1" t="s">
        <v>77</v>
      </c>
      <c r="F16" s="1">
        <f>E15</f>
        <v>22000</v>
      </c>
    </row>
    <row r="17" spans="3:18" x14ac:dyDescent="0.2">
      <c r="C17" s="21">
        <v>43465</v>
      </c>
      <c r="D17" s="10" t="s">
        <v>79</v>
      </c>
      <c r="J17" s="29" t="s">
        <v>81</v>
      </c>
      <c r="K17" s="29"/>
      <c r="Q17" s="30"/>
      <c r="R17" s="30"/>
    </row>
    <row r="18" spans="3:18" x14ac:dyDescent="0.2">
      <c r="D18" s="1" t="s">
        <v>5</v>
      </c>
      <c r="I18" s="1" t="s">
        <v>82</v>
      </c>
      <c r="J18" s="1">
        <f>E12</f>
        <v>11000</v>
      </c>
      <c r="K18" s="38">
        <f>(J18+J19)-J21</f>
        <v>20000</v>
      </c>
      <c r="Q18" s="29" t="s">
        <v>77</v>
      </c>
      <c r="R18" s="29"/>
    </row>
    <row r="19" spans="3:18" x14ac:dyDescent="0.2">
      <c r="J19" s="1">
        <f>22000</f>
        <v>22000</v>
      </c>
      <c r="K19" s="27"/>
      <c r="Q19" s="1">
        <f>J19</f>
        <v>22000</v>
      </c>
      <c r="R19" s="26">
        <f>F13</f>
        <v>11000</v>
      </c>
    </row>
    <row r="20" spans="3:18" x14ac:dyDescent="0.2">
      <c r="I20" s="16"/>
      <c r="J20" s="37"/>
      <c r="K20" s="27"/>
      <c r="R20" s="27"/>
    </row>
    <row r="21" spans="3:18" x14ac:dyDescent="0.2">
      <c r="I21" s="1" t="s">
        <v>83</v>
      </c>
      <c r="J21" s="1">
        <f>13000</f>
        <v>13000</v>
      </c>
      <c r="K21" s="27"/>
      <c r="R21" s="27"/>
    </row>
    <row r="22" spans="3:18" x14ac:dyDescent="0.2">
      <c r="R22" s="27"/>
    </row>
    <row r="25" spans="3:18" x14ac:dyDescent="0.2">
      <c r="C25" s="39" t="s">
        <v>32</v>
      </c>
      <c r="D25" s="40" t="s">
        <v>84</v>
      </c>
      <c r="E25" s="42">
        <f>K18</f>
        <v>20000</v>
      </c>
      <c r="F25" s="41" t="s">
        <v>85</v>
      </c>
    </row>
  </sheetData>
  <mergeCells count="9">
    <mergeCell ref="Q17:R17"/>
    <mergeCell ref="Q18:R18"/>
    <mergeCell ref="J17:K17"/>
    <mergeCell ref="J10:K10"/>
    <mergeCell ref="J9:K9"/>
    <mergeCell ref="M9:N9"/>
    <mergeCell ref="M10:N10"/>
    <mergeCell ref="Q9:R9"/>
    <mergeCell ref="Q10:R1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A701-11EF-4172-9E76-62A4E55E2E5A}">
  <dimension ref="B7:P33"/>
  <sheetViews>
    <sheetView topLeftCell="A3" zoomScale="144" workbookViewId="0">
      <selection activeCell="F31" sqref="F31"/>
    </sheetView>
  </sheetViews>
  <sheetFormatPr baseColWidth="10" defaultColWidth="9.1640625" defaultRowHeight="15" x14ac:dyDescent="0.2"/>
  <cols>
    <col min="1" max="1" width="9.1640625" style="1"/>
    <col min="2" max="2" width="24.1640625" style="1" customWidth="1"/>
    <col min="3" max="3" width="15.5" style="1" customWidth="1"/>
    <col min="4" max="4" width="6.83203125" style="1" customWidth="1"/>
    <col min="5" max="5" width="17.6640625" style="1" customWidth="1"/>
    <col min="6" max="6" width="9.1640625" style="48"/>
    <col min="7" max="7" width="7.5" style="1" customWidth="1"/>
    <col min="8" max="8" width="10.5" style="1" customWidth="1"/>
    <col min="9" max="9" width="11" style="1" customWidth="1"/>
    <col min="10" max="10" width="9.1640625" style="1"/>
    <col min="11" max="11" width="4.1640625" style="9" customWidth="1"/>
    <col min="12" max="13" width="9.1640625" style="1"/>
    <col min="14" max="14" width="5.33203125" style="1" customWidth="1"/>
    <col min="15" max="16384" width="9.1640625" style="1"/>
  </cols>
  <sheetData>
    <row r="7" spans="3:16" x14ac:dyDescent="0.2">
      <c r="C7" s="3" t="s">
        <v>0</v>
      </c>
      <c r="D7" s="3"/>
      <c r="E7" s="3" t="s">
        <v>1</v>
      </c>
      <c r="F7" s="46" t="s">
        <v>2</v>
      </c>
    </row>
    <row r="8" spans="3:16" x14ac:dyDescent="0.2">
      <c r="C8" s="4" t="s">
        <v>3</v>
      </c>
      <c r="D8" s="4"/>
      <c r="E8" s="4" t="s">
        <v>4</v>
      </c>
      <c r="F8" s="47"/>
    </row>
    <row r="9" spans="3:16" x14ac:dyDescent="0.2">
      <c r="C9" s="5" t="s">
        <v>5</v>
      </c>
      <c r="D9" s="5"/>
      <c r="E9" s="6">
        <v>5000</v>
      </c>
      <c r="F9" s="47"/>
      <c r="I9" s="31" t="s">
        <v>25</v>
      </c>
      <c r="J9" s="31"/>
      <c r="K9" s="43" t="s">
        <v>20</v>
      </c>
      <c r="L9" s="31" t="s">
        <v>21</v>
      </c>
      <c r="M9" s="31"/>
      <c r="N9" s="44" t="s">
        <v>22</v>
      </c>
      <c r="O9" s="31" t="s">
        <v>27</v>
      </c>
      <c r="P9" s="31"/>
    </row>
    <row r="10" spans="3:16" x14ac:dyDescent="0.2">
      <c r="C10" s="5" t="s">
        <v>6</v>
      </c>
      <c r="D10" s="5"/>
      <c r="E10" s="7"/>
      <c r="F10" s="47">
        <v>2000</v>
      </c>
      <c r="I10" s="29" t="s">
        <v>65</v>
      </c>
      <c r="J10" s="29"/>
      <c r="L10" s="29"/>
      <c r="M10" s="29"/>
      <c r="O10" s="29" t="s">
        <v>6</v>
      </c>
      <c r="P10" s="29"/>
    </row>
    <row r="11" spans="3:16" x14ac:dyDescent="0.2">
      <c r="C11" s="5" t="s">
        <v>7</v>
      </c>
      <c r="D11" s="5"/>
      <c r="E11" s="7"/>
      <c r="F11" s="47">
        <v>2700</v>
      </c>
      <c r="J11" s="26"/>
      <c r="M11" s="26"/>
      <c r="P11" s="26">
        <f>F23</f>
        <v>2000</v>
      </c>
    </row>
    <row r="12" spans="3:16" x14ac:dyDescent="0.2">
      <c r="C12" s="5" t="s">
        <v>8</v>
      </c>
      <c r="D12" s="5"/>
      <c r="E12" s="7"/>
      <c r="F12" s="47">
        <v>3000</v>
      </c>
      <c r="J12" s="27"/>
      <c r="M12" s="27"/>
      <c r="P12" s="27"/>
    </row>
    <row r="13" spans="3:16" x14ac:dyDescent="0.2">
      <c r="C13" s="5" t="s">
        <v>9</v>
      </c>
      <c r="D13" s="5"/>
      <c r="E13" s="6">
        <v>1800</v>
      </c>
      <c r="F13" s="47"/>
      <c r="J13" s="27"/>
      <c r="M13" s="27"/>
      <c r="P13" s="27"/>
    </row>
    <row r="14" spans="3:16" x14ac:dyDescent="0.2">
      <c r="J14" s="27"/>
      <c r="M14" s="27"/>
      <c r="P14" s="27"/>
    </row>
    <row r="16" spans="3:16" x14ac:dyDescent="0.2">
      <c r="E16" s="10" t="s">
        <v>86</v>
      </c>
    </row>
    <row r="17" spans="2:16" x14ac:dyDescent="0.2">
      <c r="E17" s="10" t="s">
        <v>19</v>
      </c>
      <c r="I17" s="29" t="s">
        <v>5</v>
      </c>
      <c r="J17" s="29"/>
      <c r="O17" s="29" t="s">
        <v>8</v>
      </c>
      <c r="P17" s="29"/>
    </row>
    <row r="18" spans="2:16" x14ac:dyDescent="0.2">
      <c r="E18" s="1" t="s">
        <v>48</v>
      </c>
      <c r="F18" s="49">
        <f>F30-F19</f>
        <v>900</v>
      </c>
      <c r="I18" s="1">
        <f>E9</f>
        <v>5000</v>
      </c>
      <c r="J18" s="26"/>
      <c r="P18" s="26">
        <f>F12</f>
        <v>3000</v>
      </c>
    </row>
    <row r="19" spans="2:16" x14ac:dyDescent="0.2">
      <c r="E19" s="1" t="s">
        <v>5</v>
      </c>
      <c r="F19" s="48">
        <f>E9</f>
        <v>5000</v>
      </c>
      <c r="J19" s="27"/>
      <c r="P19" s="27"/>
    </row>
    <row r="20" spans="2:16" x14ac:dyDescent="0.2">
      <c r="E20" s="45" t="s">
        <v>87</v>
      </c>
      <c r="F20" s="48">
        <f>F19+F18</f>
        <v>5900</v>
      </c>
      <c r="J20" s="27"/>
      <c r="P20" s="27"/>
    </row>
    <row r="21" spans="2:16" x14ac:dyDescent="0.2">
      <c r="E21" s="10" t="s">
        <v>80</v>
      </c>
      <c r="F21" s="48">
        <v>0</v>
      </c>
      <c r="J21" s="27"/>
      <c r="P21" s="27"/>
    </row>
    <row r="22" spans="2:16" x14ac:dyDescent="0.2">
      <c r="E22" s="10" t="s">
        <v>88</v>
      </c>
    </row>
    <row r="23" spans="2:16" x14ac:dyDescent="0.2">
      <c r="E23" s="1" t="s">
        <v>6</v>
      </c>
      <c r="F23" s="48">
        <f>F10</f>
        <v>2000</v>
      </c>
      <c r="O23" s="29" t="s">
        <v>9</v>
      </c>
      <c r="P23" s="29"/>
    </row>
    <row r="24" spans="2:16" x14ac:dyDescent="0.2">
      <c r="E24" s="1" t="s">
        <v>34</v>
      </c>
      <c r="F24" s="48">
        <f>F11</f>
        <v>2700</v>
      </c>
      <c r="O24" s="1">
        <f>E13</f>
        <v>1800</v>
      </c>
      <c r="P24" s="26"/>
    </row>
    <row r="25" spans="2:16" x14ac:dyDescent="0.2">
      <c r="E25" s="1" t="s">
        <v>8</v>
      </c>
      <c r="F25" s="48">
        <f>F12</f>
        <v>3000</v>
      </c>
      <c r="P25" s="27"/>
    </row>
    <row r="26" spans="2:16" x14ac:dyDescent="0.2">
      <c r="E26" s="1" t="s">
        <v>9</v>
      </c>
      <c r="F26" s="48">
        <f>E13</f>
        <v>1800</v>
      </c>
      <c r="P26" s="27"/>
    </row>
    <row r="27" spans="2:16" x14ac:dyDescent="0.2">
      <c r="E27" s="1" t="s">
        <v>36</v>
      </c>
      <c r="F27" s="48">
        <f>F24+F25-F26</f>
        <v>3900</v>
      </c>
      <c r="P27" s="27"/>
    </row>
    <row r="28" spans="2:16" x14ac:dyDescent="0.2">
      <c r="E28" s="1" t="s">
        <v>89</v>
      </c>
      <c r="F28" s="48">
        <f>F25-F26</f>
        <v>1200</v>
      </c>
    </row>
    <row r="29" spans="2:16" x14ac:dyDescent="0.2">
      <c r="O29" s="29" t="s">
        <v>41</v>
      </c>
      <c r="P29" s="29"/>
    </row>
    <row r="30" spans="2:16" x14ac:dyDescent="0.2">
      <c r="E30" s="1" t="s">
        <v>90</v>
      </c>
      <c r="F30" s="48">
        <f>F23+F27</f>
        <v>5900</v>
      </c>
      <c r="O30" s="1">
        <f>O24</f>
        <v>1800</v>
      </c>
      <c r="P30" s="26">
        <f>P18</f>
        <v>3000</v>
      </c>
    </row>
    <row r="31" spans="2:16" ht="16" thickBot="1" x14ac:dyDescent="0.25">
      <c r="P31" s="27">
        <f>F11</f>
        <v>2700</v>
      </c>
    </row>
    <row r="32" spans="2:16" ht="16" thickBot="1" x14ac:dyDescent="0.25">
      <c r="B32" s="51" t="s">
        <v>91</v>
      </c>
      <c r="C32" s="52">
        <f>F18</f>
        <v>900</v>
      </c>
      <c r="P32" s="27"/>
    </row>
    <row r="33" spans="16:16" x14ac:dyDescent="0.2">
      <c r="P33" s="27">
        <f>SUM(P30:P32)-SUM(O30:O32)</f>
        <v>3900</v>
      </c>
    </row>
  </sheetData>
  <mergeCells count="10">
    <mergeCell ref="I17:J17"/>
    <mergeCell ref="O17:P17"/>
    <mergeCell ref="O23:P23"/>
    <mergeCell ref="O29:P29"/>
    <mergeCell ref="I9:J9"/>
    <mergeCell ref="I10:J10"/>
    <mergeCell ref="L9:M9"/>
    <mergeCell ref="L10:M10"/>
    <mergeCell ref="O9:P9"/>
    <mergeCell ref="O10:P1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1F21-2D15-4FE0-A86B-A3C5B7CE9E0C}">
  <dimension ref="B8:E44"/>
  <sheetViews>
    <sheetView topLeftCell="A18" zoomScale="165" workbookViewId="0">
      <selection activeCell="E42" sqref="E42"/>
    </sheetView>
  </sheetViews>
  <sheetFormatPr baseColWidth="10" defaultColWidth="9.1640625" defaultRowHeight="15" x14ac:dyDescent="0.2"/>
  <cols>
    <col min="1" max="1" width="9.1640625" style="1"/>
    <col min="2" max="2" width="36.33203125" style="1" customWidth="1"/>
    <col min="3" max="3" width="11.1640625" style="48" customWidth="1"/>
    <col min="4" max="4" width="18.1640625" style="1" bestFit="1" customWidth="1"/>
    <col min="5" max="5" width="24.83203125" style="1" customWidth="1"/>
    <col min="6" max="6" width="9.1640625" style="1"/>
    <col min="7" max="7" width="15.5" style="1" customWidth="1"/>
    <col min="8" max="8" width="9.1640625" style="1"/>
    <col min="9" max="9" width="13.1640625" style="1" customWidth="1"/>
    <col min="10" max="10" width="9.1640625" style="1"/>
    <col min="11" max="11" width="16.5" style="1" customWidth="1"/>
    <col min="12" max="16384" width="9.1640625" style="1"/>
  </cols>
  <sheetData>
    <row r="8" spans="2:5" x14ac:dyDescent="0.2">
      <c r="E8" s="2"/>
    </row>
    <row r="9" spans="2:5" x14ac:dyDescent="0.2">
      <c r="B9" s="8" t="s">
        <v>10</v>
      </c>
      <c r="C9" s="53">
        <v>156300</v>
      </c>
    </row>
    <row r="10" spans="2:5" x14ac:dyDescent="0.2">
      <c r="B10" s="8" t="s">
        <v>11</v>
      </c>
      <c r="C10" s="53">
        <v>3500</v>
      </c>
    </row>
    <row r="11" spans="2:5" x14ac:dyDescent="0.2">
      <c r="B11" s="8" t="s">
        <v>12</v>
      </c>
      <c r="C11" s="53">
        <v>55000</v>
      </c>
      <c r="D11" s="1" t="s">
        <v>92</v>
      </c>
    </row>
    <row r="12" spans="2:5" x14ac:dyDescent="0.2">
      <c r="B12" s="8" t="s">
        <v>13</v>
      </c>
      <c r="C12" s="53">
        <v>11200</v>
      </c>
      <c r="D12" s="1" t="s">
        <v>92</v>
      </c>
    </row>
    <row r="13" spans="2:5" x14ac:dyDescent="0.2">
      <c r="B13" s="8" t="s">
        <v>14</v>
      </c>
      <c r="C13" s="53">
        <v>6200</v>
      </c>
    </row>
    <row r="14" spans="2:5" x14ac:dyDescent="0.2">
      <c r="B14" s="8" t="s">
        <v>15</v>
      </c>
      <c r="C14" s="53">
        <v>250</v>
      </c>
    </row>
    <row r="15" spans="2:5" x14ac:dyDescent="0.2">
      <c r="B15" s="8" t="s">
        <v>16</v>
      </c>
      <c r="C15" s="53">
        <v>4500</v>
      </c>
      <c r="D15" s="1" t="s">
        <v>92</v>
      </c>
    </row>
    <row r="16" spans="2:5" x14ac:dyDescent="0.2">
      <c r="B16" s="8" t="s">
        <v>17</v>
      </c>
      <c r="C16" s="53">
        <v>2100</v>
      </c>
      <c r="D16" s="1" t="s">
        <v>92</v>
      </c>
    </row>
    <row r="17" spans="2:4" x14ac:dyDescent="0.2">
      <c r="B17" s="8" t="s">
        <v>18</v>
      </c>
      <c r="C17" s="53">
        <v>10700</v>
      </c>
      <c r="D17" s="1" t="s">
        <v>92</v>
      </c>
    </row>
    <row r="20" spans="2:4" ht="16" thickBot="1" x14ac:dyDescent="0.25"/>
    <row r="21" spans="2:4" ht="16" thickBot="1" x14ac:dyDescent="0.25">
      <c r="B21" s="51" t="s">
        <v>98</v>
      </c>
      <c r="C21" s="55">
        <f>C29</f>
        <v>57900</v>
      </c>
    </row>
    <row r="24" spans="2:4" x14ac:dyDescent="0.2">
      <c r="B24" s="1" t="s">
        <v>93</v>
      </c>
      <c r="C24" s="48">
        <f>C12</f>
        <v>11200</v>
      </c>
    </row>
    <row r="25" spans="2:4" x14ac:dyDescent="0.2">
      <c r="B25" s="1" t="s">
        <v>12</v>
      </c>
      <c r="C25" s="48">
        <f>C11</f>
        <v>55000</v>
      </c>
    </row>
    <row r="26" spans="2:4" x14ac:dyDescent="0.2">
      <c r="B26" s="1" t="s">
        <v>96</v>
      </c>
      <c r="C26" s="48">
        <f>C15</f>
        <v>4500</v>
      </c>
    </row>
    <row r="27" spans="2:4" x14ac:dyDescent="0.2">
      <c r="B27" s="1" t="s">
        <v>97</v>
      </c>
      <c r="C27" s="54">
        <f>-C16</f>
        <v>-2100</v>
      </c>
    </row>
    <row r="28" spans="2:4" x14ac:dyDescent="0.2">
      <c r="C28" s="48">
        <f>SUM(C24:C27)</f>
        <v>68600</v>
      </c>
    </row>
    <row r="29" spans="2:4" x14ac:dyDescent="0.2">
      <c r="B29" s="18" t="s">
        <v>95</v>
      </c>
      <c r="C29" s="49">
        <f>C28-C31</f>
        <v>57900</v>
      </c>
    </row>
    <row r="30" spans="2:4" x14ac:dyDescent="0.2">
      <c r="D30" s="1" t="s">
        <v>4</v>
      </c>
    </row>
    <row r="31" spans="2:4" x14ac:dyDescent="0.2">
      <c r="B31" s="1" t="s">
        <v>94</v>
      </c>
      <c r="C31" s="48">
        <f>C17</f>
        <v>10700</v>
      </c>
    </row>
    <row r="34" spans="2:4" ht="16" thickBot="1" x14ac:dyDescent="0.25">
      <c r="C34" s="48" t="s">
        <v>100</v>
      </c>
      <c r="D34" s="1" t="s">
        <v>101</v>
      </c>
    </row>
    <row r="35" spans="2:4" ht="16" thickBot="1" x14ac:dyDescent="0.25">
      <c r="B35" s="51" t="s">
        <v>99</v>
      </c>
      <c r="C35" s="56">
        <f>C42</f>
        <v>5.2876712328767121</v>
      </c>
      <c r="D35" s="55">
        <f>C44</f>
        <v>69.028497409326434</v>
      </c>
    </row>
    <row r="37" spans="2:4" x14ac:dyDescent="0.2">
      <c r="B37" s="1" t="s">
        <v>102</v>
      </c>
      <c r="C37" s="48">
        <f>C29</f>
        <v>57900</v>
      </c>
    </row>
    <row r="38" spans="2:4" x14ac:dyDescent="0.2">
      <c r="B38" s="1" t="s">
        <v>105</v>
      </c>
      <c r="C38" s="48">
        <f>C24</f>
        <v>11200</v>
      </c>
    </row>
    <row r="39" spans="2:4" x14ac:dyDescent="0.2">
      <c r="B39" s="1" t="s">
        <v>94</v>
      </c>
      <c r="C39" s="54">
        <f>C31</f>
        <v>10700</v>
      </c>
    </row>
    <row r="40" spans="2:4" x14ac:dyDescent="0.2">
      <c r="B40" s="1" t="s">
        <v>106</v>
      </c>
      <c r="C40" s="58">
        <f>SUM(C38:C39)/2</f>
        <v>10950</v>
      </c>
    </row>
    <row r="42" spans="2:4" x14ac:dyDescent="0.2">
      <c r="B42" s="50" t="s">
        <v>103</v>
      </c>
      <c r="C42" s="57">
        <f>C37/C40</f>
        <v>5.2876712328767121</v>
      </c>
    </row>
    <row r="44" spans="2:4" x14ac:dyDescent="0.2">
      <c r="B44" s="50" t="s">
        <v>104</v>
      </c>
      <c r="C44" s="57">
        <f>365/C42</f>
        <v>69.028497409326434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F54F-ACE1-4DEA-9D5F-7B1381C3B32F}">
  <dimension ref="B20:I39"/>
  <sheetViews>
    <sheetView topLeftCell="A13" zoomScale="166" workbookViewId="0">
      <selection activeCell="F30" sqref="F30"/>
    </sheetView>
  </sheetViews>
  <sheetFormatPr baseColWidth="10" defaultColWidth="9.1640625" defaultRowHeight="15" x14ac:dyDescent="0.2"/>
  <cols>
    <col min="1" max="1" width="9.1640625" style="1"/>
    <col min="2" max="2" width="10.5" style="21" bestFit="1" customWidth="1"/>
    <col min="3" max="3" width="43.5" style="1" bestFit="1" customWidth="1"/>
    <col min="4" max="4" width="11.1640625" style="48" bestFit="1" customWidth="1"/>
    <col min="5" max="7" width="9.1640625" style="1"/>
    <col min="8" max="8" width="10.1640625" style="1" bestFit="1" customWidth="1"/>
    <col min="9" max="9" width="10.33203125" style="1" customWidth="1"/>
    <col min="10" max="16384" width="9.1640625" style="1"/>
  </cols>
  <sheetData>
    <row r="20" spans="2:9" x14ac:dyDescent="0.2">
      <c r="D20" s="48" t="s">
        <v>123</v>
      </c>
      <c r="E20" s="1" t="s">
        <v>120</v>
      </c>
      <c r="F20" s="1" t="s">
        <v>121</v>
      </c>
    </row>
    <row r="21" spans="2:9" x14ac:dyDescent="0.2">
      <c r="B21" s="60" t="s">
        <v>119</v>
      </c>
      <c r="C21" s="61" t="s">
        <v>124</v>
      </c>
      <c r="D21" s="62">
        <f>I26</f>
        <v>39341</v>
      </c>
      <c r="E21" s="1">
        <f>D36</f>
        <v>28350</v>
      </c>
      <c r="F21" s="1">
        <f>D21-E21</f>
        <v>10991</v>
      </c>
    </row>
    <row r="22" spans="2:9" x14ac:dyDescent="0.2">
      <c r="C22" s="1" t="s">
        <v>122</v>
      </c>
    </row>
    <row r="25" spans="2:9" x14ac:dyDescent="0.2">
      <c r="H25" s="59" t="s">
        <v>110</v>
      </c>
      <c r="I25" s="59" t="s">
        <v>111</v>
      </c>
    </row>
    <row r="26" spans="2:9" x14ac:dyDescent="0.2">
      <c r="B26" s="21">
        <v>43220</v>
      </c>
      <c r="C26" s="35" t="s">
        <v>107</v>
      </c>
      <c r="D26" s="48">
        <f>35101</f>
        <v>35101</v>
      </c>
      <c r="H26" s="1">
        <f>SUM(D26:D33)</f>
        <v>39341</v>
      </c>
      <c r="I26" s="50">
        <f>SUM(D36:D44)</f>
        <v>39341</v>
      </c>
    </row>
    <row r="27" spans="2:9" x14ac:dyDescent="0.2">
      <c r="B27" s="21" t="s">
        <v>109</v>
      </c>
      <c r="C27" s="19" t="s">
        <v>112</v>
      </c>
      <c r="D27" s="48">
        <f>4240</f>
        <v>4240</v>
      </c>
    </row>
    <row r="36" spans="2:4" x14ac:dyDescent="0.2">
      <c r="B36" s="21">
        <f>B26</f>
        <v>43220</v>
      </c>
      <c r="C36" s="1" t="s">
        <v>108</v>
      </c>
      <c r="D36" s="48">
        <f>28350</f>
        <v>28350</v>
      </c>
    </row>
    <row r="37" spans="2:4" x14ac:dyDescent="0.2">
      <c r="B37" s="21" t="s">
        <v>113</v>
      </c>
      <c r="C37" s="19" t="s">
        <v>114</v>
      </c>
      <c r="D37" s="48">
        <f>-39</f>
        <v>-39</v>
      </c>
    </row>
    <row r="38" spans="2:4" x14ac:dyDescent="0.2">
      <c r="B38" s="21" t="s">
        <v>116</v>
      </c>
      <c r="C38" s="19" t="s">
        <v>115</v>
      </c>
      <c r="D38" s="48">
        <f>95</f>
        <v>95</v>
      </c>
    </row>
    <row r="39" spans="2:4" x14ac:dyDescent="0.2">
      <c r="B39" s="21" t="s">
        <v>117</v>
      </c>
      <c r="C39" s="19" t="s">
        <v>118</v>
      </c>
      <c r="D39" s="48">
        <f>10935</f>
        <v>10935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0C6-09ED-42B1-AFC0-2E25B467127B}">
  <dimension ref="A1"/>
  <sheetViews>
    <sheetView zoomScale="150" workbookViewId="0">
      <selection activeCell="D17" sqref="D17"/>
    </sheetView>
  </sheetViews>
  <sheetFormatPr baseColWidth="10" defaultColWidth="9.1640625" defaultRowHeight="15" x14ac:dyDescent="0.2"/>
  <cols>
    <col min="1" max="3" width="9.1640625" style="1"/>
    <col min="4" max="5" width="17.6640625" style="1" customWidth="1"/>
    <col min="6" max="6" width="9.1640625" style="1"/>
    <col min="7" max="8" width="10.5" style="1" customWidth="1"/>
    <col min="9" max="10" width="17.6640625" style="1" customWidth="1"/>
    <col min="11" max="13" width="10.5" style="1" customWidth="1"/>
    <col min="14" max="15" width="9.1640625" style="1"/>
    <col min="16" max="17" width="10.5" style="1" customWidth="1"/>
    <col min="18" max="16384" width="9.1640625" style="1"/>
  </cols>
  <sheetData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6DF0-A6B6-9045-ADB4-67894A6241C9}">
  <dimension ref="A1"/>
  <sheetViews>
    <sheetView tabSelected="1" workbookViewId="0">
      <selection activeCell="F6" sqref="E6:F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Dæmi 1</vt:lpstr>
      <vt:lpstr>Dæmi 2</vt:lpstr>
      <vt:lpstr>Dæmi 3</vt:lpstr>
      <vt:lpstr>Dæmi 4</vt:lpstr>
      <vt:lpstr>Dæmi 5</vt:lpstr>
      <vt:lpstr>Dæmi 6</vt:lpstr>
      <vt:lpstr>Dæmi 7</vt:lpstr>
      <vt:lpstr>Dæmi 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Pálsson, Unnar F</dc:creator>
  <cp:lastModifiedBy>Donna Cruz</cp:lastModifiedBy>
  <dcterms:created xsi:type="dcterms:W3CDTF">2015-06-05T18:17:20Z</dcterms:created>
  <dcterms:modified xsi:type="dcterms:W3CDTF">2024-10-08T14:31:27Z</dcterms:modified>
</cp:coreProperties>
</file>