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Dæmatími/"/>
    </mc:Choice>
  </mc:AlternateContent>
  <xr:revisionPtr revIDLastSave="0" documentId="13_ncr:1_{62F00425-DB3B-8C44-A082-2B1CEC0A5788}" xr6:coauthVersionLast="47" xr6:coauthVersionMax="47" xr10:uidLastSave="{00000000-0000-0000-0000-000000000000}"/>
  <bookViews>
    <workbookView xWindow="0" yWindow="740" windowWidth="34560" windowHeight="21600" tabRatio="913" activeTab="5" xr2:uid="{00000000-000D-0000-FFFF-FFFF00000000}"/>
  </bookViews>
  <sheets>
    <sheet name="Exercise 5-8B" sheetId="20" r:id="rId1"/>
    <sheet name="Exercise 5-10B" sheetId="9" r:id="rId2"/>
    <sheet name="Exercise 5-14A" sheetId="11" r:id="rId3"/>
    <sheet name="Problem 5-25A" sheetId="14" r:id="rId4"/>
    <sheet name="Problem 5-20B" sheetId="16" r:id="rId5"/>
    <sheet name="Problem 5-22A" sheetId="13" r:id="rId6"/>
  </sheets>
  <definedNames>
    <definedName name="_xlnm._FilterDatabase" localSheetId="0" hidden="1">'Exercise 5-8B'!$B$1:$C$1</definedName>
    <definedName name="_xlnm._FilterDatabase" localSheetId="4" hidden="1">'Problem 5-20B'!$B$1:$C$2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6" l="1"/>
  <c r="C41" i="16"/>
  <c r="C33" i="16"/>
  <c r="C40" i="16"/>
  <c r="C38" i="16"/>
  <c r="C37" i="16"/>
  <c r="C35" i="16"/>
  <c r="C34" i="16"/>
  <c r="D32" i="16"/>
  <c r="C32" i="16"/>
  <c r="D30" i="16"/>
  <c r="C29" i="16"/>
  <c r="K23" i="16"/>
  <c r="J23" i="16"/>
  <c r="I23" i="16"/>
  <c r="D28" i="16"/>
  <c r="C27" i="16"/>
  <c r="J22" i="16"/>
  <c r="D25" i="16"/>
  <c r="C24" i="16"/>
  <c r="J19" i="16"/>
  <c r="D21" i="16"/>
  <c r="C20" i="16"/>
  <c r="J17" i="16"/>
  <c r="K9" i="16"/>
  <c r="K16" i="16"/>
  <c r="J16" i="16"/>
  <c r="I16" i="16"/>
  <c r="J15" i="16"/>
  <c r="H15" i="16"/>
  <c r="K12" i="16"/>
  <c r="I15" i="16"/>
  <c r="C18" i="16"/>
  <c r="D19" i="16" s="1"/>
  <c r="J14" i="16"/>
  <c r="K7" i="16"/>
  <c r="J12" i="16"/>
  <c r="C14" i="16" s="1"/>
  <c r="D15" i="16" s="1"/>
  <c r="I12" i="16"/>
  <c r="J11" i="16"/>
  <c r="C12" i="16" s="1"/>
  <c r="D13" i="16" s="1"/>
  <c r="I11" i="16"/>
  <c r="D10" i="16"/>
  <c r="C9" i="16"/>
  <c r="J7" i="16"/>
  <c r="J9" i="16"/>
  <c r="I30" i="14"/>
  <c r="I29" i="14"/>
  <c r="G30" i="14"/>
  <c r="G29" i="14"/>
  <c r="G25" i="14"/>
  <c r="I25" i="14" s="1"/>
  <c r="E25" i="14"/>
  <c r="I24" i="14"/>
  <c r="E24" i="14"/>
  <c r="E11" i="14"/>
  <c r="D11" i="14"/>
  <c r="E8" i="14"/>
  <c r="E10" i="14" s="1"/>
  <c r="D10" i="14"/>
  <c r="E7" i="14"/>
  <c r="E6" i="14"/>
  <c r="D8" i="14"/>
  <c r="D7" i="14"/>
  <c r="D42" i="11"/>
  <c r="D41" i="11"/>
  <c r="D40" i="11"/>
  <c r="D37" i="11"/>
  <c r="D38" i="11" s="1"/>
  <c r="D36" i="11"/>
  <c r="D35" i="11"/>
  <c r="D32" i="11"/>
  <c r="D30" i="11"/>
  <c r="D25" i="11"/>
  <c r="D24" i="11"/>
  <c r="D23" i="11"/>
  <c r="D19" i="11"/>
  <c r="D18" i="11"/>
  <c r="D17" i="11"/>
  <c r="D16" i="11"/>
  <c r="D15" i="11"/>
  <c r="D12" i="11"/>
  <c r="D10" i="11"/>
  <c r="D11" i="11"/>
  <c r="D7" i="11"/>
  <c r="E24" i="9"/>
  <c r="F25" i="9" s="1"/>
  <c r="F22" i="9"/>
  <c r="E21" i="9"/>
  <c r="G11" i="9"/>
  <c r="F11" i="9"/>
  <c r="E11" i="9"/>
  <c r="G10" i="9"/>
  <c r="F10" i="9"/>
  <c r="E10" i="9"/>
  <c r="G9" i="9"/>
  <c r="F9" i="9"/>
  <c r="E9" i="9"/>
  <c r="G8" i="9"/>
  <c r="F8" i="9"/>
  <c r="E8" i="9"/>
  <c r="C34" i="20"/>
  <c r="C33" i="20"/>
  <c r="C32" i="20"/>
  <c r="C31" i="20"/>
  <c r="E29" i="20"/>
  <c r="E28" i="20"/>
  <c r="D28" i="20"/>
  <c r="C28" i="20"/>
  <c r="E27" i="20"/>
  <c r="D27" i="20"/>
  <c r="E26" i="20"/>
  <c r="E25" i="20"/>
  <c r="D25" i="20"/>
  <c r="E24" i="20"/>
  <c r="D24" i="20"/>
  <c r="E23" i="20"/>
  <c r="D18" i="20"/>
  <c r="C17" i="20"/>
  <c r="H19" i="20"/>
  <c r="H18" i="20"/>
  <c r="H17" i="20"/>
  <c r="G17" i="20"/>
  <c r="F17" i="20"/>
  <c r="D16" i="20"/>
  <c r="C15" i="20"/>
  <c r="H15" i="20"/>
  <c r="D14" i="20"/>
  <c r="C13" i="20"/>
  <c r="H13" i="20"/>
  <c r="G13" i="20"/>
  <c r="D12" i="20"/>
  <c r="C11" i="20"/>
  <c r="C9" i="20"/>
  <c r="H9" i="20"/>
  <c r="G11" i="20"/>
  <c r="H11" i="20" s="1"/>
  <c r="D10" i="20" s="1"/>
  <c r="H6" i="20"/>
  <c r="C7" i="20"/>
  <c r="D8" i="20" s="1"/>
  <c r="H7" i="20"/>
  <c r="F50" i="13"/>
  <c r="F49" i="13"/>
  <c r="F48" i="13"/>
  <c r="F45" i="13"/>
  <c r="F44" i="13"/>
  <c r="F43" i="13"/>
  <c r="F42" i="13"/>
  <c r="F38" i="13"/>
  <c r="F37" i="13"/>
  <c r="F23" i="13"/>
  <c r="F22" i="13"/>
  <c r="F21" i="13"/>
  <c r="F17" i="13"/>
  <c r="F16" i="13"/>
  <c r="F15" i="13"/>
  <c r="F14" i="13"/>
  <c r="F11" i="13"/>
  <c r="F9" i="13"/>
  <c r="F10" i="13"/>
  <c r="F7" i="13"/>
  <c r="F13" i="13"/>
  <c r="G12" i="9" l="1"/>
  <c r="F12" i="9"/>
  <c r="E12" i="9"/>
  <c r="D48" i="13" l="1"/>
  <c r="F28" i="20" l="1"/>
  <c r="C19" i="20"/>
  <c r="D19" i="20"/>
  <c r="B40" i="11" l="1"/>
  <c r="D21" i="13" l="1"/>
  <c r="B2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halldlj</author>
  </authors>
  <commentList>
    <comment ref="C2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
Eftir þessa sölu eru
50 ein.  eftir á kv. 11 og 
250 ein. á kv. 10
</t>
        </r>
      </text>
    </comment>
    <comment ref="E2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Athugið að hér er verið að halda utan um seldar einingar á </t>
        </r>
        <r>
          <rPr>
            <u/>
            <sz val="8"/>
            <color rgb="FF000000"/>
            <rFont val="Tahoma"/>
            <family val="2"/>
          </rPr>
          <t>kostn.verði</t>
        </r>
        <r>
          <rPr>
            <sz val="8"/>
            <color rgb="FF000000"/>
            <rFont val="Tahoma"/>
            <family val="2"/>
          </rPr>
          <t>.</t>
        </r>
      </text>
    </comment>
    <comment ref="C27" authorId="0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Tekur elstu vörur fyrst út af lager = 50 einingar sem eftir eru frá upphafi árs og síðan koll af kolli.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halldlj</author>
  </authors>
  <commentList>
    <comment ref="G23" authorId="0" shapeId="0" xr:uid="{00000000-0006-0000-0200-000001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Notum ,,meðalbirgðir" þegar þær upplýsingar eru til staðar.</t>
        </r>
      </text>
    </comment>
  </commentList>
</comments>
</file>

<file path=xl/sharedStrings.xml><?xml version="1.0" encoding="utf-8"?>
<sst xmlns="http://schemas.openxmlformats.org/spreadsheetml/2006/main" count="271" uniqueCount="141">
  <si>
    <t>a.</t>
  </si>
  <si>
    <t>b.</t>
  </si>
  <si>
    <t>c.</t>
  </si>
  <si>
    <t>debet</t>
  </si>
  <si>
    <t>kredit</t>
  </si>
  <si>
    <t>d.</t>
  </si>
  <si>
    <t>x</t>
  </si>
  <si>
    <t>(skref 2)</t>
  </si>
  <si>
    <t>(skref 3)</t>
  </si>
  <si>
    <t>Kostn.verð vara til sölu</t>
  </si>
  <si>
    <t>(skref 4)</t>
  </si>
  <si>
    <t>(b x c)</t>
  </si>
  <si>
    <t>(b x d)</t>
  </si>
  <si>
    <t>P</t>
  </si>
  <si>
    <t>vöru-tegund</t>
  </si>
  <si>
    <t>magn</t>
  </si>
  <si>
    <t>kv. á ein.</t>
  </si>
  <si>
    <t>mv. á ein.</t>
  </si>
  <si>
    <t>kv. samtals</t>
  </si>
  <si>
    <t>mv. samtals</t>
  </si>
  <si>
    <t>kv. eða mv. hvort sem lægra reynist</t>
  </si>
  <si>
    <t>b</t>
  </si>
  <si>
    <t>c</t>
  </si>
  <si>
    <t>d</t>
  </si>
  <si>
    <t>e</t>
  </si>
  <si>
    <t>f</t>
  </si>
  <si>
    <t>g</t>
  </si>
  <si>
    <t>(e eða f)</t>
  </si>
  <si>
    <t>1)</t>
  </si>
  <si>
    <t>2)</t>
  </si>
  <si>
    <t>Bókhaldsreikningar</t>
  </si>
  <si>
    <t>Dagbókarfærslur:</t>
  </si>
  <si>
    <t>framlegðarhlutfall</t>
  </si>
  <si>
    <t>(skref 1 er gefið)</t>
  </si>
  <si>
    <t>Birgðir í upphafi tímabils</t>
  </si>
  <si>
    <t>Vörukaup fram að tjónsdegi</t>
  </si>
  <si>
    <t>áætluð framlegð</t>
  </si>
  <si>
    <t>áætlað KSV</t>
  </si>
  <si>
    <t>áætlað verðmæti birgða á tjónsdegi</t>
  </si>
  <si>
    <t>verðmæti óskemmdra birgða</t>
  </si>
  <si>
    <t>áætlað heildarverðmæti tjóns</t>
  </si>
  <si>
    <t xml:space="preserve">a. </t>
  </si>
  <si>
    <t>sala 1.jan. - 6. okt.</t>
  </si>
  <si>
    <t>3)</t>
  </si>
  <si>
    <t>vörukaup 1.jan. - 6. okt.</t>
  </si>
  <si>
    <t>upphafsbirgðir</t>
  </si>
  <si>
    <t>kostn.verð vara til sölu</t>
  </si>
  <si>
    <t>(notar FIFO)</t>
  </si>
  <si>
    <t>(notar LIFO)</t>
  </si>
  <si>
    <t xml:space="preserve">Sala </t>
  </si>
  <si>
    <t xml:space="preserve">KSV </t>
  </si>
  <si>
    <t xml:space="preserve">Framlegð </t>
  </si>
  <si>
    <t xml:space="preserve"> =&gt; framlegðarhlutall:</t>
  </si>
  <si>
    <r>
      <rPr>
        <b/>
        <sz val="12"/>
        <color theme="1"/>
        <rFont val="Arial"/>
        <family val="2"/>
      </rPr>
      <t>Veltuhraði birgða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(Inventory turnover ratios)</t>
    </r>
    <r>
      <rPr>
        <sz val="12"/>
        <color theme="1"/>
        <rFont val="Arial"/>
        <family val="2"/>
      </rPr>
      <t>:</t>
    </r>
  </si>
  <si>
    <t>KSV</t>
  </si>
  <si>
    <t>Birgðir</t>
  </si>
  <si>
    <t>veltuhraði birgða</t>
  </si>
  <si>
    <r>
      <rPr>
        <b/>
        <sz val="12"/>
        <color theme="1"/>
        <rFont val="Arial"/>
        <family val="2"/>
      </rPr>
      <t>Biðtími birgða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(average days to sell inventory)</t>
    </r>
    <r>
      <rPr>
        <sz val="12"/>
        <color theme="1"/>
        <rFont val="Arial"/>
        <family val="2"/>
      </rPr>
      <t>:</t>
    </r>
  </si>
  <si>
    <t>dagafjöldi tímabilsins</t>
  </si>
  <si>
    <t>dagar</t>
  </si>
  <si>
    <t>Dags.</t>
  </si>
  <si>
    <t>Reikningar</t>
  </si>
  <si>
    <t>05.03.</t>
  </si>
  <si>
    <t>10.04.</t>
  </si>
  <si>
    <t>19.06.</t>
  </si>
  <si>
    <t>16.09.</t>
  </si>
  <si>
    <t>28.11.</t>
  </si>
  <si>
    <r>
      <t xml:space="preserve">Framlegð </t>
    </r>
    <r>
      <rPr>
        <b/>
        <i/>
        <sz val="12"/>
        <color theme="1"/>
        <rFont val="Arial"/>
        <family val="2"/>
      </rPr>
      <t>(Gross Margin)</t>
    </r>
  </si>
  <si>
    <t>Birgðir 1.1</t>
  </si>
  <si>
    <t>vörukaup ársins</t>
  </si>
  <si>
    <t>vörur til sölu</t>
  </si>
  <si>
    <t>Nota ,,framlegðaraðferðina" til þess að áætla heildarverðmæti tjóns:</t>
  </si>
  <si>
    <t>Nota ,,álagningaraðferðina" til þess að áætla heildarverðmæti tjóns:</t>
  </si>
  <si>
    <t>meðalálagning 33,33%</t>
  </si>
  <si>
    <r>
      <t>(</t>
    </r>
    <r>
      <rPr>
        <b/>
        <sz val="11"/>
        <color theme="1"/>
        <rFont val="Arial"/>
        <family val="2"/>
      </rPr>
      <t>skref 1</t>
    </r>
    <r>
      <rPr>
        <sz val="11"/>
        <color theme="1"/>
        <rFont val="Arial"/>
        <family val="2"/>
      </rPr>
      <t xml:space="preserve"> - gefið)</t>
    </r>
  </si>
  <si>
    <t>ein</t>
  </si>
  <si>
    <t>verð</t>
  </si>
  <si>
    <t xml:space="preserve">ein*verð </t>
  </si>
  <si>
    <t>Lagerstaða í upphafi árs:</t>
  </si>
  <si>
    <t>vörukaup 1.1.</t>
  </si>
  <si>
    <t>seldar einingar 1.4.</t>
  </si>
  <si>
    <t>allar þessar seldu ein frá lager í upphafi árs</t>
  </si>
  <si>
    <t>vörukaup 1.8.</t>
  </si>
  <si>
    <t>KSV í sölunni 1.des.</t>
  </si>
  <si>
    <t>birgðir 1.1</t>
  </si>
  <si>
    <t>Seldar einingar (KSV)</t>
  </si>
  <si>
    <t>birgðir 31.12.</t>
  </si>
  <si>
    <r>
      <t>(</t>
    </r>
    <r>
      <rPr>
        <b/>
        <sz val="11"/>
        <color theme="1"/>
        <rFont val="Arial"/>
        <family val="2"/>
      </rPr>
      <t>meðalálagning</t>
    </r>
    <r>
      <rPr>
        <sz val="11"/>
        <color theme="1"/>
        <rFont val="Arial"/>
        <family val="2"/>
      </rPr>
      <t xml:space="preserve"> fyrirtækisins hefur verið </t>
    </r>
    <r>
      <rPr>
        <b/>
        <sz val="11"/>
        <color theme="1"/>
        <rFont val="Arial"/>
        <family val="2"/>
      </rPr>
      <t>ca 33,33%)</t>
    </r>
  </si>
  <si>
    <t>meðalálagning 42,9%</t>
  </si>
  <si>
    <r>
      <t xml:space="preserve">Nota </t>
    </r>
    <r>
      <rPr>
        <b/>
        <sz val="12"/>
        <color rgb="FF0070C0"/>
        <rFont val="Arial"/>
        <family val="2"/>
      </rPr>
      <t>,,álagningaraðferðina"</t>
    </r>
    <r>
      <rPr>
        <sz val="12"/>
        <color rgb="FF0070C0"/>
        <rFont val="Arial"/>
        <family val="2"/>
      </rPr>
      <t xml:space="preserve"> til þess að áætla heildarverðmæti tjóns:</t>
    </r>
  </si>
  <si>
    <r>
      <t>(</t>
    </r>
    <r>
      <rPr>
        <b/>
        <sz val="12"/>
        <color theme="1"/>
        <rFont val="Arial"/>
        <family val="2"/>
      </rPr>
      <t>meðalálagning</t>
    </r>
    <r>
      <rPr>
        <sz val="12"/>
        <color theme="1"/>
        <rFont val="Arial"/>
        <family val="2"/>
      </rPr>
      <t xml:space="preserve"> fyrirtækisins hefur verið </t>
    </r>
    <r>
      <rPr>
        <b/>
        <sz val="12"/>
        <color theme="1"/>
        <rFont val="Arial"/>
        <family val="2"/>
      </rPr>
      <t>ca 42,9%)</t>
    </r>
  </si>
  <si>
    <t>eða álagningarhlutfall</t>
  </si>
  <si>
    <t>(sala - KSV) / KSV</t>
  </si>
  <si>
    <t>Álagning =</t>
  </si>
  <si>
    <t>M</t>
  </si>
  <si>
    <t>N</t>
  </si>
  <si>
    <t>O</t>
  </si>
  <si>
    <t>Duncan Steel Company - Dagbók (General Journal)</t>
  </si>
  <si>
    <t>Donovan, Inc.,</t>
  </si>
  <si>
    <t>Boardwalk Taffy</t>
  </si>
  <si>
    <t>Beach Sweets</t>
  </si>
  <si>
    <r>
      <t xml:space="preserve">Dagbók </t>
    </r>
    <r>
      <rPr>
        <i/>
        <sz val="12"/>
        <color theme="1"/>
        <rFont val="Arial"/>
        <family val="2"/>
      </rPr>
      <t>(General Journal) Ár 2</t>
    </r>
  </si>
  <si>
    <t>sala fram að ,,tjónsdegi"</t>
  </si>
  <si>
    <t>Í eldri útgáfum kennslubókarinnar er þetta dæmi:</t>
  </si>
  <si>
    <t xml:space="preserve">11. útgáfa </t>
  </si>
  <si>
    <t>2024 Relese</t>
  </si>
  <si>
    <t>Exercise 5-8B bls. 320</t>
  </si>
  <si>
    <t>Exercise 5-10B bls. 321</t>
  </si>
  <si>
    <t>Problem 5-20B bls. 313</t>
  </si>
  <si>
    <t>Problem 5-20B bls. 324</t>
  </si>
  <si>
    <t>Exercise 5-10B bls. 310</t>
  </si>
  <si>
    <t>Exercise 5-8B bls. 309</t>
  </si>
  <si>
    <t>Exercise 5-14A bls. 312-313</t>
  </si>
  <si>
    <t>Exercise 5-14A bls. 302</t>
  </si>
  <si>
    <t>Problem 5-22A bls. 305</t>
  </si>
  <si>
    <t>Problem 5-22A bls. 315</t>
  </si>
  <si>
    <t>Problem 5-25A bls. 306</t>
  </si>
  <si>
    <t>Problem 5-25A bls. 317</t>
  </si>
  <si>
    <t>Vörubirgðir</t>
  </si>
  <si>
    <t xml:space="preserve">Handbært fé </t>
  </si>
  <si>
    <t>Vörusala</t>
  </si>
  <si>
    <t>Vörukaup</t>
  </si>
  <si>
    <t>Sala</t>
  </si>
  <si>
    <t>selur 450 einingar 1.12.:</t>
  </si>
  <si>
    <t>Vörubirgð</t>
  </si>
  <si>
    <t>Vörubirgði</t>
  </si>
  <si>
    <t>Birgðir keypt</t>
  </si>
  <si>
    <t xml:space="preserve">verð per eining </t>
  </si>
  <si>
    <t>Birgðir eftir</t>
  </si>
  <si>
    <t>Upprunaleg Birgða fjölda</t>
  </si>
  <si>
    <t>verð per eining</t>
  </si>
  <si>
    <t>FIFO Aðferð</t>
  </si>
  <si>
    <t>Heildarverð</t>
  </si>
  <si>
    <t>Seldi vörur</t>
  </si>
  <si>
    <t xml:space="preserve">Vörubirgðir </t>
  </si>
  <si>
    <t>Vörusala /ksv</t>
  </si>
  <si>
    <t>Fjölda birgðir seld</t>
  </si>
  <si>
    <t>Fjölda keypt birgðir</t>
  </si>
  <si>
    <t>ksv</t>
  </si>
  <si>
    <t xml:space="preserve">Seldi vörur </t>
  </si>
  <si>
    <t>Birgðir 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</si>
</sst>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@\ *."/>
    <numFmt numFmtId="165" formatCode="\ \ \ @"/>
    <numFmt numFmtId="166" formatCode="\ \ \ @\ *."/>
    <numFmt numFmtId="167" formatCode="\ \ \ \ \ \ @"/>
    <numFmt numFmtId="168" formatCode="\ \ \ \ \ \ @\ *."/>
    <numFmt numFmtId="169" formatCode="\ \ \ \ \ \ \ \ \ @"/>
    <numFmt numFmtId="170" formatCode="\ \ \ \ \ \ \ \ \ @\ *."/>
    <numFmt numFmtId="171" formatCode="#,##0\ &quot;kr.&quot;_);[Red]\(* #,##0\ &quot;kr.&quot;\)"/>
    <numFmt numFmtId="172" formatCode="#,##0\ \ ;[Red]\(* #,##0\ \)"/>
    <numFmt numFmtId="173" formatCode="#,##0\ \ ;\(* #,##0\ \)"/>
    <numFmt numFmtId="174" formatCode="#,##0;[Red]\(#,##0\)"/>
    <numFmt numFmtId="175" formatCode="0.0%"/>
    <numFmt numFmtId="176" formatCode="#,##0.0;[Red]#,##0.0"/>
    <numFmt numFmtId="189" formatCode="#,##0;[Red]#,##0"/>
    <numFmt numFmtId="190" formatCode="#,##0_ ;[Red]\-#,##0\ "/>
  </numFmts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Tms Rmn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u/>
      <sz val="12"/>
      <color theme="1"/>
      <name val="Arial"/>
      <family val="2"/>
    </font>
    <font>
      <u val="double"/>
      <sz val="12"/>
      <color theme="1"/>
      <name val="Arial"/>
      <family val="2"/>
    </font>
    <font>
      <i/>
      <sz val="12"/>
      <color theme="1"/>
      <name val="Arial"/>
      <family val="2"/>
    </font>
    <font>
      <sz val="8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u val="double"/>
      <sz val="11"/>
      <color theme="1"/>
      <name val="Arial"/>
      <family val="2"/>
    </font>
    <font>
      <b/>
      <sz val="12"/>
      <color rgb="FF0070C0"/>
      <name val="Arial"/>
      <family val="2"/>
    </font>
    <font>
      <sz val="9"/>
      <color theme="1"/>
      <name val="Arial"/>
      <family val="2"/>
    </font>
    <font>
      <sz val="12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u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/>
      <bottom style="thick">
        <color indexed="64"/>
      </bottom>
      <diagonal/>
    </border>
    <border>
      <left/>
      <right style="dotted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164" fontId="7" fillId="0" borderId="0" applyFont="0" applyFill="0" applyBorder="0" applyProtection="0">
      <alignment horizontal="centerContinuous"/>
    </xf>
    <xf numFmtId="165" fontId="7" fillId="0" borderId="0" applyFont="0" applyFill="0" applyBorder="0" applyAlignment="0" applyProtection="0"/>
    <xf numFmtId="166" fontId="7" fillId="0" borderId="0" applyFont="0" applyFill="0" applyBorder="0" applyProtection="0">
      <alignment horizontal="centerContinuous"/>
    </xf>
    <xf numFmtId="167" fontId="7" fillId="0" borderId="0" applyFont="0" applyFill="0" applyBorder="0" applyAlignment="0" applyProtection="0"/>
    <xf numFmtId="168" fontId="7" fillId="0" borderId="0" applyFont="0" applyFill="0" applyBorder="0" applyProtection="0">
      <alignment horizontal="centerContinuous"/>
    </xf>
    <xf numFmtId="169" fontId="7" fillId="0" borderId="0" applyFont="0" applyFill="0" applyBorder="0" applyAlignment="0" applyProtection="0"/>
    <xf numFmtId="170" fontId="7" fillId="0" borderId="0" applyFont="0" applyFill="0" applyBorder="0" applyProtection="0">
      <alignment horizontal="centerContinuous"/>
    </xf>
    <xf numFmtId="171" fontId="6" fillId="0" borderId="0" applyFont="0" applyFill="0" applyBorder="0" applyAlignment="0" applyProtection="0"/>
    <xf numFmtId="172" fontId="5" fillId="0" borderId="0"/>
    <xf numFmtId="173" fontId="7" fillId="0" borderId="5" applyNumberFormat="0" applyFont="0" applyFill="0" applyAlignment="0" applyProtection="0"/>
    <xf numFmtId="172" fontId="7" fillId="0" borderId="6" applyNumberFormat="0" applyFont="0" applyFill="0" applyAlignment="0" applyProtection="0"/>
    <xf numFmtId="173" fontId="7" fillId="0" borderId="7" applyNumberFormat="0" applyFont="0" applyFill="0" applyAlignment="0" applyProtection="0"/>
    <xf numFmtId="173" fontId="7" fillId="0" borderId="8" applyNumberFormat="0" applyFont="0" applyFill="0" applyAlignment="0" applyProtection="0"/>
    <xf numFmtId="38" fontId="8" fillId="0" borderId="0"/>
    <xf numFmtId="0" fontId="9" fillId="0" borderId="1" applyNumberFormat="0" applyFill="0" applyProtection="0">
      <alignment horizontal="centerContinuous"/>
    </xf>
    <xf numFmtId="172" fontId="10" fillId="0" borderId="0" applyNumberFormat="0" applyFill="0" applyBorder="0" applyProtection="0">
      <alignment horizontal="centerContinuous"/>
    </xf>
    <xf numFmtId="9" fontId="25" fillId="0" borderId="0" applyFont="0" applyFill="0" applyBorder="0" applyAlignment="0" applyProtection="0"/>
  </cellStyleXfs>
  <cellXfs count="179">
    <xf numFmtId="0" fontId="0" fillId="0" borderId="0" xfId="0"/>
    <xf numFmtId="0" fontId="12" fillId="0" borderId="0" xfId="0" applyFont="1"/>
    <xf numFmtId="0" fontId="11" fillId="0" borderId="0" xfId="0" applyFont="1" applyAlignment="1">
      <alignment horizontal="justify"/>
    </xf>
    <xf numFmtId="174" fontId="11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0" fontId="11" fillId="0" borderId="3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0" fontId="3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174" fontId="11" fillId="0" borderId="0" xfId="0" applyNumberFormat="1" applyFont="1" applyAlignment="1">
      <alignment horizontal="justify" wrapText="1"/>
    </xf>
    <xf numFmtId="174" fontId="11" fillId="0" borderId="0" xfId="0" applyNumberFormat="1" applyFont="1"/>
    <xf numFmtId="174" fontId="2" fillId="0" borderId="0" xfId="0" applyNumberFormat="1" applyFont="1" applyAlignment="1">
      <alignment horizontal="left"/>
    </xf>
    <xf numFmtId="174" fontId="11" fillId="0" borderId="1" xfId="0" applyNumberFormat="1" applyFont="1" applyBorder="1"/>
    <xf numFmtId="174" fontId="2" fillId="0" borderId="4" xfId="0" applyNumberFormat="1" applyFont="1" applyBorder="1"/>
    <xf numFmtId="0" fontId="2" fillId="0" borderId="1" xfId="0" applyFont="1" applyBorder="1" applyAlignment="1">
      <alignment horizontal="justify"/>
    </xf>
    <xf numFmtId="0" fontId="12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justify" vertical="top" wrapText="1"/>
    </xf>
    <xf numFmtId="0" fontId="11" fillId="0" borderId="3" xfId="0" applyFont="1" applyBorder="1" applyAlignment="1">
      <alignment horizontal="righ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justify" vertical="top" wrapText="1"/>
    </xf>
    <xf numFmtId="3" fontId="11" fillId="0" borderId="3" xfId="0" applyNumberFormat="1" applyFont="1" applyBorder="1" applyAlignment="1">
      <alignment horizontal="right" vertical="top" wrapText="1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horizontal="justify"/>
    </xf>
    <xf numFmtId="0" fontId="11" fillId="0" borderId="1" xfId="0" applyFont="1" applyBorder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1" xfId="0" applyFont="1" applyBorder="1"/>
    <xf numFmtId="174" fontId="11" fillId="0" borderId="0" xfId="0" applyNumberFormat="1" applyFont="1" applyAlignment="1">
      <alignment horizontal="left"/>
    </xf>
    <xf numFmtId="174" fontId="14" fillId="0" borderId="0" xfId="0" applyNumberFormat="1" applyFont="1" applyAlignment="1">
      <alignment horizontal="left"/>
    </xf>
    <xf numFmtId="174" fontId="15" fillId="0" borderId="0" xfId="0" applyNumberFormat="1" applyFont="1" applyAlignment="1">
      <alignment horizontal="left"/>
    </xf>
    <xf numFmtId="174" fontId="2" fillId="0" borderId="0" xfId="0" applyNumberFormat="1" applyFont="1"/>
    <xf numFmtId="9" fontId="11" fillId="0" borderId="1" xfId="0" applyNumberFormat="1" applyFont="1" applyBorder="1"/>
    <xf numFmtId="9" fontId="11" fillId="0" borderId="0" xfId="0" applyNumberFormat="1" applyFont="1"/>
    <xf numFmtId="174" fontId="3" fillId="0" borderId="1" xfId="0" applyNumberFormat="1" applyFont="1" applyBorder="1" applyAlignment="1">
      <alignment horizontal="center"/>
    </xf>
    <xf numFmtId="174" fontId="2" fillId="0" borderId="0" xfId="0" applyNumberFormat="1" applyFont="1" applyAlignment="1">
      <alignment vertical="top" wrapText="1"/>
    </xf>
    <xf numFmtId="174" fontId="11" fillId="0" borderId="0" xfId="0" applyNumberFormat="1" applyFont="1" applyAlignment="1">
      <alignment vertical="top" wrapText="1"/>
    </xf>
    <xf numFmtId="174" fontId="11" fillId="0" borderId="1" xfId="0" applyNumberFormat="1" applyFont="1" applyBorder="1" applyAlignment="1">
      <alignment horizontal="center" vertical="top" wrapText="1"/>
    </xf>
    <xf numFmtId="174" fontId="11" fillId="0" borderId="1" xfId="0" applyNumberFormat="1" applyFont="1" applyBorder="1" applyAlignment="1">
      <alignment vertical="top" wrapText="1"/>
    </xf>
    <xf numFmtId="174" fontId="2" fillId="0" borderId="0" xfId="0" applyNumberFormat="1" applyFont="1" applyAlignment="1">
      <alignment horizontal="right" vertical="top"/>
    </xf>
    <xf numFmtId="174" fontId="11" fillId="0" borderId="1" xfId="0" applyNumberFormat="1" applyFont="1" applyBorder="1" applyAlignment="1">
      <alignment horizontal="center"/>
    </xf>
    <xf numFmtId="174" fontId="11" fillId="0" borderId="1" xfId="0" applyNumberFormat="1" applyFont="1" applyBorder="1" applyAlignment="1">
      <alignment horizontal="center" wrapText="1"/>
    </xf>
    <xf numFmtId="174" fontId="11" fillId="0" borderId="0" xfId="0" applyNumberFormat="1" applyFont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4" fontId="13" fillId="0" borderId="0" xfId="0" applyNumberFormat="1" applyFont="1"/>
    <xf numFmtId="174" fontId="16" fillId="0" borderId="0" xfId="0" applyNumberFormat="1" applyFont="1"/>
    <xf numFmtId="174" fontId="2" fillId="0" borderId="0" xfId="0" applyNumberFormat="1" applyFont="1" applyAlignment="1">
      <alignment horizontal="left" indent="5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1" fillId="0" borderId="18" xfId="0" applyFont="1" applyBorder="1" applyAlignment="1">
      <alignment horizontal="center" vertical="top" wrapText="1"/>
    </xf>
    <xf numFmtId="16" fontId="11" fillId="0" borderId="19" xfId="0" applyNumberFormat="1" applyFont="1" applyBorder="1" applyAlignment="1">
      <alignment horizontal="center" vertical="top" wrapText="1"/>
    </xf>
    <xf numFmtId="0" fontId="11" fillId="0" borderId="20" xfId="0" applyFont="1" applyBorder="1" applyAlignment="1">
      <alignment vertical="top" wrapText="1"/>
    </xf>
    <xf numFmtId="3" fontId="11" fillId="0" borderId="20" xfId="0" applyNumberFormat="1" applyFont="1" applyBorder="1" applyAlignment="1">
      <alignment vertical="top" wrapText="1"/>
    </xf>
    <xf numFmtId="3" fontId="11" fillId="0" borderId="21" xfId="0" applyNumberFormat="1" applyFont="1" applyBorder="1" applyAlignment="1">
      <alignment vertical="top" wrapText="1"/>
    </xf>
    <xf numFmtId="0" fontId="11" fillId="0" borderId="22" xfId="0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right"/>
    </xf>
    <xf numFmtId="3" fontId="11" fillId="0" borderId="0" xfId="0" applyNumberFormat="1" applyFont="1" applyAlignment="1">
      <alignment horizontal="right"/>
    </xf>
    <xf numFmtId="16" fontId="11" fillId="0" borderId="22" xfId="0" applyNumberFormat="1" applyFont="1" applyBorder="1" applyAlignment="1">
      <alignment horizontal="center" vertical="top" wrapText="1"/>
    </xf>
    <xf numFmtId="17" fontId="11" fillId="0" borderId="22" xfId="0" applyNumberFormat="1" applyFont="1" applyBorder="1" applyAlignment="1">
      <alignment horizontal="center" vertical="top" wrapText="1"/>
    </xf>
    <xf numFmtId="0" fontId="11" fillId="0" borderId="23" xfId="0" applyFont="1" applyBorder="1" applyAlignment="1">
      <alignment vertical="top" wrapText="1"/>
    </xf>
    <xf numFmtId="0" fontId="11" fillId="0" borderId="24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1" fillId="0" borderId="26" xfId="0" applyFont="1" applyBorder="1" applyAlignment="1">
      <alignment vertical="top" wrapText="1"/>
    </xf>
    <xf numFmtId="3" fontId="11" fillId="0" borderId="26" xfId="0" applyNumberFormat="1" applyFont="1" applyBorder="1" applyAlignment="1">
      <alignment vertical="top" wrapText="1"/>
    </xf>
    <xf numFmtId="3" fontId="11" fillId="0" borderId="15" xfId="0" applyNumberFormat="1" applyFont="1" applyBorder="1" applyAlignment="1">
      <alignment vertical="top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4" xfId="0" applyNumberFormat="1" applyFont="1" applyBorder="1" applyAlignment="1">
      <alignment horizontal="right"/>
    </xf>
    <xf numFmtId="174" fontId="2" fillId="0" borderId="4" xfId="0" applyNumberFormat="1" applyFont="1" applyBorder="1" applyAlignment="1">
      <alignment wrapText="1"/>
    </xf>
    <xf numFmtId="174" fontId="18" fillId="0" borderId="0" xfId="0" applyNumberFormat="1" applyFont="1"/>
    <xf numFmtId="174" fontId="19" fillId="0" borderId="0" xfId="0" applyNumberFormat="1" applyFont="1" applyAlignment="1">
      <alignment horizontal="left"/>
    </xf>
    <xf numFmtId="174" fontId="18" fillId="0" borderId="0" xfId="0" applyNumberFormat="1" applyFont="1" applyAlignment="1">
      <alignment horizontal="left"/>
    </xf>
    <xf numFmtId="174" fontId="19" fillId="0" borderId="27" xfId="0" applyNumberFormat="1" applyFont="1" applyBorder="1" applyAlignment="1">
      <alignment horizontal="left"/>
    </xf>
    <xf numFmtId="174" fontId="18" fillId="0" borderId="28" xfId="0" applyNumberFormat="1" applyFont="1" applyBorder="1" applyAlignment="1">
      <alignment horizontal="right"/>
    </xf>
    <xf numFmtId="174" fontId="18" fillId="0" borderId="28" xfId="0" applyNumberFormat="1" applyFont="1" applyBorder="1" applyAlignment="1">
      <alignment horizontal="left"/>
    </xf>
    <xf numFmtId="174" fontId="18" fillId="0" borderId="28" xfId="0" applyNumberFormat="1" applyFont="1" applyBorder="1"/>
    <xf numFmtId="174" fontId="18" fillId="0" borderId="29" xfId="0" applyNumberFormat="1" applyFont="1" applyBorder="1" applyAlignment="1">
      <alignment horizontal="left"/>
    </xf>
    <xf numFmtId="174" fontId="19" fillId="0" borderId="30" xfId="0" applyNumberFormat="1" applyFont="1" applyBorder="1" applyAlignment="1">
      <alignment horizontal="left"/>
    </xf>
    <xf numFmtId="174" fontId="18" fillId="0" borderId="0" xfId="0" applyNumberFormat="1" applyFont="1" applyAlignment="1">
      <alignment horizontal="right"/>
    </xf>
    <xf numFmtId="9" fontId="18" fillId="0" borderId="1" xfId="0" applyNumberFormat="1" applyFont="1" applyBorder="1"/>
    <xf numFmtId="174" fontId="18" fillId="0" borderId="31" xfId="0" applyNumberFormat="1" applyFont="1" applyBorder="1" applyAlignment="1">
      <alignment horizontal="left"/>
    </xf>
    <xf numFmtId="174" fontId="19" fillId="0" borderId="0" xfId="0" applyNumberFormat="1" applyFont="1" applyAlignment="1">
      <alignment horizontal="right"/>
    </xf>
    <xf numFmtId="174" fontId="19" fillId="0" borderId="4" xfId="0" applyNumberFormat="1" applyFont="1" applyBorder="1"/>
    <xf numFmtId="174" fontId="19" fillId="0" borderId="0" xfId="0" applyNumberFormat="1" applyFont="1"/>
    <xf numFmtId="174" fontId="18" fillId="0" borderId="1" xfId="0" applyNumberFormat="1" applyFont="1" applyBorder="1"/>
    <xf numFmtId="174" fontId="20" fillId="0" borderId="0" xfId="0" applyNumberFormat="1" applyFont="1"/>
    <xf numFmtId="174" fontId="21" fillId="0" borderId="0" xfId="0" applyNumberFormat="1" applyFont="1"/>
    <xf numFmtId="174" fontId="19" fillId="0" borderId="32" xfId="0" applyNumberFormat="1" applyFont="1" applyBorder="1" applyAlignment="1">
      <alignment horizontal="left"/>
    </xf>
    <xf numFmtId="174" fontId="18" fillId="0" borderId="1" xfId="0" applyNumberFormat="1" applyFont="1" applyBorder="1" applyAlignment="1">
      <alignment horizontal="left"/>
    </xf>
    <xf numFmtId="174" fontId="18" fillId="0" borderId="33" xfId="0" applyNumberFormat="1" applyFont="1" applyBorder="1" applyAlignment="1">
      <alignment horizontal="left"/>
    </xf>
    <xf numFmtId="174" fontId="22" fillId="0" borderId="0" xfId="0" applyNumberFormat="1" applyFont="1" applyAlignment="1">
      <alignment horizontal="left"/>
    </xf>
    <xf numFmtId="3" fontId="12" fillId="0" borderId="0" xfId="0" applyNumberFormat="1" applyFont="1"/>
    <xf numFmtId="0" fontId="2" fillId="0" borderId="0" xfId="0" applyFont="1"/>
    <xf numFmtId="14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6" fontId="11" fillId="0" borderId="0" xfId="0" applyNumberFormat="1" applyFont="1" applyAlignment="1">
      <alignment vertical="top" wrapText="1"/>
    </xf>
    <xf numFmtId="3" fontId="12" fillId="0" borderId="1" xfId="0" applyNumberFormat="1" applyFont="1" applyBorder="1"/>
    <xf numFmtId="3" fontId="1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right" vertical="top" wrapText="1"/>
    </xf>
    <xf numFmtId="3" fontId="11" fillId="2" borderId="0" xfId="0" applyNumberFormat="1" applyFont="1" applyFill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3" fontId="2" fillId="0" borderId="4" xfId="0" applyNumberFormat="1" applyFont="1" applyBorder="1" applyAlignment="1">
      <alignment vertical="top" wrapText="1"/>
    </xf>
    <xf numFmtId="3" fontId="11" fillId="0" borderId="3" xfId="0" applyNumberFormat="1" applyFont="1" applyBorder="1" applyAlignment="1">
      <alignment vertical="top" wrapText="1"/>
    </xf>
    <xf numFmtId="174" fontId="18" fillId="0" borderId="27" xfId="0" applyNumberFormat="1" applyFont="1" applyBorder="1"/>
    <xf numFmtId="174" fontId="18" fillId="0" borderId="31" xfId="0" applyNumberFormat="1" applyFont="1" applyBorder="1"/>
    <xf numFmtId="174" fontId="19" fillId="0" borderId="30" xfId="0" applyNumberFormat="1" applyFont="1" applyBorder="1"/>
    <xf numFmtId="174" fontId="19" fillId="0" borderId="32" xfId="0" applyNumberFormat="1" applyFont="1" applyBorder="1"/>
    <xf numFmtId="174" fontId="18" fillId="0" borderId="33" xfId="0" applyNumberFormat="1" applyFont="1" applyBorder="1"/>
    <xf numFmtId="174" fontId="18" fillId="0" borderId="3" xfId="0" applyNumberFormat="1" applyFont="1" applyBorder="1"/>
    <xf numFmtId="174" fontId="18" fillId="0" borderId="34" xfId="0" applyNumberFormat="1" applyFont="1" applyBorder="1"/>
    <xf numFmtId="174" fontId="2" fillId="0" borderId="27" xfId="0" applyNumberFormat="1" applyFont="1" applyBorder="1" applyAlignment="1">
      <alignment horizontal="left"/>
    </xf>
    <xf numFmtId="174" fontId="11" fillId="0" borderId="28" xfId="0" applyNumberFormat="1" applyFont="1" applyBorder="1" applyAlignment="1">
      <alignment horizontal="left"/>
    </xf>
    <xf numFmtId="174" fontId="11" fillId="0" borderId="28" xfId="0" applyNumberFormat="1" applyFont="1" applyBorder="1" applyAlignment="1">
      <alignment horizontal="right"/>
    </xf>
    <xf numFmtId="174" fontId="11" fillId="0" borderId="28" xfId="0" applyNumberFormat="1" applyFont="1" applyBorder="1"/>
    <xf numFmtId="174" fontId="11" fillId="0" borderId="29" xfId="0" applyNumberFormat="1" applyFont="1" applyBorder="1" applyAlignment="1">
      <alignment horizontal="left"/>
    </xf>
    <xf numFmtId="174" fontId="2" fillId="0" borderId="30" xfId="0" applyNumberFormat="1" applyFont="1" applyBorder="1" applyAlignment="1">
      <alignment horizontal="left"/>
    </xf>
    <xf numFmtId="174" fontId="11" fillId="0" borderId="0" xfId="0" applyNumberFormat="1" applyFont="1" applyAlignment="1">
      <alignment horizontal="right"/>
    </xf>
    <xf numFmtId="174" fontId="11" fillId="0" borderId="31" xfId="0" applyNumberFormat="1" applyFont="1" applyBorder="1"/>
    <xf numFmtId="174" fontId="2" fillId="0" borderId="0" xfId="0" applyNumberFormat="1" applyFont="1" applyAlignment="1">
      <alignment horizontal="right"/>
    </xf>
    <xf numFmtId="174" fontId="2" fillId="0" borderId="31" xfId="0" applyNumberFormat="1" applyFont="1" applyBorder="1"/>
    <xf numFmtId="174" fontId="11" fillId="0" borderId="31" xfId="0" applyNumberFormat="1" applyFont="1" applyBorder="1" applyAlignment="1">
      <alignment horizontal="left"/>
    </xf>
    <xf numFmtId="174" fontId="14" fillId="0" borderId="31" xfId="0" applyNumberFormat="1" applyFont="1" applyBorder="1" applyAlignment="1">
      <alignment horizontal="left"/>
    </xf>
    <xf numFmtId="174" fontId="15" fillId="0" borderId="31" xfId="0" applyNumberFormat="1" applyFont="1" applyBorder="1" applyAlignment="1">
      <alignment horizontal="left"/>
    </xf>
    <xf numFmtId="174" fontId="2" fillId="0" borderId="32" xfId="0" applyNumberFormat="1" applyFont="1" applyBorder="1" applyAlignment="1">
      <alignment horizontal="left"/>
    </xf>
    <xf numFmtId="174" fontId="11" fillId="0" borderId="1" xfId="0" applyNumberFormat="1" applyFont="1" applyBorder="1" applyAlignment="1">
      <alignment horizontal="left"/>
    </xf>
    <xf numFmtId="174" fontId="2" fillId="0" borderId="1" xfId="0" applyNumberFormat="1" applyFont="1" applyBorder="1" applyAlignment="1">
      <alignment horizontal="left"/>
    </xf>
    <xf numFmtId="174" fontId="11" fillId="0" borderId="33" xfId="0" applyNumberFormat="1" applyFont="1" applyBorder="1" applyAlignment="1">
      <alignment horizontal="left"/>
    </xf>
    <xf numFmtId="174" fontId="24" fillId="0" borderId="0" xfId="0" applyNumberFormat="1" applyFont="1" applyAlignment="1">
      <alignment horizontal="left"/>
    </xf>
    <xf numFmtId="174" fontId="11" fillId="0" borderId="27" xfId="0" applyNumberFormat="1" applyFont="1" applyBorder="1"/>
    <xf numFmtId="174" fontId="2" fillId="0" borderId="28" xfId="0" applyNumberFormat="1" applyFont="1" applyBorder="1" applyAlignment="1">
      <alignment horizontal="left"/>
    </xf>
    <xf numFmtId="174" fontId="2" fillId="0" borderId="30" xfId="0" applyNumberFormat="1" applyFont="1" applyBorder="1"/>
    <xf numFmtId="174" fontId="23" fillId="0" borderId="31" xfId="0" applyNumberFormat="1" applyFont="1" applyBorder="1"/>
    <xf numFmtId="174" fontId="2" fillId="0" borderId="32" xfId="0" applyNumberFormat="1" applyFont="1" applyBorder="1"/>
    <xf numFmtId="174" fontId="2" fillId="0" borderId="1" xfId="0" applyNumberFormat="1" applyFont="1" applyBorder="1"/>
    <xf numFmtId="174" fontId="11" fillId="0" borderId="33" xfId="0" applyNumberFormat="1" applyFont="1" applyBorder="1"/>
    <xf numFmtId="174" fontId="3" fillId="0" borderId="0" xfId="0" applyNumberFormat="1" applyFont="1" applyAlignment="1">
      <alignment horizontal="right"/>
    </xf>
    <xf numFmtId="175" fontId="3" fillId="0" borderId="2" xfId="0" applyNumberFormat="1" applyFont="1" applyBorder="1" applyAlignment="1">
      <alignment horizontal="center" wrapText="1"/>
    </xf>
    <xf numFmtId="175" fontId="3" fillId="0" borderId="0" xfId="0" applyNumberFormat="1" applyFont="1" applyAlignment="1">
      <alignment horizontal="center" wrapText="1"/>
    </xf>
    <xf numFmtId="10" fontId="18" fillId="0" borderId="1" xfId="0" applyNumberFormat="1" applyFont="1" applyBorder="1"/>
    <xf numFmtId="10" fontId="18" fillId="0" borderId="0" xfId="18" applyNumberFormat="1" applyFont="1" applyAlignment="1">
      <alignment horizontal="left"/>
    </xf>
    <xf numFmtId="175" fontId="11" fillId="0" borderId="0" xfId="18" applyNumberFormat="1" applyFont="1" applyAlignment="1">
      <alignment horizontal="left"/>
    </xf>
    <xf numFmtId="0" fontId="26" fillId="0" borderId="0" xfId="0" applyFont="1"/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175" fontId="18" fillId="0" borderId="31" xfId="18" applyNumberFormat="1" applyFont="1" applyBorder="1"/>
    <xf numFmtId="0" fontId="1" fillId="0" borderId="0" xfId="0" applyFont="1"/>
    <xf numFmtId="0" fontId="12" fillId="0" borderId="3" xfId="0" applyFont="1" applyBorder="1"/>
    <xf numFmtId="0" fontId="12" fillId="0" borderId="34" xfId="0" applyFont="1" applyBorder="1"/>
    <xf numFmtId="16" fontId="12" fillId="0" borderId="0" xfId="0" applyNumberFormat="1" applyFont="1"/>
    <xf numFmtId="16" fontId="1" fillId="0" borderId="0" xfId="0" applyNumberFormat="1" applyFont="1"/>
    <xf numFmtId="2" fontId="12" fillId="0" borderId="36" xfId="0" applyNumberFormat="1" applyFont="1" applyBorder="1"/>
    <xf numFmtId="3" fontId="11" fillId="0" borderId="0" xfId="0" applyNumberFormat="1" applyFont="1" applyAlignment="1">
      <alignment wrapText="1"/>
    </xf>
    <xf numFmtId="189" fontId="18" fillId="0" borderId="0" xfId="0" applyNumberFormat="1" applyFont="1"/>
    <xf numFmtId="10" fontId="2" fillId="0" borderId="2" xfId="0" applyNumberFormat="1" applyFont="1" applyBorder="1" applyAlignment="1">
      <alignment horizontal="center" vertical="top" wrapText="1"/>
    </xf>
    <xf numFmtId="10" fontId="2" fillId="0" borderId="2" xfId="18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vertical="top" wrapText="1"/>
    </xf>
    <xf numFmtId="190" fontId="12" fillId="0" borderId="0" xfId="0" applyNumberFormat="1" applyFont="1"/>
    <xf numFmtId="190" fontId="26" fillId="3" borderId="35" xfId="0" applyNumberFormat="1" applyFont="1" applyFill="1" applyBorder="1" applyAlignment="1">
      <alignment horizontal="center"/>
    </xf>
    <xf numFmtId="190" fontId="26" fillId="3" borderId="35" xfId="0" quotePrefix="1" applyNumberFormat="1" applyFont="1" applyFill="1" applyBorder="1" applyAlignment="1">
      <alignment horizontal="center"/>
    </xf>
    <xf numFmtId="14" fontId="12" fillId="0" borderId="0" xfId="0" applyNumberFormat="1" applyFont="1"/>
    <xf numFmtId="190" fontId="1" fillId="0" borderId="0" xfId="0" applyNumberFormat="1" applyFont="1"/>
    <xf numFmtId="14" fontId="1" fillId="0" borderId="0" xfId="0" applyNumberFormat="1" applyFont="1"/>
    <xf numFmtId="1" fontId="12" fillId="0" borderId="0" xfId="0" applyNumberFormat="1" applyFont="1"/>
    <xf numFmtId="1" fontId="1" fillId="0" borderId="0" xfId="0" applyNumberFormat="1" applyFont="1"/>
    <xf numFmtId="190" fontId="26" fillId="0" borderId="0" xfId="0" applyNumberFormat="1" applyFont="1"/>
  </cellXfs>
  <cellStyles count="19">
    <cellStyle name="Inndráttur 0 ..." xfId="2" xr:uid="{00000000-0005-0000-0000-000000000000}"/>
    <cellStyle name="Inndráttur 3" xfId="3" xr:uid="{00000000-0005-0000-0000-000001000000}"/>
    <cellStyle name="Inndráttur 3 ..." xfId="4" xr:uid="{00000000-0005-0000-0000-000002000000}"/>
    <cellStyle name="Inndráttur 6" xfId="5" xr:uid="{00000000-0005-0000-0000-000003000000}"/>
    <cellStyle name="Inndráttur 6 ..." xfId="6" xr:uid="{00000000-0005-0000-0000-000004000000}"/>
    <cellStyle name="Inndráttur 9" xfId="7" xr:uid="{00000000-0005-0000-0000-000005000000}"/>
    <cellStyle name="Inndráttur 9 ..." xfId="8" xr:uid="{00000000-0005-0000-0000-000006000000}"/>
    <cellStyle name="Krónur" xfId="9" xr:uid="{00000000-0005-0000-0000-000007000000}"/>
    <cellStyle name="Millifyrirsögn" xfId="10" xr:uid="{00000000-0005-0000-0000-000008000000}"/>
    <cellStyle name="Normal" xfId="0" builtinId="0"/>
    <cellStyle name="Normal 2" xfId="1" xr:uid="{00000000-0005-0000-0000-00000A000000}"/>
    <cellStyle name="Per cent" xfId="18" builtinId="5"/>
    <cellStyle name="Samtala" xfId="11" xr:uid="{00000000-0005-0000-0000-00000C000000}"/>
    <cellStyle name="Samtala - lokaniðurst." xfId="12" xr:uid="{00000000-0005-0000-0000-00000D000000}"/>
    <cellStyle name="Samtala - undirstr" xfId="13" xr:uid="{00000000-0005-0000-0000-00000E000000}"/>
    <cellStyle name="Samtala - yfirstr." xfId="14" xr:uid="{00000000-0005-0000-0000-00000F000000}"/>
    <cellStyle name="Tölur" xfId="15" xr:uid="{00000000-0005-0000-0000-000010000000}"/>
    <cellStyle name="Yfirskrift" xfId="16" xr:uid="{00000000-0005-0000-0000-000011000000}"/>
    <cellStyle name="Yfirskrift - millistærð" xfId="17" xr:uid="{00000000-0005-0000-0000-000012000000}"/>
  </cellStyles>
  <dxfs count="0"/>
  <tableStyles count="0" defaultTableStyle="TableStyleMedium9" defaultPivotStyle="PivotStyleLight16"/>
  <colors>
    <mruColors>
      <color rgb="FFFFFFCC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26</xdr:row>
      <xdr:rowOff>9525</xdr:rowOff>
    </xdr:from>
    <xdr:to>
      <xdr:col>5</xdr:col>
      <xdr:colOff>76200</xdr:colOff>
      <xdr:row>28</xdr:row>
      <xdr:rowOff>180975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48175" y="5876925"/>
          <a:ext cx="571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is-IS" sz="1100"/>
        </a:p>
      </xdr:txBody>
    </xdr:sp>
    <xdr:clientData/>
  </xdr:twoCellAnchor>
  <xdr:twoCellAnchor editAs="oneCell">
    <xdr:from>
      <xdr:col>4</xdr:col>
      <xdr:colOff>790222</xdr:colOff>
      <xdr:row>0</xdr:row>
      <xdr:rowOff>9407</xdr:rowOff>
    </xdr:from>
    <xdr:to>
      <xdr:col>9</xdr:col>
      <xdr:colOff>677404</xdr:colOff>
      <xdr:row>2</xdr:row>
      <xdr:rowOff>34870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1CFADD-1748-160E-E83C-0B5588EA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4666" y="9407"/>
          <a:ext cx="3518442" cy="4582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7</xdr:row>
      <xdr:rowOff>85725</xdr:rowOff>
    </xdr:from>
    <xdr:to>
      <xdr:col>18</xdr:col>
      <xdr:colOff>383820</xdr:colOff>
      <xdr:row>10</xdr:row>
      <xdr:rowOff>3745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E765-2689-CA1C-3DC8-22A11E731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1666875"/>
          <a:ext cx="2841905" cy="525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19</xdr:col>
      <xdr:colOff>451036</xdr:colOff>
      <xdr:row>7</xdr:row>
      <xdr:rowOff>32333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7B08E-C2AE-86C6-30BF-7A4F16F3D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800100"/>
          <a:ext cx="3590476" cy="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20</xdr:col>
      <xdr:colOff>609288</xdr:colOff>
      <xdr:row>8</xdr:row>
      <xdr:rowOff>33601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74FF9-A7C1-3748-A52F-A8DF9E410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1181100"/>
          <a:ext cx="2495238" cy="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17</xdr:col>
      <xdr:colOff>494845</xdr:colOff>
      <xdr:row>7</xdr:row>
      <xdr:rowOff>38043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600A6-1B58-01B5-64D6-C2421483A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876300"/>
          <a:ext cx="3638095" cy="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2898</xdr:colOff>
      <xdr:row>7</xdr:row>
      <xdr:rowOff>117881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C4775-8DCD-D89C-F2AF-FEEE2F67D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0206" y="1008529"/>
          <a:ext cx="2514286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A1:P35"/>
  <sheetViews>
    <sheetView zoomScale="135" zoomScaleNormal="100" workbookViewId="0">
      <selection activeCell="E34" sqref="E34"/>
    </sheetView>
  </sheetViews>
  <sheetFormatPr baseColWidth="10" defaultColWidth="9.1640625" defaultRowHeight="16"/>
  <cols>
    <col min="1" max="1" width="9.1640625" style="1" bestFit="1" customWidth="1"/>
    <col min="2" max="2" width="31.5" style="1" customWidth="1"/>
    <col min="3" max="4" width="8.33203125" style="1" bestFit="1" customWidth="1"/>
    <col min="5" max="5" width="10.83203125" style="96" bestFit="1" customWidth="1"/>
    <col min="6" max="6" width="9.33203125" style="1" customWidth="1"/>
    <col min="7" max="10" width="9.1640625" style="1"/>
    <col min="11" max="11" width="13.6640625" style="1" customWidth="1"/>
    <col min="12" max="12" width="12.6640625" style="1" bestFit="1" customWidth="1"/>
    <col min="13" max="16384" width="9.1640625" style="1"/>
  </cols>
  <sheetData>
    <row r="1" spans="1:16" ht="17">
      <c r="A1" s="50"/>
      <c r="B1" s="2" t="s">
        <v>111</v>
      </c>
      <c r="C1" s="1" t="s">
        <v>104</v>
      </c>
    </row>
    <row r="2" spans="1:16" ht="17">
      <c r="A2" s="50"/>
      <c r="B2" s="2" t="s">
        <v>106</v>
      </c>
      <c r="C2" s="1" t="s">
        <v>105</v>
      </c>
    </row>
    <row r="3" spans="1:16">
      <c r="A3" s="50"/>
      <c r="B3" s="2"/>
    </row>
    <row r="4" spans="1:16">
      <c r="A4" s="97" t="s">
        <v>0</v>
      </c>
    </row>
    <row r="5" spans="1:16" ht="17.25" customHeight="1">
      <c r="A5" s="150" t="s">
        <v>97</v>
      </c>
      <c r="B5" s="150"/>
      <c r="C5" s="150"/>
      <c r="D5" s="150"/>
      <c r="L5" s="149"/>
    </row>
    <row r="6" spans="1:16" ht="17">
      <c r="A6" s="5" t="s">
        <v>60</v>
      </c>
      <c r="B6" s="5" t="s">
        <v>61</v>
      </c>
      <c r="C6" s="5" t="s">
        <v>3</v>
      </c>
      <c r="D6" s="5" t="s">
        <v>4</v>
      </c>
      <c r="F6" s="1">
        <v>30</v>
      </c>
      <c r="G6" s="1">
        <v>10</v>
      </c>
      <c r="H6" s="1">
        <f>F6*G6</f>
        <v>300</v>
      </c>
      <c r="K6" s="159"/>
      <c r="L6" s="159"/>
    </row>
    <row r="7" spans="1:16" ht="17">
      <c r="A7" s="98">
        <v>45292</v>
      </c>
      <c r="B7" s="99" t="s">
        <v>118</v>
      </c>
      <c r="C7" s="100">
        <f>H7</f>
        <v>2400</v>
      </c>
      <c r="D7" s="100"/>
      <c r="F7" s="1">
        <v>200</v>
      </c>
      <c r="G7" s="1">
        <v>12</v>
      </c>
      <c r="H7" s="1">
        <f>F7*G7</f>
        <v>2400</v>
      </c>
      <c r="L7" s="164"/>
      <c r="M7" s="160"/>
      <c r="N7" s="160"/>
      <c r="O7" s="160"/>
      <c r="P7" s="161"/>
    </row>
    <row r="8" spans="1:16" ht="17">
      <c r="A8" s="99"/>
      <c r="B8" s="99" t="s">
        <v>119</v>
      </c>
      <c r="C8" s="100"/>
      <c r="D8" s="100">
        <f>C7</f>
        <v>2400</v>
      </c>
      <c r="J8" s="162"/>
      <c r="K8" s="163"/>
    </row>
    <row r="9" spans="1:16" ht="17">
      <c r="A9" s="101">
        <v>45383</v>
      </c>
      <c r="B9" s="99" t="s">
        <v>119</v>
      </c>
      <c r="C9" s="100">
        <f>H9</f>
        <v>3000</v>
      </c>
      <c r="D9" s="100"/>
      <c r="F9" s="1">
        <v>150</v>
      </c>
      <c r="G9" s="1">
        <v>20</v>
      </c>
      <c r="H9" s="1">
        <f>F9*G9</f>
        <v>3000</v>
      </c>
      <c r="K9" s="159"/>
    </row>
    <row r="10" spans="1:16" ht="17">
      <c r="A10" s="99"/>
      <c r="B10" s="99" t="s">
        <v>122</v>
      </c>
      <c r="C10" s="100"/>
      <c r="D10" s="100">
        <f>C9</f>
        <v>3000</v>
      </c>
    </row>
    <row r="11" spans="1:16" ht="17">
      <c r="A11" s="101"/>
      <c r="B11" s="99" t="s">
        <v>54</v>
      </c>
      <c r="C11" s="100">
        <f>H11</f>
        <v>1500</v>
      </c>
      <c r="D11" s="100"/>
      <c r="F11" s="1">
        <v>150</v>
      </c>
      <c r="G11" s="1">
        <f>G6</f>
        <v>10</v>
      </c>
      <c r="H11" s="1">
        <f>F11*G11</f>
        <v>1500</v>
      </c>
    </row>
    <row r="12" spans="1:16" ht="17">
      <c r="A12" s="99"/>
      <c r="B12" s="99" t="s">
        <v>118</v>
      </c>
      <c r="C12" s="100"/>
      <c r="D12" s="100">
        <f>C11</f>
        <v>1500</v>
      </c>
    </row>
    <row r="13" spans="1:16" ht="17">
      <c r="A13" s="101">
        <v>45505</v>
      </c>
      <c r="B13" s="99" t="s">
        <v>118</v>
      </c>
      <c r="C13" s="100">
        <f>H13</f>
        <v>4500</v>
      </c>
      <c r="D13" s="100"/>
      <c r="F13" s="1">
        <v>300</v>
      </c>
      <c r="G13" s="1">
        <f>15</f>
        <v>15</v>
      </c>
      <c r="H13" s="1">
        <f>F13*G13</f>
        <v>4500</v>
      </c>
    </row>
    <row r="14" spans="1:16" ht="17">
      <c r="A14" s="99"/>
      <c r="B14" s="99" t="s">
        <v>119</v>
      </c>
      <c r="C14" s="100"/>
      <c r="D14" s="100">
        <f>C13</f>
        <v>4500</v>
      </c>
    </row>
    <row r="15" spans="1:16" ht="17">
      <c r="A15" s="101">
        <v>45627</v>
      </c>
      <c r="B15" s="99" t="s">
        <v>120</v>
      </c>
      <c r="C15" s="100">
        <f>H15</f>
        <v>11250</v>
      </c>
      <c r="D15" s="100"/>
      <c r="F15" s="1">
        <v>450</v>
      </c>
      <c r="G15" s="1">
        <v>25</v>
      </c>
      <c r="H15" s="1">
        <f>F15*G15</f>
        <v>11250</v>
      </c>
    </row>
    <row r="16" spans="1:16" ht="17">
      <c r="A16" s="99"/>
      <c r="B16" s="99" t="s">
        <v>119</v>
      </c>
      <c r="C16" s="100"/>
      <c r="D16" s="100">
        <f>C15</f>
        <v>11250</v>
      </c>
    </row>
    <row r="17" spans="1:8" ht="17">
      <c r="A17" s="99"/>
      <c r="B17" s="99" t="s">
        <v>54</v>
      </c>
      <c r="C17" s="100">
        <f>SUM(H17:H19)</f>
        <v>6000</v>
      </c>
      <c r="D17" s="100"/>
      <c r="F17" s="1">
        <f>F6</f>
        <v>30</v>
      </c>
      <c r="G17" s="1">
        <f>G6</f>
        <v>10</v>
      </c>
      <c r="H17" s="1">
        <f>F17*G17</f>
        <v>300</v>
      </c>
    </row>
    <row r="18" spans="1:8" ht="17">
      <c r="A18" s="99"/>
      <c r="B18" s="99" t="s">
        <v>118</v>
      </c>
      <c r="C18" s="100"/>
      <c r="D18" s="100">
        <f>C17</f>
        <v>6000</v>
      </c>
      <c r="F18" s="1">
        <v>200</v>
      </c>
      <c r="G18" s="1">
        <v>12</v>
      </c>
      <c r="H18" s="1">
        <f>F18*G18</f>
        <v>2400</v>
      </c>
    </row>
    <row r="19" spans="1:8" ht="15.75" customHeight="1">
      <c r="A19" s="97"/>
      <c r="B19" s="7"/>
      <c r="C19" s="110">
        <f>SUM(C7:C18)</f>
        <v>28650</v>
      </c>
      <c r="D19" s="110">
        <f>SUM(D7:D18)</f>
        <v>28650</v>
      </c>
      <c r="E19" s="99"/>
      <c r="F19" s="99">
        <v>220</v>
      </c>
      <c r="G19" s="1">
        <v>15</v>
      </c>
      <c r="H19" s="1">
        <f>F19*G19</f>
        <v>3300</v>
      </c>
    </row>
    <row r="20" spans="1:8">
      <c r="A20" s="99"/>
      <c r="B20" s="99"/>
      <c r="C20" s="100"/>
      <c r="D20" s="100"/>
    </row>
    <row r="21" spans="1:8" ht="15.75" customHeight="1">
      <c r="A21" s="99"/>
      <c r="B21" s="99"/>
      <c r="E21" s="1"/>
    </row>
    <row r="22" spans="1:8" ht="15.75" customHeight="1">
      <c r="A22" s="97"/>
      <c r="B22" s="7"/>
      <c r="C22" s="6" t="s">
        <v>75</v>
      </c>
      <c r="D22" s="6" t="s">
        <v>76</v>
      </c>
      <c r="E22" s="102" t="s">
        <v>77</v>
      </c>
      <c r="F22" s="99"/>
    </row>
    <row r="23" spans="1:8" ht="17">
      <c r="A23" s="99"/>
      <c r="B23" s="7" t="s">
        <v>78</v>
      </c>
      <c r="C23" s="99">
        <v>180</v>
      </c>
      <c r="D23" s="7">
        <v>10</v>
      </c>
      <c r="E23" s="103">
        <f>C23*D23</f>
        <v>1800</v>
      </c>
      <c r="F23" s="7"/>
    </row>
    <row r="24" spans="1:8" ht="17">
      <c r="A24" s="99"/>
      <c r="B24" s="7" t="s">
        <v>79</v>
      </c>
      <c r="C24" s="99">
        <v>200</v>
      </c>
      <c r="D24" s="7">
        <f>12</f>
        <v>12</v>
      </c>
      <c r="E24" s="103">
        <f>C24*D24</f>
        <v>2400</v>
      </c>
      <c r="F24" s="7"/>
    </row>
    <row r="25" spans="1:8" ht="17">
      <c r="A25" s="99"/>
      <c r="B25" s="7" t="s">
        <v>80</v>
      </c>
      <c r="C25" s="99">
        <v>150</v>
      </c>
      <c r="D25" s="7">
        <f>G6</f>
        <v>10</v>
      </c>
      <c r="E25" s="103">
        <f>C25*D25</f>
        <v>1500</v>
      </c>
      <c r="F25" s="104" t="s">
        <v>81</v>
      </c>
    </row>
    <row r="26" spans="1:8" ht="17">
      <c r="A26" s="99"/>
      <c r="B26" s="7" t="s">
        <v>82</v>
      </c>
      <c r="C26" s="99">
        <v>300</v>
      </c>
      <c r="D26" s="7">
        <v>15</v>
      </c>
      <c r="E26" s="103">
        <f>C26*D26</f>
        <v>4500</v>
      </c>
      <c r="F26" s="7"/>
    </row>
    <row r="27" spans="1:8" ht="17">
      <c r="A27" s="99"/>
      <c r="B27" s="7" t="s">
        <v>123</v>
      </c>
      <c r="C27" s="105">
        <v>30</v>
      </c>
      <c r="D27" s="106">
        <f>D23</f>
        <v>10</v>
      </c>
      <c r="E27" s="107">
        <f>C27*D27</f>
        <v>300</v>
      </c>
      <c r="F27" s="7"/>
    </row>
    <row r="28" spans="1:8">
      <c r="A28" s="99"/>
      <c r="B28" s="99"/>
      <c r="C28" s="105">
        <f>C24</f>
        <v>200</v>
      </c>
      <c r="D28" s="105">
        <f>D24</f>
        <v>12</v>
      </c>
      <c r="E28" s="107">
        <f>C28*D28</f>
        <v>2400</v>
      </c>
      <c r="F28" s="103">
        <f>-SUM(E27:E29)</f>
        <v>-6000</v>
      </c>
      <c r="G28" s="1" t="s">
        <v>83</v>
      </c>
    </row>
    <row r="29" spans="1:8">
      <c r="A29" s="99"/>
      <c r="B29" s="99"/>
      <c r="C29" s="105">
        <v>220</v>
      </c>
      <c r="D29" s="105">
        <v>15</v>
      </c>
      <c r="E29" s="107">
        <f>C29*D29</f>
        <v>3300</v>
      </c>
    </row>
    <row r="30" spans="1:8">
      <c r="A30" s="99"/>
      <c r="B30" s="99"/>
      <c r="C30" s="99"/>
      <c r="D30" s="99"/>
    </row>
    <row r="31" spans="1:8" ht="17">
      <c r="A31" s="97" t="s">
        <v>1</v>
      </c>
      <c r="B31" s="7" t="s">
        <v>84</v>
      </c>
      <c r="C31" s="100">
        <f>E23</f>
        <v>1800</v>
      </c>
      <c r="D31" s="99"/>
      <c r="E31" s="99"/>
      <c r="F31" s="99"/>
    </row>
    <row r="32" spans="1:8" ht="17">
      <c r="A32" s="2"/>
      <c r="B32" s="7" t="s">
        <v>69</v>
      </c>
      <c r="C32" s="100">
        <f>C7+C13</f>
        <v>6900</v>
      </c>
      <c r="D32" s="99"/>
      <c r="E32" s="99"/>
      <c r="F32" s="99"/>
    </row>
    <row r="33" spans="1:6" ht="17">
      <c r="A33" s="2"/>
      <c r="B33" s="7" t="s">
        <v>85</v>
      </c>
      <c r="C33" s="100">
        <f>-(C11+C17)</f>
        <v>-7500</v>
      </c>
      <c r="D33" s="99"/>
      <c r="E33" s="99"/>
      <c r="F33" s="99"/>
    </row>
    <row r="34" spans="1:6" ht="18" thickBot="1">
      <c r="A34" s="2"/>
      <c r="B34" s="108" t="s">
        <v>86</v>
      </c>
      <c r="C34" s="109">
        <f>SUM(C31:C33)</f>
        <v>1200</v>
      </c>
      <c r="D34" s="99"/>
      <c r="E34" s="99"/>
      <c r="F34" s="99"/>
    </row>
    <row r="35" spans="1:6" ht="17" thickTop="1"/>
  </sheetData>
  <mergeCells count="1">
    <mergeCell ref="A5:D5"/>
  </mergeCells>
  <pageMargins left="0.39370078740157483" right="0.35433070866141736" top="0.47244094488188981" bottom="0.74803149606299213" header="0.31496062992125984" footer="0.31496062992125984"/>
  <pageSetup paperSize="9" scale="95" orientation="portrait" horizont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1:O31"/>
  <sheetViews>
    <sheetView topLeftCell="A6" zoomScale="141" workbookViewId="0">
      <selection activeCell="E25" sqref="E25"/>
    </sheetView>
  </sheetViews>
  <sheetFormatPr baseColWidth="10" defaultColWidth="9.1640625" defaultRowHeight="16"/>
  <cols>
    <col min="1" max="1" width="10.5" style="1" customWidth="1"/>
    <col min="2" max="2" width="8.1640625" style="1" customWidth="1"/>
    <col min="3" max="4" width="8.6640625" style="1" customWidth="1"/>
    <col min="5" max="6" width="10.33203125" style="1" customWidth="1"/>
    <col min="7" max="7" width="14.1640625" style="1" bestFit="1" customWidth="1"/>
    <col min="8" max="16384" width="9.1640625" style="1"/>
  </cols>
  <sheetData>
    <row r="1" spans="1:15" s="97" customFormat="1">
      <c r="A1" s="151" t="s">
        <v>110</v>
      </c>
      <c r="B1" s="151"/>
      <c r="C1" s="151"/>
      <c r="E1" s="1" t="s">
        <v>104</v>
      </c>
    </row>
    <row r="2" spans="1:15" s="97" customFormat="1">
      <c r="A2" s="151" t="s">
        <v>107</v>
      </c>
      <c r="B2" s="151"/>
      <c r="C2" s="151"/>
      <c r="E2" s="1" t="s">
        <v>105</v>
      </c>
    </row>
    <row r="3" spans="1:15" s="97" customFormat="1">
      <c r="A3" s="9"/>
      <c r="B3" s="9"/>
      <c r="C3" s="9"/>
      <c r="E3" s="1"/>
    </row>
    <row r="4" spans="1:15" ht="17">
      <c r="A4" s="16" t="s">
        <v>0</v>
      </c>
      <c r="B4" s="17"/>
      <c r="C4" s="17"/>
      <c r="D4" s="17"/>
      <c r="E4" s="17"/>
      <c r="F4" s="17"/>
      <c r="G4" s="17"/>
    </row>
    <row r="5" spans="1:15" ht="17">
      <c r="A5" s="5" t="s">
        <v>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</row>
    <row r="6" spans="1:15" ht="51">
      <c r="A6" s="18" t="s">
        <v>14</v>
      </c>
      <c r="B6" s="18" t="s">
        <v>15</v>
      </c>
      <c r="C6" s="18" t="s">
        <v>16</v>
      </c>
      <c r="D6" s="18" t="s">
        <v>17</v>
      </c>
      <c r="E6" s="18" t="s">
        <v>18</v>
      </c>
      <c r="F6" s="18" t="s">
        <v>19</v>
      </c>
      <c r="G6" s="18" t="s">
        <v>20</v>
      </c>
    </row>
    <row r="7" spans="1:15" ht="17">
      <c r="A7" s="19"/>
      <c r="B7" s="19"/>
      <c r="C7" s="19"/>
      <c r="D7" s="19"/>
      <c r="E7" s="20" t="s">
        <v>11</v>
      </c>
      <c r="F7" s="20" t="s">
        <v>12</v>
      </c>
      <c r="G7" s="20" t="s">
        <v>27</v>
      </c>
      <c r="O7" s="149" t="s">
        <v>103</v>
      </c>
    </row>
    <row r="8" spans="1:15" ht="17">
      <c r="A8" s="21" t="s">
        <v>94</v>
      </c>
      <c r="B8" s="7">
        <v>200</v>
      </c>
      <c r="C8" s="21">
        <v>10</v>
      </c>
      <c r="D8" s="21">
        <v>8</v>
      </c>
      <c r="E8" s="7">
        <f>B8*C8</f>
        <v>2000</v>
      </c>
      <c r="F8" s="7">
        <f>B8*D8</f>
        <v>1600</v>
      </c>
      <c r="G8" s="7">
        <f>F8</f>
        <v>1600</v>
      </c>
    </row>
    <row r="9" spans="1:15" ht="17">
      <c r="A9" s="21" t="s">
        <v>95</v>
      </c>
      <c r="B9" s="7">
        <v>100</v>
      </c>
      <c r="C9" s="21">
        <v>12</v>
      </c>
      <c r="D9" s="21">
        <v>10</v>
      </c>
      <c r="E9" s="7">
        <f>B9*C9</f>
        <v>1200</v>
      </c>
      <c r="F9" s="7">
        <f>B9*D9</f>
        <v>1000</v>
      </c>
      <c r="G9" s="7">
        <f>F9</f>
        <v>1000</v>
      </c>
    </row>
    <row r="10" spans="1:15" ht="17">
      <c r="A10" s="21" t="s">
        <v>96</v>
      </c>
      <c r="B10" s="7">
        <v>40</v>
      </c>
      <c r="C10" s="21">
        <v>8</v>
      </c>
      <c r="D10" s="21">
        <v>9</v>
      </c>
      <c r="E10" s="7">
        <f>B10*C10</f>
        <v>320</v>
      </c>
      <c r="F10" s="7">
        <f>B10*D10</f>
        <v>360</v>
      </c>
      <c r="G10" s="7">
        <f>E10</f>
        <v>320</v>
      </c>
    </row>
    <row r="11" spans="1:15" ht="17">
      <c r="A11" s="21" t="s">
        <v>13</v>
      </c>
      <c r="B11" s="7">
        <v>30</v>
      </c>
      <c r="C11" s="21">
        <v>5</v>
      </c>
      <c r="D11" s="21">
        <v>10</v>
      </c>
      <c r="E11" s="6">
        <f>B11*C11</f>
        <v>150</v>
      </c>
      <c r="F11" s="6">
        <f>B11*D11</f>
        <v>300</v>
      </c>
      <c r="G11" s="6">
        <f>E11</f>
        <v>150</v>
      </c>
    </row>
    <row r="12" spans="1:15">
      <c r="A12" s="21"/>
      <c r="B12" s="22"/>
      <c r="C12" s="22"/>
      <c r="D12" s="22"/>
      <c r="E12" s="23">
        <f>SUM(E8:E11)</f>
        <v>3670</v>
      </c>
      <c r="F12" s="23">
        <f>SUM(F8:F11)</f>
        <v>3260</v>
      </c>
      <c r="G12" s="23">
        <f>SUM(G8:G11)</f>
        <v>3070</v>
      </c>
    </row>
    <row r="13" spans="1:15">
      <c r="A13" s="2"/>
    </row>
    <row r="14" spans="1:15">
      <c r="A14" s="4"/>
      <c r="B14" s="10"/>
    </row>
    <row r="15" spans="1:15">
      <c r="A15" s="4"/>
      <c r="B15" s="10"/>
    </row>
    <row r="16" spans="1:15">
      <c r="A16" s="4"/>
      <c r="B16" s="8"/>
    </row>
    <row r="17" spans="1:6">
      <c r="A17" s="4"/>
      <c r="B17" s="8"/>
    </row>
    <row r="18" spans="1:6">
      <c r="A18" s="2"/>
    </row>
    <row r="19" spans="1:6" ht="17">
      <c r="A19" s="25" t="s">
        <v>1</v>
      </c>
      <c r="B19" s="28" t="s">
        <v>31</v>
      </c>
      <c r="C19" s="17"/>
      <c r="D19" s="17"/>
      <c r="E19" s="17"/>
      <c r="F19" s="17"/>
    </row>
    <row r="20" spans="1:6" ht="15.75" customHeight="1">
      <c r="A20" s="24"/>
      <c r="B20" s="28" t="s">
        <v>30</v>
      </c>
      <c r="C20" s="28"/>
      <c r="D20" s="28"/>
      <c r="E20" s="26" t="s">
        <v>3</v>
      </c>
      <c r="F20" s="26" t="s">
        <v>4</v>
      </c>
    </row>
    <row r="21" spans="1:6">
      <c r="A21" s="4"/>
      <c r="B21" s="9" t="s">
        <v>54</v>
      </c>
      <c r="E21" s="165">
        <f>E12-G12</f>
        <v>600</v>
      </c>
      <c r="F21" s="27"/>
    </row>
    <row r="22" spans="1:6">
      <c r="A22" s="27"/>
      <c r="B22" s="10" t="s">
        <v>124</v>
      </c>
      <c r="E22" s="27"/>
      <c r="F22" s="165">
        <f>E21</f>
        <v>600</v>
      </c>
    </row>
    <row r="23" spans="1:6">
      <c r="A23" s="27"/>
      <c r="B23" s="27"/>
      <c r="E23" s="27"/>
      <c r="F23" s="27"/>
    </row>
    <row r="24" spans="1:6">
      <c r="A24" s="4"/>
      <c r="B24" s="10" t="s">
        <v>54</v>
      </c>
      <c r="E24" s="165">
        <f>E12-F12</f>
        <v>410</v>
      </c>
      <c r="F24" s="27"/>
    </row>
    <row r="25" spans="1:6">
      <c r="A25" s="27"/>
      <c r="B25" s="10" t="s">
        <v>125</v>
      </c>
      <c r="E25" s="27"/>
      <c r="F25" s="165">
        <f>E24</f>
        <v>410</v>
      </c>
    </row>
    <row r="26" spans="1:6">
      <c r="A26" s="27"/>
      <c r="B26" s="27"/>
      <c r="E26" s="27"/>
      <c r="F26" s="27"/>
    </row>
    <row r="27" spans="1:6">
      <c r="B27" s="9"/>
    </row>
    <row r="28" spans="1:6">
      <c r="B28" s="9"/>
    </row>
    <row r="29" spans="1:6">
      <c r="A29" s="2"/>
    </row>
    <row r="30" spans="1:6">
      <c r="A30" s="2"/>
    </row>
    <row r="31" spans="1:6">
      <c r="A31" s="2"/>
    </row>
  </sheetData>
  <mergeCells count="2">
    <mergeCell ref="A1:C1"/>
    <mergeCell ref="A2:C2"/>
  </mergeCells>
  <pageMargins left="0.56000000000000005" right="0.34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O44"/>
  <sheetViews>
    <sheetView topLeftCell="A11" zoomScale="150" workbookViewId="0">
      <selection activeCell="D43" sqref="D43"/>
    </sheetView>
  </sheetViews>
  <sheetFormatPr baseColWidth="10" defaultColWidth="9.1640625" defaultRowHeight="16"/>
  <cols>
    <col min="1" max="1" width="4" style="32" customWidth="1"/>
    <col min="2" max="2" width="39" style="12" bestFit="1" customWidth="1"/>
    <col min="3" max="3" width="2" style="12" bestFit="1" customWidth="1"/>
    <col min="4" max="4" width="12.5" style="12" customWidth="1"/>
    <col min="5" max="5" width="12.83203125" style="12" bestFit="1" customWidth="1"/>
    <col min="6" max="7" width="9.1640625" style="12"/>
    <col min="8" max="8" width="9.5" style="12" bestFit="1" customWidth="1"/>
    <col min="9" max="16384" width="9.1640625" style="12"/>
  </cols>
  <sheetData>
    <row r="1" spans="1:15" s="29" customFormat="1" ht="17">
      <c r="A1" s="13"/>
      <c r="B1" s="2" t="s">
        <v>113</v>
      </c>
      <c r="C1" s="1" t="s">
        <v>104</v>
      </c>
    </row>
    <row r="2" spans="1:15" s="76" customFormat="1" ht="17">
      <c r="A2" s="13"/>
      <c r="B2" s="2" t="s">
        <v>112</v>
      </c>
      <c r="C2" s="1" t="s">
        <v>105</v>
      </c>
      <c r="H2" s="29"/>
      <c r="I2" s="29"/>
    </row>
    <row r="3" spans="1:15" s="76" customFormat="1">
      <c r="A3" s="13"/>
      <c r="B3" s="2"/>
      <c r="C3" s="1"/>
      <c r="H3" s="29"/>
      <c r="I3" s="29"/>
    </row>
    <row r="4" spans="1:15" s="76" customFormat="1">
      <c r="A4" s="95" t="s">
        <v>71</v>
      </c>
      <c r="B4" s="75"/>
      <c r="H4" s="29"/>
      <c r="I4" s="29"/>
    </row>
    <row r="5" spans="1:15" s="76" customFormat="1">
      <c r="A5" s="77" t="s">
        <v>0</v>
      </c>
      <c r="B5" s="78" t="s">
        <v>102</v>
      </c>
      <c r="C5" s="79"/>
      <c r="D5" s="80">
        <v>250000</v>
      </c>
      <c r="E5" s="79"/>
      <c r="F5" s="81"/>
      <c r="H5" s="29"/>
      <c r="I5" s="29"/>
      <c r="O5" s="149" t="s">
        <v>103</v>
      </c>
    </row>
    <row r="6" spans="1:15" s="76" customFormat="1">
      <c r="A6" s="82"/>
      <c r="B6" s="83" t="s">
        <v>32</v>
      </c>
      <c r="C6" s="83" t="s">
        <v>6</v>
      </c>
      <c r="D6" s="84">
        <v>0.25</v>
      </c>
      <c r="E6" s="74" t="s">
        <v>74</v>
      </c>
      <c r="F6" s="85"/>
      <c r="H6" s="29"/>
      <c r="I6" s="29"/>
    </row>
    <row r="7" spans="1:15" s="76" customFormat="1" ht="17" thickBot="1">
      <c r="A7" s="82"/>
      <c r="B7" s="86" t="s">
        <v>36</v>
      </c>
      <c r="C7" s="86"/>
      <c r="D7" s="87">
        <f>D5*D6</f>
        <v>62500</v>
      </c>
      <c r="E7" s="88" t="s">
        <v>7</v>
      </c>
      <c r="F7" s="85"/>
      <c r="H7" s="29"/>
      <c r="I7" s="29"/>
    </row>
    <row r="8" spans="1:15" s="76" customFormat="1" ht="17" thickTop="1">
      <c r="A8" s="82"/>
      <c r="B8" s="83"/>
      <c r="C8" s="83"/>
      <c r="F8" s="85"/>
      <c r="H8" s="29"/>
      <c r="I8" s="29"/>
    </row>
    <row r="9" spans="1:15" s="76" customFormat="1">
      <c r="A9" s="82"/>
      <c r="F9" s="85"/>
      <c r="I9" s="29"/>
    </row>
    <row r="10" spans="1:15" s="76" customFormat="1" ht="14">
      <c r="A10" s="82" t="s">
        <v>1</v>
      </c>
      <c r="B10" s="83" t="s">
        <v>102</v>
      </c>
      <c r="D10" s="74">
        <f>D5</f>
        <v>250000</v>
      </c>
      <c r="F10" s="85"/>
    </row>
    <row r="11" spans="1:15" s="76" customFormat="1" ht="14">
      <c r="A11" s="82"/>
      <c r="B11" s="83" t="s">
        <v>36</v>
      </c>
      <c r="D11" s="74">
        <f>D7</f>
        <v>62500</v>
      </c>
      <c r="F11" s="85"/>
      <c r="I11" s="147"/>
    </row>
    <row r="12" spans="1:15" s="76" customFormat="1" ht="15" thickBot="1">
      <c r="A12" s="82"/>
      <c r="B12" s="86" t="s">
        <v>37</v>
      </c>
      <c r="D12" s="87">
        <f>D10-D11</f>
        <v>187500</v>
      </c>
      <c r="E12" s="88" t="s">
        <v>8</v>
      </c>
      <c r="F12" s="85"/>
    </row>
    <row r="13" spans="1:15" s="76" customFormat="1" ht="15" thickTop="1">
      <c r="A13" s="82"/>
      <c r="D13" s="74"/>
      <c r="F13" s="85"/>
    </row>
    <row r="14" spans="1:15" s="76" customFormat="1" ht="14">
      <c r="A14" s="82" t="s">
        <v>2</v>
      </c>
      <c r="F14" s="85"/>
    </row>
    <row r="15" spans="1:15" s="76" customFormat="1" ht="14">
      <c r="A15" s="82"/>
      <c r="B15" s="83" t="s">
        <v>34</v>
      </c>
      <c r="D15" s="74">
        <f>60000</f>
        <v>60000</v>
      </c>
      <c r="F15" s="85"/>
    </row>
    <row r="16" spans="1:15" s="76" customFormat="1" ht="14">
      <c r="A16" s="82"/>
      <c r="B16" s="83" t="s">
        <v>35</v>
      </c>
      <c r="D16" s="89">
        <f>D5-D15</f>
        <v>190000</v>
      </c>
      <c r="F16" s="85"/>
    </row>
    <row r="17" spans="1:9" s="76" customFormat="1" ht="14">
      <c r="A17" s="82"/>
      <c r="B17" s="83" t="s">
        <v>9</v>
      </c>
      <c r="D17" s="74">
        <f>250000</f>
        <v>250000</v>
      </c>
      <c r="F17" s="85"/>
    </row>
    <row r="18" spans="1:9" s="76" customFormat="1" ht="14">
      <c r="A18" s="82"/>
      <c r="B18" s="83" t="s">
        <v>37</v>
      </c>
      <c r="D18" s="74">
        <f>-(D17-D7)</f>
        <v>-187500</v>
      </c>
      <c r="F18" s="85"/>
    </row>
    <row r="19" spans="1:9" s="76" customFormat="1" ht="15" thickBot="1">
      <c r="A19" s="82"/>
      <c r="B19" s="75" t="s">
        <v>38</v>
      </c>
      <c r="D19" s="87">
        <f>SUM(D17:D18)</f>
        <v>62500</v>
      </c>
      <c r="E19" s="88" t="s">
        <v>10</v>
      </c>
      <c r="F19" s="85"/>
    </row>
    <row r="20" spans="1:9" s="76" customFormat="1" ht="15" thickTop="1">
      <c r="A20" s="82"/>
      <c r="D20" s="90"/>
      <c r="F20" s="85"/>
    </row>
    <row r="21" spans="1:9" s="76" customFormat="1" ht="14">
      <c r="A21" s="82"/>
      <c r="D21" s="91"/>
      <c r="F21" s="85"/>
    </row>
    <row r="22" spans="1:9" s="76" customFormat="1" ht="14">
      <c r="A22" s="82"/>
      <c r="D22" s="74"/>
      <c r="F22" s="85"/>
    </row>
    <row r="23" spans="1:9" s="76" customFormat="1" ht="14">
      <c r="A23" s="82" t="s">
        <v>5</v>
      </c>
      <c r="B23" s="83" t="str">
        <f>+B19</f>
        <v>áætlað verðmæti birgða á tjónsdegi</v>
      </c>
      <c r="D23" s="74">
        <f>D19</f>
        <v>62500</v>
      </c>
      <c r="F23" s="85"/>
    </row>
    <row r="24" spans="1:9" s="76" customFormat="1" ht="14">
      <c r="A24" s="82"/>
      <c r="B24" s="83" t="s">
        <v>39</v>
      </c>
      <c r="D24" s="74">
        <f>-(3600)</f>
        <v>-3600</v>
      </c>
      <c r="F24" s="85"/>
    </row>
    <row r="25" spans="1:9" s="76" customFormat="1" ht="15" thickBot="1">
      <c r="A25" s="82"/>
      <c r="B25" s="86" t="s">
        <v>40</v>
      </c>
      <c r="C25" s="75"/>
      <c r="D25" s="87">
        <f>SUM(D23:D24)</f>
        <v>58900</v>
      </c>
      <c r="F25" s="85"/>
    </row>
    <row r="26" spans="1:9" s="76" customFormat="1" ht="15" thickTop="1">
      <c r="A26" s="92"/>
      <c r="B26" s="93"/>
      <c r="C26" s="93"/>
      <c r="D26" s="89"/>
      <c r="E26" s="93"/>
      <c r="F26" s="94"/>
    </row>
    <row r="27" spans="1:9" s="76" customFormat="1" ht="14">
      <c r="A27" s="75"/>
    </row>
    <row r="28" spans="1:9" s="74" customFormat="1">
      <c r="A28" s="95" t="s">
        <v>72</v>
      </c>
    </row>
    <row r="29" spans="1:9" s="74" customFormat="1" ht="14">
      <c r="A29" s="111" t="s">
        <v>87</v>
      </c>
      <c r="B29" s="80"/>
      <c r="C29" s="116"/>
      <c r="D29" s="80"/>
      <c r="E29" s="116"/>
      <c r="F29" s="117"/>
    </row>
    <row r="30" spans="1:9" s="74" customFormat="1" ht="14">
      <c r="A30" s="77" t="s">
        <v>0</v>
      </c>
      <c r="B30" s="78" t="s">
        <v>102</v>
      </c>
      <c r="D30" s="80">
        <f>250000</f>
        <v>250000</v>
      </c>
      <c r="F30" s="112"/>
    </row>
    <row r="31" spans="1:9" s="74" customFormat="1" ht="14">
      <c r="A31" s="113"/>
      <c r="B31" s="83" t="s">
        <v>73</v>
      </c>
      <c r="D31" s="146">
        <v>0.33329999999999999</v>
      </c>
      <c r="F31" s="112"/>
      <c r="H31" s="83" t="s">
        <v>93</v>
      </c>
      <c r="I31" s="74" t="s">
        <v>92</v>
      </c>
    </row>
    <row r="32" spans="1:9" s="74" customFormat="1" ht="15" thickBot="1">
      <c r="A32" s="113"/>
      <c r="B32" s="86" t="s">
        <v>37</v>
      </c>
      <c r="D32" s="87">
        <f>D30/(1+D31)</f>
        <v>187504.68761719044</v>
      </c>
      <c r="F32" s="112"/>
    </row>
    <row r="33" spans="1:6" s="74" customFormat="1" ht="15" thickTop="1">
      <c r="A33" s="113"/>
      <c r="F33" s="112"/>
    </row>
    <row r="34" spans="1:6" s="74" customFormat="1" ht="14">
      <c r="A34" s="82" t="s">
        <v>1</v>
      </c>
      <c r="B34" s="83" t="s">
        <v>34</v>
      </c>
      <c r="C34" s="76"/>
      <c r="D34" s="74">
        <v>60000</v>
      </c>
      <c r="F34" s="112"/>
    </row>
    <row r="35" spans="1:6" s="74" customFormat="1" ht="14">
      <c r="A35" s="113"/>
      <c r="B35" s="83" t="s">
        <v>35</v>
      </c>
      <c r="C35" s="76"/>
      <c r="D35" s="89">
        <f>190000</f>
        <v>190000</v>
      </c>
      <c r="F35" s="112"/>
    </row>
    <row r="36" spans="1:6" s="74" customFormat="1" ht="14">
      <c r="A36" s="113"/>
      <c r="B36" s="83" t="s">
        <v>9</v>
      </c>
      <c r="C36" s="76"/>
      <c r="D36" s="74">
        <f>SUM(D34:D35)</f>
        <v>250000</v>
      </c>
      <c r="F36" s="112"/>
    </row>
    <row r="37" spans="1:6" s="74" customFormat="1" ht="14">
      <c r="A37" s="113"/>
      <c r="B37" s="83" t="s">
        <v>37</v>
      </c>
      <c r="C37" s="76"/>
      <c r="D37" s="166">
        <f>-D32</f>
        <v>-187504.68761719044</v>
      </c>
      <c r="F37" s="112"/>
    </row>
    <row r="38" spans="1:6" s="74" customFormat="1" ht="15" thickBot="1">
      <c r="A38" s="113"/>
      <c r="B38" s="75" t="s">
        <v>38</v>
      </c>
      <c r="C38" s="76"/>
      <c r="D38" s="87">
        <f>D36+D37</f>
        <v>62495.312382809556</v>
      </c>
      <c r="F38" s="112"/>
    </row>
    <row r="39" spans="1:6" s="74" customFormat="1" ht="15" thickTop="1">
      <c r="A39" s="113"/>
      <c r="B39" s="76"/>
      <c r="C39" s="76"/>
      <c r="D39" s="90"/>
      <c r="F39" s="112"/>
    </row>
    <row r="40" spans="1:6" s="74" customFormat="1" ht="14">
      <c r="A40" s="82" t="s">
        <v>2</v>
      </c>
      <c r="B40" s="83" t="str">
        <f>+B38</f>
        <v>áætlað verðmæti birgða á tjónsdegi</v>
      </c>
      <c r="C40" s="76"/>
      <c r="D40" s="74">
        <f>D38</f>
        <v>62495.312382809556</v>
      </c>
      <c r="F40" s="112"/>
    </row>
    <row r="41" spans="1:6" s="74" customFormat="1" ht="14">
      <c r="A41" s="113"/>
      <c r="B41" s="83" t="s">
        <v>39</v>
      </c>
      <c r="C41" s="76"/>
      <c r="D41" s="74">
        <f>-(3600)</f>
        <v>-3600</v>
      </c>
      <c r="F41" s="112"/>
    </row>
    <row r="42" spans="1:6" s="74" customFormat="1" ht="15" thickBot="1">
      <c r="A42" s="113"/>
      <c r="B42" s="86" t="s">
        <v>40</v>
      </c>
      <c r="C42" s="75"/>
      <c r="D42" s="87">
        <f>SUM(D40:D41)</f>
        <v>58895.312382809556</v>
      </c>
      <c r="F42" s="112"/>
    </row>
    <row r="43" spans="1:6" s="74" customFormat="1" ht="15" thickTop="1">
      <c r="A43" s="114"/>
      <c r="B43" s="89"/>
      <c r="C43" s="89"/>
      <c r="D43" s="89"/>
      <c r="E43" s="89"/>
      <c r="F43" s="115"/>
    </row>
    <row r="44" spans="1:6" s="74" customFormat="1" ht="14">
      <c r="A44" s="88"/>
    </row>
  </sheetData>
  <pageMargins left="0.7" right="0.44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R53"/>
  <sheetViews>
    <sheetView topLeftCell="A20" zoomScale="164" zoomScaleNormal="100" workbookViewId="0">
      <selection activeCell="I31" sqref="I31"/>
    </sheetView>
  </sheetViews>
  <sheetFormatPr baseColWidth="10" defaultColWidth="9.1640625" defaultRowHeight="16"/>
  <cols>
    <col min="1" max="1" width="2" style="32" customWidth="1"/>
    <col min="2" max="2" width="12.33203125" style="12" customWidth="1"/>
    <col min="3" max="4" width="13.33203125" style="12" customWidth="1"/>
    <col min="5" max="5" width="12.83203125" style="12" bestFit="1" customWidth="1"/>
    <col min="6" max="6" width="2.5" style="12" customWidth="1"/>
    <col min="7" max="7" width="10.6640625" style="12" bestFit="1" customWidth="1"/>
    <col min="8" max="8" width="2.83203125" style="12" customWidth="1"/>
    <col min="9" max="9" width="10.6640625" style="12" bestFit="1" customWidth="1"/>
    <col min="10" max="16384" width="9.1640625" style="12"/>
  </cols>
  <sheetData>
    <row r="1" spans="1:18">
      <c r="B1" s="151" t="s">
        <v>116</v>
      </c>
      <c r="C1" s="151"/>
      <c r="D1" s="151"/>
      <c r="E1" s="1" t="s">
        <v>104</v>
      </c>
    </row>
    <row r="2" spans="1:18">
      <c r="A2" s="12"/>
      <c r="B2" s="151" t="s">
        <v>117</v>
      </c>
      <c r="C2" s="151"/>
      <c r="D2" s="151"/>
      <c r="E2" s="1" t="s">
        <v>105</v>
      </c>
    </row>
    <row r="4" spans="1:18">
      <c r="A4" s="32" t="s">
        <v>0</v>
      </c>
      <c r="D4" s="35" t="s">
        <v>47</v>
      </c>
      <c r="E4" s="35" t="s">
        <v>48</v>
      </c>
    </row>
    <row r="5" spans="1:18" ht="34">
      <c r="A5" s="36"/>
      <c r="C5" s="37"/>
      <c r="D5" s="38" t="s">
        <v>99</v>
      </c>
      <c r="E5" s="38" t="s">
        <v>100</v>
      </c>
    </row>
    <row r="6" spans="1:18" ht="17">
      <c r="C6" s="11" t="s">
        <v>49</v>
      </c>
      <c r="D6" s="37">
        <v>3000000</v>
      </c>
      <c r="E6" s="37">
        <f>D6</f>
        <v>3000000</v>
      </c>
      <c r="R6" s="149" t="s">
        <v>103</v>
      </c>
    </row>
    <row r="7" spans="1:18" ht="17">
      <c r="C7" s="11" t="s">
        <v>50</v>
      </c>
      <c r="D7" s="39">
        <f>-2000000</f>
        <v>-2000000</v>
      </c>
      <c r="E7" s="39">
        <f>-2050000</f>
        <v>-2050000</v>
      </c>
    </row>
    <row r="8" spans="1:18" ht="17">
      <c r="C8" s="11" t="s">
        <v>51</v>
      </c>
      <c r="D8" s="37">
        <f>SUM(D6:D7)</f>
        <v>1000000</v>
      </c>
      <c r="E8" s="37">
        <f>SUM(E6:E7)</f>
        <v>950000</v>
      </c>
    </row>
    <row r="9" spans="1:18">
      <c r="C9" s="11"/>
      <c r="D9" s="37"/>
      <c r="E9" s="37"/>
    </row>
    <row r="10" spans="1:18" ht="17" thickBot="1">
      <c r="C10" s="40" t="s">
        <v>52</v>
      </c>
      <c r="D10" s="168">
        <f>D8/D6</f>
        <v>0.33333333333333331</v>
      </c>
      <c r="E10" s="167">
        <f>E8/E6</f>
        <v>0.31666666666666665</v>
      </c>
    </row>
    <row r="11" spans="1:18" ht="18" thickTop="1" thickBot="1">
      <c r="C11" s="143" t="s">
        <v>91</v>
      </c>
      <c r="D11" s="144">
        <f>D8/-D7</f>
        <v>0.5</v>
      </c>
      <c r="E11" s="144">
        <f>E8/-E7</f>
        <v>0.46341463414634149</v>
      </c>
    </row>
    <row r="12" spans="1:18" ht="17" thickTop="1">
      <c r="C12" s="143"/>
      <c r="D12" s="145"/>
      <c r="E12" s="145"/>
    </row>
    <row r="13" spans="1:18">
      <c r="A13" s="12"/>
    </row>
    <row r="14" spans="1:18">
      <c r="A14" s="12"/>
    </row>
    <row r="22" spans="1:9">
      <c r="A22" s="32" t="s">
        <v>1</v>
      </c>
      <c r="B22" s="12" t="s">
        <v>53</v>
      </c>
    </row>
    <row r="23" spans="1:9" ht="34">
      <c r="E23" s="41" t="s">
        <v>54</v>
      </c>
      <c r="G23" s="14" t="s">
        <v>55</v>
      </c>
      <c r="I23" s="42" t="s">
        <v>56</v>
      </c>
    </row>
    <row r="24" spans="1:9" ht="17" thickBot="1">
      <c r="D24" s="124" t="s">
        <v>99</v>
      </c>
      <c r="E24" s="43">
        <f>D7</f>
        <v>-2000000</v>
      </c>
      <c r="G24" s="12">
        <v>350000</v>
      </c>
      <c r="I24" s="44">
        <f>-E24/G24</f>
        <v>5.7142857142857144</v>
      </c>
    </row>
    <row r="25" spans="1:9" ht="18" thickTop="1" thickBot="1">
      <c r="D25" s="124" t="s">
        <v>100</v>
      </c>
      <c r="E25" s="12">
        <f>E7</f>
        <v>-2050000</v>
      </c>
      <c r="G25" s="12">
        <f>-300000</f>
        <v>-300000</v>
      </c>
      <c r="I25" s="45">
        <f>E25/G25</f>
        <v>6.833333333333333</v>
      </c>
    </row>
    <row r="26" spans="1:9" ht="17" thickTop="1"/>
    <row r="27" spans="1:9">
      <c r="B27" s="12" t="s">
        <v>57</v>
      </c>
    </row>
    <row r="28" spans="1:9" ht="34">
      <c r="E28" s="42" t="s">
        <v>58</v>
      </c>
      <c r="G28" s="42" t="s">
        <v>56</v>
      </c>
      <c r="I28" s="12" t="s">
        <v>59</v>
      </c>
    </row>
    <row r="29" spans="1:9" ht="17" thickBot="1">
      <c r="D29" s="124" t="s">
        <v>99</v>
      </c>
      <c r="E29" s="43">
        <v>365</v>
      </c>
      <c r="G29" s="46">
        <f>I24</f>
        <v>5.7142857142857144</v>
      </c>
      <c r="I29" s="44">
        <f>E29/G29</f>
        <v>63.875</v>
      </c>
    </row>
    <row r="30" spans="1:9" ht="18" thickTop="1" thickBot="1">
      <c r="D30" s="124" t="s">
        <v>100</v>
      </c>
      <c r="E30" s="43">
        <v>365</v>
      </c>
      <c r="G30" s="46">
        <f>I25</f>
        <v>6.833333333333333</v>
      </c>
      <c r="I30" s="45">
        <f>E30/G30</f>
        <v>53.414634146341463</v>
      </c>
    </row>
    <row r="31" spans="1:9" ht="17" thickTop="1"/>
    <row r="37" spans="1:3">
      <c r="A37" s="12"/>
    </row>
    <row r="41" spans="1:3">
      <c r="A41" s="32" t="s">
        <v>2</v>
      </c>
      <c r="B41" s="47"/>
      <c r="C41" s="48"/>
    </row>
    <row r="42" spans="1:3">
      <c r="A42" s="49"/>
      <c r="B42" s="47"/>
      <c r="C42" s="48"/>
    </row>
    <row r="43" spans="1:3">
      <c r="A43" s="49"/>
    </row>
    <row r="44" spans="1:3">
      <c r="A44" s="49"/>
    </row>
    <row r="47" spans="1:3">
      <c r="A47" s="12"/>
    </row>
    <row r="48" spans="1:3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</sheetData>
  <mergeCells count="2">
    <mergeCell ref="B1:D1"/>
    <mergeCell ref="B2:D2"/>
  </mergeCells>
  <pageMargins left="0.51181102362204722" right="0.39370078740157483" top="0.74803149606299213" bottom="0.74803149606299213" header="0.31496062992125984" footer="0.31496062992125984"/>
  <pageSetup paperSize="9" scale="93" orientation="portrait" horizontalDpi="4294967295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  <pageSetUpPr fitToPage="1"/>
  </sheetPr>
  <dimension ref="A1:M42"/>
  <sheetViews>
    <sheetView topLeftCell="A5" zoomScale="118" zoomScaleNormal="100" workbookViewId="0">
      <selection activeCell="C40" sqref="C40"/>
    </sheetView>
  </sheetViews>
  <sheetFormatPr baseColWidth="10" defaultColWidth="9.1640625" defaultRowHeight="16"/>
  <cols>
    <col min="1" max="1" width="9.5" style="70" customWidth="1"/>
    <col min="2" max="2" width="35.33203125" style="1" customWidth="1"/>
    <col min="3" max="4" width="12.5" style="1" customWidth="1"/>
    <col min="5" max="5" width="6.6640625" style="1" customWidth="1"/>
    <col min="6" max="6" width="16.6640625" style="1" customWidth="1"/>
    <col min="7" max="7" width="11" style="173" customWidth="1"/>
    <col min="8" max="8" width="22.33203125" style="170" bestFit="1" customWidth="1"/>
    <col min="9" max="10" width="14.1640625" style="170" bestFit="1" customWidth="1"/>
    <col min="11" max="11" width="10.6640625" style="1" customWidth="1"/>
    <col min="12" max="12" width="10.6640625" style="1" bestFit="1" customWidth="1"/>
    <col min="13" max="16384" width="9.1640625" style="1"/>
  </cols>
  <sheetData>
    <row r="1" spans="1:13" ht="17">
      <c r="A1" s="50"/>
      <c r="B1" s="2" t="s">
        <v>108</v>
      </c>
      <c r="C1" s="1" t="s">
        <v>104</v>
      </c>
      <c r="D1" s="29"/>
    </row>
    <row r="2" spans="1:13" ht="17">
      <c r="A2" s="50"/>
      <c r="B2" s="2" t="s">
        <v>109</v>
      </c>
      <c r="C2" s="1" t="s">
        <v>105</v>
      </c>
      <c r="D2" s="76"/>
    </row>
    <row r="3" spans="1:13">
      <c r="A3" s="50"/>
    </row>
    <row r="4" spans="1:13" ht="17" thickBot="1">
      <c r="A4" s="51" t="s">
        <v>0</v>
      </c>
      <c r="H4" s="174" t="s">
        <v>131</v>
      </c>
    </row>
    <row r="5" spans="1:13" ht="17" thickTop="1">
      <c r="A5" s="152" t="s">
        <v>98</v>
      </c>
      <c r="B5" s="153"/>
      <c r="C5" s="153"/>
      <c r="D5" s="154"/>
      <c r="M5" s="149" t="s">
        <v>103</v>
      </c>
    </row>
    <row r="6" spans="1:13" ht="17" thickBot="1">
      <c r="A6" s="155" t="s">
        <v>101</v>
      </c>
      <c r="B6" s="156"/>
      <c r="C6" s="156"/>
      <c r="D6" s="157"/>
      <c r="G6" s="173">
        <v>45292</v>
      </c>
      <c r="H6" s="171" t="s">
        <v>129</v>
      </c>
      <c r="I6" s="171" t="s">
        <v>130</v>
      </c>
      <c r="J6" s="171" t="s">
        <v>132</v>
      </c>
      <c r="K6" s="171" t="s">
        <v>128</v>
      </c>
    </row>
    <row r="7" spans="1:13" ht="16.5" customHeight="1" thickTop="1" thickBot="1">
      <c r="A7" s="52" t="s">
        <v>60</v>
      </c>
      <c r="B7" s="53" t="s">
        <v>61</v>
      </c>
      <c r="C7" s="53" t="s">
        <v>3</v>
      </c>
      <c r="D7" s="54" t="s">
        <v>4</v>
      </c>
      <c r="H7" s="170">
        <v>120</v>
      </c>
      <c r="I7" s="170">
        <v>80</v>
      </c>
      <c r="J7" s="170">
        <f>H7*I7</f>
        <v>9600</v>
      </c>
      <c r="K7" s="170">
        <f>K12</f>
        <v>50</v>
      </c>
    </row>
    <row r="8" spans="1:13" ht="14.25" customHeight="1" thickTop="1">
      <c r="A8" s="55" t="s">
        <v>62</v>
      </c>
      <c r="B8" s="169" t="s">
        <v>126</v>
      </c>
      <c r="C8" s="57"/>
      <c r="D8" s="58"/>
      <c r="G8" s="173">
        <v>45356</v>
      </c>
      <c r="H8" s="171" t="s">
        <v>137</v>
      </c>
      <c r="I8" s="172" t="s">
        <v>127</v>
      </c>
      <c r="J8" s="171" t="s">
        <v>132</v>
      </c>
      <c r="K8" s="171" t="s">
        <v>128</v>
      </c>
    </row>
    <row r="9" spans="1:13" ht="17">
      <c r="A9" s="59"/>
      <c r="B9" s="56" t="s">
        <v>118</v>
      </c>
      <c r="C9" s="57">
        <f>J9</f>
        <v>9000</v>
      </c>
      <c r="D9" s="58"/>
      <c r="G9" s="159" t="s">
        <v>121</v>
      </c>
      <c r="H9" s="170">
        <v>100</v>
      </c>
      <c r="I9" s="170">
        <v>90</v>
      </c>
      <c r="J9" s="170">
        <f>H9*I9</f>
        <v>9000</v>
      </c>
      <c r="K9" s="174">
        <f>K16</f>
        <v>70</v>
      </c>
    </row>
    <row r="10" spans="1:13" ht="17">
      <c r="A10" s="59"/>
      <c r="B10" s="56" t="s">
        <v>119</v>
      </c>
      <c r="C10" s="57"/>
      <c r="D10" s="58">
        <f>C9</f>
        <v>9000</v>
      </c>
      <c r="G10" s="173">
        <v>45392</v>
      </c>
      <c r="H10" s="171" t="s">
        <v>136</v>
      </c>
      <c r="I10" s="172" t="s">
        <v>127</v>
      </c>
      <c r="J10" s="171" t="s">
        <v>132</v>
      </c>
      <c r="K10" s="171" t="s">
        <v>128</v>
      </c>
      <c r="L10" s="171"/>
    </row>
    <row r="11" spans="1:13" ht="14.25" customHeight="1">
      <c r="A11" s="62" t="s">
        <v>63</v>
      </c>
      <c r="B11" s="169" t="s">
        <v>133</v>
      </c>
      <c r="C11" s="57"/>
      <c r="D11" s="58"/>
      <c r="G11" s="159" t="s">
        <v>135</v>
      </c>
      <c r="H11" s="170">
        <v>70</v>
      </c>
      <c r="I11" s="170">
        <f>175</f>
        <v>175</v>
      </c>
      <c r="J11" s="170">
        <f>H11*I11</f>
        <v>12250</v>
      </c>
    </row>
    <row r="12" spans="1:13" ht="17">
      <c r="A12" s="59"/>
      <c r="B12" s="56" t="s">
        <v>119</v>
      </c>
      <c r="C12" s="57">
        <f>J11</f>
        <v>12250</v>
      </c>
      <c r="D12" s="58"/>
      <c r="H12" s="170">
        <v>70</v>
      </c>
      <c r="I12" s="170">
        <f>I7</f>
        <v>80</v>
      </c>
      <c r="J12" s="170">
        <f>H11*I12</f>
        <v>5600</v>
      </c>
      <c r="K12" s="170">
        <f>H7-H12</f>
        <v>50</v>
      </c>
    </row>
    <row r="13" spans="1:13" ht="17">
      <c r="A13" s="59"/>
      <c r="B13" s="56" t="s">
        <v>120</v>
      </c>
      <c r="C13" s="57"/>
      <c r="D13" s="58">
        <f>C12</f>
        <v>12250</v>
      </c>
      <c r="G13" s="173">
        <v>45462</v>
      </c>
      <c r="H13" s="171" t="s">
        <v>136</v>
      </c>
      <c r="I13" s="172" t="s">
        <v>127</v>
      </c>
      <c r="J13" s="171" t="s">
        <v>132</v>
      </c>
      <c r="K13" s="171" t="s">
        <v>128</v>
      </c>
      <c r="L13" s="171"/>
    </row>
    <row r="14" spans="1:13" ht="20.25" customHeight="1">
      <c r="A14" s="62" t="s">
        <v>63</v>
      </c>
      <c r="B14" s="56" t="s">
        <v>54</v>
      </c>
      <c r="C14" s="57">
        <f>J12</f>
        <v>5600</v>
      </c>
      <c r="D14" s="58"/>
      <c r="G14" s="175" t="s">
        <v>135</v>
      </c>
      <c r="H14" s="176">
        <v>80</v>
      </c>
      <c r="I14" s="170">
        <v>175</v>
      </c>
      <c r="J14" s="170">
        <f>H14*I14</f>
        <v>14000</v>
      </c>
    </row>
    <row r="15" spans="1:13" ht="17">
      <c r="A15" s="59"/>
      <c r="B15" s="56" t="s">
        <v>134</v>
      </c>
      <c r="C15" s="57"/>
      <c r="D15" s="58">
        <f>C14</f>
        <v>5600</v>
      </c>
      <c r="G15" s="173">
        <v>45292</v>
      </c>
      <c r="H15" s="177">
        <f>K12</f>
        <v>50</v>
      </c>
      <c r="I15" s="170">
        <f>I7</f>
        <v>80</v>
      </c>
      <c r="J15" s="170">
        <f>H15*I15</f>
        <v>4000</v>
      </c>
      <c r="K15" s="170">
        <v>0</v>
      </c>
      <c r="L15" s="170"/>
    </row>
    <row r="16" spans="1:13">
      <c r="A16" s="59"/>
      <c r="C16" s="57"/>
      <c r="D16" s="58"/>
      <c r="G16" s="173">
        <v>45356</v>
      </c>
      <c r="H16" s="170">
        <v>30</v>
      </c>
      <c r="I16" s="170">
        <f>I9</f>
        <v>90</v>
      </c>
      <c r="J16" s="170">
        <f>H16*I16</f>
        <v>2700</v>
      </c>
      <c r="K16" s="170">
        <f>H9-H16</f>
        <v>70</v>
      </c>
    </row>
    <row r="17" spans="1:12" ht="19.5" customHeight="1">
      <c r="A17" s="63" t="s">
        <v>64</v>
      </c>
      <c r="B17" s="169" t="s">
        <v>133</v>
      </c>
      <c r="C17" s="57"/>
      <c r="D17" s="58"/>
      <c r="G17" s="175" t="s">
        <v>138</v>
      </c>
      <c r="J17" s="178">
        <f>J15+J16</f>
        <v>6700</v>
      </c>
    </row>
    <row r="18" spans="1:12" ht="17">
      <c r="A18" s="59"/>
      <c r="B18" s="56" t="s">
        <v>119</v>
      </c>
      <c r="C18" s="57">
        <f>J14</f>
        <v>14000</v>
      </c>
      <c r="D18" s="58"/>
      <c r="G18" s="173">
        <v>45356</v>
      </c>
      <c r="H18" s="171" t="s">
        <v>137</v>
      </c>
      <c r="I18" s="172" t="s">
        <v>127</v>
      </c>
      <c r="J18" s="171" t="s">
        <v>132</v>
      </c>
      <c r="K18" s="171" t="s">
        <v>128</v>
      </c>
    </row>
    <row r="19" spans="1:12" ht="17">
      <c r="A19" s="59"/>
      <c r="B19" s="56" t="s">
        <v>120</v>
      </c>
      <c r="C19" s="57"/>
      <c r="D19" s="58">
        <f>C18</f>
        <v>14000</v>
      </c>
      <c r="G19" s="159" t="s">
        <v>121</v>
      </c>
      <c r="H19" s="170">
        <v>50</v>
      </c>
      <c r="I19" s="170">
        <v>95</v>
      </c>
      <c r="J19" s="170">
        <f>H19*I19</f>
        <v>4750</v>
      </c>
      <c r="K19" s="174">
        <v>50</v>
      </c>
    </row>
    <row r="20" spans="1:12" ht="17.25" customHeight="1">
      <c r="A20" s="63" t="s">
        <v>64</v>
      </c>
      <c r="B20" s="56" t="s">
        <v>54</v>
      </c>
      <c r="C20" s="57">
        <f>J17</f>
        <v>6700</v>
      </c>
      <c r="D20" s="58"/>
    </row>
    <row r="21" spans="1:12" ht="17">
      <c r="A21" s="59"/>
      <c r="B21" s="56" t="s">
        <v>118</v>
      </c>
      <c r="C21" s="57"/>
      <c r="D21" s="58">
        <f>C20</f>
        <v>6700</v>
      </c>
      <c r="G21" s="173">
        <v>45624</v>
      </c>
      <c r="H21" s="171" t="s">
        <v>136</v>
      </c>
      <c r="I21" s="172" t="s">
        <v>127</v>
      </c>
      <c r="J21" s="171" t="s">
        <v>132</v>
      </c>
      <c r="K21" s="171" t="s">
        <v>128</v>
      </c>
      <c r="L21" s="171"/>
    </row>
    <row r="22" spans="1:12">
      <c r="A22" s="59"/>
      <c r="B22" s="56"/>
      <c r="C22" s="57"/>
      <c r="D22" s="58"/>
      <c r="G22" s="175" t="s">
        <v>135</v>
      </c>
      <c r="H22" s="176">
        <v>60</v>
      </c>
      <c r="I22" s="170">
        <v>180</v>
      </c>
      <c r="J22" s="170">
        <f>H22*I22</f>
        <v>10800</v>
      </c>
    </row>
    <row r="23" spans="1:12" ht="18" customHeight="1">
      <c r="A23" s="63" t="s">
        <v>65</v>
      </c>
      <c r="B23" s="169" t="s">
        <v>126</v>
      </c>
      <c r="C23" s="57"/>
      <c r="D23" s="58"/>
      <c r="G23" s="173">
        <v>45356</v>
      </c>
      <c r="H23" s="177">
        <v>60</v>
      </c>
      <c r="I23" s="170">
        <f>I16</f>
        <v>90</v>
      </c>
      <c r="J23" s="170">
        <f>H23*I23</f>
        <v>5400</v>
      </c>
      <c r="K23" s="170">
        <f>K16-H23</f>
        <v>10</v>
      </c>
    </row>
    <row r="24" spans="1:12" ht="17">
      <c r="A24" s="59"/>
      <c r="B24" s="56" t="s">
        <v>118</v>
      </c>
      <c r="C24" s="57">
        <f>J19</f>
        <v>4750</v>
      </c>
      <c r="D24" s="58"/>
      <c r="K24" s="170"/>
    </row>
    <row r="25" spans="1:12" ht="17">
      <c r="A25" s="59"/>
      <c r="B25" s="64" t="s">
        <v>119</v>
      </c>
      <c r="C25" s="57"/>
      <c r="D25" s="58">
        <f>C24</f>
        <v>4750</v>
      </c>
      <c r="G25" s="175"/>
      <c r="J25" s="178"/>
    </row>
    <row r="26" spans="1:12" ht="17.25" customHeight="1">
      <c r="A26" s="63" t="s">
        <v>66</v>
      </c>
      <c r="B26" s="169" t="s">
        <v>139</v>
      </c>
      <c r="C26" s="57"/>
      <c r="D26" s="58"/>
    </row>
    <row r="27" spans="1:12" ht="17">
      <c r="A27" s="59"/>
      <c r="B27" s="56" t="s">
        <v>119</v>
      </c>
      <c r="C27" s="57">
        <f>J22</f>
        <v>10800</v>
      </c>
      <c r="D27" s="58"/>
    </row>
    <row r="28" spans="1:12" ht="17">
      <c r="A28" s="59"/>
      <c r="B28" s="56" t="s">
        <v>120</v>
      </c>
      <c r="C28" s="57"/>
      <c r="D28" s="58">
        <f>C27</f>
        <v>10800</v>
      </c>
    </row>
    <row r="29" spans="1:12" ht="18" customHeight="1">
      <c r="A29" s="63" t="s">
        <v>66</v>
      </c>
      <c r="B29" s="56" t="s">
        <v>54</v>
      </c>
      <c r="C29" s="57">
        <f>J23</f>
        <v>5400</v>
      </c>
      <c r="D29" s="58"/>
    </row>
    <row r="30" spans="1:12" ht="17">
      <c r="A30" s="65"/>
      <c r="B30" s="56" t="s">
        <v>118</v>
      </c>
      <c r="C30" s="57"/>
      <c r="D30" s="58">
        <f>C29</f>
        <v>5400</v>
      </c>
    </row>
    <row r="31" spans="1:12" ht="9.75" customHeight="1" thickBot="1">
      <c r="A31" s="66"/>
      <c r="B31" s="67"/>
      <c r="C31" s="68"/>
      <c r="D31" s="69"/>
    </row>
    <row r="32" spans="1:12" ht="17" thickTop="1">
      <c r="A32" s="51"/>
      <c r="C32" s="96">
        <f>SUM(C8:C30)</f>
        <v>68500</v>
      </c>
      <c r="D32" s="96">
        <f>SUM(D8:D30)</f>
        <v>68500</v>
      </c>
    </row>
    <row r="33" spans="1:3">
      <c r="A33" s="51" t="s">
        <v>1</v>
      </c>
      <c r="B33" s="4" t="s">
        <v>49</v>
      </c>
      <c r="C33" s="61">
        <f>SUM(C12,C18,C27)</f>
        <v>37050</v>
      </c>
    </row>
    <row r="34" spans="1:3">
      <c r="B34" s="4" t="s">
        <v>54</v>
      </c>
      <c r="C34" s="3">
        <f>-SUM(C14,C20,C29)</f>
        <v>-17700</v>
      </c>
    </row>
    <row r="35" spans="1:3" ht="17" thickBot="1">
      <c r="B35" s="71" t="s">
        <v>67</v>
      </c>
      <c r="C35" s="72">
        <f>C33+C34</f>
        <v>19350</v>
      </c>
    </row>
    <row r="36" spans="1:3" ht="17" thickTop="1">
      <c r="A36" s="51"/>
    </row>
    <row r="37" spans="1:3">
      <c r="A37" s="51" t="s">
        <v>2</v>
      </c>
      <c r="B37" s="4" t="s">
        <v>68</v>
      </c>
      <c r="C37" s="61">
        <f>J7</f>
        <v>9600</v>
      </c>
    </row>
    <row r="38" spans="1:3">
      <c r="A38" s="51"/>
      <c r="B38" s="4" t="s">
        <v>69</v>
      </c>
      <c r="C38" s="60">
        <f>SUM(C9,C24)</f>
        <v>13750</v>
      </c>
    </row>
    <row r="39" spans="1:3">
      <c r="A39" s="51"/>
      <c r="B39" s="4" t="s">
        <v>70</v>
      </c>
      <c r="C39" s="61">
        <f>C37+C38</f>
        <v>23350</v>
      </c>
    </row>
    <row r="40" spans="1:3">
      <c r="A40" s="51"/>
      <c r="B40" s="4" t="s">
        <v>54</v>
      </c>
      <c r="C40" s="3">
        <f>C34</f>
        <v>-17700</v>
      </c>
    </row>
    <row r="41" spans="1:3" ht="17" thickBot="1">
      <c r="B41" s="71" t="s">
        <v>140</v>
      </c>
      <c r="C41" s="73">
        <f>SUM(C39:C40)</f>
        <v>5650</v>
      </c>
    </row>
    <row r="42" spans="1:3" ht="17" thickTop="1"/>
  </sheetData>
  <mergeCells count="2">
    <mergeCell ref="A5:D5"/>
    <mergeCell ref="A6:D6"/>
  </mergeCells>
  <pageMargins left="0.70866141732283472" right="0.70866141732283472" top="0.81" bottom="0.63" header="0.49" footer="0.4"/>
  <pageSetup paperSize="9" orientation="portrait" horizontalDpi="4294967295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  <pageSetUpPr fitToPage="1"/>
  </sheetPr>
  <dimension ref="B1:O51"/>
  <sheetViews>
    <sheetView tabSelected="1" topLeftCell="A4" zoomScale="166" zoomScaleNormal="85" workbookViewId="0">
      <selection activeCell="I15" sqref="I15"/>
    </sheetView>
  </sheetViews>
  <sheetFormatPr baseColWidth="10" defaultColWidth="9.1640625" defaultRowHeight="16"/>
  <cols>
    <col min="1" max="1" width="10.83203125" style="12" customWidth="1"/>
    <col min="2" max="2" width="5.6640625" style="32" customWidth="1"/>
    <col min="3" max="3" width="4.33203125" style="12" customWidth="1"/>
    <col min="4" max="4" width="41.6640625" style="32" customWidth="1"/>
    <col min="5" max="5" width="2.33203125" style="32" bestFit="1" customWidth="1"/>
    <col min="6" max="6" width="11.1640625" style="12" customWidth="1"/>
    <col min="7" max="7" width="17.83203125" style="12" bestFit="1" customWidth="1"/>
    <col min="8" max="8" width="12.33203125" style="12" customWidth="1"/>
    <col min="9" max="9" width="9.5" style="12" bestFit="1" customWidth="1"/>
    <col min="10" max="16384" width="9.1640625" style="12"/>
  </cols>
  <sheetData>
    <row r="1" spans="2:15" s="29" customFormat="1" ht="17">
      <c r="B1" s="13"/>
      <c r="D1" s="2" t="s">
        <v>114</v>
      </c>
      <c r="E1" s="1" t="s">
        <v>104</v>
      </c>
    </row>
    <row r="2" spans="2:15" s="29" customFormat="1" ht="17">
      <c r="B2" s="13"/>
      <c r="D2" s="2" t="s">
        <v>115</v>
      </c>
      <c r="E2" s="1" t="s">
        <v>105</v>
      </c>
      <c r="F2" s="76"/>
    </row>
    <row r="3" spans="2:15" s="29" customFormat="1">
      <c r="B3" s="13"/>
      <c r="D3" s="2"/>
      <c r="E3" s="1"/>
      <c r="F3" s="76"/>
    </row>
    <row r="4" spans="2:15" s="29" customFormat="1">
      <c r="B4" s="95" t="s">
        <v>71</v>
      </c>
      <c r="D4" s="13"/>
      <c r="E4" s="13"/>
    </row>
    <row r="5" spans="2:15" s="29" customFormat="1">
      <c r="B5" s="118" t="s">
        <v>41</v>
      </c>
      <c r="C5" s="119" t="s">
        <v>28</v>
      </c>
      <c r="D5" s="120" t="s">
        <v>42</v>
      </c>
      <c r="E5" s="120"/>
      <c r="F5" s="121">
        <v>1100000</v>
      </c>
      <c r="G5" s="122"/>
    </row>
    <row r="6" spans="2:15" s="29" customFormat="1">
      <c r="B6" s="123"/>
      <c r="D6" s="124" t="s">
        <v>32</v>
      </c>
      <c r="E6" s="124" t="s">
        <v>6</v>
      </c>
      <c r="F6" s="33">
        <v>0.3</v>
      </c>
      <c r="G6" s="125" t="s">
        <v>33</v>
      </c>
      <c r="O6" s="149" t="s">
        <v>103</v>
      </c>
    </row>
    <row r="7" spans="2:15" s="29" customFormat="1" ht="17" thickBot="1">
      <c r="B7" s="123"/>
      <c r="D7" s="126" t="s">
        <v>36</v>
      </c>
      <c r="E7" s="124"/>
      <c r="F7" s="15">
        <f>F5*F6</f>
        <v>330000</v>
      </c>
      <c r="G7" s="127" t="s">
        <v>7</v>
      </c>
    </row>
    <row r="8" spans="2:15" s="29" customFormat="1" ht="17" thickTop="1">
      <c r="B8" s="123"/>
      <c r="D8" s="124"/>
      <c r="E8" s="124"/>
      <c r="F8" s="34"/>
      <c r="G8" s="128"/>
    </row>
    <row r="9" spans="2:15" s="29" customFormat="1">
      <c r="B9" s="123"/>
      <c r="C9" s="29" t="s">
        <v>29</v>
      </c>
      <c r="D9" s="124" t="s">
        <v>42</v>
      </c>
      <c r="F9" s="12">
        <f>F5</f>
        <v>1100000</v>
      </c>
      <c r="G9" s="128"/>
    </row>
    <row r="10" spans="2:15" s="29" customFormat="1">
      <c r="B10" s="123"/>
      <c r="D10" s="124" t="s">
        <v>36</v>
      </c>
      <c r="F10" s="12">
        <f>F7</f>
        <v>330000</v>
      </c>
      <c r="G10" s="128"/>
      <c r="H10" s="13"/>
      <c r="I10" s="13"/>
    </row>
    <row r="11" spans="2:15" s="29" customFormat="1" ht="17" thickBot="1">
      <c r="B11" s="123"/>
      <c r="D11" s="126" t="s">
        <v>37</v>
      </c>
      <c r="F11" s="15">
        <f>F9-F10</f>
        <v>770000</v>
      </c>
      <c r="G11" s="127" t="s">
        <v>8</v>
      </c>
      <c r="K11" s="148"/>
    </row>
    <row r="12" spans="2:15" s="29" customFormat="1" ht="17" thickTop="1">
      <c r="B12" s="123"/>
      <c r="D12" s="13"/>
      <c r="E12" s="13"/>
      <c r="G12" s="128"/>
    </row>
    <row r="13" spans="2:15" s="29" customFormat="1">
      <c r="B13" s="123"/>
      <c r="C13" s="29" t="s">
        <v>43</v>
      </c>
      <c r="D13" s="124" t="s">
        <v>45</v>
      </c>
      <c r="F13" s="12">
        <f>140000</f>
        <v>140000</v>
      </c>
      <c r="G13" s="128"/>
    </row>
    <row r="14" spans="2:15" s="29" customFormat="1">
      <c r="B14" s="123"/>
      <c r="D14" s="124" t="s">
        <v>44</v>
      </c>
      <c r="F14" s="14">
        <f>670000</f>
        <v>670000</v>
      </c>
      <c r="G14" s="128"/>
    </row>
    <row r="15" spans="2:15" s="29" customFormat="1">
      <c r="B15" s="123"/>
      <c r="D15" s="124" t="s">
        <v>46</v>
      </c>
      <c r="F15" s="12">
        <f>F13+F14</f>
        <v>810000</v>
      </c>
      <c r="G15" s="128"/>
    </row>
    <row r="16" spans="2:15" s="29" customFormat="1">
      <c r="B16" s="123"/>
      <c r="D16" s="124" t="s">
        <v>37</v>
      </c>
      <c r="F16" s="12">
        <f>-F11</f>
        <v>-770000</v>
      </c>
      <c r="G16" s="128"/>
    </row>
    <row r="17" spans="2:8" s="29" customFormat="1" ht="17" thickBot="1">
      <c r="B17" s="123"/>
      <c r="D17" s="126" t="s">
        <v>38</v>
      </c>
      <c r="F17" s="15">
        <f>SUM(F15:F16)</f>
        <v>40000</v>
      </c>
      <c r="G17" s="127" t="s">
        <v>10</v>
      </c>
    </row>
    <row r="18" spans="2:8" s="29" customFormat="1" ht="17" thickTop="1">
      <c r="B18" s="123"/>
      <c r="D18" s="13"/>
      <c r="F18" s="32"/>
      <c r="G18" s="127"/>
    </row>
    <row r="19" spans="2:8" s="29" customFormat="1">
      <c r="B19" s="123"/>
      <c r="D19" s="13"/>
      <c r="F19" s="32"/>
      <c r="G19" s="127"/>
    </row>
    <row r="20" spans="2:8" s="29" customFormat="1">
      <c r="B20" s="123"/>
      <c r="D20" s="30"/>
      <c r="E20" s="13"/>
      <c r="G20" s="129"/>
    </row>
    <row r="21" spans="2:8" s="29" customFormat="1">
      <c r="B21" s="123" t="s">
        <v>1</v>
      </c>
      <c r="D21" s="124" t="str">
        <f>+D17</f>
        <v>áætlað verðmæti birgða á tjónsdegi</v>
      </c>
      <c r="F21" s="12">
        <f>F17</f>
        <v>40000</v>
      </c>
      <c r="G21" s="128"/>
    </row>
    <row r="22" spans="2:8" s="29" customFormat="1">
      <c r="B22" s="123"/>
      <c r="D22" s="124" t="s">
        <v>39</v>
      </c>
      <c r="F22" s="12">
        <f>-15000</f>
        <v>-15000</v>
      </c>
      <c r="G22" s="129"/>
    </row>
    <row r="23" spans="2:8" s="29" customFormat="1" ht="17" thickBot="1">
      <c r="B23" s="123"/>
      <c r="D23" s="126" t="s">
        <v>40</v>
      </c>
      <c r="E23" s="13"/>
      <c r="F23" s="15">
        <f>SUM(F21:F22)</f>
        <v>25000</v>
      </c>
      <c r="G23" s="130"/>
    </row>
    <row r="24" spans="2:8" s="29" customFormat="1" ht="17" thickTop="1">
      <c r="B24" s="131"/>
      <c r="C24" s="132"/>
      <c r="D24" s="132"/>
      <c r="E24" s="133"/>
      <c r="F24" s="132"/>
      <c r="G24" s="134"/>
    </row>
    <row r="25" spans="2:8" s="29" customFormat="1">
      <c r="E25" s="13"/>
    </row>
    <row r="26" spans="2:8" s="29" customFormat="1">
      <c r="B26" s="13"/>
      <c r="E26" s="13"/>
      <c r="H26" s="30"/>
    </row>
    <row r="27" spans="2:8" s="29" customFormat="1">
      <c r="B27" s="13" t="s">
        <v>2</v>
      </c>
      <c r="E27" s="13"/>
      <c r="H27" s="31"/>
    </row>
    <row r="28" spans="2:8" s="29" customFormat="1">
      <c r="B28" s="13"/>
      <c r="E28" s="13"/>
      <c r="H28" s="31"/>
    </row>
    <row r="29" spans="2:8" s="29" customFormat="1">
      <c r="B29" s="13"/>
      <c r="E29" s="13"/>
      <c r="H29" s="31"/>
    </row>
    <row r="30" spans="2:8" s="29" customFormat="1">
      <c r="B30" s="13"/>
      <c r="E30" s="13"/>
      <c r="H30" s="31"/>
    </row>
    <row r="31" spans="2:8" s="29" customFormat="1">
      <c r="B31" s="13"/>
      <c r="E31" s="13"/>
    </row>
    <row r="32" spans="2:8" s="29" customFormat="1">
      <c r="E32" s="13"/>
    </row>
    <row r="33" spans="2:10" s="29" customFormat="1">
      <c r="B33" s="135" t="s">
        <v>89</v>
      </c>
      <c r="D33" s="13"/>
      <c r="E33" s="13"/>
    </row>
    <row r="34" spans="2:10" s="29" customFormat="1">
      <c r="B34" s="14" t="s">
        <v>90</v>
      </c>
      <c r="C34" s="132"/>
      <c r="D34" s="133"/>
      <c r="E34" s="133"/>
      <c r="F34" s="132"/>
      <c r="G34" s="132"/>
    </row>
    <row r="35" spans="2:10" s="29" customFormat="1">
      <c r="B35" s="136"/>
      <c r="C35" s="119"/>
      <c r="D35" s="137"/>
      <c r="E35" s="137"/>
      <c r="F35" s="119"/>
      <c r="G35" s="122"/>
    </row>
    <row r="36" spans="2:10" s="29" customFormat="1">
      <c r="B36" s="123"/>
      <c r="D36" s="83" t="s">
        <v>42</v>
      </c>
      <c r="E36" s="83"/>
      <c r="F36" s="74">
        <v>1100000</v>
      </c>
      <c r="G36" s="112"/>
    </row>
    <row r="37" spans="2:10">
      <c r="B37" s="138"/>
      <c r="D37" s="83" t="s">
        <v>88</v>
      </c>
      <c r="E37" s="74"/>
      <c r="F37" s="158">
        <f>0.429</f>
        <v>0.42899999999999999</v>
      </c>
      <c r="J37" s="29"/>
    </row>
    <row r="38" spans="2:10" ht="17" thickBot="1">
      <c r="B38" s="138"/>
      <c r="D38" s="86" t="s">
        <v>37</v>
      </c>
      <c r="E38" s="74"/>
      <c r="F38" s="87">
        <f>F36/(1+F37)</f>
        <v>769769.06927921623</v>
      </c>
      <c r="G38" s="139"/>
      <c r="J38" s="29"/>
    </row>
    <row r="39" spans="2:10" ht="17" thickTop="1">
      <c r="B39" s="138"/>
      <c r="D39" s="74"/>
      <c r="E39" s="74"/>
      <c r="F39" s="74"/>
      <c r="G39" s="112"/>
      <c r="J39" s="29"/>
    </row>
    <row r="40" spans="2:10">
      <c r="B40" s="138"/>
      <c r="D40" s="74"/>
      <c r="E40" s="74"/>
      <c r="F40" s="74"/>
      <c r="G40" s="112"/>
      <c r="J40" s="29"/>
    </row>
    <row r="41" spans="2:10">
      <c r="B41" s="138"/>
      <c r="D41" s="83" t="s">
        <v>45</v>
      </c>
      <c r="E41" s="76"/>
      <c r="F41" s="74">
        <v>140000</v>
      </c>
      <c r="G41" s="112"/>
    </row>
    <row r="42" spans="2:10">
      <c r="B42" s="138"/>
      <c r="D42" s="83" t="s">
        <v>44</v>
      </c>
      <c r="E42" s="76"/>
      <c r="F42" s="89">
        <f>670000</f>
        <v>670000</v>
      </c>
      <c r="G42" s="112"/>
    </row>
    <row r="43" spans="2:10">
      <c r="B43" s="138"/>
      <c r="D43" s="83" t="s">
        <v>46</v>
      </c>
      <c r="E43" s="76"/>
      <c r="F43" s="74">
        <f>F41+F42</f>
        <v>810000</v>
      </c>
      <c r="G43" s="112"/>
    </row>
    <row r="44" spans="2:10">
      <c r="B44" s="138"/>
      <c r="D44" s="83" t="s">
        <v>37</v>
      </c>
      <c r="E44" s="76"/>
      <c r="F44" s="74">
        <f>F38</f>
        <v>769769.06927921623</v>
      </c>
      <c r="G44" s="112"/>
    </row>
    <row r="45" spans="2:10" ht="17" thickBot="1">
      <c r="B45" s="138"/>
      <c r="D45" s="86" t="s">
        <v>38</v>
      </c>
      <c r="E45" s="76"/>
      <c r="F45" s="87">
        <f>F43-F44</f>
        <v>40230.93072078377</v>
      </c>
      <c r="G45" s="112"/>
    </row>
    <row r="46" spans="2:10" ht="17" thickTop="1">
      <c r="B46" s="138"/>
      <c r="D46" s="75"/>
      <c r="E46" s="76"/>
      <c r="F46" s="88"/>
      <c r="G46" s="112"/>
    </row>
    <row r="47" spans="2:10">
      <c r="B47" s="138"/>
      <c r="D47" s="75"/>
      <c r="E47" s="76"/>
      <c r="F47" s="88"/>
      <c r="G47" s="112"/>
    </row>
    <row r="48" spans="2:10">
      <c r="B48" s="138"/>
      <c r="D48" s="83" t="str">
        <f>+D45</f>
        <v>áætlað verðmæti birgða á tjónsdegi</v>
      </c>
      <c r="E48" s="76"/>
      <c r="F48" s="74">
        <f>F45</f>
        <v>40230.93072078377</v>
      </c>
      <c r="G48" s="112"/>
    </row>
    <row r="49" spans="2:7">
      <c r="B49" s="138"/>
      <c r="D49" s="83" t="s">
        <v>39</v>
      </c>
      <c r="E49" s="76"/>
      <c r="F49" s="74">
        <f>-(15000)</f>
        <v>-15000</v>
      </c>
      <c r="G49" s="112"/>
    </row>
    <row r="50" spans="2:7" ht="17" thickBot="1">
      <c r="B50" s="138"/>
      <c r="D50" s="86" t="s">
        <v>40</v>
      </c>
      <c r="E50" s="75"/>
      <c r="F50" s="87">
        <f>SUM(F48:F49)</f>
        <v>25230.93072078377</v>
      </c>
      <c r="G50" s="112"/>
    </row>
    <row r="51" spans="2:7" ht="17" thickTop="1">
      <c r="B51" s="140"/>
      <c r="C51" s="14"/>
      <c r="D51" s="141"/>
      <c r="E51" s="141"/>
      <c r="F51" s="14"/>
      <c r="G51" s="142"/>
    </row>
  </sheetData>
  <pageMargins left="0.70866141732283472" right="0.35" top="0.74803149606299213" bottom="0.74803149606299213" header="0.31496062992125984" footer="0.31496062992125984"/>
  <pageSetup paperSize="9" scale="94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5-8B</vt:lpstr>
      <vt:lpstr>Exercise 5-10B</vt:lpstr>
      <vt:lpstr>Exercise 5-14A</vt:lpstr>
      <vt:lpstr>Problem 5-25A</vt:lpstr>
      <vt:lpstr>Problem 5-20B</vt:lpstr>
      <vt:lpstr>Problem 5-22A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2011-03-06T15:12:18Z</cp:lastPrinted>
  <dcterms:created xsi:type="dcterms:W3CDTF">2010-09-19T20:06:24Z</dcterms:created>
  <dcterms:modified xsi:type="dcterms:W3CDTF">2024-10-08T12:02:21Z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2024-09-13T15:37:01Z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be11542e-7209-4b99-8374-8c9baa80b88a</vt:lpwstr>
  </property>
  <property fmtid="{D5CDD505-2E9C-101B-9397-08002B2CF9AE}" pid="8" name="MSIP_Label_ea60d57e-af5b-4752-ac57-3e4f28ca11dc_ContentBits">
    <vt:lpwstr>0</vt:lpwstr>
  </property>
</Properties>
</file>